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G:\Mi unidad\Procesos 2026\01 - Procesos\13 - Combustible C358 - Santa Maria\Segundo Evento - Julio\"/>
    </mc:Choice>
  </mc:AlternateContent>
  <xr:revisionPtr revIDLastSave="0" documentId="13_ncr:1_{A16D1D63-2936-4796-9497-86679A9536E3}" xr6:coauthVersionLast="47" xr6:coauthVersionMax="47" xr10:uidLastSave="{00000000-0000-0000-0000-000000000000}"/>
  <bookViews>
    <workbookView xWindow="-108" yWindow="-108" windowWidth="23256" windowHeight="12456" xr2:uid="{00000000-000D-0000-FFFF-FFFF00000000}"/>
  </bookViews>
  <sheets>
    <sheet name="Analisis Economico Choco" sheetId="8" r:id="rId1"/>
    <sheet name="SICOM" sheetId="10" r:id="rId2"/>
    <sheet name="Referencias" sheetId="11" r:id="rId3"/>
    <sheet name="Estudio De Mercado 2025" sheetId="9" r:id="rId4"/>
    <sheet name="CTO-275-2025" sheetId="12" r:id="rId5"/>
    <sheet name="Listado de unidades" sheetId="4" state="hidden" r:id="rId6"/>
    <sheet name="Aceite" sheetId="5" state="hidden" r:id="rId7"/>
  </sheets>
  <externalReferences>
    <externalReference r:id="rId8"/>
  </externalReferences>
  <definedNames>
    <definedName name="matrizitems">Referencias!$B$2:$N$33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0" i="8" l="1"/>
  <c r="X9" i="8"/>
  <c r="C39" i="8"/>
  <c r="D32" i="8"/>
  <c r="D33" i="8"/>
  <c r="D34" i="8"/>
  <c r="D35" i="8"/>
  <c r="D31" i="8"/>
  <c r="U14" i="8"/>
  <c r="U13" i="8"/>
  <c r="U12" i="8"/>
  <c r="U11" i="8"/>
  <c r="U10" i="8"/>
  <c r="U9" i="8"/>
  <c r="C3" i="11"/>
  <c r="K1" i="11" l="1"/>
  <c r="H1" i="11"/>
  <c r="E1" i="11"/>
  <c r="L11" i="8"/>
  <c r="M11" i="8"/>
  <c r="N11" i="8"/>
  <c r="L12" i="8"/>
  <c r="M12" i="8"/>
  <c r="N12" i="8"/>
  <c r="K12" i="8"/>
  <c r="K11" i="8"/>
  <c r="B4" i="11"/>
  <c r="B3" i="11"/>
  <c r="J13" i="8" l="1"/>
  <c r="D47" i="8"/>
  <c r="G47" i="8"/>
  <c r="D48" i="8"/>
  <c r="G48" i="8"/>
  <c r="D49" i="8"/>
  <c r="G49" i="8"/>
  <c r="D50" i="8"/>
  <c r="G50" i="8"/>
  <c r="D51" i="8"/>
  <c r="G51" i="8"/>
  <c r="D52" i="8"/>
  <c r="G52" i="8"/>
  <c r="D53" i="8"/>
  <c r="G53" i="8"/>
  <c r="D54" i="8"/>
  <c r="G54" i="8"/>
  <c r="D55" i="8"/>
  <c r="G55" i="8"/>
  <c r="D56" i="8"/>
  <c r="G56" i="8"/>
  <c r="D57" i="8"/>
  <c r="G57" i="8"/>
  <c r="D58" i="8"/>
  <c r="G58" i="8"/>
  <c r="D59" i="8"/>
  <c r="G59" i="8"/>
  <c r="B60" i="8"/>
  <c r="C60" i="8"/>
  <c r="E60" i="8"/>
  <c r="F60" i="8"/>
  <c r="C67" i="8"/>
  <c r="E67" i="8"/>
  <c r="C68" i="8"/>
  <c r="E68" i="8"/>
  <c r="C69" i="8"/>
  <c r="E69" i="8"/>
  <c r="C70" i="8"/>
  <c r="E70" i="8"/>
  <c r="C71" i="8"/>
  <c r="E71" i="8"/>
  <c r="C72" i="8"/>
  <c r="E72" i="8"/>
  <c r="C73" i="8"/>
  <c r="E73" i="8"/>
  <c r="C74" i="8"/>
  <c r="E74" i="8"/>
  <c r="C75" i="8"/>
  <c r="E75" i="8"/>
  <c r="C76" i="8"/>
  <c r="E76" i="8"/>
  <c r="B77" i="8"/>
  <c r="D77" i="8"/>
  <c r="I29" i="9"/>
  <c r="I30" i="9" s="1"/>
  <c r="J28" i="9"/>
  <c r="M10" i="9"/>
  <c r="N10" i="9" s="1"/>
  <c r="L10" i="9"/>
  <c r="K10" i="9"/>
  <c r="J10" i="9"/>
  <c r="I10" i="9"/>
  <c r="H10" i="9"/>
  <c r="I9" i="9"/>
  <c r="M9" i="9" s="1"/>
  <c r="H9" i="9"/>
  <c r="I8" i="9"/>
  <c r="M8" i="9" s="1"/>
  <c r="K8" i="9" s="1"/>
  <c r="H8" i="9"/>
  <c r="I7" i="9"/>
  <c r="M7" i="9" s="1"/>
  <c r="H7" i="9"/>
  <c r="N6" i="9"/>
  <c r="M6" i="9"/>
  <c r="K6" i="9" s="1"/>
  <c r="L6" i="9" s="1"/>
  <c r="J6" i="9"/>
  <c r="I6" i="9"/>
  <c r="H6" i="9"/>
  <c r="H11" i="9" s="1"/>
  <c r="K4" i="9"/>
  <c r="J8" i="9" l="1"/>
  <c r="Q9" i="8"/>
  <c r="T9" i="8"/>
  <c r="R9" i="8"/>
  <c r="S9" i="8"/>
  <c r="E31" i="8" s="1"/>
  <c r="T10" i="8"/>
  <c r="G21" i="8" s="1"/>
  <c r="Q10" i="8"/>
  <c r="S10" i="8"/>
  <c r="R10" i="8"/>
  <c r="E21" i="8" s="1"/>
  <c r="R13" i="8"/>
  <c r="E24" i="8" s="1"/>
  <c r="Q13" i="8"/>
  <c r="S13" i="8"/>
  <c r="T13" i="8"/>
  <c r="G24" i="8" s="1"/>
  <c r="P9" i="8"/>
  <c r="P10" i="8"/>
  <c r="P13" i="8"/>
  <c r="L8" i="9"/>
  <c r="J11" i="8"/>
  <c r="G60" i="8"/>
  <c r="D60" i="8"/>
  <c r="N9" i="9"/>
  <c r="K9" i="9"/>
  <c r="N7" i="9"/>
  <c r="K7" i="9"/>
  <c r="L7" i="9" s="1"/>
  <c r="J9" i="9"/>
  <c r="J7" i="9"/>
  <c r="N8" i="9"/>
  <c r="F24" i="8" l="1"/>
  <c r="E35" i="8"/>
  <c r="F21" i="8"/>
  <c r="E32" i="8"/>
  <c r="D24" i="8"/>
  <c r="V13" i="8"/>
  <c r="D21" i="8"/>
  <c r="V10" i="8"/>
  <c r="F20" i="8"/>
  <c r="G20" i="8"/>
  <c r="E20" i="8"/>
  <c r="D20" i="8"/>
  <c r="V9" i="8"/>
  <c r="R11" i="8"/>
  <c r="E22" i="8" s="1"/>
  <c r="S11" i="8"/>
  <c r="T11" i="8"/>
  <c r="G22" i="8" s="1"/>
  <c r="Q11" i="8"/>
  <c r="P11" i="8"/>
  <c r="J11" i="9"/>
  <c r="N11" i="9"/>
  <c r="L9" i="9"/>
  <c r="L11" i="9" s="1"/>
  <c r="J12" i="8"/>
  <c r="O27" i="5"/>
  <c r="G41" i="5"/>
  <c r="F22" i="8" l="1"/>
  <c r="E33" i="8"/>
  <c r="D22" i="8"/>
  <c r="V11" i="8"/>
  <c r="R12" i="8"/>
  <c r="T12" i="8"/>
  <c r="G23" i="8" s="1"/>
  <c r="Q12" i="8"/>
  <c r="S12" i="8"/>
  <c r="E34" i="8" s="1"/>
  <c r="P12" i="8"/>
  <c r="E36" i="8" l="1"/>
  <c r="C38" i="8" s="1"/>
  <c r="T14" i="8"/>
  <c r="D23" i="8"/>
  <c r="V12" i="8"/>
  <c r="Q14" i="8"/>
  <c r="F23" i="8"/>
  <c r="S14" i="8"/>
  <c r="E23" i="8"/>
  <c r="R14" i="8"/>
  <c r="C40" i="8" l="1"/>
  <c r="C41" i="8" s="1"/>
  <c r="V14"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Vasquez Sanchez</author>
    <author xml:space="preserve">ASESOR </author>
  </authors>
  <commentList>
    <comment ref="I4" authorId="0" shapeId="0" xr:uid="{4086E054-2648-4E1D-B8F1-F32AC2635A0E}">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K4" authorId="1" shapeId="0" xr:uid="{00A28C96-07CB-44EF-BAAA-F0023C0D25CB}">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M4" authorId="1" shapeId="0" xr:uid="{06A57808-A769-4B72-B2C9-81532B96F928}">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sharedStrings.xml><?xml version="1.0" encoding="utf-8"?>
<sst xmlns="http://schemas.openxmlformats.org/spreadsheetml/2006/main" count="587" uniqueCount="506">
  <si>
    <t>GESTIÓN CONTRACTUAL</t>
  </si>
  <si>
    <t xml:space="preserve">DESCRIPCIÓN GENERAL </t>
  </si>
  <si>
    <t>No. Item</t>
  </si>
  <si>
    <t>Código UNSPSC</t>
  </si>
  <si>
    <t xml:space="preserve">Ref. Artículo </t>
  </si>
  <si>
    <t>Descripción</t>
  </si>
  <si>
    <t>Cantidad</t>
  </si>
  <si>
    <t>Unidad de Medida</t>
  </si>
  <si>
    <t>Precio unitario estimado IVA incluido</t>
  </si>
  <si>
    <t>Precio total estimado IVA incluido</t>
  </si>
  <si>
    <t>UNIDADES</t>
  </si>
  <si>
    <t>Nombre</t>
  </si>
  <si>
    <t>µA</t>
  </si>
  <si>
    <t>Microamperio</t>
  </si>
  <si>
    <t>µGL</t>
  </si>
  <si>
    <t>Microgramos/Litro</t>
  </si>
  <si>
    <t>µGQ</t>
  </si>
  <si>
    <t>Microgramos/ Metro cúbico</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</si>
  <si>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</si>
  <si>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</si>
  <si>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</si>
  <si>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</si>
  <si>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</si>
  <si>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</si>
  <si>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</si>
  <si>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</si>
  <si>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</si>
  <si>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</si>
  <si>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</si>
  <si>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</si>
  <si>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</si>
  <si>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</si>
  <si>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</si>
  <si>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</si>
  <si>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</si>
  <si>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</si>
  <si>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</si>
  <si>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</si>
  <si>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</si>
  <si>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</si>
  <si>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</si>
  <si>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</si>
  <si>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</si>
  <si>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</si>
  <si>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</si>
  <si>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</si>
  <si>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</si>
  <si>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</si>
  <si>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</si>
  <si>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</si>
  <si>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</si>
  <si>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</si>
  <si>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</si>
  <si>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</si>
  <si>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Caja</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</si>
  <si>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</si>
  <si>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</si>
  <si>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</si>
  <si>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</si>
  <si>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</si>
  <si>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</si>
  <si>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</si>
  <si>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</si>
  <si>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</si>
  <si>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</si>
  <si>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</si>
  <si>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</si>
  <si>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</si>
  <si>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</si>
  <si>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</si>
  <si>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</si>
  <si>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</si>
  <si>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</si>
  <si>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</si>
  <si>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</si>
  <si>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</si>
  <si>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</si>
  <si>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</si>
  <si>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</si>
  <si>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</si>
  <si>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</si>
  <si>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</si>
  <si>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</si>
  <si>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</si>
  <si>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</si>
  <si>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</si>
  <si>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</si>
  <si>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</si>
  <si>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</si>
  <si>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</si>
  <si>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</si>
  <si>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</si>
  <si>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</si>
  <si>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</si>
  <si>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</si>
  <si>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</si>
  <si>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</si>
  <si>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</si>
  <si>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</si>
  <si>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</si>
  <si>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</si>
  <si>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</si>
  <si>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</si>
  <si>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</si>
  <si>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</si>
  <si>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</si>
  <si>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</si>
  <si>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</si>
  <si>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</si>
  <si>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</si>
  <si>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</si>
  <si>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</si>
  <si>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</si>
  <si>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</si>
  <si>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</si>
  <si>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</si>
  <si>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</si>
  <si>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</si>
  <si>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</si>
  <si>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</si>
  <si>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</si>
  <si>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</si>
  <si>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</si>
  <si>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</si>
  <si>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</si>
  <si>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</si>
  <si>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</si>
  <si>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</si>
  <si>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</si>
  <si>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</si>
  <si>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</si>
  <si>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</si>
  <si>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</si>
  <si>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</si>
  <si>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</si>
  <si>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</si>
  <si>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</si>
  <si>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</si>
  <si>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</si>
  <si>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</si>
  <si>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</si>
  <si>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</si>
  <si>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</si>
  <si>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</si>
  <si>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</si>
  <si>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</si>
  <si>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</si>
  <si>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</si>
  <si>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</si>
  <si>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</si>
  <si>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</si>
  <si>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</si>
  <si>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</si>
  <si>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</si>
  <si>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</si>
  <si>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</si>
  <si>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</si>
  <si>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</si>
  <si>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</si>
  <si>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</si>
  <si>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</si>
  <si>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</si>
  <si>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</si>
  <si>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</si>
  <si>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</si>
  <si>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</si>
  <si>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</si>
  <si>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</si>
  <si>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</si>
  <si>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</si>
  <si>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</si>
  <si>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</si>
  <si>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</si>
  <si>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</si>
  <si>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</si>
  <si>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</si>
  <si>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</si>
  <si>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</si>
  <si>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</si>
  <si>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</si>
  <si>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</si>
  <si>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</si>
  <si>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</si>
  <si>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</si>
  <si>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</si>
  <si>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</si>
  <si>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</si>
  <si>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</si>
  <si>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</si>
  <si>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</si>
  <si>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</si>
  <si>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</si>
  <si>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</si>
  <si>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</si>
  <si>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</si>
  <si>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</si>
  <si>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</si>
  <si>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</si>
  <si>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</si>
  <si>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</si>
  <si>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</si>
  <si>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</si>
  <si>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</si>
  <si>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</si>
  <si>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</si>
  <si>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</si>
  <si>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</si>
  <si>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</si>
  <si>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</si>
  <si>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</si>
  <si>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</si>
  <si>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</si>
  <si>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</si>
  <si>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</si>
  <si>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</si>
  <si>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</si>
  <si>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</si>
  <si>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</si>
  <si>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</si>
  <si>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</si>
  <si>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</si>
  <si>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</si>
  <si>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</si>
  <si>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</si>
  <si>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</si>
  <si>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</si>
  <si>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</si>
  <si>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</si>
  <si>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</si>
  <si>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</si>
  <si>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</si>
  <si>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</si>
  <si>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</si>
  <si>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</si>
  <si>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</si>
  <si>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</si>
  <si>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</si>
  <si>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</si>
  <si>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</si>
  <si>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</si>
  <si>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</si>
  <si>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</si>
  <si>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</si>
  <si>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</si>
  <si>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</si>
  <si>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</si>
  <si>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</si>
  <si>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</si>
  <si>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</si>
  <si>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</si>
  <si>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</si>
  <si>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</si>
  <si>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</si>
  <si>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</si>
  <si>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</si>
  <si>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</si>
  <si>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</si>
  <si>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</si>
  <si>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</si>
  <si>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</si>
  <si>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</si>
  <si>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</si>
  <si>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</si>
  <si>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</si>
  <si>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</si>
  <si>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</si>
  <si>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</si>
  <si>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</si>
  <si>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</si>
  <si>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</si>
  <si>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</si>
  <si>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</si>
  <si>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</si>
  <si>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</si>
  <si>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</si>
  <si>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</si>
  <si>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</si>
  <si>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</si>
  <si>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</si>
  <si>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</si>
  <si>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</si>
  <si>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</si>
  <si>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</si>
  <si>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</si>
  <si>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</si>
  <si>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</si>
  <si>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</si>
  <si>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</si>
  <si>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</si>
  <si>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</si>
  <si>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</si>
  <si>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</si>
  <si>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</si>
  <si>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</si>
  <si>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</si>
  <si>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</si>
  <si>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</si>
  <si>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</si>
  <si>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</si>
  <si>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</si>
  <si>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</si>
  <si>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PAR</t>
  </si>
  <si>
    <t>Par</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</si>
  <si>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</si>
  <si>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</si>
  <si>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</si>
  <si>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</si>
  <si>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</si>
  <si>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</si>
  <si>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</si>
  <si>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</si>
  <si>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</si>
  <si>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</si>
  <si>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</si>
  <si>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</si>
  <si>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</si>
  <si>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</si>
  <si>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</si>
  <si>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</si>
  <si>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</si>
  <si>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</si>
  <si>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</si>
  <si>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</si>
  <si>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</si>
  <si>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</si>
  <si>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</si>
  <si>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</si>
  <si>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</si>
  <si>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</si>
  <si>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</si>
  <si>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</si>
  <si>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</si>
  <si>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</si>
  <si>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</si>
  <si>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</si>
  <si>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</si>
  <si>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</si>
  <si>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</si>
  <si>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</si>
  <si>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</si>
  <si>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</si>
  <si>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</si>
  <si>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</si>
  <si>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</si>
  <si>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</si>
  <si>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</si>
  <si>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</si>
  <si>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</si>
  <si>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</si>
  <si>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</si>
  <si>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</si>
  <si>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</si>
  <si>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</si>
  <si>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</si>
  <si>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</si>
  <si>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</si>
  <si>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</si>
  <si>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</si>
  <si>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</si>
  <si>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</si>
  <si>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</si>
  <si>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</si>
  <si>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</si>
  <si>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</si>
  <si>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</si>
  <si>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</si>
  <si>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</si>
  <si>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</si>
  <si>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</si>
  <si>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</si>
  <si>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</si>
  <si>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</si>
  <si>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</si>
  <si>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</si>
  <si>
    <t>µM</t>
  </si>
  <si>
    <t>ELABORACIÓN ESTUDIOS DE MERCADO - PROCESOS DE GESTIÓN CONTRACTUAL</t>
  </si>
  <si>
    <t>1</t>
  </si>
  <si>
    <t>PROMEDIO SIMPLE (INDEXACIÓN DE PRECIOS - PRECIOS DE REFERENCIA, ETC)</t>
  </si>
  <si>
    <t>Precio unitario IVA incluido</t>
  </si>
  <si>
    <t>2</t>
  </si>
  <si>
    <t>Gasolina Corriente</t>
  </si>
  <si>
    <t>ACPM</t>
  </si>
  <si>
    <t>GALON</t>
  </si>
  <si>
    <t xml:space="preserve">Gasolina corriente </t>
  </si>
  <si>
    <t>Ciudad</t>
  </si>
  <si>
    <t>Gasolina Feb-26</t>
  </si>
  <si>
    <t>Diferencia</t>
  </si>
  <si>
    <t>Diésel Feb-26</t>
  </si>
  <si>
    <t>Dif. $</t>
  </si>
  <si>
    <t>Bogotá D.C.</t>
  </si>
  <si>
    <t>Medellín</t>
  </si>
  <si>
    <t>Cali</t>
  </si>
  <si>
    <t>Barranquilla</t>
  </si>
  <si>
    <t>Cartagena</t>
  </si>
  <si>
    <t>Montería</t>
  </si>
  <si>
    <t>Bucaramanga</t>
  </si>
  <si>
    <t>Villavicencio</t>
  </si>
  <si>
    <t>Pereira</t>
  </si>
  <si>
    <t>Manizales</t>
  </si>
  <si>
    <t>Ibagué</t>
  </si>
  <si>
    <t>Pasto</t>
  </si>
  <si>
    <t>Cúcuta</t>
  </si>
  <si>
    <t>Promedio 13 ciudades</t>
  </si>
  <si>
    <t>Vigencia A partir</t>
  </si>
  <si>
    <t>Gasolina MC ($/gal)</t>
  </si>
  <si>
    <t>Variación Gasolina</t>
  </si>
  <si>
    <t>ACPM ($/gal)</t>
  </si>
  <si>
    <t>Variación ACPM</t>
  </si>
  <si>
    <t>N/A</t>
  </si>
  <si>
    <t>Promedio</t>
  </si>
  <si>
    <t>COMPORTAMIENTO GASOLINA ENERO-2025 - FEBRERO-2026</t>
  </si>
  <si>
    <t>No.</t>
  </si>
  <si>
    <t>Aceite 2 tiempos</t>
  </si>
  <si>
    <t>Aceite 4 tiempos</t>
  </si>
  <si>
    <t>Transporte</t>
  </si>
  <si>
    <t xml:space="preserve">NACIONAL DE COMBUSTIBLES DAVID BEDOYA SAS		</t>
  </si>
  <si>
    <t>PRECIOS DE REFERENCIA</t>
  </si>
  <si>
    <t>Precio total IVA incluido</t>
  </si>
  <si>
    <t>3</t>
  </si>
  <si>
    <t>Aceite motores 2T</t>
  </si>
  <si>
    <t>4</t>
  </si>
  <si>
    <t>Aceite motos 4T</t>
  </si>
  <si>
    <t>5</t>
  </si>
  <si>
    <t>Entrega y suminsitro</t>
  </si>
  <si>
    <t>VALOR TOTAL ESTUDIO DE MERCADO DE ACUERDO CON LA CANTIDAD SELECCIONADA</t>
  </si>
  <si>
    <t>Para estimar el valor del presupuesto del presente proceso, se realizó un comparativo entre la empresa que presentó cotización y los históricos con los que cuenta la entidad de contratos que se han adjudicado con anterioridad, teniendo en cuenta que los valores presentados se encuentran indexados con el IPC con el que finalizó el año 2024 (5,20%). En este sentido, se contempló la media aritmética de los valores unitarios de la cotización recibida respecto los históricos, ya que esta medida de tendencia central refleja el precio más acertado y objetivo del mercado. No se tiene en cuenta el valor cotizado por Nacional de Combustibles en el item de transporte ya que esta por encima del valor de la oferta ganadora del contrato anterior en 253%</t>
  </si>
  <si>
    <t>Fuente: https://app.powerbi.com/view?r=eyJrIjoiYmY4ODk2OGYtNmMwOC00ODQzLWEzM2MtNjM4ODg0Y2VmNWQ2IiwidCI6ImM5ODBlNDEwLTBiNWMtNDhiYy1iZDFhLThiOTFjYWJjODRiYyIsImMiOjR9</t>
  </si>
  <si>
    <t>Precio Unitario Promedio Incluido Impuestos</t>
  </si>
  <si>
    <t>Item</t>
  </si>
  <si>
    <t>Gasolina Mar-26</t>
  </si>
  <si>
    <t>Diésel Mar-26</t>
  </si>
  <si>
    <t>COMPARATIVO PRECIOS FEBRERO MARZO 2026 - MINISTERIO DE MINAS</t>
  </si>
  <si>
    <t>IPC FEBRERO-2026</t>
  </si>
  <si>
    <t>Estudio de Mercado - 2025 + IPC FEB26</t>
  </si>
  <si>
    <t>https://genticenter.com/products/aceite-2t-low-smoke-fd-3-784-litros-1-galon-husqvarna?srsltid=AfmBOopdUN7-zyD5WjDMyffRM5tLsfXqxMHYoZdm6BPhqEIkbqchl3FK2rk</t>
  </si>
  <si>
    <t>Valor 1</t>
  </si>
  <si>
    <t>Referencia Grafica 1</t>
  </si>
  <si>
    <t>Valor 2</t>
  </si>
  <si>
    <t>Referencia Grafica 2</t>
  </si>
  <si>
    <t>https://agroelectros.com/producto/galon-aceite-para-motores-2t-husqvarna/?srsltid=AfmBOoqxxkVoSa-26s6TpyM5URjzmqlnbePi-jxO5EfLVTbubwv2XKaqj_M</t>
  </si>
  <si>
    <t>https://ferricentro.com/aceite-2t-galon-ff-0000008737?srsltid=AfmBOorBkbGp2FHo1V3rvvQbg5YZzmh5xo0HurnDsewOxlX36lhE8qvip9Y</t>
  </si>
  <si>
    <t>https://www.homecenter.com.co/homecenter-co/product/663236/aceite-para-motores-de-2-tiempos-galon/663236/</t>
  </si>
  <si>
    <t>Valor 3</t>
  </si>
  <si>
    <t>Referencia Grafica 3</t>
  </si>
  <si>
    <t>Valor 4</t>
  </si>
  <si>
    <t>Referencia Grafica 4</t>
  </si>
  <si>
    <t>Homecenter</t>
  </si>
  <si>
    <t>https://bravoindustrial.com/es/inicio/4759-la10w30-1-emg-aceite-enermax-10w30-4t-x-galon.html?srsltid=AfmBOopEJ9zIfCvsJcWy3D_qUM2tfcUYPYCMUVyOsHYf9H4WRa2aqJhwYBA</t>
  </si>
  <si>
    <t>https://www.mercadolibre.com.co/aceite-10w40-full-sintetico-moto-4t-ecolube-galon-4-litros/up/MCOU2429859569?matt_tool=19390127&amp;utm_source=google_shopping&amp;utm_medium=organic&amp;pdp_filters=item_id%3AMCO618741139&amp;from=gshop</t>
  </si>
  <si>
    <t>https://casalopez.com.co/aceites-lubricantes/aceite-para-motor-total-quartz-7000-10w40-galon/?srsltid=AfmBOoq-bjGRKFEKPmvomrl6HMle4A1J_Wbu0D30xq28A_i10ASZ7wp5Z8M</t>
  </si>
  <si>
    <t>https://motoborda.com/inicio/343-galon-de-lubricante-4t-20w50-motoborda.html?srsltid=AfmBOoo3I58Tat9lX3K-duejVlgMAFMYNQHZDMLOvnvHy1o8-vcIlXd3tRI</t>
  </si>
  <si>
    <t>Referencia 1</t>
  </si>
  <si>
    <t>Referencia 2</t>
  </si>
  <si>
    <t>Referencia 3</t>
  </si>
  <si>
    <t>Referencia 4</t>
  </si>
  <si>
    <t>Coeficiente de Variacion</t>
  </si>
  <si>
    <t>Mediana</t>
  </si>
  <si>
    <t>Media Geometrica</t>
  </si>
  <si>
    <t>Media Armonica</t>
  </si>
  <si>
    <t>CV</t>
  </si>
  <si>
    <t>Precio Unitario Incluido Impuestos</t>
  </si>
  <si>
    <t>ANALISIS DE TENDENCIA CENTRAL</t>
  </si>
  <si>
    <t>SICOM (PowerBI)</t>
  </si>
  <si>
    <t>ICANH</t>
  </si>
  <si>
    <t>SICOM POWER BI: https://app.powerbi.com/view?r=eyJrIjoiYmY4ODk2OGYtNmMwOC00ODQzLWEzM2MtNjM4ODg0Y2VmNWQ2IiwidCI6ImM5ODBlNDEwLTBiNWMtNDhiYy1iZDFhLThiOTFjYWJjODRiYyIsImMiOjR9</t>
  </si>
  <si>
    <t>ANALISIS DE MERCADO - COMBUSTIBLE Y ACEITES
CHOCO</t>
  </si>
  <si>
    <t>Unguia
Zona Frontera</t>
  </si>
  <si>
    <t>Choco (Sin ZF)</t>
  </si>
  <si>
    <t>Choco
Zona Frontera</t>
  </si>
  <si>
    <t>MC-ICANH-006-2025</t>
  </si>
  <si>
    <t>PROCESO</t>
  </si>
  <si>
    <t>CONTRATO</t>
  </si>
  <si>
    <t>275-2025</t>
  </si>
  <si>
    <t>Valor Oferta Ganadora</t>
  </si>
  <si>
    <t>CTO-275-2025</t>
  </si>
  <si>
    <t>Variación</t>
  </si>
  <si>
    <t>CV Entre Metodos</t>
  </si>
  <si>
    <t>TOTALES</t>
  </si>
  <si>
    <t>VARIACIONES FRENTE A CONTRATO 2025</t>
  </si>
  <si>
    <t>Presupuesto Inicial 2025</t>
  </si>
  <si>
    <t>Presupuesto Final</t>
  </si>
  <si>
    <t>Presupuesto Estimado</t>
  </si>
  <si>
    <t>Precio Techo</t>
  </si>
  <si>
    <t>Mensual Estimada</t>
  </si>
  <si>
    <t>Estimación Mes</t>
  </si>
  <si>
    <t>Total</t>
  </si>
  <si>
    <t>PROYECCIÓN ESTIMADA CONSUMO POR PLAZO PAA</t>
  </si>
  <si>
    <t>Margen Tecnico</t>
  </si>
  <si>
    <t>Prorrateo</t>
  </si>
  <si>
    <t>Proyeccion Diaria</t>
  </si>
  <si>
    <t>https://www.dane.gov.co/files/operaciones/IPC/feb2026/bol-IPC-feb2026.pdf</t>
  </si>
  <si>
    <t>REGULACIÓN MIN MINAS</t>
  </si>
  <si>
    <t>Enlace 1 (16/06/2026)</t>
  </si>
  <si>
    <t>Enlace 2 (16/06/2026)</t>
  </si>
  <si>
    <t>Enlace 3 (16/06/2026)</t>
  </si>
  <si>
    <t>Enlace 4 (16/06/2026)</t>
  </si>
  <si>
    <t>Dias Estimados</t>
  </si>
  <si>
    <t>Gasolina MC Junio 2026 ($/gal)</t>
  </si>
  <si>
    <t>ACPM Junio 2026 ($/gal)</t>
  </si>
  <si>
    <t>Promedio Caribe</t>
  </si>
  <si>
    <t>ZAVEL S.A.S</t>
  </si>
  <si>
    <t>Cotización 2026</t>
  </si>
  <si>
    <t>Proyección</t>
  </si>
  <si>
    <t>SICOM - Ministerio de Minas y Energia Colombia
UNGUIA MES ACTUAL - JULIO</t>
  </si>
  <si>
    <t>SICOM - Ministerio de Minas y Energia Colombia
TODO CHOCO JULIO</t>
  </si>
  <si>
    <t>VALIDACION MINISTERIO DE MINAS 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</si>
</sst>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quot;$&quot;\ * #,##0_-;\-&quot;$&quot;\ * #,##0_-;_-&quot;$&quot;\ * &quot;-&quot;??_-;_-@"/>
    <numFmt numFmtId="166" formatCode="&quot;$&quot;\ #,##0"/>
    <numFmt numFmtId="167" formatCode="&quot;$&quot;\ #,##0.00"/>
    <numFmt numFmtId="168" formatCode="0.000%"/>
    <numFmt numFmtId="169" formatCode="0.0%"/>
  </numFmts>
  <fonts count="37">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9"/>
      <color indexed="81"/>
      <name val="Tahoma"/>
      <family val="2"/>
    </font>
    <font>
      <b/>
      <sz val="9"/>
      <color indexed="81"/>
      <name val="Tahoma"/>
      <family val="2"/>
    </font>
    <font>
      <sz val="10"/>
      <name val="Arial"/>
      <family val="2"/>
    </font>
    <font>
      <sz val="12"/>
      <color theme="1"/>
      <name val="Museo Sans Condensed"/>
    </font>
    <font>
      <b/>
      <sz val="12"/>
      <color theme="1"/>
      <name val="Museo Sans Condensed"/>
    </font>
    <font>
      <sz val="12"/>
      <color theme="1"/>
      <name val="Arial"/>
      <family val="2"/>
    </font>
    <font>
      <b/>
      <sz val="12"/>
      <name val="Arial"/>
      <family val="2"/>
    </font>
    <font>
      <b/>
      <sz val="12"/>
      <color theme="0"/>
      <name val="Arial"/>
      <family val="2"/>
    </font>
    <font>
      <b/>
      <sz val="12"/>
      <color rgb="FFFFFFFF"/>
      <name val="Arial"/>
      <family val="2"/>
    </font>
    <font>
      <sz val="11"/>
      <name val="Arial"/>
      <family val="2"/>
    </font>
    <font>
      <sz val="11"/>
      <name val="Calibri"/>
      <family val="2"/>
    </font>
    <font>
      <sz val="11"/>
      <color rgb="FF000000"/>
      <name val="Arial"/>
      <family val="2"/>
    </font>
    <font>
      <sz val="11"/>
      <color theme="1"/>
      <name val="Arial"/>
      <family val="2"/>
    </font>
    <font>
      <b/>
      <sz val="11"/>
      <color theme="1"/>
      <name val="Calibri"/>
      <family val="2"/>
      <scheme val="minor"/>
    </font>
    <font>
      <u/>
      <sz val="10"/>
      <color theme="10"/>
      <name val="Arial"/>
      <family val="2"/>
    </font>
    <font>
      <b/>
      <sz val="11"/>
      <color theme="1"/>
      <name val="Arial Narrow"/>
      <family val="2"/>
    </font>
    <font>
      <sz val="11"/>
      <color theme="1"/>
      <name val="Arial Narrow"/>
      <family val="2"/>
    </font>
    <font>
      <sz val="10"/>
      <color theme="1"/>
      <name val="Arial Narrow"/>
      <family val="2"/>
    </font>
    <font>
      <sz val="8"/>
      <color theme="1"/>
      <name val="Arial"/>
      <family val="2"/>
    </font>
    <font>
      <sz val="16"/>
      <color theme="1"/>
      <name val="Arial"/>
      <family val="2"/>
    </font>
    <font>
      <b/>
      <sz val="8"/>
      <color theme="1"/>
      <name val="Arial Narrow"/>
      <family val="2"/>
    </font>
    <font>
      <b/>
      <sz val="10"/>
      <color theme="1"/>
      <name val="Arial"/>
      <family val="2"/>
    </font>
    <font>
      <b/>
      <sz val="8"/>
      <color theme="1"/>
      <name val="Arial"/>
      <family val="2"/>
    </font>
    <font>
      <b/>
      <sz val="9"/>
      <color theme="1"/>
      <name val="Calibri"/>
      <family val="2"/>
      <scheme val="minor"/>
    </font>
    <font>
      <sz val="9"/>
      <color theme="1"/>
      <name val="Calibri"/>
      <family val="2"/>
      <scheme val="minor"/>
    </font>
    <font>
      <b/>
      <sz val="8"/>
      <color theme="1"/>
      <name val="Calibri"/>
      <family val="2"/>
      <scheme val="minor"/>
    </font>
    <font>
      <sz val="8"/>
      <color theme="1"/>
      <name val="Calibri"/>
      <family val="2"/>
      <scheme val="minor"/>
    </font>
    <font>
      <b/>
      <i/>
      <sz val="10"/>
      <color theme="1"/>
      <name val="Arial"/>
      <family val="2"/>
    </font>
    <font>
      <sz val="8"/>
      <name val="Arial"/>
      <family val="2"/>
    </font>
    <font>
      <b/>
      <sz val="9"/>
      <color theme="1"/>
      <name val="Arial"/>
      <family val="2"/>
    </font>
  </fonts>
  <fills count="1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1" tint="0.499984740745262"/>
        <bgColor indexed="64"/>
      </patternFill>
    </fill>
    <fill>
      <patternFill patternType="solid">
        <fgColor theme="0"/>
        <bgColor theme="0"/>
      </patternFill>
    </fill>
    <fill>
      <patternFill patternType="solid">
        <fgColor theme="1"/>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rgb="FFFFFF00"/>
        <bgColor theme="0"/>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rgb="FF92D050"/>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medium">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33">
    <xf numFmtId="0" fontId="0" fillId="0" borderId="0"/>
    <xf numFmtId="42"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9" fillId="0" borderId="0"/>
    <xf numFmtId="42" fontId="6" fillId="0" borderId="0" applyFont="0" applyFill="0" applyBorder="0" applyAlignment="0" applyProtection="0"/>
    <xf numFmtId="9" fontId="6" fillId="0" borderId="0" applyFont="0" applyFill="0" applyBorder="0" applyAlignment="0" applyProtection="0"/>
    <xf numFmtId="0" fontId="2" fillId="0" borderId="0"/>
    <xf numFmtId="9" fontId="2" fillId="0" borderId="0" applyFont="0" applyFill="0" applyBorder="0" applyAlignment="0" applyProtection="0"/>
    <xf numFmtId="0" fontId="21" fillId="0" borderId="0" applyNumberFormat="0" applyFill="0" applyBorder="0" applyAlignment="0" applyProtection="0"/>
  </cellStyleXfs>
  <cellXfs count="188">
    <xf numFmtId="0" fontId="0" fillId="0" borderId="0" xfId="0"/>
    <xf numFmtId="0" fontId="11" fillId="3" borderId="1" xfId="8" applyFont="1" applyBorder="1" applyAlignment="1">
      <alignment horizontal="center" vertical="center" wrapText="1"/>
    </xf>
    <xf numFmtId="0" fontId="11" fillId="3" borderId="1" xfId="8" applyFont="1" applyBorder="1" applyAlignment="1" applyProtection="1">
      <alignment horizontal="center" vertical="center" wrapText="1"/>
    </xf>
    <xf numFmtId="0" fontId="10" fillId="0" borderId="1" xfId="0" applyFont="1" applyBorder="1"/>
    <xf numFmtId="0" fontId="9" fillId="0" borderId="0" xfId="27"/>
    <xf numFmtId="0" fontId="0" fillId="0" borderId="0" xfId="0" applyAlignment="1">
      <alignment wrapText="1"/>
    </xf>
    <xf numFmtId="49" fontId="12" fillId="0" borderId="1" xfId="14" applyFont="1" applyBorder="1" applyAlignment="1">
      <alignment horizontal="center" vertical="center"/>
    </xf>
    <xf numFmtId="0" fontId="12" fillId="0" borderId="1" xfId="14" applyNumberFormat="1" applyFont="1" applyBorder="1" applyAlignment="1">
      <alignment horizontal="center" vertical="center"/>
    </xf>
    <xf numFmtId="42" fontId="12" fillId="0" borderId="1" xfId="1" applyFont="1" applyBorder="1" applyAlignment="1" applyProtection="1">
      <alignment horizontal="center" vertical="center"/>
      <protection locked="0"/>
    </xf>
    <xf numFmtId="0" fontId="0" fillId="0" borderId="0" xfId="0" applyProtection="1">
      <protection locked="0"/>
    </xf>
    <xf numFmtId="0" fontId="15" fillId="6" borderId="15" xfId="8" applyFont="1" applyFill="1" applyBorder="1" applyAlignment="1" applyProtection="1">
      <alignment horizontal="center" vertical="center" wrapText="1"/>
    </xf>
    <xf numFmtId="0" fontId="15" fillId="6" borderId="1" xfId="8" applyFont="1" applyFill="1" applyBorder="1" applyAlignment="1" applyProtection="1">
      <alignment horizontal="center" vertical="center" wrapText="1"/>
    </xf>
    <xf numFmtId="165" fontId="18" fillId="7" borderId="1" xfId="0" applyNumberFormat="1" applyFont="1" applyFill="1" applyBorder="1" applyAlignment="1">
      <alignment horizontal="center" vertical="center" shrinkToFit="1"/>
    </xf>
    <xf numFmtId="0" fontId="17" fillId="0" borderId="1" xfId="0" applyFont="1" applyBorder="1" applyAlignment="1">
      <alignment horizontal="center" vertical="center"/>
    </xf>
    <xf numFmtId="0" fontId="0" fillId="0" borderId="0" xfId="0" applyAlignment="1" applyProtection="1">
      <alignment horizontal="center"/>
      <protection locked="0"/>
    </xf>
    <xf numFmtId="0" fontId="13" fillId="0" borderId="12" xfId="27" applyFont="1" applyBorder="1" applyAlignment="1">
      <alignment horizontal="center" vertical="center"/>
    </xf>
    <xf numFmtId="0" fontId="13" fillId="0" borderId="19" xfId="27" applyFont="1" applyBorder="1" applyAlignment="1">
      <alignment horizontal="center" vertical="center"/>
    </xf>
    <xf numFmtId="0" fontId="13" fillId="0" borderId="20" xfId="27" applyFont="1" applyBorder="1" applyAlignment="1">
      <alignment horizontal="center" vertical="center"/>
    </xf>
    <xf numFmtId="0" fontId="13" fillId="0" borderId="21" xfId="27" applyFont="1" applyBorder="1" applyAlignment="1">
      <alignment horizontal="center" vertical="center"/>
    </xf>
    <xf numFmtId="3" fontId="12" fillId="0" borderId="1" xfId="14" applyNumberFormat="1" applyFont="1" applyBorder="1" applyAlignment="1">
      <alignment horizontal="center" vertical="center"/>
    </xf>
    <xf numFmtId="0" fontId="15" fillId="6" borderId="23" xfId="0" applyFont="1" applyFill="1" applyBorder="1" applyProtection="1">
      <protection locked="0"/>
    </xf>
    <xf numFmtId="42" fontId="15" fillId="6" borderId="23" xfId="0" applyNumberFormat="1" applyFont="1" applyFill="1" applyBorder="1" applyProtection="1">
      <protection locked="0"/>
    </xf>
    <xf numFmtId="0" fontId="19" fillId="0" borderId="1" xfId="0" applyFont="1" applyBorder="1" applyAlignment="1">
      <alignment horizontal="justify" vertical="center" wrapText="1"/>
    </xf>
    <xf numFmtId="42" fontId="0" fillId="0" borderId="0" xfId="0" applyNumberFormat="1" applyProtection="1">
      <protection locked="0"/>
    </xf>
    <xf numFmtId="0" fontId="0" fillId="0" borderId="0" xfId="0" applyAlignment="1" applyProtection="1">
      <alignment vertical="center"/>
      <protection locked="0"/>
    </xf>
    <xf numFmtId="0" fontId="15" fillId="6" borderId="22" xfId="0" applyFont="1" applyFill="1" applyBorder="1" applyProtection="1">
      <protection locked="0"/>
    </xf>
    <xf numFmtId="42" fontId="15" fillId="6" borderId="22" xfId="1" applyFont="1" applyFill="1" applyBorder="1" applyProtection="1">
      <protection locked="0"/>
    </xf>
    <xf numFmtId="0" fontId="0" fillId="0" borderId="12" xfId="0" applyBorder="1" applyAlignment="1" applyProtection="1">
      <alignment vertical="center"/>
      <protection locked="0"/>
    </xf>
    <xf numFmtId="0" fontId="14" fillId="6" borderId="17" xfId="7" applyFont="1" applyFill="1" applyBorder="1" applyAlignment="1" applyProtection="1">
      <alignment vertical="center"/>
    </xf>
    <xf numFmtId="0" fontId="14" fillId="6" borderId="18" xfId="7" applyFont="1" applyFill="1" applyBorder="1" applyAlignment="1" applyProtection="1">
      <alignment vertical="center"/>
    </xf>
    <xf numFmtId="10" fontId="0" fillId="0" borderId="0" xfId="29" applyNumberFormat="1" applyFont="1" applyProtection="1">
      <protection locked="0"/>
    </xf>
    <xf numFmtId="167" fontId="12" fillId="9" borderId="1" xfId="1" applyNumberFormat="1" applyFont="1" applyFill="1" applyBorder="1" applyAlignment="1" applyProtection="1">
      <alignment horizontal="center" vertical="center"/>
      <protection locked="0"/>
    </xf>
    <xf numFmtId="10" fontId="16" fillId="0" borderId="24" xfId="27" applyNumberFormat="1" applyFont="1" applyBorder="1" applyAlignment="1">
      <alignment vertical="center" wrapText="1"/>
    </xf>
    <xf numFmtId="0" fontId="16" fillId="0" borderId="0" xfId="27" applyFont="1" applyAlignment="1">
      <alignment vertical="center" wrapText="1"/>
    </xf>
    <xf numFmtId="165" fontId="0" fillId="0" borderId="0" xfId="0" applyNumberFormat="1" applyProtection="1">
      <protection locked="0"/>
    </xf>
    <xf numFmtId="9" fontId="0" fillId="0" borderId="0" xfId="0" applyNumberFormat="1" applyProtection="1">
      <protection locked="0"/>
    </xf>
    <xf numFmtId="9" fontId="0" fillId="0" borderId="0" xfId="29" applyFont="1" applyProtection="1">
      <protection locked="0"/>
    </xf>
    <xf numFmtId="0" fontId="2" fillId="0" borderId="0" xfId="30"/>
    <xf numFmtId="166" fontId="2" fillId="0" borderId="17" xfId="30" applyNumberFormat="1" applyBorder="1" applyAlignment="1">
      <alignment vertical="center" wrapText="1"/>
    </xf>
    <xf numFmtId="166" fontId="2" fillId="0" borderId="1" xfId="30" applyNumberFormat="1" applyBorder="1" applyAlignment="1">
      <alignment vertical="center" wrapText="1"/>
    </xf>
    <xf numFmtId="10" fontId="0" fillId="0" borderId="1" xfId="31" applyNumberFormat="1" applyFont="1" applyBorder="1"/>
    <xf numFmtId="10" fontId="0" fillId="0" borderId="31" xfId="31" applyNumberFormat="1" applyFont="1" applyBorder="1"/>
    <xf numFmtId="167" fontId="20" fillId="10" borderId="33" xfId="30" applyNumberFormat="1" applyFont="1" applyFill="1" applyBorder="1" applyAlignment="1">
      <alignment horizontal="right" vertical="center" wrapText="1"/>
    </xf>
    <xf numFmtId="167" fontId="20" fillId="10" borderId="34" xfId="30" applyNumberFormat="1" applyFont="1" applyFill="1" applyBorder="1" applyAlignment="1">
      <alignment horizontal="right" vertical="center" wrapText="1"/>
    </xf>
    <xf numFmtId="0" fontId="2" fillId="0" borderId="17" xfId="30" applyBorder="1" applyAlignment="1">
      <alignment horizontal="right"/>
    </xf>
    <xf numFmtId="0" fontId="2" fillId="0" borderId="18" xfId="30" applyBorder="1" applyAlignment="1">
      <alignment horizontal="right"/>
    </xf>
    <xf numFmtId="0" fontId="20" fillId="10" borderId="27" xfId="30" applyFont="1" applyFill="1" applyBorder="1" applyAlignment="1">
      <alignment horizontal="center" vertical="center" wrapText="1"/>
    </xf>
    <xf numFmtId="0" fontId="20" fillId="10" borderId="28" xfId="30" applyFont="1" applyFill="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165" fontId="18" fillId="0" borderId="1" xfId="0" applyNumberFormat="1" applyFont="1" applyBorder="1" applyAlignment="1">
      <alignment horizontal="center" vertical="center" shrinkToFit="1"/>
    </xf>
    <xf numFmtId="0" fontId="17" fillId="11" borderId="1" xfId="0" applyFont="1" applyFill="1" applyBorder="1" applyAlignment="1">
      <alignment horizontal="center" vertical="center"/>
    </xf>
    <xf numFmtId="165" fontId="18" fillId="12" borderId="1" xfId="0" applyNumberFormat="1" applyFont="1" applyFill="1" applyBorder="1" applyAlignment="1">
      <alignment horizontal="center" vertical="center" shrinkToFit="1"/>
    </xf>
    <xf numFmtId="42" fontId="15" fillId="8" borderId="24" xfId="1" applyFont="1" applyFill="1" applyBorder="1" applyProtection="1">
      <protection locked="0"/>
    </xf>
    <xf numFmtId="0" fontId="0" fillId="0" borderId="1" xfId="0" applyBorder="1"/>
    <xf numFmtId="167" fontId="0" fillId="0" borderId="1" xfId="0" applyNumberFormat="1" applyBorder="1" applyAlignment="1">
      <alignment vertical="center"/>
    </xf>
    <xf numFmtId="0" fontId="28" fillId="0" borderId="0" xfId="0" applyFont="1" applyAlignment="1">
      <alignment horizontal="center" vertical="center" wrapText="1"/>
    </xf>
    <xf numFmtId="17" fontId="28" fillId="0" borderId="0" xfId="0" applyNumberFormat="1" applyFont="1" applyAlignment="1">
      <alignment horizontal="center" vertical="center" wrapText="1"/>
    </xf>
    <xf numFmtId="0" fontId="0" fillId="0" borderId="0" xfId="0" applyAlignment="1">
      <alignment vertical="center" wrapText="1"/>
    </xf>
    <xf numFmtId="3" fontId="0" fillId="0" borderId="0" xfId="0" applyNumberFormat="1" applyAlignment="1">
      <alignment vertical="center" wrapText="1"/>
    </xf>
    <xf numFmtId="0" fontId="28" fillId="0" borderId="0" xfId="0" applyFont="1" applyAlignment="1">
      <alignment vertical="center" wrapText="1"/>
    </xf>
    <xf numFmtId="3" fontId="28" fillId="0" borderId="0" xfId="0" applyNumberFormat="1" applyFont="1" applyAlignment="1">
      <alignment vertical="center" wrapText="1"/>
    </xf>
    <xf numFmtId="166" fontId="2" fillId="0" borderId="22" xfId="30" applyNumberFormat="1" applyBorder="1" applyAlignment="1">
      <alignment vertical="center" wrapText="1"/>
    </xf>
    <xf numFmtId="166" fontId="20" fillId="0" borderId="27" xfId="30" applyNumberFormat="1" applyFont="1" applyBorder="1" applyAlignment="1">
      <alignment vertical="center" wrapText="1"/>
    </xf>
    <xf numFmtId="166" fontId="20" fillId="0" borderId="28" xfId="30" applyNumberFormat="1" applyFont="1" applyBorder="1" applyAlignment="1">
      <alignment vertical="center" wrapText="1"/>
    </xf>
    <xf numFmtId="166" fontId="2" fillId="13" borderId="14" xfId="30" applyNumberFormat="1" applyFill="1" applyBorder="1" applyAlignment="1">
      <alignment vertical="center" wrapText="1"/>
    </xf>
    <xf numFmtId="166" fontId="2" fillId="13" borderId="35" xfId="30" applyNumberFormat="1" applyFill="1" applyBorder="1" applyAlignment="1">
      <alignment vertical="center" wrapText="1"/>
    </xf>
    <xf numFmtId="166" fontId="2" fillId="13" borderId="1" xfId="30" applyNumberFormat="1" applyFill="1" applyBorder="1" applyAlignment="1">
      <alignment vertical="center" wrapText="1"/>
    </xf>
    <xf numFmtId="166" fontId="2" fillId="13" borderId="31" xfId="30" applyNumberFormat="1" applyFill="1" applyBorder="1" applyAlignment="1">
      <alignment vertical="center" wrapText="1"/>
    </xf>
    <xf numFmtId="166" fontId="2" fillId="13" borderId="33" xfId="30" applyNumberFormat="1" applyFill="1" applyBorder="1" applyAlignment="1">
      <alignment vertical="center" wrapText="1"/>
    </xf>
    <xf numFmtId="166" fontId="2" fillId="13" borderId="34" xfId="30" applyNumberFormat="1" applyFill="1" applyBorder="1" applyAlignment="1">
      <alignment vertical="center" wrapText="1"/>
    </xf>
    <xf numFmtId="0" fontId="0" fillId="0" borderId="1" xfId="0" applyBorder="1" applyAlignment="1">
      <alignment horizontal="center" vertical="center" wrapText="1"/>
    </xf>
    <xf numFmtId="0" fontId="29" fillId="10" borderId="29" xfId="0" applyFont="1" applyFill="1" applyBorder="1" applyAlignment="1">
      <alignment horizontal="center" vertical="center" wrapText="1"/>
    </xf>
    <xf numFmtId="0" fontId="25" fillId="10" borderId="36" xfId="0" applyFont="1" applyFill="1" applyBorder="1" applyAlignment="1">
      <alignment horizontal="center" vertical="center" wrapText="1"/>
    </xf>
    <xf numFmtId="0" fontId="33" fillId="13" borderId="13" xfId="30" applyFont="1" applyFill="1" applyBorder="1" applyAlignment="1">
      <alignment vertical="center" wrapText="1"/>
    </xf>
    <xf numFmtId="0" fontId="33" fillId="13" borderId="15" xfId="30" applyFont="1" applyFill="1" applyBorder="1" applyAlignment="1">
      <alignment vertical="center" wrapText="1"/>
    </xf>
    <xf numFmtId="0" fontId="33" fillId="13" borderId="32" xfId="30" applyFont="1" applyFill="1" applyBorder="1" applyAlignment="1">
      <alignment vertical="center" wrapText="1"/>
    </xf>
    <xf numFmtId="0" fontId="32" fillId="0" borderId="26" xfId="30" applyFont="1" applyBorder="1" applyAlignment="1">
      <alignment vertical="center" wrapText="1"/>
    </xf>
    <xf numFmtId="15" fontId="31" fillId="0" borderId="30" xfId="30" applyNumberFormat="1" applyFont="1" applyBorder="1" applyAlignment="1">
      <alignment horizontal="center" vertical="center" wrapText="1"/>
    </xf>
    <xf numFmtId="15" fontId="31" fillId="0" borderId="15" xfId="30" applyNumberFormat="1" applyFont="1" applyBorder="1" applyAlignment="1">
      <alignment horizontal="center" vertical="center" wrapText="1"/>
    </xf>
    <xf numFmtId="0" fontId="30" fillId="10" borderId="32" xfId="30" applyFont="1" applyFill="1" applyBorder="1" applyAlignment="1">
      <alignment horizontal="center" vertical="center" wrapText="1"/>
    </xf>
    <xf numFmtId="0" fontId="32" fillId="10" borderId="26" xfId="30" applyFont="1" applyFill="1" applyBorder="1" applyAlignment="1">
      <alignment horizontal="center" vertical="center" wrapText="1"/>
    </xf>
    <xf numFmtId="0" fontId="0" fillId="0" borderId="0" xfId="0" applyAlignment="1">
      <alignment horizontal="center" vertical="center"/>
    </xf>
    <xf numFmtId="0" fontId="28" fillId="0" borderId="1" xfId="0" applyFont="1" applyBorder="1" applyAlignment="1">
      <alignment horizontal="center" vertical="center"/>
    </xf>
    <xf numFmtId="167" fontId="0" fillId="0" borderId="1" xfId="0" applyNumberFormat="1" applyBorder="1" applyAlignment="1">
      <alignment horizontal="center" vertical="center"/>
    </xf>
    <xf numFmtId="0" fontId="0" fillId="0" borderId="1" xfId="0" applyBorder="1" applyAlignment="1">
      <alignment horizontal="center" vertical="center"/>
    </xf>
    <xf numFmtId="0" fontId="21" fillId="0" borderId="1" xfId="32" applyBorder="1" applyAlignment="1">
      <alignment horizontal="center" vertical="center" wrapText="1"/>
    </xf>
    <xf numFmtId="10" fontId="0" fillId="0" borderId="1" xfId="29" applyNumberFormat="1" applyFont="1" applyBorder="1"/>
    <xf numFmtId="0" fontId="34" fillId="14" borderId="1" xfId="0" applyFont="1" applyFill="1" applyBorder="1" applyAlignment="1">
      <alignment horizontal="center"/>
    </xf>
    <xf numFmtId="0" fontId="0" fillId="14" borderId="1" xfId="0" applyFill="1" applyBorder="1" applyAlignment="1">
      <alignment horizontal="center"/>
    </xf>
    <xf numFmtId="0" fontId="20" fillId="0" borderId="0" xfId="30" applyFont="1" applyAlignment="1">
      <alignment horizontal="center"/>
    </xf>
    <xf numFmtId="167" fontId="2" fillId="0" borderId="0" xfId="30" applyNumberFormat="1"/>
    <xf numFmtId="10" fontId="0" fillId="0" borderId="1" xfId="29" applyNumberFormat="1" applyFont="1" applyBorder="1" applyAlignment="1">
      <alignment vertical="center"/>
    </xf>
    <xf numFmtId="10" fontId="2" fillId="0" borderId="0" xfId="29" applyNumberFormat="1" applyFont="1"/>
    <xf numFmtId="0" fontId="22" fillId="15" borderId="1" xfId="0" applyFont="1" applyFill="1" applyBorder="1" applyAlignment="1">
      <alignment horizontal="center" vertical="center" wrapText="1"/>
    </xf>
    <xf numFmtId="0" fontId="27" fillId="15" borderId="1" xfId="0" applyFont="1" applyFill="1" applyBorder="1" applyAlignment="1">
      <alignment horizontal="center" vertical="center" wrapText="1"/>
    </xf>
    <xf numFmtId="0" fontId="32" fillId="15" borderId="13" xfId="30" applyFont="1" applyFill="1" applyBorder="1" applyAlignment="1">
      <alignment horizontal="center" vertical="center" wrapText="1"/>
    </xf>
    <xf numFmtId="0" fontId="20" fillId="15" borderId="14" xfId="30" applyFont="1" applyFill="1" applyBorder="1" applyAlignment="1">
      <alignment horizontal="center" vertical="center" wrapText="1"/>
    </xf>
    <xf numFmtId="0" fontId="20" fillId="15" borderId="35" xfId="30" applyFont="1" applyFill="1" applyBorder="1" applyAlignment="1">
      <alignment horizontal="center" vertical="center" wrapText="1"/>
    </xf>
    <xf numFmtId="0" fontId="33" fillId="0" borderId="15" xfId="30" applyFont="1" applyBorder="1" applyAlignment="1">
      <alignment vertical="center" wrapText="1"/>
    </xf>
    <xf numFmtId="166" fontId="2" fillId="0" borderId="31" xfId="30" applyNumberFormat="1" applyBorder="1" applyAlignment="1">
      <alignment vertical="center" wrapText="1"/>
    </xf>
    <xf numFmtId="0" fontId="33" fillId="0" borderId="37" xfId="30" applyFont="1" applyBorder="1" applyAlignment="1">
      <alignment vertical="center" wrapText="1"/>
    </xf>
    <xf numFmtId="166" fontId="2" fillId="0" borderId="38" xfId="30" applyNumberFormat="1" applyBorder="1" applyAlignment="1">
      <alignment vertical="center" wrapText="1"/>
    </xf>
    <xf numFmtId="0" fontId="33" fillId="0" borderId="30" xfId="30" applyFont="1" applyBorder="1" applyAlignment="1">
      <alignment vertical="center" wrapText="1"/>
    </xf>
    <xf numFmtId="166" fontId="2" fillId="0" borderId="18" xfId="30" applyNumberFormat="1" applyBorder="1" applyAlignment="1">
      <alignment vertical="center" wrapText="1"/>
    </xf>
    <xf numFmtId="167" fontId="0" fillId="0" borderId="0" xfId="0" applyNumberFormat="1"/>
    <xf numFmtId="0" fontId="0" fillId="15" borderId="1" xfId="0" applyFill="1" applyBorder="1"/>
    <xf numFmtId="167" fontId="0" fillId="15" borderId="1" xfId="0" applyNumberFormat="1" applyFill="1" applyBorder="1"/>
    <xf numFmtId="167" fontId="2" fillId="0" borderId="1" xfId="30" applyNumberFormat="1" applyBorder="1"/>
    <xf numFmtId="1" fontId="2" fillId="0" borderId="1" xfId="30" applyNumberFormat="1" applyBorder="1"/>
    <xf numFmtId="167" fontId="20" fillId="15" borderId="1" xfId="30" applyNumberFormat="1" applyFont="1" applyFill="1" applyBorder="1"/>
    <xf numFmtId="1" fontId="1" fillId="0" borderId="1" xfId="30" applyNumberFormat="1" applyFont="1" applyBorder="1"/>
    <xf numFmtId="168" fontId="2" fillId="0" borderId="0" xfId="29" applyNumberFormat="1" applyFont="1"/>
    <xf numFmtId="167" fontId="20" fillId="0" borderId="0" xfId="30" applyNumberFormat="1" applyFont="1"/>
    <xf numFmtId="167" fontId="1" fillId="0" borderId="1" xfId="30" applyNumberFormat="1" applyFont="1" applyBorder="1" applyAlignment="1">
      <alignment horizontal="right"/>
    </xf>
    <xf numFmtId="0" fontId="20" fillId="14" borderId="1" xfId="30" applyFont="1" applyFill="1" applyBorder="1" applyAlignment="1">
      <alignment horizontal="center"/>
    </xf>
    <xf numFmtId="0" fontId="20" fillId="0" borderId="0" xfId="30" applyFont="1"/>
    <xf numFmtId="0" fontId="0" fillId="0" borderId="3" xfId="0" applyBorder="1"/>
    <xf numFmtId="0" fontId="0" fillId="0" borderId="6" xfId="0" applyBorder="1"/>
    <xf numFmtId="0" fontId="0" fillId="0" borderId="4" xfId="0" applyBorder="1"/>
    <xf numFmtId="0" fontId="0" fillId="0" borderId="7" xfId="0" applyBorder="1"/>
    <xf numFmtId="0" fontId="0" fillId="0" borderId="8" xfId="0" applyBorder="1"/>
    <xf numFmtId="0" fontId="0" fillId="0" borderId="5" xfId="0" applyBorder="1"/>
    <xf numFmtId="0" fontId="0" fillId="0" borderId="9" xfId="0" applyBorder="1"/>
    <xf numFmtId="0" fontId="0" fillId="0" borderId="2" xfId="0" applyBorder="1"/>
    <xf numFmtId="167" fontId="0" fillId="0" borderId="1" xfId="0" applyNumberFormat="1" applyBorder="1" applyAlignment="1">
      <alignment horizontal="right" vertical="center"/>
    </xf>
    <xf numFmtId="167" fontId="20" fillId="0" borderId="1" xfId="30" applyNumberFormat="1" applyFont="1" applyBorder="1"/>
    <xf numFmtId="0" fontId="2" fillId="0" borderId="1" xfId="30" applyBorder="1"/>
    <xf numFmtId="0" fontId="28" fillId="0" borderId="0" xfId="0" applyFont="1" applyAlignment="1">
      <alignment horizontal="right" vertical="center" wrapText="1"/>
    </xf>
    <xf numFmtId="6" fontId="0" fillId="0" borderId="0" xfId="0" applyNumberFormat="1" applyAlignment="1">
      <alignment horizontal="right" vertical="center" wrapText="1"/>
    </xf>
    <xf numFmtId="6" fontId="28" fillId="0" borderId="0" xfId="0" applyNumberFormat="1" applyFont="1" applyAlignment="1">
      <alignment horizontal="right" vertical="center" wrapText="1"/>
    </xf>
    <xf numFmtId="14" fontId="2" fillId="0" borderId="0" xfId="30" applyNumberFormat="1"/>
    <xf numFmtId="0" fontId="28" fillId="0" borderId="0" xfId="0" applyFont="1" applyAlignment="1">
      <alignment horizontal="center" wrapText="1"/>
    </xf>
    <xf numFmtId="0" fontId="28" fillId="0" borderId="0" xfId="0" applyFont="1" applyAlignment="1">
      <alignment horizontal="center"/>
    </xf>
    <xf numFmtId="0" fontId="28" fillId="16" borderId="25" xfId="0" applyFont="1" applyFill="1" applyBorder="1" applyAlignment="1">
      <alignment horizontal="center"/>
    </xf>
    <xf numFmtId="0" fontId="28" fillId="16" borderId="10" xfId="0" applyFont="1" applyFill="1" applyBorder="1" applyAlignment="1">
      <alignment horizontal="center"/>
    </xf>
    <xf numFmtId="0" fontId="28" fillId="16" borderId="11" xfId="0" applyFont="1" applyFill="1" applyBorder="1" applyAlignment="1">
      <alignment horizontal="center"/>
    </xf>
    <xf numFmtId="0" fontId="22" fillId="15" borderId="1" xfId="0" applyFont="1" applyFill="1" applyBorder="1" applyAlignment="1">
      <alignment horizontal="center" vertical="center" wrapText="1"/>
    </xf>
    <xf numFmtId="0" fontId="22" fillId="15" borderId="1" xfId="0" applyFont="1" applyFill="1" applyBorder="1" applyAlignment="1">
      <alignment horizontal="center" vertical="center"/>
    </xf>
    <xf numFmtId="0" fontId="20" fillId="0" borderId="0" xfId="30" applyFont="1" applyAlignment="1">
      <alignment horizontal="center"/>
    </xf>
    <xf numFmtId="0" fontId="20" fillId="0" borderId="19" xfId="30" applyFont="1" applyBorder="1" applyAlignment="1">
      <alignment horizontal="center"/>
    </xf>
    <xf numFmtId="0" fontId="27" fillId="15" borderId="1" xfId="0" applyFont="1" applyFill="1" applyBorder="1" applyAlignment="1">
      <alignment horizontal="center" vertical="center"/>
    </xf>
    <xf numFmtId="0" fontId="27" fillId="15" borderId="1" xfId="0" applyFont="1" applyFill="1" applyBorder="1" applyAlignment="1">
      <alignment horizontal="center" vertical="center" wrapText="1"/>
    </xf>
    <xf numFmtId="0" fontId="21" fillId="0" borderId="0" xfId="32" applyAlignment="1">
      <alignment horizontal="center"/>
    </xf>
    <xf numFmtId="0" fontId="2" fillId="0" borderId="0" xfId="30" applyAlignment="1">
      <alignment horizontal="center"/>
    </xf>
    <xf numFmtId="0" fontId="20" fillId="15" borderId="1" xfId="30" applyFont="1" applyFill="1" applyBorder="1" applyAlignment="1">
      <alignment horizontal="center"/>
    </xf>
    <xf numFmtId="0" fontId="28" fillId="0" borderId="19" xfId="0" applyFont="1" applyBorder="1" applyAlignment="1">
      <alignment horizontal="center"/>
    </xf>
    <xf numFmtId="0" fontId="36" fillId="14" borderId="1" xfId="0" applyFont="1" applyFill="1" applyBorder="1" applyAlignment="1">
      <alignment horizontal="center"/>
    </xf>
    <xf numFmtId="0" fontId="21" fillId="0" borderId="0" xfId="32" applyAlignment="1">
      <alignment horizontal="left" vertical="top" wrapText="1"/>
    </xf>
    <xf numFmtId="0" fontId="0" fillId="0" borderId="0" xfId="0" applyAlignment="1">
      <alignment horizontal="center"/>
    </xf>
    <xf numFmtId="0" fontId="25" fillId="0" borderId="0" xfId="0" applyFont="1" applyAlignment="1">
      <alignment horizontal="left" wrapText="1"/>
    </xf>
    <xf numFmtId="0" fontId="26" fillId="0" borderId="0" xfId="0" applyFont="1" applyAlignment="1">
      <alignment horizontal="center" wrapText="1"/>
    </xf>
    <xf numFmtId="0" fontId="26" fillId="0" borderId="0" xfId="0" applyFont="1" applyAlignment="1">
      <alignment horizontal="center"/>
    </xf>
    <xf numFmtId="0" fontId="15" fillId="6" borderId="25" xfId="7" applyFont="1" applyFill="1" applyBorder="1" applyAlignment="1" applyProtection="1">
      <alignment horizontal="center" vertical="center" wrapText="1"/>
    </xf>
    <xf numFmtId="0" fontId="15" fillId="6" borderId="11" xfId="7" applyFont="1" applyFill="1" applyBorder="1" applyAlignment="1" applyProtection="1">
      <alignment horizontal="center" vertical="center" wrapText="1"/>
    </xf>
    <xf numFmtId="0" fontId="15" fillId="6" borderId="22" xfId="0" applyFont="1" applyFill="1" applyBorder="1" applyAlignment="1" applyProtection="1">
      <alignment horizontal="center"/>
      <protection locked="0"/>
    </xf>
    <xf numFmtId="0" fontId="0" fillId="0" borderId="3"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2" fillId="0" borderId="13" xfId="0" applyFont="1" applyBorder="1" applyAlignment="1" applyProtection="1">
      <alignment horizontal="center"/>
      <protection locked="0"/>
    </xf>
    <xf numFmtId="0" fontId="12" fillId="0" borderId="14" xfId="0" applyFont="1" applyBorder="1" applyAlignment="1" applyProtection="1">
      <alignment horizontal="center"/>
      <protection locked="0"/>
    </xf>
    <xf numFmtId="0" fontId="12" fillId="0" borderId="15" xfId="0" applyFont="1" applyBorder="1" applyAlignment="1" applyProtection="1">
      <alignment horizontal="center"/>
      <protection locked="0"/>
    </xf>
    <xf numFmtId="0" fontId="12" fillId="0" borderId="1" xfId="0" applyFont="1" applyBorder="1" applyAlignment="1" applyProtection="1">
      <alignment horizontal="center"/>
      <protection locked="0"/>
    </xf>
    <xf numFmtId="0" fontId="13" fillId="0" borderId="14" xfId="27" applyFont="1" applyBorder="1" applyAlignment="1">
      <alignment horizontal="center" vertical="center"/>
    </xf>
    <xf numFmtId="0" fontId="13" fillId="0" borderId="1" xfId="27" applyFont="1" applyBorder="1" applyAlignment="1">
      <alignment horizontal="center" vertical="center"/>
    </xf>
    <xf numFmtId="0" fontId="14" fillId="6" borderId="16" xfId="7" applyFont="1" applyFill="1" applyBorder="1" applyAlignment="1" applyProtection="1">
      <alignment horizontal="center" vertical="center"/>
    </xf>
    <xf numFmtId="0" fontId="14" fillId="6" borderId="10" xfId="7" applyFont="1" applyFill="1" applyBorder="1" applyAlignment="1" applyProtection="1">
      <alignment horizontal="center" vertical="center"/>
    </xf>
    <xf numFmtId="0" fontId="14" fillId="6" borderId="11" xfId="7" applyFont="1" applyFill="1" applyBorder="1" applyAlignment="1" applyProtection="1">
      <alignment horizontal="center" vertical="center"/>
    </xf>
    <xf numFmtId="0" fontId="15" fillId="6" borderId="16" xfId="7" applyFont="1" applyFill="1" applyBorder="1" applyAlignment="1" applyProtection="1">
      <alignment horizontal="center" vertical="center"/>
    </xf>
    <xf numFmtId="0" fontId="15" fillId="6" borderId="10" xfId="7" applyFont="1" applyFill="1" applyBorder="1" applyAlignment="1" applyProtection="1">
      <alignment horizontal="center" vertical="center"/>
    </xf>
    <xf numFmtId="0" fontId="15" fillId="6" borderId="11" xfId="7" applyFont="1" applyFill="1" applyBorder="1" applyAlignment="1" applyProtection="1">
      <alignment horizontal="center" vertical="center"/>
    </xf>
    <xf numFmtId="0" fontId="15" fillId="6" borderId="1" xfId="7" applyFont="1" applyFill="1" applyAlignment="1" applyProtection="1">
      <alignment horizontal="center" vertical="center" wrapText="1"/>
    </xf>
    <xf numFmtId="0" fontId="15" fillId="6" borderId="1" xfId="7" applyFont="1" applyFill="1" applyAlignment="1" applyProtection="1">
      <alignment horizontal="center" vertical="center"/>
    </xf>
    <xf numFmtId="0" fontId="15" fillId="8" borderId="1" xfId="7" applyFont="1" applyFill="1" applyAlignment="1" applyProtection="1">
      <alignment horizontal="center" vertical="center" wrapText="1"/>
    </xf>
    <xf numFmtId="0" fontId="0" fillId="0" borderId="1" xfId="0" applyBorder="1" applyAlignment="1">
      <alignment horizontal="center"/>
    </xf>
    <xf numFmtId="0" fontId="11" fillId="2" borderId="1" xfId="7" applyFont="1" applyAlignment="1" applyProtection="1">
      <alignment horizontal="center" vertical="center" wrapText="1"/>
    </xf>
    <xf numFmtId="0" fontId="28" fillId="0" borderId="0" xfId="0" applyFont="1" applyBorder="1" applyAlignment="1">
      <alignment horizontal="center"/>
    </xf>
    <xf numFmtId="0" fontId="27" fillId="15" borderId="11" xfId="0" applyFont="1" applyFill="1" applyBorder="1" applyAlignment="1">
      <alignment horizontal="center" vertical="center" wrapText="1"/>
    </xf>
    <xf numFmtId="10" fontId="0" fillId="0" borderId="11" xfId="0" applyNumberFormat="1" applyBorder="1"/>
    <xf numFmtId="10" fontId="0" fillId="15" borderId="11" xfId="29" applyNumberFormat="1" applyFont="1" applyFill="1" applyBorder="1"/>
    <xf numFmtId="169" fontId="0" fillId="0" borderId="0" xfId="29" applyNumberFormat="1" applyFont="1" applyAlignment="1">
      <alignment horizontal="center"/>
    </xf>
    <xf numFmtId="167" fontId="0" fillId="17" borderId="1" xfId="0" applyNumberFormat="1" applyFill="1" applyBorder="1" applyAlignment="1">
      <alignment vertical="center"/>
    </xf>
  </cellXfs>
  <cellStyles count="33">
    <cellStyle name="BodyStyle" xfId="14" xr:uid="{00000000-0005-0000-0000-000000000000}"/>
    <cellStyle name="BodyStyleBold" xfId="15" xr:uid="{00000000-0005-0000-0000-000001000000}"/>
    <cellStyle name="BodyStyleBoldRight" xfId="16" xr:uid="{00000000-0005-0000-0000-000002000000}"/>
    <cellStyle name="BodyStyleWithBorder" xfId="22" xr:uid="{00000000-0005-0000-0000-000003000000}"/>
    <cellStyle name="BorderThinBlack" xfId="26" xr:uid="{00000000-0005-0000-0000-000004000000}"/>
    <cellStyle name="Comma" xfId="5" xr:uid="{00000000-0005-0000-0000-000005000000}"/>
    <cellStyle name="Comma [0]" xfId="6" xr:uid="{00000000-0005-0000-0000-000006000000}"/>
    <cellStyle name="Currency" xfId="3" xr:uid="{00000000-0005-0000-0000-000007000000}"/>
    <cellStyle name="Currency [0]" xfId="4" xr:uid="{00000000-0005-0000-0000-000008000000}"/>
    <cellStyle name="DateStyle" xfId="18" xr:uid="{00000000-0005-0000-0000-000009000000}"/>
    <cellStyle name="DateTimeStyle" xfId="19" xr:uid="{00000000-0005-0000-0000-00000A000000}"/>
    <cellStyle name="Decimal" xfId="21" xr:uid="{00000000-0005-0000-0000-00000B000000}"/>
    <cellStyle name="DecimalWithBorder" xfId="25" xr:uid="{00000000-0005-0000-0000-00000C000000}"/>
    <cellStyle name="EuroCurrency" xfId="17" xr:uid="{00000000-0005-0000-0000-00000D000000}"/>
    <cellStyle name="EuroCurrencyWithBorder" xfId="23" xr:uid="{00000000-0005-0000-0000-00000E000000}"/>
    <cellStyle name="HeaderStyle" xfId="8" xr:uid="{00000000-0005-0000-0000-00000F000000}"/>
    <cellStyle name="HeaderSubTop" xfId="12" xr:uid="{00000000-0005-0000-0000-000010000000}"/>
    <cellStyle name="HeaderSubTopNoBold" xfId="13" xr:uid="{00000000-0005-0000-0000-000011000000}"/>
    <cellStyle name="HeaderTopBuyer" xfId="9" xr:uid="{00000000-0005-0000-0000-000012000000}"/>
    <cellStyle name="HeaderTopStyle" xfId="10" xr:uid="{00000000-0005-0000-0000-000013000000}"/>
    <cellStyle name="HeaderTopStyleAlignRight" xfId="11" xr:uid="{00000000-0005-0000-0000-000014000000}"/>
    <cellStyle name="Hipervínculo" xfId="32" builtinId="8"/>
    <cellStyle name="MainTitle" xfId="7" xr:uid="{00000000-0005-0000-0000-000015000000}"/>
    <cellStyle name="Moneda [0]" xfId="1" builtinId="7"/>
    <cellStyle name="Moneda [0] 2" xfId="28" xr:uid="{00000000-0005-0000-0000-000017000000}"/>
    <cellStyle name="Normal" xfId="0" builtinId="0"/>
    <cellStyle name="Normal 2" xfId="27" xr:uid="{00000000-0005-0000-0000-000019000000}"/>
    <cellStyle name="Normal 3" xfId="30" xr:uid="{D768DB10-C02F-4FB5-B0E5-49B3F4685253}"/>
    <cellStyle name="Numeric" xfId="20" xr:uid="{00000000-0005-0000-0000-00001A000000}"/>
    <cellStyle name="NumericWithBorder" xfId="24" xr:uid="{00000000-0005-0000-0000-00001B000000}"/>
    <cellStyle name="Percent" xfId="2" xr:uid="{00000000-0005-0000-0000-00001C000000}"/>
    <cellStyle name="Porcentaje" xfId="29" builtinId="5"/>
    <cellStyle name="Porcentaje 2" xfId="31" xr:uid="{53CAEB84-EEA7-4528-89ED-AAA488C14C4E}"/>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13.png"/></Relationships>
</file>

<file path=xl/drawings/_rels/drawing5.xml.rels><?xml version="1.0" encoding="UTF-8" standalone="yes"?>
<Relationships xmlns="http://schemas.openxmlformats.org/package/2006/relationships"><Relationship Id="rId8" Type="http://schemas.openxmlformats.org/officeDocument/2006/relationships/image" Target="../media/image21.png"/><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png"/><Relationship Id="rId1" Type="http://schemas.openxmlformats.org/officeDocument/2006/relationships/image" Target="../media/image14.png"/><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 Id="rId9"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10</xdr:col>
      <xdr:colOff>143106</xdr:colOff>
      <xdr:row>16</xdr:row>
      <xdr:rowOff>137160</xdr:rowOff>
    </xdr:from>
    <xdr:to>
      <xdr:col>17</xdr:col>
      <xdr:colOff>203421</xdr:colOff>
      <xdr:row>38</xdr:row>
      <xdr:rowOff>28036</xdr:rowOff>
    </xdr:to>
    <xdr:pic>
      <xdr:nvPicPr>
        <xdr:cNvPr id="2" name="Imagen 1">
          <a:extLst>
            <a:ext uri="{FF2B5EF4-FFF2-40B4-BE49-F238E27FC236}">
              <a16:creationId xmlns:a16="http://schemas.microsoft.com/office/drawing/2014/main" id="{F109C3DE-4BD6-8930-2E4E-037915A654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9630006" y="4069080"/>
          <a:ext cx="5607675" cy="4196176"/>
        </a:xfrm>
        <a:prstGeom prst="rect">
          <a:avLst/>
        </a:prstGeom>
      </xdr:spPr>
    </xdr:pic>
    <xdr:clientData/>
  </xdr:twoCellAnchor>
  <xdr:twoCellAnchor editAs="oneCell">
    <xdr:from>
      <xdr:col>0</xdr:col>
      <xdr:colOff>175260</xdr:colOff>
      <xdr:row>79</xdr:row>
      <xdr:rowOff>144780</xdr:rowOff>
    </xdr:from>
    <xdr:to>
      <xdr:col>6</xdr:col>
      <xdr:colOff>724440</xdr:colOff>
      <xdr:row>119</xdr:row>
      <xdr:rowOff>46278</xdr:rowOff>
    </xdr:to>
    <xdr:pic>
      <xdr:nvPicPr>
        <xdr:cNvPr id="3" name="Imagen 2">
          <a:extLst>
            <a:ext uri="{FF2B5EF4-FFF2-40B4-BE49-F238E27FC236}">
              <a16:creationId xmlns:a16="http://schemas.microsoft.com/office/drawing/2014/main" id="{F4021680-0D10-C174-960F-523242CFA026}"/>
            </a:ext>
          </a:extLst>
        </xdr:cNvPr>
        <xdr:cNvPicPr>
          <a:picLocks noChangeAspect="1"/>
        </xdr:cNvPicPr>
      </xdr:nvPicPr>
      <xdr:blipFill>
        <a:blip xmlns:r="http://schemas.openxmlformats.org/officeDocument/2006/relationships" r:embed="rId2"/>
        <a:stretch>
          <a:fillRect/>
        </a:stretch>
      </xdr:blipFill>
      <xdr:spPr>
        <a:xfrm>
          <a:off x="175260" y="9646920"/>
          <a:ext cx="6226080" cy="64394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411481</xdr:colOff>
      <xdr:row>3</xdr:row>
      <xdr:rowOff>133656</xdr:rowOff>
    </xdr:from>
    <xdr:to>
      <xdr:col>9</xdr:col>
      <xdr:colOff>599947</xdr:colOff>
      <xdr:row>27</xdr:row>
      <xdr:rowOff>3504</xdr:rowOff>
    </xdr:to>
    <xdr:pic>
      <xdr:nvPicPr>
        <xdr:cNvPr id="2" name="Imagen 1">
          <a:extLst>
            <a:ext uri="{FF2B5EF4-FFF2-40B4-BE49-F238E27FC236}">
              <a16:creationId xmlns:a16="http://schemas.microsoft.com/office/drawing/2014/main" id="{10B8AC71-F9C3-84CB-A7F0-135C18885B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609601" y="1124256"/>
          <a:ext cx="6528306" cy="3893208"/>
        </a:xfrm>
        <a:prstGeom prst="rect">
          <a:avLst/>
        </a:prstGeom>
      </xdr:spPr>
    </xdr:pic>
    <xdr:clientData/>
  </xdr:twoCellAnchor>
  <xdr:twoCellAnchor editAs="oneCell">
    <xdr:from>
      <xdr:col>1</xdr:col>
      <xdr:colOff>120818</xdr:colOff>
      <xdr:row>31</xdr:row>
      <xdr:rowOff>113326</xdr:rowOff>
    </xdr:from>
    <xdr:to>
      <xdr:col>9</xdr:col>
      <xdr:colOff>679282</xdr:colOff>
      <xdr:row>56</xdr:row>
      <xdr:rowOff>50816</xdr:rowOff>
    </xdr:to>
    <xdr:pic>
      <xdr:nvPicPr>
        <xdr:cNvPr id="3" name="Imagen 2">
          <a:extLst>
            <a:ext uri="{FF2B5EF4-FFF2-40B4-BE49-F238E27FC236}">
              <a16:creationId xmlns:a16="http://schemas.microsoft.com/office/drawing/2014/main" id="{A17CAF34-3B87-21FD-CF3D-D3D8DB2F95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18938" y="6514126"/>
          <a:ext cx="6898304" cy="41284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121920</xdr:colOff>
      <xdr:row>2</xdr:row>
      <xdr:rowOff>182880</xdr:rowOff>
    </xdr:from>
    <xdr:to>
      <xdr:col>12</xdr:col>
      <xdr:colOff>5407007</xdr:colOff>
      <xdr:row>2</xdr:row>
      <xdr:rowOff>2590800</xdr:rowOff>
    </xdr:to>
    <xdr:pic>
      <xdr:nvPicPr>
        <xdr:cNvPr id="2" name="Imagen 1">
          <a:extLst>
            <a:ext uri="{FF2B5EF4-FFF2-40B4-BE49-F238E27FC236}">
              <a16:creationId xmlns:a16="http://schemas.microsoft.com/office/drawing/2014/main" id="{9C8F77F2-0DC6-8445-37AE-33F2FC4289E3}"/>
            </a:ext>
          </a:extLst>
        </xdr:cNvPr>
        <xdr:cNvPicPr>
          <a:picLocks noChangeAspect="1"/>
        </xdr:cNvPicPr>
      </xdr:nvPicPr>
      <xdr:blipFill>
        <a:blip xmlns:r="http://schemas.openxmlformats.org/officeDocument/2006/relationships" r:embed="rId1"/>
        <a:stretch>
          <a:fillRect/>
        </a:stretch>
      </xdr:blipFill>
      <xdr:spPr>
        <a:xfrm>
          <a:off x="27226260" y="518160"/>
          <a:ext cx="5285087" cy="2407920"/>
        </a:xfrm>
        <a:prstGeom prst="rect">
          <a:avLst/>
        </a:prstGeom>
      </xdr:spPr>
    </xdr:pic>
    <xdr:clientData/>
  </xdr:twoCellAnchor>
  <xdr:twoCellAnchor editAs="oneCell">
    <xdr:from>
      <xdr:col>12</xdr:col>
      <xdr:colOff>190500</xdr:colOff>
      <xdr:row>3</xdr:row>
      <xdr:rowOff>191031</xdr:rowOff>
    </xdr:from>
    <xdr:to>
      <xdr:col>12</xdr:col>
      <xdr:colOff>5373683</xdr:colOff>
      <xdr:row>3</xdr:row>
      <xdr:rowOff>2576289</xdr:rowOff>
    </xdr:to>
    <xdr:pic>
      <xdr:nvPicPr>
        <xdr:cNvPr id="3" name="Imagen 2">
          <a:extLst>
            <a:ext uri="{FF2B5EF4-FFF2-40B4-BE49-F238E27FC236}">
              <a16:creationId xmlns:a16="http://schemas.microsoft.com/office/drawing/2014/main" id="{F6C6378F-4928-C225-CBB3-EA1EA2D44143}"/>
            </a:ext>
          </a:extLst>
        </xdr:cNvPr>
        <xdr:cNvPicPr>
          <a:picLocks noChangeAspect="1"/>
        </xdr:cNvPicPr>
      </xdr:nvPicPr>
      <xdr:blipFill>
        <a:blip xmlns:r="http://schemas.openxmlformats.org/officeDocument/2006/relationships" r:embed="rId2"/>
        <a:stretch>
          <a:fillRect/>
        </a:stretch>
      </xdr:blipFill>
      <xdr:spPr>
        <a:xfrm>
          <a:off x="27294840" y="3460011"/>
          <a:ext cx="5183183" cy="2385258"/>
        </a:xfrm>
        <a:prstGeom prst="rect">
          <a:avLst/>
        </a:prstGeom>
      </xdr:spPr>
    </xdr:pic>
    <xdr:clientData/>
  </xdr:twoCellAnchor>
  <xdr:twoCellAnchor editAs="oneCell">
    <xdr:from>
      <xdr:col>9</xdr:col>
      <xdr:colOff>83820</xdr:colOff>
      <xdr:row>2</xdr:row>
      <xdr:rowOff>204682</xdr:rowOff>
    </xdr:from>
    <xdr:to>
      <xdr:col>9</xdr:col>
      <xdr:colOff>5396544</xdr:colOff>
      <xdr:row>2</xdr:row>
      <xdr:rowOff>2629623</xdr:rowOff>
    </xdr:to>
    <xdr:pic>
      <xdr:nvPicPr>
        <xdr:cNvPr id="4" name="Imagen 3">
          <a:extLst>
            <a:ext uri="{FF2B5EF4-FFF2-40B4-BE49-F238E27FC236}">
              <a16:creationId xmlns:a16="http://schemas.microsoft.com/office/drawing/2014/main" id="{6BC41569-FB93-F9E7-9B27-3C707A5B4F6A}"/>
            </a:ext>
          </a:extLst>
        </xdr:cNvPr>
        <xdr:cNvPicPr>
          <a:picLocks noChangeAspect="1"/>
        </xdr:cNvPicPr>
      </xdr:nvPicPr>
      <xdr:blipFill>
        <a:blip xmlns:r="http://schemas.openxmlformats.org/officeDocument/2006/relationships" r:embed="rId3"/>
        <a:stretch>
          <a:fillRect/>
        </a:stretch>
      </xdr:blipFill>
      <xdr:spPr>
        <a:xfrm>
          <a:off x="18935700" y="539962"/>
          <a:ext cx="5312724" cy="2424941"/>
        </a:xfrm>
        <a:prstGeom prst="rect">
          <a:avLst/>
        </a:prstGeom>
      </xdr:spPr>
    </xdr:pic>
    <xdr:clientData/>
  </xdr:twoCellAnchor>
  <xdr:twoCellAnchor editAs="oneCell">
    <xdr:from>
      <xdr:col>9</xdr:col>
      <xdr:colOff>304800</xdr:colOff>
      <xdr:row>3</xdr:row>
      <xdr:rowOff>226147</xdr:rowOff>
    </xdr:from>
    <xdr:to>
      <xdr:col>9</xdr:col>
      <xdr:colOff>5228904</xdr:colOff>
      <xdr:row>3</xdr:row>
      <xdr:rowOff>2469601</xdr:rowOff>
    </xdr:to>
    <xdr:pic>
      <xdr:nvPicPr>
        <xdr:cNvPr id="5" name="Imagen 4">
          <a:extLst>
            <a:ext uri="{FF2B5EF4-FFF2-40B4-BE49-F238E27FC236}">
              <a16:creationId xmlns:a16="http://schemas.microsoft.com/office/drawing/2014/main" id="{E7288399-CFE1-B705-0F1F-D08C41740C20}"/>
            </a:ext>
          </a:extLst>
        </xdr:cNvPr>
        <xdr:cNvPicPr>
          <a:picLocks noChangeAspect="1"/>
        </xdr:cNvPicPr>
      </xdr:nvPicPr>
      <xdr:blipFill>
        <a:blip xmlns:r="http://schemas.openxmlformats.org/officeDocument/2006/relationships" r:embed="rId4"/>
        <a:stretch>
          <a:fillRect/>
        </a:stretch>
      </xdr:blipFill>
      <xdr:spPr>
        <a:xfrm>
          <a:off x="19156680" y="3495127"/>
          <a:ext cx="4924104" cy="2243454"/>
        </a:xfrm>
        <a:prstGeom prst="rect">
          <a:avLst/>
        </a:prstGeom>
      </xdr:spPr>
    </xdr:pic>
    <xdr:clientData/>
  </xdr:twoCellAnchor>
  <xdr:twoCellAnchor editAs="oneCell">
    <xdr:from>
      <xdr:col>6</xdr:col>
      <xdr:colOff>104512</xdr:colOff>
      <xdr:row>2</xdr:row>
      <xdr:rowOff>220980</xdr:rowOff>
    </xdr:from>
    <xdr:to>
      <xdr:col>6</xdr:col>
      <xdr:colOff>5321418</xdr:colOff>
      <xdr:row>2</xdr:row>
      <xdr:rowOff>2682240</xdr:rowOff>
    </xdr:to>
    <xdr:pic>
      <xdr:nvPicPr>
        <xdr:cNvPr id="6" name="Imagen 5">
          <a:extLst>
            <a:ext uri="{FF2B5EF4-FFF2-40B4-BE49-F238E27FC236}">
              <a16:creationId xmlns:a16="http://schemas.microsoft.com/office/drawing/2014/main" id="{7E82F356-ABE4-FCAA-934A-0BB8C67C0656}"/>
            </a:ext>
          </a:extLst>
        </xdr:cNvPr>
        <xdr:cNvPicPr>
          <a:picLocks noChangeAspect="1"/>
        </xdr:cNvPicPr>
      </xdr:nvPicPr>
      <xdr:blipFill>
        <a:blip xmlns:r="http://schemas.openxmlformats.org/officeDocument/2006/relationships" r:embed="rId5"/>
        <a:stretch>
          <a:fillRect/>
        </a:stretch>
      </xdr:blipFill>
      <xdr:spPr>
        <a:xfrm>
          <a:off x="10460092" y="556260"/>
          <a:ext cx="5216906" cy="2461260"/>
        </a:xfrm>
        <a:prstGeom prst="rect">
          <a:avLst/>
        </a:prstGeom>
      </xdr:spPr>
    </xdr:pic>
    <xdr:clientData/>
  </xdr:twoCellAnchor>
  <xdr:twoCellAnchor editAs="oneCell">
    <xdr:from>
      <xdr:col>6</xdr:col>
      <xdr:colOff>160375</xdr:colOff>
      <xdr:row>3</xdr:row>
      <xdr:rowOff>236220</xdr:rowOff>
    </xdr:from>
    <xdr:to>
      <xdr:col>6</xdr:col>
      <xdr:colOff>5283538</xdr:colOff>
      <xdr:row>3</xdr:row>
      <xdr:rowOff>2583180</xdr:rowOff>
    </xdr:to>
    <xdr:pic>
      <xdr:nvPicPr>
        <xdr:cNvPr id="7" name="Imagen 6">
          <a:extLst>
            <a:ext uri="{FF2B5EF4-FFF2-40B4-BE49-F238E27FC236}">
              <a16:creationId xmlns:a16="http://schemas.microsoft.com/office/drawing/2014/main" id="{1EEA2829-04E6-E903-9610-CD59C64045C6}"/>
            </a:ext>
          </a:extLst>
        </xdr:cNvPr>
        <xdr:cNvPicPr>
          <a:picLocks noChangeAspect="1"/>
        </xdr:cNvPicPr>
      </xdr:nvPicPr>
      <xdr:blipFill>
        <a:blip xmlns:r="http://schemas.openxmlformats.org/officeDocument/2006/relationships" r:embed="rId6"/>
        <a:stretch>
          <a:fillRect/>
        </a:stretch>
      </xdr:blipFill>
      <xdr:spPr>
        <a:xfrm>
          <a:off x="10515955" y="3505200"/>
          <a:ext cx="5123163" cy="2346960"/>
        </a:xfrm>
        <a:prstGeom prst="rect">
          <a:avLst/>
        </a:prstGeom>
      </xdr:spPr>
    </xdr:pic>
    <xdr:clientData/>
  </xdr:twoCellAnchor>
  <xdr:twoCellAnchor editAs="oneCell">
    <xdr:from>
      <xdr:col>3</xdr:col>
      <xdr:colOff>72810</xdr:colOff>
      <xdr:row>2</xdr:row>
      <xdr:rowOff>91440</xdr:rowOff>
    </xdr:from>
    <xdr:to>
      <xdr:col>3</xdr:col>
      <xdr:colOff>5272004</xdr:colOff>
      <xdr:row>2</xdr:row>
      <xdr:rowOff>2751621</xdr:rowOff>
    </xdr:to>
    <xdr:pic>
      <xdr:nvPicPr>
        <xdr:cNvPr id="8" name="Imagen 7">
          <a:extLst>
            <a:ext uri="{FF2B5EF4-FFF2-40B4-BE49-F238E27FC236}">
              <a16:creationId xmlns:a16="http://schemas.microsoft.com/office/drawing/2014/main" id="{423BF823-6FA0-20C8-DC34-A5EE24975B0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2800770" y="426720"/>
          <a:ext cx="5199194" cy="2660181"/>
        </a:xfrm>
        <a:prstGeom prst="rect">
          <a:avLst/>
        </a:prstGeom>
      </xdr:spPr>
    </xdr:pic>
    <xdr:clientData/>
  </xdr:twoCellAnchor>
  <xdr:twoCellAnchor editAs="oneCell">
    <xdr:from>
      <xdr:col>3</xdr:col>
      <xdr:colOff>160020</xdr:colOff>
      <xdr:row>3</xdr:row>
      <xdr:rowOff>258903</xdr:rowOff>
    </xdr:from>
    <xdr:to>
      <xdr:col>3</xdr:col>
      <xdr:colOff>5308145</xdr:colOff>
      <xdr:row>3</xdr:row>
      <xdr:rowOff>2567941</xdr:rowOff>
    </xdr:to>
    <xdr:pic>
      <xdr:nvPicPr>
        <xdr:cNvPr id="9" name="Imagen 8">
          <a:extLst>
            <a:ext uri="{FF2B5EF4-FFF2-40B4-BE49-F238E27FC236}">
              <a16:creationId xmlns:a16="http://schemas.microsoft.com/office/drawing/2014/main" id="{9549BC0A-47B3-337F-CF8F-5A0961C22ED9}"/>
            </a:ext>
          </a:extLst>
        </xdr:cNvPr>
        <xdr:cNvPicPr>
          <a:picLocks noChangeAspect="1"/>
        </xdr:cNvPicPr>
      </xdr:nvPicPr>
      <xdr:blipFill>
        <a:blip xmlns:r="http://schemas.openxmlformats.org/officeDocument/2006/relationships" r:embed="rId8"/>
        <a:stretch>
          <a:fillRect/>
        </a:stretch>
      </xdr:blipFill>
      <xdr:spPr>
        <a:xfrm>
          <a:off x="2887980" y="3527883"/>
          <a:ext cx="5148125" cy="23090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760990</xdr:colOff>
      <xdr:row>0</xdr:row>
      <xdr:rowOff>12331</xdr:rowOff>
    </xdr:from>
    <xdr:to>
      <xdr:col>11</xdr:col>
      <xdr:colOff>1199448</xdr:colOff>
      <xdr:row>2</xdr:row>
      <xdr:rowOff>61330</xdr:rowOff>
    </xdr:to>
    <xdr:pic>
      <xdr:nvPicPr>
        <xdr:cNvPr id="2" name="image1.png">
          <a:extLst>
            <a:ext uri="{FF2B5EF4-FFF2-40B4-BE49-F238E27FC236}">
              <a16:creationId xmlns:a16="http://schemas.microsoft.com/office/drawing/2014/main" id="{C43C0315-D161-489D-8E8A-BA3A82A5E295}"/>
            </a:ext>
          </a:extLst>
        </xdr:cNvPr>
        <xdr:cNvPicPr/>
      </xdr:nvPicPr>
      <xdr:blipFill rotWithShape="1">
        <a:blip xmlns:r="http://schemas.openxmlformats.org/officeDocument/2006/relationships" r:embed="rId1"/>
        <a:srcRect l="67741" t="2807" r="11869" b="91123"/>
        <a:stretch/>
      </xdr:blipFill>
      <xdr:spPr bwMode="auto">
        <a:xfrm>
          <a:off x="12244330" y="12331"/>
          <a:ext cx="1848158" cy="955779"/>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226786</xdr:colOff>
      <xdr:row>0</xdr:row>
      <xdr:rowOff>0</xdr:rowOff>
    </xdr:from>
    <xdr:to>
      <xdr:col>2</xdr:col>
      <xdr:colOff>589649</xdr:colOff>
      <xdr:row>2</xdr:row>
      <xdr:rowOff>48999</xdr:rowOff>
    </xdr:to>
    <xdr:pic>
      <xdr:nvPicPr>
        <xdr:cNvPr id="3" name="image1.png">
          <a:extLst>
            <a:ext uri="{FF2B5EF4-FFF2-40B4-BE49-F238E27FC236}">
              <a16:creationId xmlns:a16="http://schemas.microsoft.com/office/drawing/2014/main" id="{7A820C0F-29CA-451D-9A34-C86D97B98E9E}"/>
            </a:ext>
          </a:extLst>
        </xdr:cNvPr>
        <xdr:cNvPicPr/>
      </xdr:nvPicPr>
      <xdr:blipFill rotWithShape="1">
        <a:blip xmlns:r="http://schemas.openxmlformats.org/officeDocument/2006/relationships" r:embed="rId1"/>
        <a:srcRect l="67741" t="2807" r="11869" b="91123"/>
        <a:stretch/>
      </xdr:blipFill>
      <xdr:spPr bwMode="auto">
        <a:xfrm>
          <a:off x="226786" y="0"/>
          <a:ext cx="1856383" cy="955779"/>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5</xdr:col>
      <xdr:colOff>19051</xdr:colOff>
      <xdr:row>6</xdr:row>
      <xdr:rowOff>100585</xdr:rowOff>
    </xdr:to>
    <xdr:pic>
      <xdr:nvPicPr>
        <xdr:cNvPr id="2" name="Imagen 1">
          <a:extLst>
            <a:ext uri="{FF2B5EF4-FFF2-40B4-BE49-F238E27FC236}">
              <a16:creationId xmlns:a16="http://schemas.microsoft.com/office/drawing/2014/main" id="{DE489042-E2A6-622B-576C-109C9767D636}"/>
            </a:ext>
          </a:extLst>
        </xdr:cNvPr>
        <xdr:cNvPicPr>
          <a:picLocks noChangeAspect="1"/>
        </xdr:cNvPicPr>
      </xdr:nvPicPr>
      <xdr:blipFill>
        <a:blip xmlns:r="http://schemas.openxmlformats.org/officeDocument/2006/relationships" r:embed="rId1"/>
        <a:stretch>
          <a:fillRect/>
        </a:stretch>
      </xdr:blipFill>
      <xdr:spPr>
        <a:xfrm>
          <a:off x="1" y="1"/>
          <a:ext cx="3829050" cy="1072134"/>
        </a:xfrm>
        <a:prstGeom prst="rect">
          <a:avLst/>
        </a:prstGeom>
      </xdr:spPr>
    </xdr:pic>
    <xdr:clientData/>
  </xdr:twoCellAnchor>
  <xdr:twoCellAnchor editAs="oneCell">
    <xdr:from>
      <xdr:col>0</xdr:col>
      <xdr:colOff>0</xdr:colOff>
      <xdr:row>7</xdr:row>
      <xdr:rowOff>1</xdr:rowOff>
    </xdr:from>
    <xdr:to>
      <xdr:col>5</xdr:col>
      <xdr:colOff>9525</xdr:colOff>
      <xdr:row>13</xdr:row>
      <xdr:rowOff>122721</xdr:rowOff>
    </xdr:to>
    <xdr:pic>
      <xdr:nvPicPr>
        <xdr:cNvPr id="3" name="Imagen 2">
          <a:extLst>
            <a:ext uri="{FF2B5EF4-FFF2-40B4-BE49-F238E27FC236}">
              <a16:creationId xmlns:a16="http://schemas.microsoft.com/office/drawing/2014/main" id="{BEC3DD40-C7E8-97B6-1CCD-CB4C808731DD}"/>
            </a:ext>
          </a:extLst>
        </xdr:cNvPr>
        <xdr:cNvPicPr>
          <a:picLocks noChangeAspect="1"/>
        </xdr:cNvPicPr>
      </xdr:nvPicPr>
      <xdr:blipFill>
        <a:blip xmlns:r="http://schemas.openxmlformats.org/officeDocument/2006/relationships" r:embed="rId2"/>
        <a:stretch>
          <a:fillRect/>
        </a:stretch>
      </xdr:blipFill>
      <xdr:spPr>
        <a:xfrm>
          <a:off x="0" y="1133476"/>
          <a:ext cx="3819525" cy="1094270"/>
        </a:xfrm>
        <a:prstGeom prst="rect">
          <a:avLst/>
        </a:prstGeom>
      </xdr:spPr>
    </xdr:pic>
    <xdr:clientData/>
  </xdr:twoCellAnchor>
  <xdr:twoCellAnchor editAs="oneCell">
    <xdr:from>
      <xdr:col>0</xdr:col>
      <xdr:colOff>0</xdr:colOff>
      <xdr:row>13</xdr:row>
      <xdr:rowOff>123824</xdr:rowOff>
    </xdr:from>
    <xdr:to>
      <xdr:col>5</xdr:col>
      <xdr:colOff>9525</xdr:colOff>
      <xdr:row>22</xdr:row>
      <xdr:rowOff>97960</xdr:rowOff>
    </xdr:to>
    <xdr:pic>
      <xdr:nvPicPr>
        <xdr:cNvPr id="4" name="Imagen 3">
          <a:extLst>
            <a:ext uri="{FF2B5EF4-FFF2-40B4-BE49-F238E27FC236}">
              <a16:creationId xmlns:a16="http://schemas.microsoft.com/office/drawing/2014/main" id="{F38CEE32-AE61-338A-74A5-812AC8C896DC}"/>
            </a:ext>
          </a:extLst>
        </xdr:cNvPr>
        <xdr:cNvPicPr>
          <a:picLocks noChangeAspect="1"/>
        </xdr:cNvPicPr>
      </xdr:nvPicPr>
      <xdr:blipFill>
        <a:blip xmlns:r="http://schemas.openxmlformats.org/officeDocument/2006/relationships" r:embed="rId3"/>
        <a:stretch>
          <a:fillRect/>
        </a:stretch>
      </xdr:blipFill>
      <xdr:spPr>
        <a:xfrm>
          <a:off x="0" y="2228849"/>
          <a:ext cx="3819525" cy="1431461"/>
        </a:xfrm>
        <a:prstGeom prst="rect">
          <a:avLst/>
        </a:prstGeom>
      </xdr:spPr>
    </xdr:pic>
    <xdr:clientData/>
  </xdr:twoCellAnchor>
  <xdr:twoCellAnchor editAs="oneCell">
    <xdr:from>
      <xdr:col>0</xdr:col>
      <xdr:colOff>0</xdr:colOff>
      <xdr:row>22</xdr:row>
      <xdr:rowOff>76200</xdr:rowOff>
    </xdr:from>
    <xdr:to>
      <xdr:col>5</xdr:col>
      <xdr:colOff>9525</xdr:colOff>
      <xdr:row>29</xdr:row>
      <xdr:rowOff>53248</xdr:rowOff>
    </xdr:to>
    <xdr:pic>
      <xdr:nvPicPr>
        <xdr:cNvPr id="5" name="Imagen 4">
          <a:extLst>
            <a:ext uri="{FF2B5EF4-FFF2-40B4-BE49-F238E27FC236}">
              <a16:creationId xmlns:a16="http://schemas.microsoft.com/office/drawing/2014/main" id="{C0860E35-9458-7305-0569-A97A96849CD0}"/>
            </a:ext>
          </a:extLst>
        </xdr:cNvPr>
        <xdr:cNvPicPr>
          <a:picLocks noChangeAspect="1"/>
        </xdr:cNvPicPr>
      </xdr:nvPicPr>
      <xdr:blipFill>
        <a:blip xmlns:r="http://schemas.openxmlformats.org/officeDocument/2006/relationships" r:embed="rId4"/>
        <a:stretch>
          <a:fillRect/>
        </a:stretch>
      </xdr:blipFill>
      <xdr:spPr>
        <a:xfrm>
          <a:off x="0" y="3638550"/>
          <a:ext cx="3819525" cy="1110523"/>
        </a:xfrm>
        <a:prstGeom prst="rect">
          <a:avLst/>
        </a:prstGeom>
      </xdr:spPr>
    </xdr:pic>
    <xdr:clientData/>
  </xdr:twoCellAnchor>
  <xdr:twoCellAnchor editAs="oneCell">
    <xdr:from>
      <xdr:col>0</xdr:col>
      <xdr:colOff>0</xdr:colOff>
      <xdr:row>29</xdr:row>
      <xdr:rowOff>52918</xdr:rowOff>
    </xdr:from>
    <xdr:to>
      <xdr:col>5</xdr:col>
      <xdr:colOff>10583</xdr:colOff>
      <xdr:row>39</xdr:row>
      <xdr:rowOff>143542</xdr:rowOff>
    </xdr:to>
    <xdr:pic>
      <xdr:nvPicPr>
        <xdr:cNvPr id="6" name="Imagen 5">
          <a:extLst>
            <a:ext uri="{FF2B5EF4-FFF2-40B4-BE49-F238E27FC236}">
              <a16:creationId xmlns:a16="http://schemas.microsoft.com/office/drawing/2014/main" id="{BF7B629B-11AF-DF52-F983-5CB3F10E2F6F}"/>
            </a:ext>
          </a:extLst>
        </xdr:cNvPr>
        <xdr:cNvPicPr>
          <a:picLocks noChangeAspect="1"/>
        </xdr:cNvPicPr>
      </xdr:nvPicPr>
      <xdr:blipFill>
        <a:blip xmlns:r="http://schemas.openxmlformats.org/officeDocument/2006/relationships" r:embed="rId5"/>
        <a:stretch>
          <a:fillRect/>
        </a:stretch>
      </xdr:blipFill>
      <xdr:spPr>
        <a:xfrm>
          <a:off x="0" y="4656668"/>
          <a:ext cx="3820583" cy="1678124"/>
        </a:xfrm>
        <a:prstGeom prst="rect">
          <a:avLst/>
        </a:prstGeom>
      </xdr:spPr>
    </xdr:pic>
    <xdr:clientData/>
  </xdr:twoCellAnchor>
  <xdr:twoCellAnchor editAs="oneCell">
    <xdr:from>
      <xdr:col>8</xdr:col>
      <xdr:colOff>0</xdr:colOff>
      <xdr:row>0</xdr:row>
      <xdr:rowOff>0</xdr:rowOff>
    </xdr:from>
    <xdr:to>
      <xdr:col>13</xdr:col>
      <xdr:colOff>179917</xdr:colOff>
      <xdr:row>5</xdr:row>
      <xdr:rowOff>51376</xdr:rowOff>
    </xdr:to>
    <xdr:pic>
      <xdr:nvPicPr>
        <xdr:cNvPr id="8" name="Imagen 7">
          <a:extLst>
            <a:ext uri="{FF2B5EF4-FFF2-40B4-BE49-F238E27FC236}">
              <a16:creationId xmlns:a16="http://schemas.microsoft.com/office/drawing/2014/main" id="{9930EFBC-0492-CCA6-23BA-7A8BD67BE75A}"/>
            </a:ext>
          </a:extLst>
        </xdr:cNvPr>
        <xdr:cNvPicPr>
          <a:picLocks noChangeAspect="1"/>
        </xdr:cNvPicPr>
      </xdr:nvPicPr>
      <xdr:blipFill>
        <a:blip xmlns:r="http://schemas.openxmlformats.org/officeDocument/2006/relationships" r:embed="rId6"/>
        <a:stretch>
          <a:fillRect/>
        </a:stretch>
      </xdr:blipFill>
      <xdr:spPr>
        <a:xfrm>
          <a:off x="6096000" y="0"/>
          <a:ext cx="3989917" cy="845126"/>
        </a:xfrm>
        <a:prstGeom prst="rect">
          <a:avLst/>
        </a:prstGeom>
      </xdr:spPr>
    </xdr:pic>
    <xdr:clientData/>
  </xdr:twoCellAnchor>
  <xdr:twoCellAnchor editAs="oneCell">
    <xdr:from>
      <xdr:col>8</xdr:col>
      <xdr:colOff>10584</xdr:colOff>
      <xdr:row>5</xdr:row>
      <xdr:rowOff>31750</xdr:rowOff>
    </xdr:from>
    <xdr:to>
      <xdr:col>13</xdr:col>
      <xdr:colOff>222250</xdr:colOff>
      <xdr:row>11</xdr:row>
      <xdr:rowOff>75769</xdr:rowOff>
    </xdr:to>
    <xdr:pic>
      <xdr:nvPicPr>
        <xdr:cNvPr id="9" name="Imagen 8">
          <a:extLst>
            <a:ext uri="{FF2B5EF4-FFF2-40B4-BE49-F238E27FC236}">
              <a16:creationId xmlns:a16="http://schemas.microsoft.com/office/drawing/2014/main" id="{1838BCDF-D5F6-A9A1-CB0C-C7E7FA8C7C78}"/>
            </a:ext>
          </a:extLst>
        </xdr:cNvPr>
        <xdr:cNvPicPr>
          <a:picLocks noChangeAspect="1"/>
        </xdr:cNvPicPr>
      </xdr:nvPicPr>
      <xdr:blipFill>
        <a:blip xmlns:r="http://schemas.openxmlformats.org/officeDocument/2006/relationships" r:embed="rId7"/>
        <a:stretch>
          <a:fillRect/>
        </a:stretch>
      </xdr:blipFill>
      <xdr:spPr>
        <a:xfrm>
          <a:off x="6106584" y="825500"/>
          <a:ext cx="4021666" cy="996519"/>
        </a:xfrm>
        <a:prstGeom prst="rect">
          <a:avLst/>
        </a:prstGeom>
      </xdr:spPr>
    </xdr:pic>
    <xdr:clientData/>
  </xdr:twoCellAnchor>
  <xdr:twoCellAnchor editAs="oneCell">
    <xdr:from>
      <xdr:col>8</xdr:col>
      <xdr:colOff>0</xdr:colOff>
      <xdr:row>12</xdr:row>
      <xdr:rowOff>0</xdr:rowOff>
    </xdr:from>
    <xdr:to>
      <xdr:col>12</xdr:col>
      <xdr:colOff>523429</xdr:colOff>
      <xdr:row>17</xdr:row>
      <xdr:rowOff>25298</xdr:rowOff>
    </xdr:to>
    <xdr:pic>
      <xdr:nvPicPr>
        <xdr:cNvPr id="10" name="Imagen 9">
          <a:extLst>
            <a:ext uri="{FF2B5EF4-FFF2-40B4-BE49-F238E27FC236}">
              <a16:creationId xmlns:a16="http://schemas.microsoft.com/office/drawing/2014/main" id="{E5CF0CA1-90C3-C6AB-130C-1F3F1EF20B6E}"/>
            </a:ext>
          </a:extLst>
        </xdr:cNvPr>
        <xdr:cNvPicPr>
          <a:picLocks noChangeAspect="1"/>
        </xdr:cNvPicPr>
      </xdr:nvPicPr>
      <xdr:blipFill>
        <a:blip xmlns:r="http://schemas.openxmlformats.org/officeDocument/2006/relationships" r:embed="rId8"/>
        <a:stretch>
          <a:fillRect/>
        </a:stretch>
      </xdr:blipFill>
      <xdr:spPr>
        <a:xfrm>
          <a:off x="6096000" y="1905000"/>
          <a:ext cx="3571429" cy="819048"/>
        </a:xfrm>
        <a:prstGeom prst="rect">
          <a:avLst/>
        </a:prstGeom>
      </xdr:spPr>
    </xdr:pic>
    <xdr:clientData/>
  </xdr:twoCellAnchor>
  <xdr:twoCellAnchor editAs="oneCell">
    <xdr:from>
      <xdr:col>8</xdr:col>
      <xdr:colOff>0</xdr:colOff>
      <xdr:row>18</xdr:row>
      <xdr:rowOff>1</xdr:rowOff>
    </xdr:from>
    <xdr:to>
      <xdr:col>13</xdr:col>
      <xdr:colOff>169333</xdr:colOff>
      <xdr:row>24</xdr:row>
      <xdr:rowOff>15447</xdr:rowOff>
    </xdr:to>
    <xdr:pic>
      <xdr:nvPicPr>
        <xdr:cNvPr id="11" name="Imagen 10">
          <a:extLst>
            <a:ext uri="{FF2B5EF4-FFF2-40B4-BE49-F238E27FC236}">
              <a16:creationId xmlns:a16="http://schemas.microsoft.com/office/drawing/2014/main" id="{FE895A08-66C1-6BB5-2882-4CD5B0DEA249}"/>
            </a:ext>
          </a:extLst>
        </xdr:cNvPr>
        <xdr:cNvPicPr>
          <a:picLocks noChangeAspect="1"/>
        </xdr:cNvPicPr>
      </xdr:nvPicPr>
      <xdr:blipFill>
        <a:blip xmlns:r="http://schemas.openxmlformats.org/officeDocument/2006/relationships" r:embed="rId9"/>
        <a:stretch>
          <a:fillRect/>
        </a:stretch>
      </xdr:blipFill>
      <xdr:spPr>
        <a:xfrm>
          <a:off x="6096000" y="2857501"/>
          <a:ext cx="3979333" cy="9679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Soportes/6.%20Estudio%20de%20mercado%20Ungia%20-%202025.xlsx" TargetMode="External"/><Relationship Id="rId2" Type="http://schemas.openxmlformats.org/officeDocument/2006/relationships/externalLinkPath" Target="file:///G:\Mi%20unidad\Procesos%202026\01%20-%20Procesos\13%20-%20Combustible%20C358%20-%20Santa%20Maria\Soportes\6.%20Estudio%20de%20mercado%20Ungia%20-%202025.xlsx" TargetMode="External"/><Relationship Id="rId1" Type="http://schemas.openxmlformats.org/officeDocument/2006/relationships/externalLinkPath" Target="/Mi%20unidad/Procesos%202026/01%20-%20Procesos/13%20-%20Combustible%20C358%20-%20Santa%20Maria/Soportes/6.%20Estudio%20de%20mercado%20Ungia%20-%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studio de mercado"/>
      <sheetName val="Resumen"/>
      <sheetName val="Listado de unidades"/>
      <sheetName val="Aceites"/>
    </sheetNames>
    <sheetDataSet>
      <sheetData sheetId="0"/>
      <sheetData sheetId="1"/>
      <sheetData sheetId="2"/>
      <sheetData sheetId="3">
        <row r="27">
          <cell r="O27">
            <v>125400</v>
          </cell>
        </row>
        <row r="41">
          <cell r="G41">
            <v>171980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dane.gov.co/files/operaciones/IPC/feb2026/bol-IPC-feb2026.pdf" TargetMode="External"/><Relationship Id="rId1" Type="http://schemas.openxmlformats.org/officeDocument/2006/relationships/hyperlink" Target="https://app.powerbi.com/view?r=eyJrIjoiYmY4ODk2OGYtNmMwOC00ODQzLWEzM2MtNjM4ODg0Y2VmNWQ2IiwidCI6ImM5ODBlNDEwLTBiNWMtNDhiYy1iZDFhLThiOTFjYWJjODRiYyIsImMiOjR9"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hyperlink" Target="https://motoborda.com/inicio/343-galon-de-lubricante-4t-20w50-motoborda.html?srsltid=AfmBOoo3I58Tat9lX3K-duejVlgMAFMYNQHZDMLOvnvHy1o8-vcIlXd3tRI" TargetMode="External"/><Relationship Id="rId3" Type="http://schemas.openxmlformats.org/officeDocument/2006/relationships/hyperlink" Target="https://ferricentro.com/aceite-2t-galon-ff-0000008737?srsltid=AfmBOorBkbGp2FHo1V3rvvQbg5YZzmh5xo0HurnDsewOxlX36lhE8qvip9Y" TargetMode="External"/><Relationship Id="rId7" Type="http://schemas.openxmlformats.org/officeDocument/2006/relationships/hyperlink" Target="https://casalopez.com.co/aceites-lubricantes/aceite-para-motor-total-quartz-7000-10w40-galon/?srsltid=AfmBOoq-bjGRKFEKPmvomrl6HMle4A1J_Wbu0D30xq28A_i10ASZ7wp5Z8M" TargetMode="External"/><Relationship Id="rId2" Type="http://schemas.openxmlformats.org/officeDocument/2006/relationships/hyperlink" Target="https://agroelectros.com/producto/galon-aceite-para-motores-2t-husqvarna/?srsltid=AfmBOoqxxkVoSa-26s6TpyM5URjzmqlnbePi-jxO5EfLVTbubwv2XKaqj_M" TargetMode="External"/><Relationship Id="rId1" Type="http://schemas.openxmlformats.org/officeDocument/2006/relationships/hyperlink" Target="https://genticenter.com/products/aceite-2t-low-smoke-fd-3-784-litros-1-galon-husqvarna?srsltid=AfmBOopdUN7-zyD5WjDMyffRM5tLsfXqxMHYoZdm6BPhqEIkbqchl3FK2rk" TargetMode="External"/><Relationship Id="rId6" Type="http://schemas.openxmlformats.org/officeDocument/2006/relationships/hyperlink" Target="https://www.mercadolibre.com.co/aceite-10w40-full-sintetico-moto-4t-ecolube-galon-4-litros/up/MCOU2429859569?matt_tool=19390127&amp;utm_source=google_shopping&amp;utm_medium=organic&amp;pdp_filters=item_id%3AMCO618741139&amp;from=gshop" TargetMode="External"/><Relationship Id="rId5" Type="http://schemas.openxmlformats.org/officeDocument/2006/relationships/hyperlink" Target="https://bravoindustrial.com/es/inicio/4759-la10w30-1-emg-aceite-enermax-10w30-4t-x-galon.html?srsltid=AfmBOopEJ9zIfCvsJcWy3D_qUM2tfcUYPYCMUVyOsHYf9H4WRa2aqJhwYBA" TargetMode="External"/><Relationship Id="rId4" Type="http://schemas.openxmlformats.org/officeDocument/2006/relationships/hyperlink" Target="https://www.homecenter.com.co/homecenter-co/product/663236/aceite-para-motores-de-2-tiempos-galon/663236/" TargetMode="External"/><Relationship Id="rId9"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57889-B68A-45DE-9B92-D9C6C5B043F5}">
  <dimension ref="A2:X95"/>
  <sheetViews>
    <sheetView tabSelected="1" topLeftCell="A35" workbookViewId="0">
      <selection activeCell="A80" sqref="A80"/>
    </sheetView>
  </sheetViews>
  <sheetFormatPr baseColWidth="10" defaultRowHeight="13.2"/>
  <cols>
    <col min="1" max="1" width="9.77734375" customWidth="1"/>
    <col min="2" max="2" width="18.44140625" customWidth="1"/>
    <col min="3" max="3" width="14.109375" customWidth="1"/>
    <col min="5" max="5" width="14.88671875" bestFit="1" customWidth="1"/>
    <col min="6" max="6" width="14" bestFit="1" customWidth="1"/>
    <col min="7" max="7" width="13" customWidth="1"/>
    <col min="8" max="8" width="13" bestFit="1" customWidth="1"/>
    <col min="9" max="9" width="15.5546875" customWidth="1"/>
    <col min="10" max="10" width="14" bestFit="1" customWidth="1"/>
  </cols>
  <sheetData>
    <row r="2" spans="1:24" ht="34.200000000000003" customHeight="1">
      <c r="A2" s="132" t="s">
        <v>465</v>
      </c>
      <c r="B2" s="133"/>
      <c r="C2" s="133"/>
      <c r="D2" s="133"/>
      <c r="E2" s="133"/>
      <c r="F2" s="133"/>
      <c r="G2" s="133"/>
      <c r="H2" s="133"/>
      <c r="I2" s="133"/>
      <c r="J2" s="133"/>
      <c r="K2" s="133"/>
      <c r="L2" s="133"/>
      <c r="M2" s="133"/>
      <c r="N2" s="133"/>
      <c r="O2" s="133"/>
      <c r="P2" s="133"/>
      <c r="Q2" s="133"/>
      <c r="R2" s="133"/>
      <c r="S2" s="133"/>
    </row>
    <row r="3" spans="1:24" ht="13.8" thickBot="1"/>
    <row r="4" spans="1:24" ht="31.2" thickBot="1">
      <c r="A4" s="72" t="s">
        <v>432</v>
      </c>
      <c r="B4" s="73">
        <v>5.84</v>
      </c>
    </row>
    <row r="6" spans="1:24">
      <c r="C6" s="147" t="s">
        <v>491</v>
      </c>
      <c r="D6" s="147"/>
      <c r="E6" s="147"/>
      <c r="F6" s="134" t="s">
        <v>462</v>
      </c>
      <c r="G6" s="135"/>
      <c r="H6" s="136"/>
      <c r="I6" s="89" t="s">
        <v>501</v>
      </c>
      <c r="J6" s="89" t="s">
        <v>463</v>
      </c>
      <c r="K6" s="88">
        <v>1</v>
      </c>
      <c r="L6" s="88">
        <v>2</v>
      </c>
      <c r="M6" s="88">
        <v>3</v>
      </c>
      <c r="N6" s="88">
        <v>4</v>
      </c>
      <c r="P6" s="146" t="s">
        <v>461</v>
      </c>
      <c r="Q6" s="146"/>
      <c r="R6" s="146"/>
      <c r="S6" s="146"/>
      <c r="T6" s="146"/>
      <c r="U6" s="182"/>
    </row>
    <row r="7" spans="1:24" s="58" customFormat="1" ht="20.399999999999999">
      <c r="A7" s="138" t="s">
        <v>411</v>
      </c>
      <c r="B7" s="137" t="s">
        <v>428</v>
      </c>
      <c r="C7" s="95" t="s">
        <v>392</v>
      </c>
      <c r="D7" s="95" t="s">
        <v>393</v>
      </c>
      <c r="E7" s="95" t="s">
        <v>394</v>
      </c>
      <c r="F7" s="95" t="s">
        <v>466</v>
      </c>
      <c r="G7" s="95" t="s">
        <v>467</v>
      </c>
      <c r="H7" s="95" t="s">
        <v>468</v>
      </c>
      <c r="I7" s="95" t="s">
        <v>500</v>
      </c>
      <c r="J7" s="95" t="s">
        <v>433</v>
      </c>
      <c r="K7" s="95" t="s">
        <v>451</v>
      </c>
      <c r="L7" s="95" t="s">
        <v>452</v>
      </c>
      <c r="M7" s="95" t="s">
        <v>453</v>
      </c>
      <c r="N7" s="95" t="s">
        <v>454</v>
      </c>
      <c r="P7" s="95" t="s">
        <v>455</v>
      </c>
      <c r="Q7" s="95" t="s">
        <v>409</v>
      </c>
      <c r="R7" s="95" t="s">
        <v>456</v>
      </c>
      <c r="S7" s="95" t="s">
        <v>457</v>
      </c>
      <c r="T7" s="95" t="s">
        <v>458</v>
      </c>
      <c r="U7" s="95" t="s">
        <v>502</v>
      </c>
    </row>
    <row r="8" spans="1:24" ht="30.6">
      <c r="A8" s="138"/>
      <c r="B8" s="137"/>
      <c r="C8" s="95" t="s">
        <v>427</v>
      </c>
      <c r="D8" s="95" t="s">
        <v>427</v>
      </c>
      <c r="E8" s="95" t="s">
        <v>427</v>
      </c>
      <c r="F8" s="95" t="s">
        <v>427</v>
      </c>
      <c r="G8" s="95" t="s">
        <v>427</v>
      </c>
      <c r="H8" s="95" t="s">
        <v>427</v>
      </c>
      <c r="I8" s="95" t="s">
        <v>427</v>
      </c>
      <c r="J8" s="95" t="s">
        <v>460</v>
      </c>
      <c r="K8" s="95" t="s">
        <v>460</v>
      </c>
      <c r="L8" s="95" t="s">
        <v>460</v>
      </c>
      <c r="M8" s="95" t="s">
        <v>460</v>
      </c>
      <c r="N8" s="95" t="s">
        <v>460</v>
      </c>
      <c r="P8" s="95" t="s">
        <v>459</v>
      </c>
      <c r="Q8" s="95" t="s">
        <v>460</v>
      </c>
      <c r="R8" s="95" t="s">
        <v>460</v>
      </c>
      <c r="S8" s="95" t="s">
        <v>460</v>
      </c>
      <c r="T8" s="95" t="s">
        <v>460</v>
      </c>
      <c r="U8" s="95" t="s">
        <v>460</v>
      </c>
      <c r="V8" s="183" t="s">
        <v>476</v>
      </c>
    </row>
    <row r="9" spans="1:24" ht="13.8">
      <c r="A9" s="48">
        <v>1</v>
      </c>
      <c r="B9" s="49" t="s">
        <v>383</v>
      </c>
      <c r="C9" s="55">
        <v>15924</v>
      </c>
      <c r="D9" s="55">
        <v>15881</v>
      </c>
      <c r="E9" s="55">
        <v>16131</v>
      </c>
      <c r="F9" s="55">
        <v>18000</v>
      </c>
      <c r="G9" s="55">
        <v>16923</v>
      </c>
      <c r="H9" s="55">
        <v>17508</v>
      </c>
      <c r="I9" s="187">
        <v>18360</v>
      </c>
      <c r="J9" s="125"/>
      <c r="K9" s="55"/>
      <c r="L9" s="55"/>
      <c r="M9" s="55"/>
      <c r="N9" s="55"/>
      <c r="P9" s="87">
        <f>STDEV(C9:N9)/AVERAGE(C9:N9)</f>
        <v>6.0261361403412865E-2</v>
      </c>
      <c r="Q9" s="55">
        <f>ROUND(AVERAGE(C9:N9),-2)</f>
        <v>17000</v>
      </c>
      <c r="R9" s="55">
        <f>ROUND(MEDIAN(C9:N9),-2)</f>
        <v>16900</v>
      </c>
      <c r="S9" s="55">
        <f>ROUND(GEOMEAN(C9:N9),-2)</f>
        <v>16900</v>
      </c>
      <c r="T9" s="55">
        <f>ROUND(HARMEAN(C9:N9),-2)</f>
        <v>16900</v>
      </c>
      <c r="U9" s="55">
        <f>MAX(C9:N9)</f>
        <v>18360</v>
      </c>
      <c r="V9" s="184">
        <f>STDEVP(Q9:T9)/AVERAGE(Q9:T9)</f>
        <v>2.5584206906482678E-3</v>
      </c>
      <c r="X9" s="186">
        <f>I9/F9-1</f>
        <v>2.0000000000000018E-2</v>
      </c>
    </row>
    <row r="10" spans="1:24" ht="13.8">
      <c r="A10" s="48">
        <v>2</v>
      </c>
      <c r="B10" s="49" t="s">
        <v>381</v>
      </c>
      <c r="C10" s="55">
        <v>11251</v>
      </c>
      <c r="D10" s="55">
        <v>11216</v>
      </c>
      <c r="E10" s="55">
        <v>11466</v>
      </c>
      <c r="F10" s="55">
        <v>16564</v>
      </c>
      <c r="G10" s="55">
        <v>16345</v>
      </c>
      <c r="H10" s="55">
        <v>16399</v>
      </c>
      <c r="I10" s="187">
        <v>13200</v>
      </c>
      <c r="J10" s="125"/>
      <c r="K10" s="55"/>
      <c r="L10" s="55"/>
      <c r="M10" s="55"/>
      <c r="N10" s="55"/>
      <c r="P10" s="87">
        <f>STDEV(C10:N10)/AVERAGE(C10:N10)</f>
        <v>0.18705721130933917</v>
      </c>
      <c r="Q10" s="55">
        <f>ROUND(AVERAGE(C10:N10),-2)</f>
        <v>13800</v>
      </c>
      <c r="R10" s="55">
        <f>ROUND(MEDIAN(C10:N10),-2)</f>
        <v>13200</v>
      </c>
      <c r="S10" s="55">
        <f>ROUND(GEOMEAN(C10:N10),-2)</f>
        <v>13600</v>
      </c>
      <c r="T10" s="55">
        <f>ROUND(HARMEAN(C10:N10),-2)</f>
        <v>13400</v>
      </c>
      <c r="U10" s="55">
        <f>MAX(C10:N10)</f>
        <v>16564</v>
      </c>
      <c r="V10" s="184">
        <f t="shared" ref="V10:V14" si="0">STDEVP(Q10:T10)/AVERAGE(Q10:T10)</f>
        <v>1.6563466499998441E-2</v>
      </c>
      <c r="X10" s="186">
        <f>I10/F10-1</f>
        <v>-0.20309104081139817</v>
      </c>
    </row>
    <row r="11" spans="1:24" ht="13.8">
      <c r="A11" s="48">
        <v>3</v>
      </c>
      <c r="B11" s="49" t="s">
        <v>412</v>
      </c>
      <c r="C11" s="54"/>
      <c r="D11" s="54"/>
      <c r="E11" s="54"/>
      <c r="F11" s="54"/>
      <c r="G11" s="54"/>
      <c r="H11" s="54"/>
      <c r="I11" s="55">
        <v>167500</v>
      </c>
      <c r="J11" s="55">
        <f>'Estudio De Mercado 2025'!K8*(1+($B$4/100))</f>
        <v>180975.81599999999</v>
      </c>
      <c r="K11" s="55">
        <f>HLOOKUP("Valor "&amp;K$6,Referencias!B2:$N$7,2,0)</f>
        <v>186482.52</v>
      </c>
      <c r="L11" s="55">
        <f>HLOOKUP("Valor "&amp;L$6,Referencias!C2:$N$7,2,0)</f>
        <v>145000</v>
      </c>
      <c r="M11" s="55">
        <f>HLOOKUP("Valor "&amp;M$6,Referencias!D2:$N$7,2,0)</f>
        <v>142000</v>
      </c>
      <c r="N11" s="55">
        <f>HLOOKUP("Valor "&amp;N$6,Referencias!E2:$N$7,2,0)</f>
        <v>249900</v>
      </c>
      <c r="P11" s="87">
        <f>STDEV(C11:N11)/AVERAGE(C11:N11)</f>
        <v>0.2202869379888267</v>
      </c>
      <c r="Q11" s="55">
        <f>ROUND(AVERAGE(C11:N11),-2)</f>
        <v>178600</v>
      </c>
      <c r="R11" s="55">
        <f>ROUND(MEDIAN(C11:N11),-2)</f>
        <v>174200</v>
      </c>
      <c r="S11" s="55">
        <f>ROUND(GEOMEAN(C11:N11),-2)</f>
        <v>175400</v>
      </c>
      <c r="T11" s="55">
        <f>ROUND(HARMEAN(C11:N11),-2)</f>
        <v>172400</v>
      </c>
      <c r="U11" s="55">
        <f>S11</f>
        <v>175400</v>
      </c>
      <c r="V11" s="184">
        <f t="shared" si="0"/>
        <v>1.2903099491852152E-2</v>
      </c>
    </row>
    <row r="12" spans="1:24" ht="13.8">
      <c r="A12" s="48">
        <v>4</v>
      </c>
      <c r="B12" s="49" t="s">
        <v>413</v>
      </c>
      <c r="C12" s="54"/>
      <c r="D12" s="54"/>
      <c r="E12" s="54"/>
      <c r="F12" s="54"/>
      <c r="G12" s="54"/>
      <c r="H12" s="54"/>
      <c r="I12" s="55">
        <v>122200</v>
      </c>
      <c r="J12" s="55">
        <f>'Estudio De Mercado 2025'!K9*(1+($B$4/100))</f>
        <v>131982.48000000001</v>
      </c>
      <c r="K12" s="55">
        <f>HLOOKUP("Valor "&amp;K$6,Referencias!B2:$N$7,3,0)</f>
        <v>89900</v>
      </c>
      <c r="L12" s="55">
        <f>HLOOKUP("Valor "&amp;L$6,Referencias!C2:$N$7,3,0)</f>
        <v>183600</v>
      </c>
      <c r="M12" s="55">
        <f>HLOOKUP("Valor "&amp;M$6,Referencias!D2:$N$7,3,0)</f>
        <v>199890</v>
      </c>
      <c r="N12" s="55">
        <f>HLOOKUP("Valor "&amp;N$6,Referencias!E2:$N$7,3,0)</f>
        <v>99000</v>
      </c>
      <c r="P12" s="87">
        <f>STDEV(C12:N12)/AVERAGE(C12:N12)</f>
        <v>0.32511169377889682</v>
      </c>
      <c r="Q12" s="55">
        <f>ROUND(AVERAGE(C12:N12),-2)</f>
        <v>137800</v>
      </c>
      <c r="R12" s="55">
        <f>ROUND(MEDIAN(C12:N12),-2)</f>
        <v>127100</v>
      </c>
      <c r="S12" s="55">
        <f>ROUND(GEOMEAN(C12:N12),-2)</f>
        <v>131900</v>
      </c>
      <c r="T12" s="55">
        <f>ROUND(HARMEAN(C12:N12),-2)</f>
        <v>126500</v>
      </c>
      <c r="U12" s="55">
        <f t="shared" ref="U12:U13" si="1">S12</f>
        <v>131900</v>
      </c>
      <c r="V12" s="184">
        <f t="shared" si="0"/>
        <v>3.4690449181921698E-2</v>
      </c>
    </row>
    <row r="13" spans="1:24" ht="13.8">
      <c r="A13" s="48">
        <v>5</v>
      </c>
      <c r="B13" s="49" t="s">
        <v>414</v>
      </c>
      <c r="C13" s="54"/>
      <c r="D13" s="54"/>
      <c r="E13" s="54"/>
      <c r="F13" s="54"/>
      <c r="G13" s="54"/>
      <c r="H13" s="54"/>
      <c r="I13" s="55">
        <v>154600</v>
      </c>
      <c r="J13" s="55">
        <f>'Estudio De Mercado 2025'!K10*(1+($B$4/100))</f>
        <v>167015.51999999999</v>
      </c>
      <c r="K13" s="55"/>
      <c r="L13" s="55"/>
      <c r="M13" s="55"/>
      <c r="N13" s="55"/>
      <c r="P13" s="87">
        <f>IFERROR(STDEV(C13:N13)/AVERAGE(C13:N13),0)</f>
        <v>5.4593748361131303E-2</v>
      </c>
      <c r="Q13" s="55">
        <f>ROUND(AVERAGE(C13:N13),-2)</f>
        <v>160800</v>
      </c>
      <c r="R13" s="55">
        <f>ROUND(MEDIAN(C13:N13),-2)</f>
        <v>160800</v>
      </c>
      <c r="S13" s="55">
        <f>ROUND(GEOMEAN(C13:N13),-2)</f>
        <v>160700</v>
      </c>
      <c r="T13" s="55">
        <f>ROUND(HARMEAN(C13:N13),-2)</f>
        <v>160600</v>
      </c>
      <c r="U13" s="55">
        <f t="shared" si="1"/>
        <v>160700</v>
      </c>
      <c r="V13" s="184">
        <f t="shared" si="0"/>
        <v>5.1588501949842902E-4</v>
      </c>
    </row>
    <row r="14" spans="1:24">
      <c r="P14" s="106" t="s">
        <v>477</v>
      </c>
      <c r="Q14" s="107">
        <f>SUM(Q9:Q13)</f>
        <v>508000</v>
      </c>
      <c r="R14" s="107">
        <f t="shared" ref="R14:U14" si="2">SUM(R9:R13)</f>
        <v>492200</v>
      </c>
      <c r="S14" s="107">
        <f>SUM(S9:S13)</f>
        <v>498500</v>
      </c>
      <c r="T14" s="107">
        <f t="shared" si="2"/>
        <v>489800</v>
      </c>
      <c r="U14" s="107">
        <f t="shared" si="2"/>
        <v>502924</v>
      </c>
      <c r="V14" s="185">
        <f t="shared" si="0"/>
        <v>1.4155037046161254E-2</v>
      </c>
    </row>
    <row r="15" spans="1:24" ht="43.2" customHeight="1">
      <c r="A15" s="148" t="s">
        <v>464</v>
      </c>
      <c r="B15" s="148"/>
      <c r="C15" s="148"/>
      <c r="D15" s="148"/>
      <c r="E15" s="148"/>
      <c r="F15" s="148"/>
      <c r="G15" s="148"/>
      <c r="H15" s="148"/>
      <c r="I15" s="148"/>
      <c r="J15" s="148"/>
      <c r="K15" s="148"/>
      <c r="L15" s="148"/>
      <c r="M15" s="148"/>
    </row>
    <row r="16" spans="1:24" s="37" customFormat="1" ht="14.4"/>
    <row r="17" spans="1:11" s="37" customFormat="1" ht="14.4">
      <c r="A17" s="140" t="s">
        <v>478</v>
      </c>
      <c r="B17" s="140"/>
      <c r="C17" s="140"/>
      <c r="D17" s="140"/>
      <c r="E17" s="140"/>
      <c r="F17" s="140"/>
      <c r="G17" s="140"/>
    </row>
    <row r="18" spans="1:11" s="37" customFormat="1" ht="14.4">
      <c r="A18" s="138" t="s">
        <v>411</v>
      </c>
      <c r="B18" s="137" t="s">
        <v>428</v>
      </c>
      <c r="C18" s="94" t="s">
        <v>474</v>
      </c>
      <c r="D18" s="95" t="s">
        <v>409</v>
      </c>
      <c r="E18" s="95" t="s">
        <v>456</v>
      </c>
      <c r="F18" s="95" t="s">
        <v>457</v>
      </c>
      <c r="G18" s="95" t="s">
        <v>458</v>
      </c>
    </row>
    <row r="19" spans="1:11" s="37" customFormat="1" ht="20.399999999999999">
      <c r="A19" s="138"/>
      <c r="B19" s="137"/>
      <c r="C19" s="95" t="s">
        <v>460</v>
      </c>
      <c r="D19" s="95" t="s">
        <v>475</v>
      </c>
      <c r="E19" s="95" t="s">
        <v>475</v>
      </c>
      <c r="F19" s="95" t="s">
        <v>475</v>
      </c>
      <c r="G19" s="95" t="s">
        <v>475</v>
      </c>
    </row>
    <row r="20" spans="1:11" s="37" customFormat="1" ht="14.4">
      <c r="A20" s="48">
        <v>1</v>
      </c>
      <c r="B20" s="49" t="s">
        <v>383</v>
      </c>
      <c r="C20" s="55">
        <v>18040</v>
      </c>
      <c r="D20" s="92">
        <f>Q9/'CTO-275-2025'!$D6-1</f>
        <v>-5.7649667405764937E-2</v>
      </c>
      <c r="E20" s="92">
        <f>R9/'CTO-275-2025'!$D6-1</f>
        <v>-6.3192904656319326E-2</v>
      </c>
      <c r="F20" s="92">
        <f>S9/'CTO-275-2025'!$D6-1</f>
        <v>-6.3192904656319326E-2</v>
      </c>
      <c r="G20" s="92">
        <f>T9/'CTO-275-2025'!$D6-1</f>
        <v>-6.3192904656319326E-2</v>
      </c>
      <c r="K20" s="93"/>
    </row>
    <row r="21" spans="1:11" s="37" customFormat="1" ht="14.4">
      <c r="A21" s="48">
        <v>2</v>
      </c>
      <c r="B21" s="49" t="s">
        <v>381</v>
      </c>
      <c r="C21" s="55">
        <v>15875</v>
      </c>
      <c r="D21" s="92">
        <f>Q10/'CTO-275-2025'!$D7-1</f>
        <v>-0.13070866141732285</v>
      </c>
      <c r="E21" s="92">
        <f>R10/'CTO-275-2025'!$D7-1</f>
        <v>-0.16850393700787403</v>
      </c>
      <c r="F21" s="92">
        <f>S10/'CTO-275-2025'!$D7-1</f>
        <v>-0.14330708661417324</v>
      </c>
      <c r="G21" s="92">
        <f>T10/'CTO-275-2025'!$D7-1</f>
        <v>-0.15590551181102363</v>
      </c>
      <c r="K21" s="93"/>
    </row>
    <row r="22" spans="1:11" s="37" customFormat="1" ht="14.4">
      <c r="A22" s="48">
        <v>3</v>
      </c>
      <c r="B22" s="49" t="s">
        <v>412</v>
      </c>
      <c r="C22" s="55">
        <v>165860</v>
      </c>
      <c r="D22" s="92">
        <f>Q11/'CTO-275-2025'!$D8-1</f>
        <v>7.6811768961774884E-2</v>
      </c>
      <c r="E22" s="92">
        <f>R11/'CTO-275-2025'!$D8-1</f>
        <v>5.0283371518147879E-2</v>
      </c>
      <c r="F22" s="92">
        <f>S11/'CTO-275-2025'!$D8-1</f>
        <v>5.7518389002773507E-2</v>
      </c>
      <c r="G22" s="92">
        <f>T11/'CTO-275-2025'!$D8-1</f>
        <v>3.9430845291209549E-2</v>
      </c>
      <c r="K22" s="93"/>
    </row>
    <row r="23" spans="1:11" s="37" customFormat="1" ht="14.4">
      <c r="A23" s="48">
        <v>4</v>
      </c>
      <c r="B23" s="49" t="s">
        <v>413</v>
      </c>
      <c r="C23" s="55">
        <v>120959</v>
      </c>
      <c r="D23" s="92">
        <f>Q12/'CTO-275-2025'!$D9-1</f>
        <v>0.13922899494870156</v>
      </c>
      <c r="E23" s="92">
        <f>R12/'CTO-275-2025'!$D9-1</f>
        <v>5.0769268925834332E-2</v>
      </c>
      <c r="F23" s="92">
        <f>S12/'CTO-275-2025'!$D9-1</f>
        <v>9.0452136674410433E-2</v>
      </c>
      <c r="G23" s="92">
        <f>T12/'CTO-275-2025'!$D9-1</f>
        <v>4.580891045726232E-2</v>
      </c>
      <c r="K23" s="93"/>
    </row>
    <row r="24" spans="1:11" s="37" customFormat="1" ht="14.4">
      <c r="A24" s="48">
        <v>5</v>
      </c>
      <c r="B24" s="49" t="s">
        <v>414</v>
      </c>
      <c r="C24" s="55">
        <v>153066</v>
      </c>
      <c r="D24" s="92">
        <f>Q13/'CTO-275-2025'!$D10-1</f>
        <v>5.0527223550625111E-2</v>
      </c>
      <c r="E24" s="92">
        <f>R13/'CTO-275-2025'!$D10-1</f>
        <v>5.0527223550625111E-2</v>
      </c>
      <c r="F24" s="92">
        <f>S13/'CTO-275-2025'!D10-1</f>
        <v>4.9873910600655824E-2</v>
      </c>
      <c r="G24" s="92">
        <f>T13/'CTO-275-2025'!$D10-1</f>
        <v>4.9220597650686537E-2</v>
      </c>
      <c r="K24" s="93"/>
    </row>
    <row r="25" spans="1:11" s="37" customFormat="1" ht="14.4"/>
    <row r="26" spans="1:11" s="37" customFormat="1" ht="14.4"/>
    <row r="27" spans="1:11" s="37" customFormat="1" ht="14.4">
      <c r="A27" s="139" t="s">
        <v>486</v>
      </c>
      <c r="B27" s="139"/>
      <c r="C27" s="139"/>
      <c r="D27" s="139"/>
      <c r="E27" s="139"/>
      <c r="F27" s="116"/>
    </row>
    <row r="28" spans="1:11" s="37" customFormat="1" ht="14.4"/>
    <row r="29" spans="1:11" s="37" customFormat="1" ht="14.4">
      <c r="A29" s="141" t="s">
        <v>411</v>
      </c>
      <c r="B29" s="142" t="s">
        <v>428</v>
      </c>
      <c r="C29" s="95" t="s">
        <v>6</v>
      </c>
      <c r="D29" s="95" t="s">
        <v>482</v>
      </c>
      <c r="E29" s="142" t="s">
        <v>484</v>
      </c>
    </row>
    <row r="30" spans="1:11" s="37" customFormat="1" ht="30.6">
      <c r="A30" s="141"/>
      <c r="B30" s="142"/>
      <c r="C30" s="95" t="s">
        <v>483</v>
      </c>
      <c r="D30" s="95" t="s">
        <v>460</v>
      </c>
      <c r="E30" s="142"/>
    </row>
    <row r="31" spans="1:11" s="37" customFormat="1" ht="14.4">
      <c r="A31" s="48">
        <v>1</v>
      </c>
      <c r="B31" s="49" t="s">
        <v>383</v>
      </c>
      <c r="C31" s="109">
        <v>25</v>
      </c>
      <c r="D31" s="108">
        <f>U9</f>
        <v>18360</v>
      </c>
      <c r="E31" s="108">
        <f>D31*C31</f>
        <v>459000</v>
      </c>
      <c r="F31" s="93"/>
      <c r="G31" s="91"/>
      <c r="H31" s="91"/>
      <c r="I31" s="91"/>
    </row>
    <row r="32" spans="1:11" s="37" customFormat="1" ht="14.4">
      <c r="A32" s="48">
        <v>2</v>
      </c>
      <c r="B32" s="49" t="s">
        <v>381</v>
      </c>
      <c r="C32" s="111">
        <v>10</v>
      </c>
      <c r="D32" s="108">
        <f t="shared" ref="D32:D35" si="3">U10</f>
        <v>16564</v>
      </c>
      <c r="E32" s="108">
        <f t="shared" ref="E32:E35" si="4">D32*C32</f>
        <v>165640</v>
      </c>
      <c r="F32" s="93"/>
      <c r="G32" s="91"/>
      <c r="H32" s="91"/>
      <c r="I32" s="91"/>
    </row>
    <row r="33" spans="1:22" s="37" customFormat="1" ht="14.4">
      <c r="A33" s="48">
        <v>3</v>
      </c>
      <c r="B33" s="49" t="s">
        <v>412</v>
      </c>
      <c r="C33" s="109">
        <v>4</v>
      </c>
      <c r="D33" s="108">
        <f t="shared" si="3"/>
        <v>175400</v>
      </c>
      <c r="E33" s="108">
        <f t="shared" si="4"/>
        <v>701600</v>
      </c>
      <c r="F33" s="93"/>
      <c r="G33" s="91"/>
      <c r="H33" s="91"/>
      <c r="I33" s="91"/>
    </row>
    <row r="34" spans="1:22" s="37" customFormat="1" ht="14.4">
      <c r="A34" s="48">
        <v>4</v>
      </c>
      <c r="B34" s="49" t="s">
        <v>413</v>
      </c>
      <c r="C34" s="109">
        <v>3</v>
      </c>
      <c r="D34" s="108">
        <f t="shared" si="3"/>
        <v>131900</v>
      </c>
      <c r="E34" s="108">
        <f t="shared" si="4"/>
        <v>395700</v>
      </c>
      <c r="F34" s="93"/>
      <c r="G34" s="91"/>
      <c r="H34" s="91"/>
      <c r="I34" s="91"/>
    </row>
    <row r="35" spans="1:22" s="37" customFormat="1" ht="14.4">
      <c r="A35" s="48">
        <v>5</v>
      </c>
      <c r="B35" s="49" t="s">
        <v>414</v>
      </c>
      <c r="C35" s="109">
        <v>1</v>
      </c>
      <c r="D35" s="108">
        <f t="shared" si="3"/>
        <v>160700</v>
      </c>
      <c r="E35" s="108">
        <f t="shared" si="4"/>
        <v>160700</v>
      </c>
      <c r="F35" s="93"/>
      <c r="G35" s="91"/>
      <c r="H35" s="91"/>
      <c r="I35" s="91"/>
    </row>
    <row r="36" spans="1:22" s="37" customFormat="1" ht="14.4">
      <c r="A36" s="145" t="s">
        <v>485</v>
      </c>
      <c r="B36" s="145"/>
      <c r="C36" s="145"/>
      <c r="D36" s="145"/>
      <c r="E36" s="110">
        <f>SUM(E31:E35)</f>
        <v>1882640</v>
      </c>
      <c r="G36" s="91"/>
      <c r="H36" s="91"/>
      <c r="I36" s="91"/>
      <c r="J36" s="91"/>
    </row>
    <row r="37" spans="1:22" s="37" customFormat="1" ht="14.4">
      <c r="A37" s="90"/>
      <c r="B37" s="90"/>
      <c r="C37" s="90"/>
      <c r="D37" s="90"/>
      <c r="E37" s="113"/>
      <c r="G37" s="91"/>
      <c r="H37" s="91"/>
      <c r="I37" s="91"/>
      <c r="J37" s="91"/>
    </row>
    <row r="38" spans="1:22" s="37" customFormat="1" ht="14.4">
      <c r="A38" s="90"/>
      <c r="B38" s="115" t="s">
        <v>489</v>
      </c>
      <c r="C38" s="114">
        <f>E36/30</f>
        <v>62754.666666666664</v>
      </c>
      <c r="D38" s="126" t="s">
        <v>496</v>
      </c>
      <c r="E38" s="127">
        <v>164</v>
      </c>
      <c r="G38" s="131"/>
      <c r="H38" s="131"/>
      <c r="I38" s="91"/>
      <c r="J38" s="91"/>
    </row>
    <row r="39" spans="1:22" s="37" customFormat="1" ht="14.4">
      <c r="A39" s="90"/>
      <c r="B39" s="115" t="s">
        <v>488</v>
      </c>
      <c r="C39" s="114">
        <f>C38*E38</f>
        <v>10291765.333333332</v>
      </c>
      <c r="D39" s="90"/>
      <c r="G39" s="91"/>
      <c r="H39" s="91"/>
      <c r="I39" s="91"/>
      <c r="J39" s="91"/>
    </row>
    <row r="40" spans="1:22" s="37" customFormat="1" ht="14.4">
      <c r="B40" s="115" t="s">
        <v>487</v>
      </c>
      <c r="C40" s="114">
        <f>C95-C39</f>
        <v>5308234.6666666679</v>
      </c>
      <c r="D40" s="112"/>
      <c r="G40" s="91"/>
      <c r="K40" s="143" t="s">
        <v>490</v>
      </c>
      <c r="L40" s="144"/>
      <c r="M40" s="144"/>
      <c r="N40" s="144"/>
      <c r="O40" s="144"/>
      <c r="P40" s="144"/>
      <c r="Q40" s="144"/>
      <c r="R40" s="144"/>
      <c r="S40" s="144"/>
      <c r="T40" s="144"/>
      <c r="U40" s="144"/>
      <c r="V40" s="144"/>
    </row>
    <row r="41" spans="1:22" s="37" customFormat="1" ht="14.4">
      <c r="B41" s="115" t="s">
        <v>291</v>
      </c>
      <c r="C41" s="114">
        <f>SUM(C39:C40)</f>
        <v>15600000</v>
      </c>
    </row>
    <row r="42" spans="1:22" s="37" customFormat="1" ht="14.4"/>
    <row r="43" spans="1:22" s="37" customFormat="1" ht="14.4"/>
    <row r="44" spans="1:22" s="37" customFormat="1" ht="14.4" hidden="1">
      <c r="A44" s="139" t="s">
        <v>431</v>
      </c>
      <c r="B44" s="139"/>
      <c r="C44" s="139"/>
      <c r="D44" s="139"/>
      <c r="E44" s="139"/>
      <c r="F44" s="139"/>
      <c r="G44" s="139"/>
    </row>
    <row r="45" spans="1:22" s="37" customFormat="1" ht="15" hidden="1" thickBot="1">
      <c r="J45" s="56"/>
      <c r="K45" s="57"/>
      <c r="L45" s="57"/>
      <c r="M45" s="56"/>
    </row>
    <row r="46" spans="1:22" s="37" customFormat="1" ht="28.8" hidden="1">
      <c r="A46" s="96" t="s">
        <v>384</v>
      </c>
      <c r="B46" s="97" t="s">
        <v>385</v>
      </c>
      <c r="C46" s="97" t="s">
        <v>429</v>
      </c>
      <c r="D46" s="97" t="s">
        <v>386</v>
      </c>
      <c r="E46" s="97" t="s">
        <v>387</v>
      </c>
      <c r="F46" s="97" t="s">
        <v>430</v>
      </c>
      <c r="G46" s="98" t="s">
        <v>388</v>
      </c>
      <c r="J46" s="58"/>
      <c r="K46" s="59"/>
      <c r="L46" s="59"/>
      <c r="M46" s="58"/>
    </row>
    <row r="47" spans="1:22" s="37" customFormat="1" ht="14.4" hidden="1">
      <c r="A47" s="99" t="s">
        <v>389</v>
      </c>
      <c r="B47" s="39">
        <v>15991</v>
      </c>
      <c r="C47" s="39">
        <v>15491</v>
      </c>
      <c r="D47" s="39">
        <f t="shared" ref="D47:D59" si="5">C47-B47</f>
        <v>-500</v>
      </c>
      <c r="E47" s="39">
        <v>11276</v>
      </c>
      <c r="F47" s="39">
        <v>11276</v>
      </c>
      <c r="G47" s="100">
        <f t="shared" ref="G47:G59" si="6">F47-E47</f>
        <v>0</v>
      </c>
      <c r="J47" s="58"/>
      <c r="K47" s="59"/>
      <c r="L47" s="59"/>
      <c r="M47" s="58"/>
    </row>
    <row r="48" spans="1:22" s="37" customFormat="1" ht="14.4" hidden="1">
      <c r="A48" s="99" t="s">
        <v>390</v>
      </c>
      <c r="B48" s="39">
        <v>15912</v>
      </c>
      <c r="C48" s="39">
        <v>15411</v>
      </c>
      <c r="D48" s="39">
        <f t="shared" si="5"/>
        <v>-501</v>
      </c>
      <c r="E48" s="39">
        <v>11301</v>
      </c>
      <c r="F48" s="39">
        <v>11301</v>
      </c>
      <c r="G48" s="100">
        <f t="shared" si="6"/>
        <v>0</v>
      </c>
      <c r="J48" s="58"/>
      <c r="K48" s="59"/>
      <c r="L48" s="59"/>
      <c r="M48" s="58"/>
    </row>
    <row r="49" spans="1:13" s="37" customFormat="1" ht="15" hidden="1" thickBot="1">
      <c r="A49" s="101" t="s">
        <v>391</v>
      </c>
      <c r="B49" s="62">
        <v>16002</v>
      </c>
      <c r="C49" s="62">
        <v>15500</v>
      </c>
      <c r="D49" s="62">
        <f t="shared" si="5"/>
        <v>-502</v>
      </c>
      <c r="E49" s="62">
        <v>11424</v>
      </c>
      <c r="F49" s="62">
        <v>11424</v>
      </c>
      <c r="G49" s="102">
        <f t="shared" si="6"/>
        <v>0</v>
      </c>
      <c r="J49" s="58"/>
      <c r="K49" s="59"/>
      <c r="L49" s="59"/>
      <c r="M49" s="58"/>
    </row>
    <row r="50" spans="1:13" s="37" customFormat="1" ht="14.4" hidden="1">
      <c r="A50" s="74" t="s">
        <v>392</v>
      </c>
      <c r="B50" s="65">
        <v>15626</v>
      </c>
      <c r="C50" s="65">
        <v>15124</v>
      </c>
      <c r="D50" s="65">
        <f t="shared" si="5"/>
        <v>-502</v>
      </c>
      <c r="E50" s="65">
        <v>10951</v>
      </c>
      <c r="F50" s="65">
        <v>10951</v>
      </c>
      <c r="G50" s="66">
        <f t="shared" si="6"/>
        <v>0</v>
      </c>
      <c r="J50" s="58"/>
      <c r="K50" s="59"/>
      <c r="L50" s="59"/>
      <c r="M50" s="58"/>
    </row>
    <row r="51" spans="1:13" s="37" customFormat="1" ht="14.4" hidden="1">
      <c r="A51" s="75" t="s">
        <v>393</v>
      </c>
      <c r="B51" s="67">
        <v>15583</v>
      </c>
      <c r="C51" s="67">
        <v>15081</v>
      </c>
      <c r="D51" s="67">
        <f t="shared" si="5"/>
        <v>-502</v>
      </c>
      <c r="E51" s="67">
        <v>10916</v>
      </c>
      <c r="F51" s="67">
        <v>10916</v>
      </c>
      <c r="G51" s="68">
        <f t="shared" si="6"/>
        <v>0</v>
      </c>
      <c r="J51" s="58"/>
      <c r="K51" s="59"/>
      <c r="L51" s="59"/>
      <c r="M51" s="58"/>
    </row>
    <row r="52" spans="1:13" s="37" customFormat="1" ht="15" hidden="1" thickBot="1">
      <c r="A52" s="76" t="s">
        <v>394</v>
      </c>
      <c r="B52" s="69">
        <v>15833</v>
      </c>
      <c r="C52" s="69">
        <v>15331</v>
      </c>
      <c r="D52" s="69">
        <f t="shared" si="5"/>
        <v>-502</v>
      </c>
      <c r="E52" s="69">
        <v>11166</v>
      </c>
      <c r="F52" s="69">
        <v>11166</v>
      </c>
      <c r="G52" s="70">
        <f t="shared" si="6"/>
        <v>0</v>
      </c>
      <c r="J52" s="58"/>
      <c r="K52" s="59"/>
      <c r="L52" s="59"/>
      <c r="M52" s="58"/>
    </row>
    <row r="53" spans="1:13" s="37" customFormat="1" ht="14.4" hidden="1">
      <c r="A53" s="103" t="s">
        <v>395</v>
      </c>
      <c r="B53" s="38">
        <v>15748</v>
      </c>
      <c r="C53" s="38">
        <v>15249</v>
      </c>
      <c r="D53" s="38">
        <f t="shared" si="5"/>
        <v>-499</v>
      </c>
      <c r="E53" s="38">
        <v>11025</v>
      </c>
      <c r="F53" s="38">
        <v>11025</v>
      </c>
      <c r="G53" s="104">
        <f t="shared" si="6"/>
        <v>0</v>
      </c>
      <c r="J53" s="58"/>
      <c r="K53" s="59"/>
      <c r="L53" s="59"/>
      <c r="M53" s="58"/>
    </row>
    <row r="54" spans="1:13" s="37" customFormat="1" ht="14.4" hidden="1">
      <c r="A54" s="99" t="s">
        <v>396</v>
      </c>
      <c r="B54" s="39">
        <v>16091</v>
      </c>
      <c r="C54" s="39">
        <v>15591</v>
      </c>
      <c r="D54" s="39">
        <f t="shared" si="5"/>
        <v>-500</v>
      </c>
      <c r="E54" s="39">
        <v>11376</v>
      </c>
      <c r="F54" s="39">
        <v>11376</v>
      </c>
      <c r="G54" s="100">
        <f t="shared" si="6"/>
        <v>0</v>
      </c>
      <c r="J54" s="58"/>
      <c r="K54" s="59"/>
      <c r="L54" s="59"/>
      <c r="M54" s="58"/>
    </row>
    <row r="55" spans="1:13" s="37" customFormat="1" ht="14.4" hidden="1">
      <c r="A55" s="99" t="s">
        <v>397</v>
      </c>
      <c r="B55" s="39">
        <v>15939</v>
      </c>
      <c r="C55" s="39">
        <v>15436</v>
      </c>
      <c r="D55" s="39">
        <f t="shared" si="5"/>
        <v>-503</v>
      </c>
      <c r="E55" s="39">
        <v>11363</v>
      </c>
      <c r="F55" s="39">
        <v>11363</v>
      </c>
      <c r="G55" s="100">
        <f t="shared" si="6"/>
        <v>0</v>
      </c>
      <c r="J55" s="58"/>
      <c r="K55" s="59"/>
      <c r="L55" s="59"/>
      <c r="M55" s="58"/>
    </row>
    <row r="56" spans="1:13" s="37" customFormat="1" ht="14.4" hidden="1">
      <c r="A56" s="99" t="s">
        <v>398</v>
      </c>
      <c r="B56" s="39">
        <v>15966</v>
      </c>
      <c r="C56" s="39">
        <v>15464</v>
      </c>
      <c r="D56" s="39">
        <f t="shared" si="5"/>
        <v>-502</v>
      </c>
      <c r="E56" s="39">
        <v>11349</v>
      </c>
      <c r="F56" s="39">
        <v>11349</v>
      </c>
      <c r="G56" s="100">
        <f t="shared" si="6"/>
        <v>0</v>
      </c>
      <c r="J56" s="58"/>
      <c r="K56" s="59"/>
      <c r="L56" s="59"/>
      <c r="M56" s="58"/>
    </row>
    <row r="57" spans="1:13" s="37" customFormat="1" ht="14.4" hidden="1">
      <c r="A57" s="99" t="s">
        <v>399</v>
      </c>
      <c r="B57" s="39">
        <v>15907</v>
      </c>
      <c r="C57" s="39">
        <v>15405</v>
      </c>
      <c r="D57" s="39">
        <f t="shared" si="5"/>
        <v>-502</v>
      </c>
      <c r="E57" s="39">
        <v>11267</v>
      </c>
      <c r="F57" s="39">
        <v>11267</v>
      </c>
      <c r="G57" s="100">
        <f t="shared" si="6"/>
        <v>0</v>
      </c>
      <c r="J57" s="58"/>
      <c r="K57" s="59"/>
      <c r="L57" s="59"/>
      <c r="M57" s="58"/>
    </row>
    <row r="58" spans="1:13" s="37" customFormat="1" ht="14.4" hidden="1">
      <c r="A58" s="99" t="s">
        <v>400</v>
      </c>
      <c r="B58" s="39">
        <v>13747</v>
      </c>
      <c r="C58" s="39">
        <v>13247</v>
      </c>
      <c r="D58" s="39">
        <f t="shared" si="5"/>
        <v>-500</v>
      </c>
      <c r="E58" s="39">
        <v>10338</v>
      </c>
      <c r="F58" s="39">
        <v>10338</v>
      </c>
      <c r="G58" s="100">
        <f t="shared" si="6"/>
        <v>0</v>
      </c>
      <c r="J58" s="58"/>
      <c r="K58" s="59"/>
      <c r="L58" s="59"/>
      <c r="M58" s="58"/>
    </row>
    <row r="59" spans="1:13" s="37" customFormat="1" ht="15" hidden="1" thickBot="1">
      <c r="A59" s="101" t="s">
        <v>401</v>
      </c>
      <c r="B59" s="62">
        <v>14123</v>
      </c>
      <c r="C59" s="62">
        <v>13624</v>
      </c>
      <c r="D59" s="62">
        <f t="shared" si="5"/>
        <v>-499</v>
      </c>
      <c r="E59" s="62">
        <v>9255</v>
      </c>
      <c r="F59" s="62">
        <v>9255</v>
      </c>
      <c r="G59" s="102">
        <f t="shared" si="6"/>
        <v>0</v>
      </c>
      <c r="J59" s="60"/>
      <c r="K59" s="61"/>
      <c r="L59" s="61"/>
      <c r="M59" s="60"/>
    </row>
    <row r="60" spans="1:13" s="37" customFormat="1" ht="21" hidden="1" thickBot="1">
      <c r="A60" s="77" t="s">
        <v>402</v>
      </c>
      <c r="B60" s="63">
        <f t="shared" ref="B60:G60" si="7">AVERAGE(B47:B59)</f>
        <v>15574.461538461539</v>
      </c>
      <c r="C60" s="63">
        <f t="shared" si="7"/>
        <v>15073.384615384615</v>
      </c>
      <c r="D60" s="63">
        <f t="shared" si="7"/>
        <v>-501.07692307692309</v>
      </c>
      <c r="E60" s="63">
        <f t="shared" si="7"/>
        <v>11000.538461538461</v>
      </c>
      <c r="F60" s="63">
        <f t="shared" si="7"/>
        <v>11000.538461538461</v>
      </c>
      <c r="G60" s="64">
        <f t="shared" si="7"/>
        <v>0</v>
      </c>
    </row>
    <row r="61" spans="1:13" s="37" customFormat="1" ht="14.4" hidden="1"/>
    <row r="62" spans="1:13" s="37" customFormat="1" ht="14.4"/>
    <row r="63" spans="1:13" s="37" customFormat="1" ht="14.4" hidden="1">
      <c r="A63" s="139" t="s">
        <v>410</v>
      </c>
      <c r="B63" s="139"/>
      <c r="C63" s="139"/>
      <c r="D63" s="139"/>
      <c r="E63" s="139"/>
    </row>
    <row r="64" spans="1:13" s="37" customFormat="1" ht="15" hidden="1" thickBot="1"/>
    <row r="65" spans="1:7" s="37" customFormat="1" ht="29.4" hidden="1" thickBot="1">
      <c r="A65" s="81" t="s">
        <v>403</v>
      </c>
      <c r="B65" s="46" t="s">
        <v>404</v>
      </c>
      <c r="C65" s="46" t="s">
        <v>405</v>
      </c>
      <c r="D65" s="46" t="s">
        <v>406</v>
      </c>
      <c r="E65" s="47" t="s">
        <v>407</v>
      </c>
    </row>
    <row r="66" spans="1:7" s="37" customFormat="1" ht="14.4" hidden="1">
      <c r="A66" s="78">
        <v>45658</v>
      </c>
      <c r="B66" s="38">
        <v>16085</v>
      </c>
      <c r="C66" s="44" t="s">
        <v>408</v>
      </c>
      <c r="D66" s="38">
        <v>10725</v>
      </c>
      <c r="E66" s="45" t="s">
        <v>408</v>
      </c>
    </row>
    <row r="67" spans="1:7" s="37" customFormat="1" ht="14.4" hidden="1">
      <c r="A67" s="79">
        <v>45689</v>
      </c>
      <c r="B67" s="39">
        <v>16184</v>
      </c>
      <c r="C67" s="40">
        <f t="shared" ref="C67:C76" si="8">B67/B66-1</f>
        <v>6.1548026111284404E-3</v>
      </c>
      <c r="D67" s="39">
        <v>10767</v>
      </c>
      <c r="E67" s="41">
        <f t="shared" ref="E67:E76" si="9">D67/D66-1</f>
        <v>3.9160839160838901E-3</v>
      </c>
    </row>
    <row r="68" spans="1:7" s="37" customFormat="1" ht="14.4" hidden="1">
      <c r="A68" s="79">
        <v>45738</v>
      </c>
      <c r="B68" s="39">
        <v>16259</v>
      </c>
      <c r="C68" s="40">
        <f t="shared" si="8"/>
        <v>4.634206623826076E-3</v>
      </c>
      <c r="D68" s="39">
        <v>10842</v>
      </c>
      <c r="E68" s="41">
        <f t="shared" si="9"/>
        <v>6.9657286152131626E-3</v>
      </c>
    </row>
    <row r="69" spans="1:7" s="37" customFormat="1" ht="14.4" hidden="1">
      <c r="A69" s="79">
        <v>45800</v>
      </c>
      <c r="B69" s="39">
        <v>16259</v>
      </c>
      <c r="C69" s="40">
        <f t="shared" si="8"/>
        <v>0</v>
      </c>
      <c r="D69" s="39">
        <v>10842</v>
      </c>
      <c r="E69" s="41">
        <f t="shared" si="9"/>
        <v>0</v>
      </c>
    </row>
    <row r="70" spans="1:7" s="37" customFormat="1" ht="14.4" hidden="1">
      <c r="A70" s="79">
        <v>45825</v>
      </c>
      <c r="B70" s="39">
        <v>16293</v>
      </c>
      <c r="C70" s="40">
        <f t="shared" si="8"/>
        <v>2.0911495171904715E-3</v>
      </c>
      <c r="D70" s="39">
        <v>10876</v>
      </c>
      <c r="E70" s="41">
        <f t="shared" si="9"/>
        <v>3.1359527762404582E-3</v>
      </c>
    </row>
    <row r="71" spans="1:7" s="37" customFormat="1" ht="14.4" hidden="1">
      <c r="A71" s="79">
        <v>45850</v>
      </c>
      <c r="B71" s="39">
        <v>16293</v>
      </c>
      <c r="C71" s="40">
        <f t="shared" si="8"/>
        <v>0</v>
      </c>
      <c r="D71" s="39">
        <v>10876</v>
      </c>
      <c r="E71" s="41">
        <f t="shared" si="9"/>
        <v>0</v>
      </c>
    </row>
    <row r="72" spans="1:7" s="37" customFormat="1" ht="14.4" hidden="1">
      <c r="A72" s="79">
        <v>45886</v>
      </c>
      <c r="B72" s="39">
        <v>16293</v>
      </c>
      <c r="C72" s="40">
        <f t="shared" si="8"/>
        <v>0</v>
      </c>
      <c r="D72" s="39">
        <v>10976</v>
      </c>
      <c r="E72" s="41">
        <f t="shared" si="9"/>
        <v>9.194556822361255E-3</v>
      </c>
    </row>
    <row r="73" spans="1:7" s="37" customFormat="1" ht="14.4" hidden="1">
      <c r="A73" s="79">
        <v>45954</v>
      </c>
      <c r="B73" s="39">
        <v>16393</v>
      </c>
      <c r="C73" s="40">
        <f t="shared" si="8"/>
        <v>6.1376051064874204E-3</v>
      </c>
      <c r="D73" s="39">
        <v>11076</v>
      </c>
      <c r="E73" s="41">
        <f t="shared" si="9"/>
        <v>9.1107871720117473E-3</v>
      </c>
    </row>
    <row r="74" spans="1:7" s="37" customFormat="1" ht="14.4" hidden="1">
      <c r="A74" s="79">
        <v>46011</v>
      </c>
      <c r="B74" s="39">
        <v>16393</v>
      </c>
      <c r="C74" s="40">
        <f t="shared" si="8"/>
        <v>0</v>
      </c>
      <c r="D74" s="39">
        <v>11176</v>
      </c>
      <c r="E74" s="41">
        <f t="shared" si="9"/>
        <v>9.0285301552908148E-3</v>
      </c>
    </row>
    <row r="75" spans="1:7" s="37" customFormat="1" ht="14.4" hidden="1">
      <c r="A75" s="79">
        <v>46023</v>
      </c>
      <c r="B75" s="39">
        <v>16491</v>
      </c>
      <c r="C75" s="40">
        <f t="shared" si="8"/>
        <v>5.9781614103580072E-3</v>
      </c>
      <c r="D75" s="39">
        <v>11276</v>
      </c>
      <c r="E75" s="41">
        <f t="shared" si="9"/>
        <v>8.9477451682176135E-3</v>
      </c>
    </row>
    <row r="76" spans="1:7" s="37" customFormat="1" ht="14.4" hidden="1">
      <c r="A76" s="79">
        <v>46054</v>
      </c>
      <c r="B76" s="39">
        <v>15991</v>
      </c>
      <c r="C76" s="40">
        <f t="shared" si="8"/>
        <v>-3.0319568249348117E-2</v>
      </c>
      <c r="D76" s="39">
        <v>11276</v>
      </c>
      <c r="E76" s="41">
        <f t="shared" si="9"/>
        <v>0</v>
      </c>
    </row>
    <row r="77" spans="1:7" s="37" customFormat="1" ht="15" hidden="1" thickBot="1">
      <c r="A77" s="80" t="s">
        <v>409</v>
      </c>
      <c r="B77" s="42">
        <f>ROUND(AVERAGE(B66:B76),0)</f>
        <v>16267</v>
      </c>
      <c r="C77" s="42" t="s">
        <v>408</v>
      </c>
      <c r="D77" s="42">
        <f>ROUND(AVERAGE(D66:D76),0)</f>
        <v>10973</v>
      </c>
      <c r="E77" s="43" t="s">
        <v>408</v>
      </c>
    </row>
    <row r="78" spans="1:7" hidden="1"/>
    <row r="79" spans="1:7">
      <c r="A79" s="149" t="s">
        <v>505</v>
      </c>
      <c r="B79" s="149"/>
      <c r="C79" s="149"/>
      <c r="D79" s="149"/>
      <c r="E79" s="149"/>
      <c r="F79" s="149"/>
      <c r="G79" s="149"/>
    </row>
    <row r="84" spans="2:13" ht="39.6">
      <c r="K84" s="56" t="s">
        <v>384</v>
      </c>
      <c r="L84" s="128" t="s">
        <v>497</v>
      </c>
      <c r="M84" s="128" t="s">
        <v>498</v>
      </c>
    </row>
    <row r="85" spans="2:13">
      <c r="K85" s="58" t="s">
        <v>393</v>
      </c>
      <c r="L85" s="129">
        <v>15881</v>
      </c>
      <c r="M85" s="129">
        <v>11216</v>
      </c>
    </row>
    <row r="86" spans="2:13">
      <c r="K86" s="58" t="s">
        <v>392</v>
      </c>
      <c r="L86" s="129">
        <v>15924</v>
      </c>
      <c r="M86" s="129">
        <v>11251</v>
      </c>
    </row>
    <row r="87" spans="2:13">
      <c r="K87" s="58" t="s">
        <v>394</v>
      </c>
      <c r="L87" s="129">
        <v>16131</v>
      </c>
      <c r="M87" s="129">
        <v>11466</v>
      </c>
    </row>
    <row r="88" spans="2:13" ht="26.4">
      <c r="K88" s="60" t="s">
        <v>499</v>
      </c>
      <c r="L88" s="130">
        <v>15979</v>
      </c>
      <c r="M88" s="130">
        <v>11311</v>
      </c>
    </row>
    <row r="92" spans="2:13" hidden="1"/>
    <row r="93" spans="2:13" hidden="1">
      <c r="B93" t="s">
        <v>479</v>
      </c>
      <c r="C93" s="105">
        <v>11000000</v>
      </c>
    </row>
    <row r="94" spans="2:13" hidden="1">
      <c r="B94" t="s">
        <v>480</v>
      </c>
      <c r="C94" s="105">
        <v>16500000</v>
      </c>
    </row>
    <row r="95" spans="2:13" hidden="1">
      <c r="B95" t="s">
        <v>481</v>
      </c>
      <c r="C95" s="105">
        <v>15600000</v>
      </c>
    </row>
  </sheetData>
  <mergeCells count="19">
    <mergeCell ref="A63:E63"/>
    <mergeCell ref="P6:T6"/>
    <mergeCell ref="C6:E6"/>
    <mergeCell ref="A15:M15"/>
    <mergeCell ref="A79:G79"/>
    <mergeCell ref="A2:S2"/>
    <mergeCell ref="F6:H6"/>
    <mergeCell ref="B7:B8"/>
    <mergeCell ref="A7:A8"/>
    <mergeCell ref="A44:G44"/>
    <mergeCell ref="A18:A19"/>
    <mergeCell ref="B18:B19"/>
    <mergeCell ref="A17:G17"/>
    <mergeCell ref="A29:A30"/>
    <mergeCell ref="B29:B30"/>
    <mergeCell ref="E29:E30"/>
    <mergeCell ref="K40:V40"/>
    <mergeCell ref="A36:D36"/>
    <mergeCell ref="A27:E27"/>
  </mergeCells>
  <phoneticPr fontId="35" type="noConversion"/>
  <conditionalFormatting sqref="D20:G20">
    <cfRule type="colorScale" priority="5">
      <colorScale>
        <cfvo type="min"/>
        <cfvo type="percentile" val="50"/>
        <cfvo type="max"/>
        <color rgb="FFF8696B"/>
        <color rgb="FFFFEB84"/>
        <color rgb="FF63BE7B"/>
      </colorScale>
    </cfRule>
  </conditionalFormatting>
  <conditionalFormatting sqref="D21:G21">
    <cfRule type="colorScale" priority="4">
      <colorScale>
        <cfvo type="min"/>
        <cfvo type="percentile" val="50"/>
        <cfvo type="max"/>
        <color rgb="FFF8696B"/>
        <color rgb="FFFFEB84"/>
        <color rgb="FF63BE7B"/>
      </colorScale>
    </cfRule>
  </conditionalFormatting>
  <conditionalFormatting sqref="D22:G22">
    <cfRule type="colorScale" priority="3">
      <colorScale>
        <cfvo type="min"/>
        <cfvo type="percentile" val="50"/>
        <cfvo type="max"/>
        <color rgb="FFF8696B"/>
        <color rgb="FFFFEB84"/>
        <color rgb="FF63BE7B"/>
      </colorScale>
    </cfRule>
  </conditionalFormatting>
  <conditionalFormatting sqref="D23:G23">
    <cfRule type="colorScale" priority="2">
      <colorScale>
        <cfvo type="min"/>
        <cfvo type="percentile" val="50"/>
        <cfvo type="max"/>
        <color rgb="FFF8696B"/>
        <color rgb="FFFFEB84"/>
        <color rgb="FF63BE7B"/>
      </colorScale>
    </cfRule>
  </conditionalFormatting>
  <conditionalFormatting sqref="D24:G24">
    <cfRule type="colorScale" priority="1">
      <colorScale>
        <cfvo type="min"/>
        <cfvo type="percentile" val="50"/>
        <cfvo type="max"/>
        <color rgb="FFF8696B"/>
        <color rgb="FFFFEB84"/>
        <color rgb="FF63BE7B"/>
      </colorScale>
    </cfRule>
  </conditionalFormatting>
  <conditionalFormatting sqref="Q9:U9">
    <cfRule type="colorScale" priority="9">
      <colorScale>
        <cfvo type="min"/>
        <cfvo type="percentile" val="50"/>
        <cfvo type="max"/>
        <color rgb="FFF8696B"/>
        <color rgb="FFFFEB84"/>
        <color rgb="FF63BE7B"/>
      </colorScale>
    </cfRule>
  </conditionalFormatting>
  <conditionalFormatting sqref="Q10:U10">
    <cfRule type="colorScale" priority="8">
      <colorScale>
        <cfvo type="min"/>
        <cfvo type="percentile" val="50"/>
        <cfvo type="max"/>
        <color rgb="FFF8696B"/>
        <color rgb="FFFFEB84"/>
        <color rgb="FF63BE7B"/>
      </colorScale>
    </cfRule>
  </conditionalFormatting>
  <conditionalFormatting sqref="Q11:U11">
    <cfRule type="colorScale" priority="7">
      <colorScale>
        <cfvo type="min"/>
        <cfvo type="percentile" val="50"/>
        <cfvo type="max"/>
        <color rgb="FFF8696B"/>
        <color rgb="FFFFEB84"/>
        <color rgb="FF63BE7B"/>
      </colorScale>
    </cfRule>
  </conditionalFormatting>
  <conditionalFormatting sqref="Q12:U12">
    <cfRule type="colorScale" priority="6">
      <colorScale>
        <cfvo type="min"/>
        <cfvo type="percentile" val="50"/>
        <cfvo type="max"/>
        <color rgb="FFF8696B"/>
        <color rgb="FFFFEB84"/>
        <color rgb="FF63BE7B"/>
      </colorScale>
    </cfRule>
  </conditionalFormatting>
  <hyperlinks>
    <hyperlink ref="A15" r:id="rId1" display="https://app.powerbi.com/view?r=eyJrIjoiYmY4ODk2OGYtNmMwOC00ODQzLWEzM2MtNjM4ODg0Y2VmNWQ2IiwidCI6ImM5ODBlNDEwLTBiNWMtNDhiYy1iZDFhLThiOTFjYWJjODRiYyIsImMiOjR9" xr:uid="{327BBBB7-9861-4CA2-816A-8B725F82F751}"/>
    <hyperlink ref="K40" r:id="rId2" xr:uid="{35A97648-1B70-452C-BDF1-E647EA02D67F}"/>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D5852-DBA6-4A0A-B349-5AE965017E33}">
  <dimension ref="A1:K59"/>
  <sheetViews>
    <sheetView topLeftCell="C19" zoomScaleNormal="100" workbookViewId="0">
      <selection activeCell="L1" sqref="L1:AD1048576"/>
    </sheetView>
  </sheetViews>
  <sheetFormatPr baseColWidth="10" defaultRowHeight="13.2"/>
  <cols>
    <col min="1" max="1" width="2.88671875" customWidth="1"/>
    <col min="11" max="11" width="2.88671875" customWidth="1"/>
    <col min="12" max="12" width="2.33203125" customWidth="1"/>
  </cols>
  <sheetData>
    <row r="1" spans="1:11">
      <c r="A1" s="117"/>
      <c r="B1" s="118"/>
      <c r="C1" s="118"/>
      <c r="D1" s="118"/>
      <c r="E1" s="118"/>
      <c r="F1" s="118"/>
      <c r="G1" s="118"/>
      <c r="H1" s="118"/>
      <c r="I1" s="118"/>
      <c r="J1" s="118"/>
      <c r="K1" s="119"/>
    </row>
    <row r="2" spans="1:11" ht="51.6" customHeight="1">
      <c r="A2" s="120"/>
      <c r="B2" s="151" t="s">
        <v>503</v>
      </c>
      <c r="C2" s="152"/>
      <c r="D2" s="152"/>
      <c r="E2" s="152"/>
      <c r="F2" s="152"/>
      <c r="G2" s="152"/>
      <c r="H2" s="152"/>
      <c r="I2" s="152"/>
      <c r="J2" s="152"/>
      <c r="K2" s="121"/>
    </row>
    <row r="3" spans="1:11">
      <c r="A3" s="120"/>
      <c r="B3" s="149"/>
      <c r="C3" s="149"/>
      <c r="D3" s="149"/>
      <c r="E3" s="149"/>
      <c r="F3" s="149"/>
      <c r="G3" s="149"/>
      <c r="H3" s="149"/>
      <c r="I3" s="149"/>
      <c r="J3" s="149"/>
      <c r="K3" s="121"/>
    </row>
    <row r="4" spans="1:11">
      <c r="A4" s="120"/>
      <c r="B4" s="149"/>
      <c r="C4" s="149"/>
      <c r="D4" s="149"/>
      <c r="E4" s="149"/>
      <c r="F4" s="149"/>
      <c r="G4" s="149"/>
      <c r="H4" s="149"/>
      <c r="I4" s="149"/>
      <c r="J4" s="149"/>
      <c r="K4" s="121"/>
    </row>
    <row r="5" spans="1:11">
      <c r="A5" s="120"/>
      <c r="B5" s="149"/>
      <c r="C5" s="149"/>
      <c r="D5" s="149"/>
      <c r="E5" s="149"/>
      <c r="F5" s="149"/>
      <c r="G5" s="149"/>
      <c r="H5" s="149"/>
      <c r="I5" s="149"/>
      <c r="J5" s="149"/>
      <c r="K5" s="121"/>
    </row>
    <row r="6" spans="1:11">
      <c r="A6" s="120"/>
      <c r="B6" s="149"/>
      <c r="C6" s="149"/>
      <c r="D6" s="149"/>
      <c r="E6" s="149"/>
      <c r="F6" s="149"/>
      <c r="G6" s="149"/>
      <c r="H6" s="149"/>
      <c r="I6" s="149"/>
      <c r="J6" s="149"/>
      <c r="K6" s="121"/>
    </row>
    <row r="7" spans="1:11">
      <c r="A7" s="120"/>
      <c r="B7" s="149"/>
      <c r="C7" s="149"/>
      <c r="D7" s="149"/>
      <c r="E7" s="149"/>
      <c r="F7" s="149"/>
      <c r="G7" s="149"/>
      <c r="H7" s="149"/>
      <c r="I7" s="149"/>
      <c r="J7" s="149"/>
      <c r="K7" s="121"/>
    </row>
    <row r="8" spans="1:11">
      <c r="A8" s="120"/>
      <c r="B8" s="149"/>
      <c r="C8" s="149"/>
      <c r="D8" s="149"/>
      <c r="E8" s="149"/>
      <c r="F8" s="149"/>
      <c r="G8" s="149"/>
      <c r="H8" s="149"/>
      <c r="I8" s="149"/>
      <c r="J8" s="149"/>
      <c r="K8" s="121"/>
    </row>
    <row r="9" spans="1:11">
      <c r="A9" s="120"/>
      <c r="B9" s="149"/>
      <c r="C9" s="149"/>
      <c r="D9" s="149"/>
      <c r="E9" s="149"/>
      <c r="F9" s="149"/>
      <c r="G9" s="149"/>
      <c r="H9" s="149"/>
      <c r="I9" s="149"/>
      <c r="J9" s="149"/>
      <c r="K9" s="121"/>
    </row>
    <row r="10" spans="1:11">
      <c r="A10" s="120"/>
      <c r="B10" s="149"/>
      <c r="C10" s="149"/>
      <c r="D10" s="149"/>
      <c r="E10" s="149"/>
      <c r="F10" s="149"/>
      <c r="G10" s="149"/>
      <c r="H10" s="149"/>
      <c r="I10" s="149"/>
      <c r="J10" s="149"/>
      <c r="K10" s="121"/>
    </row>
    <row r="11" spans="1:11">
      <c r="A11" s="120"/>
      <c r="B11" s="149"/>
      <c r="C11" s="149"/>
      <c r="D11" s="149"/>
      <c r="E11" s="149"/>
      <c r="F11" s="149"/>
      <c r="G11" s="149"/>
      <c r="H11" s="149"/>
      <c r="I11" s="149"/>
      <c r="J11" s="149"/>
      <c r="K11" s="121"/>
    </row>
    <row r="12" spans="1:11">
      <c r="A12" s="120"/>
      <c r="B12" s="149"/>
      <c r="C12" s="149"/>
      <c r="D12" s="149"/>
      <c r="E12" s="149"/>
      <c r="F12" s="149"/>
      <c r="G12" s="149"/>
      <c r="H12" s="149"/>
      <c r="I12" s="149"/>
      <c r="J12" s="149"/>
      <c r="K12" s="121"/>
    </row>
    <row r="13" spans="1:11">
      <c r="A13" s="120"/>
      <c r="B13" s="149"/>
      <c r="C13" s="149"/>
      <c r="D13" s="149"/>
      <c r="E13" s="149"/>
      <c r="F13" s="149"/>
      <c r="G13" s="149"/>
      <c r="H13" s="149"/>
      <c r="I13" s="149"/>
      <c r="J13" s="149"/>
      <c r="K13" s="121"/>
    </row>
    <row r="14" spans="1:11">
      <c r="A14" s="120"/>
      <c r="B14" s="149"/>
      <c r="C14" s="149"/>
      <c r="D14" s="149"/>
      <c r="E14" s="149"/>
      <c r="F14" s="149"/>
      <c r="G14" s="149"/>
      <c r="H14" s="149"/>
      <c r="I14" s="149"/>
      <c r="J14" s="149"/>
      <c r="K14" s="121"/>
    </row>
    <row r="15" spans="1:11">
      <c r="A15" s="120"/>
      <c r="B15" s="149"/>
      <c r="C15" s="149"/>
      <c r="D15" s="149"/>
      <c r="E15" s="149"/>
      <c r="F15" s="149"/>
      <c r="G15" s="149"/>
      <c r="H15" s="149"/>
      <c r="I15" s="149"/>
      <c r="J15" s="149"/>
      <c r="K15" s="121"/>
    </row>
    <row r="16" spans="1:11">
      <c r="A16" s="120"/>
      <c r="B16" s="149"/>
      <c r="C16" s="149"/>
      <c r="D16" s="149"/>
      <c r="E16" s="149"/>
      <c r="F16" s="149"/>
      <c r="G16" s="149"/>
      <c r="H16" s="149"/>
      <c r="I16" s="149"/>
      <c r="J16" s="149"/>
      <c r="K16" s="121"/>
    </row>
    <row r="17" spans="1:11">
      <c r="A17" s="120"/>
      <c r="B17" s="149"/>
      <c r="C17" s="149"/>
      <c r="D17" s="149"/>
      <c r="E17" s="149"/>
      <c r="F17" s="149"/>
      <c r="G17" s="149"/>
      <c r="H17" s="149"/>
      <c r="I17" s="149"/>
      <c r="J17" s="149"/>
      <c r="K17" s="121"/>
    </row>
    <row r="18" spans="1:11">
      <c r="A18" s="120"/>
      <c r="B18" s="149"/>
      <c r="C18" s="149"/>
      <c r="D18" s="149"/>
      <c r="E18" s="149"/>
      <c r="F18" s="149"/>
      <c r="G18" s="149"/>
      <c r="H18" s="149"/>
      <c r="I18" s="149"/>
      <c r="J18" s="149"/>
      <c r="K18" s="121"/>
    </row>
    <row r="19" spans="1:11">
      <c r="A19" s="120"/>
      <c r="B19" s="149"/>
      <c r="C19" s="149"/>
      <c r="D19" s="149"/>
      <c r="E19" s="149"/>
      <c r="F19" s="149"/>
      <c r="G19" s="149"/>
      <c r="H19" s="149"/>
      <c r="I19" s="149"/>
      <c r="J19" s="149"/>
      <c r="K19" s="121"/>
    </row>
    <row r="20" spans="1:11">
      <c r="A20" s="120"/>
      <c r="B20" s="149"/>
      <c r="C20" s="149"/>
      <c r="D20" s="149"/>
      <c r="E20" s="149"/>
      <c r="F20" s="149"/>
      <c r="G20" s="149"/>
      <c r="H20" s="149"/>
      <c r="I20" s="149"/>
      <c r="J20" s="149"/>
      <c r="K20" s="121"/>
    </row>
    <row r="21" spans="1:11">
      <c r="A21" s="120"/>
      <c r="B21" s="149"/>
      <c r="C21" s="149"/>
      <c r="D21" s="149"/>
      <c r="E21" s="149"/>
      <c r="F21" s="149"/>
      <c r="G21" s="149"/>
      <c r="H21" s="149"/>
      <c r="I21" s="149"/>
      <c r="J21" s="149"/>
      <c r="K21" s="121"/>
    </row>
    <row r="22" spans="1:11">
      <c r="A22" s="120"/>
      <c r="B22" s="149"/>
      <c r="C22" s="149"/>
      <c r="D22" s="149"/>
      <c r="E22" s="149"/>
      <c r="F22" s="149"/>
      <c r="G22" s="149"/>
      <c r="H22" s="149"/>
      <c r="I22" s="149"/>
      <c r="J22" s="149"/>
      <c r="K22" s="121"/>
    </row>
    <row r="23" spans="1:11">
      <c r="A23" s="120"/>
      <c r="B23" s="149"/>
      <c r="C23" s="149"/>
      <c r="D23" s="149"/>
      <c r="E23" s="149"/>
      <c r="F23" s="149"/>
      <c r="G23" s="149"/>
      <c r="H23" s="149"/>
      <c r="I23" s="149"/>
      <c r="J23" s="149"/>
      <c r="K23" s="121"/>
    </row>
    <row r="24" spans="1:11">
      <c r="A24" s="120"/>
      <c r="B24" s="149"/>
      <c r="C24" s="149"/>
      <c r="D24" s="149"/>
      <c r="E24" s="149"/>
      <c r="F24" s="149"/>
      <c r="G24" s="149"/>
      <c r="H24" s="149"/>
      <c r="I24" s="149"/>
      <c r="J24" s="149"/>
      <c r="K24" s="121"/>
    </row>
    <row r="25" spans="1:11">
      <c r="A25" s="120"/>
      <c r="B25" s="149"/>
      <c r="C25" s="149"/>
      <c r="D25" s="149"/>
      <c r="E25" s="149"/>
      <c r="F25" s="149"/>
      <c r="G25" s="149"/>
      <c r="H25" s="149"/>
      <c r="I25" s="149"/>
      <c r="J25" s="149"/>
      <c r="K25" s="121"/>
    </row>
    <row r="26" spans="1:11">
      <c r="A26" s="120"/>
      <c r="B26" s="149"/>
      <c r="C26" s="149"/>
      <c r="D26" s="149"/>
      <c r="E26" s="149"/>
      <c r="F26" s="149"/>
      <c r="G26" s="149"/>
      <c r="H26" s="149"/>
      <c r="I26" s="149"/>
      <c r="J26" s="149"/>
      <c r="K26" s="121"/>
    </row>
    <row r="27" spans="1:11">
      <c r="A27" s="120"/>
      <c r="B27" s="149"/>
      <c r="C27" s="149"/>
      <c r="D27" s="149"/>
      <c r="E27" s="149"/>
      <c r="F27" s="149"/>
      <c r="G27" s="149"/>
      <c r="H27" s="149"/>
      <c r="I27" s="149"/>
      <c r="J27" s="149"/>
      <c r="K27" s="121"/>
    </row>
    <row r="28" spans="1:11">
      <c r="A28" s="120"/>
      <c r="B28" s="149"/>
      <c r="C28" s="149"/>
      <c r="D28" s="149"/>
      <c r="E28" s="149"/>
      <c r="F28" s="149"/>
      <c r="G28" s="149"/>
      <c r="H28" s="149"/>
      <c r="I28" s="149"/>
      <c r="J28" s="149"/>
      <c r="K28" s="121"/>
    </row>
    <row r="29" spans="1:11" ht="31.2" customHeight="1">
      <c r="A29" s="120"/>
      <c r="B29" s="150" t="s">
        <v>426</v>
      </c>
      <c r="C29" s="150"/>
      <c r="D29" s="150"/>
      <c r="E29" s="150"/>
      <c r="F29" s="150"/>
      <c r="G29" s="150"/>
      <c r="H29" s="150"/>
      <c r="I29" s="150"/>
      <c r="J29" s="150"/>
      <c r="K29" s="121"/>
    </row>
    <row r="30" spans="1:11">
      <c r="A30" s="120"/>
      <c r="K30" s="121"/>
    </row>
    <row r="31" spans="1:11" ht="51.6" customHeight="1">
      <c r="A31" s="120"/>
      <c r="B31" s="151" t="s">
        <v>504</v>
      </c>
      <c r="C31" s="152"/>
      <c r="D31" s="152"/>
      <c r="E31" s="152"/>
      <c r="F31" s="152"/>
      <c r="G31" s="152"/>
      <c r="H31" s="152"/>
      <c r="I31" s="152"/>
      <c r="J31" s="152"/>
      <c r="K31" s="121"/>
    </row>
    <row r="32" spans="1:11">
      <c r="A32" s="120"/>
      <c r="B32" s="149"/>
      <c r="C32" s="149"/>
      <c r="D32" s="149"/>
      <c r="E32" s="149"/>
      <c r="F32" s="149"/>
      <c r="G32" s="149"/>
      <c r="H32" s="149"/>
      <c r="I32" s="149"/>
      <c r="J32" s="149"/>
      <c r="K32" s="121"/>
    </row>
    <row r="33" spans="1:11">
      <c r="A33" s="120"/>
      <c r="B33" s="149"/>
      <c r="C33" s="149"/>
      <c r="D33" s="149"/>
      <c r="E33" s="149"/>
      <c r="F33" s="149"/>
      <c r="G33" s="149"/>
      <c r="H33" s="149"/>
      <c r="I33" s="149"/>
      <c r="J33" s="149"/>
      <c r="K33" s="121"/>
    </row>
    <row r="34" spans="1:11">
      <c r="A34" s="120"/>
      <c r="B34" s="149"/>
      <c r="C34" s="149"/>
      <c r="D34" s="149"/>
      <c r="E34" s="149"/>
      <c r="F34" s="149"/>
      <c r="G34" s="149"/>
      <c r="H34" s="149"/>
      <c r="I34" s="149"/>
      <c r="J34" s="149"/>
      <c r="K34" s="121"/>
    </row>
    <row r="35" spans="1:11">
      <c r="A35" s="120"/>
      <c r="B35" s="149"/>
      <c r="C35" s="149"/>
      <c r="D35" s="149"/>
      <c r="E35" s="149"/>
      <c r="F35" s="149"/>
      <c r="G35" s="149"/>
      <c r="H35" s="149"/>
      <c r="I35" s="149"/>
      <c r="J35" s="149"/>
      <c r="K35" s="121"/>
    </row>
    <row r="36" spans="1:11">
      <c r="A36" s="120"/>
      <c r="B36" s="149"/>
      <c r="C36" s="149"/>
      <c r="D36" s="149"/>
      <c r="E36" s="149"/>
      <c r="F36" s="149"/>
      <c r="G36" s="149"/>
      <c r="H36" s="149"/>
      <c r="I36" s="149"/>
      <c r="J36" s="149"/>
      <c r="K36" s="121"/>
    </row>
    <row r="37" spans="1:11">
      <c r="A37" s="120"/>
      <c r="B37" s="149"/>
      <c r="C37" s="149"/>
      <c r="D37" s="149"/>
      <c r="E37" s="149"/>
      <c r="F37" s="149"/>
      <c r="G37" s="149"/>
      <c r="H37" s="149"/>
      <c r="I37" s="149"/>
      <c r="J37" s="149"/>
      <c r="K37" s="121"/>
    </row>
    <row r="38" spans="1:11">
      <c r="A38" s="120"/>
      <c r="B38" s="149"/>
      <c r="C38" s="149"/>
      <c r="D38" s="149"/>
      <c r="E38" s="149"/>
      <c r="F38" s="149"/>
      <c r="G38" s="149"/>
      <c r="H38" s="149"/>
      <c r="I38" s="149"/>
      <c r="J38" s="149"/>
      <c r="K38" s="121"/>
    </row>
    <row r="39" spans="1:11">
      <c r="A39" s="120"/>
      <c r="B39" s="149"/>
      <c r="C39" s="149"/>
      <c r="D39" s="149"/>
      <c r="E39" s="149"/>
      <c r="F39" s="149"/>
      <c r="G39" s="149"/>
      <c r="H39" s="149"/>
      <c r="I39" s="149"/>
      <c r="J39" s="149"/>
      <c r="K39" s="121"/>
    </row>
    <row r="40" spans="1:11">
      <c r="A40" s="120"/>
      <c r="B40" s="149"/>
      <c r="C40" s="149"/>
      <c r="D40" s="149"/>
      <c r="E40" s="149"/>
      <c r="F40" s="149"/>
      <c r="G40" s="149"/>
      <c r="H40" s="149"/>
      <c r="I40" s="149"/>
      <c r="J40" s="149"/>
      <c r="K40" s="121"/>
    </row>
    <row r="41" spans="1:11">
      <c r="A41" s="120"/>
      <c r="B41" s="149"/>
      <c r="C41" s="149"/>
      <c r="D41" s="149"/>
      <c r="E41" s="149"/>
      <c r="F41" s="149"/>
      <c r="G41" s="149"/>
      <c r="H41" s="149"/>
      <c r="I41" s="149"/>
      <c r="J41" s="149"/>
      <c r="K41" s="121"/>
    </row>
    <row r="42" spans="1:11">
      <c r="A42" s="120"/>
      <c r="B42" s="149"/>
      <c r="C42" s="149"/>
      <c r="D42" s="149"/>
      <c r="E42" s="149"/>
      <c r="F42" s="149"/>
      <c r="G42" s="149"/>
      <c r="H42" s="149"/>
      <c r="I42" s="149"/>
      <c r="J42" s="149"/>
      <c r="K42" s="121"/>
    </row>
    <row r="43" spans="1:11">
      <c r="A43" s="120"/>
      <c r="B43" s="149"/>
      <c r="C43" s="149"/>
      <c r="D43" s="149"/>
      <c r="E43" s="149"/>
      <c r="F43" s="149"/>
      <c r="G43" s="149"/>
      <c r="H43" s="149"/>
      <c r="I43" s="149"/>
      <c r="J43" s="149"/>
      <c r="K43" s="121"/>
    </row>
    <row r="44" spans="1:11">
      <c r="A44" s="120"/>
      <c r="B44" s="149"/>
      <c r="C44" s="149"/>
      <c r="D44" s="149"/>
      <c r="E44" s="149"/>
      <c r="F44" s="149"/>
      <c r="G44" s="149"/>
      <c r="H44" s="149"/>
      <c r="I44" s="149"/>
      <c r="J44" s="149"/>
      <c r="K44" s="121"/>
    </row>
    <row r="45" spans="1:11">
      <c r="A45" s="120"/>
      <c r="B45" s="149"/>
      <c r="C45" s="149"/>
      <c r="D45" s="149"/>
      <c r="E45" s="149"/>
      <c r="F45" s="149"/>
      <c r="G45" s="149"/>
      <c r="H45" s="149"/>
      <c r="I45" s="149"/>
      <c r="J45" s="149"/>
      <c r="K45" s="121"/>
    </row>
    <row r="46" spans="1:11">
      <c r="A46" s="120"/>
      <c r="B46" s="149"/>
      <c r="C46" s="149"/>
      <c r="D46" s="149"/>
      <c r="E46" s="149"/>
      <c r="F46" s="149"/>
      <c r="G46" s="149"/>
      <c r="H46" s="149"/>
      <c r="I46" s="149"/>
      <c r="J46" s="149"/>
      <c r="K46" s="121"/>
    </row>
    <row r="47" spans="1:11">
      <c r="A47" s="120"/>
      <c r="B47" s="149"/>
      <c r="C47" s="149"/>
      <c r="D47" s="149"/>
      <c r="E47" s="149"/>
      <c r="F47" s="149"/>
      <c r="G47" s="149"/>
      <c r="H47" s="149"/>
      <c r="I47" s="149"/>
      <c r="J47" s="149"/>
      <c r="K47" s="121"/>
    </row>
    <row r="48" spans="1:11">
      <c r="A48" s="120"/>
      <c r="B48" s="149"/>
      <c r="C48" s="149"/>
      <c r="D48" s="149"/>
      <c r="E48" s="149"/>
      <c r="F48" s="149"/>
      <c r="G48" s="149"/>
      <c r="H48" s="149"/>
      <c r="I48" s="149"/>
      <c r="J48" s="149"/>
      <c r="K48" s="121"/>
    </row>
    <row r="49" spans="1:11">
      <c r="A49" s="120"/>
      <c r="B49" s="149"/>
      <c r="C49" s="149"/>
      <c r="D49" s="149"/>
      <c r="E49" s="149"/>
      <c r="F49" s="149"/>
      <c r="G49" s="149"/>
      <c r="H49" s="149"/>
      <c r="I49" s="149"/>
      <c r="J49" s="149"/>
      <c r="K49" s="121"/>
    </row>
    <row r="50" spans="1:11">
      <c r="A50" s="120"/>
      <c r="B50" s="149"/>
      <c r="C50" s="149"/>
      <c r="D50" s="149"/>
      <c r="E50" s="149"/>
      <c r="F50" s="149"/>
      <c r="G50" s="149"/>
      <c r="H50" s="149"/>
      <c r="I50" s="149"/>
      <c r="J50" s="149"/>
      <c r="K50" s="121"/>
    </row>
    <row r="51" spans="1:11">
      <c r="A51" s="120"/>
      <c r="B51" s="149"/>
      <c r="C51" s="149"/>
      <c r="D51" s="149"/>
      <c r="E51" s="149"/>
      <c r="F51" s="149"/>
      <c r="G51" s="149"/>
      <c r="H51" s="149"/>
      <c r="I51" s="149"/>
      <c r="J51" s="149"/>
      <c r="K51" s="121"/>
    </row>
    <row r="52" spans="1:11">
      <c r="A52" s="120"/>
      <c r="B52" s="149"/>
      <c r="C52" s="149"/>
      <c r="D52" s="149"/>
      <c r="E52" s="149"/>
      <c r="F52" s="149"/>
      <c r="G52" s="149"/>
      <c r="H52" s="149"/>
      <c r="I52" s="149"/>
      <c r="J52" s="149"/>
      <c r="K52" s="121"/>
    </row>
    <row r="53" spans="1:11">
      <c r="A53" s="120"/>
      <c r="B53" s="149"/>
      <c r="C53" s="149"/>
      <c r="D53" s="149"/>
      <c r="E53" s="149"/>
      <c r="F53" s="149"/>
      <c r="G53" s="149"/>
      <c r="H53" s="149"/>
      <c r="I53" s="149"/>
      <c r="J53" s="149"/>
      <c r="K53" s="121"/>
    </row>
    <row r="54" spans="1:11">
      <c r="A54" s="120"/>
      <c r="B54" s="149"/>
      <c r="C54" s="149"/>
      <c r="D54" s="149"/>
      <c r="E54" s="149"/>
      <c r="F54" s="149"/>
      <c r="G54" s="149"/>
      <c r="H54" s="149"/>
      <c r="I54" s="149"/>
      <c r="J54" s="149"/>
      <c r="K54" s="121"/>
    </row>
    <row r="55" spans="1:11">
      <c r="A55" s="120"/>
      <c r="B55" s="149"/>
      <c r="C55" s="149"/>
      <c r="D55" s="149"/>
      <c r="E55" s="149"/>
      <c r="F55" s="149"/>
      <c r="G55" s="149"/>
      <c r="H55" s="149"/>
      <c r="I55" s="149"/>
      <c r="J55" s="149"/>
      <c r="K55" s="121"/>
    </row>
    <row r="56" spans="1:11">
      <c r="A56" s="120"/>
      <c r="B56" s="149"/>
      <c r="C56" s="149"/>
      <c r="D56" s="149"/>
      <c r="E56" s="149"/>
      <c r="F56" s="149"/>
      <c r="G56" s="149"/>
      <c r="H56" s="149"/>
      <c r="I56" s="149"/>
      <c r="J56" s="149"/>
      <c r="K56" s="121"/>
    </row>
    <row r="57" spans="1:11">
      <c r="A57" s="120"/>
      <c r="B57" s="149"/>
      <c r="C57" s="149"/>
      <c r="D57" s="149"/>
      <c r="E57" s="149"/>
      <c r="F57" s="149"/>
      <c r="G57" s="149"/>
      <c r="H57" s="149"/>
      <c r="I57" s="149"/>
      <c r="J57" s="149"/>
      <c r="K57" s="121"/>
    </row>
    <row r="58" spans="1:11" ht="34.799999999999997" customHeight="1">
      <c r="A58" s="120"/>
      <c r="B58" s="150" t="s">
        <v>426</v>
      </c>
      <c r="C58" s="150"/>
      <c r="D58" s="150"/>
      <c r="E58" s="150"/>
      <c r="F58" s="150"/>
      <c r="G58" s="150"/>
      <c r="H58" s="150"/>
      <c r="I58" s="150"/>
      <c r="J58" s="150"/>
      <c r="K58" s="121"/>
    </row>
    <row r="59" spans="1:11" ht="13.8" thickBot="1">
      <c r="A59" s="122"/>
      <c r="B59" s="123"/>
      <c r="C59" s="123"/>
      <c r="D59" s="123"/>
      <c r="E59" s="123"/>
      <c r="F59" s="123"/>
      <c r="G59" s="123"/>
      <c r="H59" s="123"/>
      <c r="I59" s="123"/>
      <c r="J59" s="123"/>
      <c r="K59" s="124"/>
    </row>
  </sheetData>
  <mergeCells count="6">
    <mergeCell ref="B2:J2"/>
    <mergeCell ref="B3:J28"/>
    <mergeCell ref="B29:J29"/>
    <mergeCell ref="B32:J57"/>
    <mergeCell ref="B58:J58"/>
    <mergeCell ref="B31:J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A6EB1-3886-4E10-894F-B0582E385DD5}">
  <dimension ref="B1:N4"/>
  <sheetViews>
    <sheetView topLeftCell="A3" workbookViewId="0">
      <selection activeCell="N4" sqref="N4"/>
    </sheetView>
  </sheetViews>
  <sheetFormatPr baseColWidth="10" defaultRowHeight="13.2"/>
  <cols>
    <col min="2" max="3" width="14.109375" customWidth="1"/>
    <col min="4" max="4" width="78.33203125" customWidth="1"/>
    <col min="5" max="5" width="21.33203125" customWidth="1"/>
    <col min="7" max="7" width="78.88671875" customWidth="1"/>
    <col min="8" max="8" width="33.44140625" customWidth="1"/>
    <col min="10" max="10" width="79.88671875" customWidth="1"/>
    <col min="11" max="11" width="28.88671875" customWidth="1"/>
    <col min="13" max="13" width="79.88671875" customWidth="1"/>
    <col min="14" max="14" width="34.21875" customWidth="1"/>
  </cols>
  <sheetData>
    <row r="1" spans="2:14">
      <c r="E1" t="str">
        <f>MID(E3,SEARCH("//",E3)+2,SEARCH(".",E3,SEARCH("//",E3))-(SEARCH("//",E3)+2))</f>
        <v>genticenter</v>
      </c>
      <c r="H1" t="str">
        <f>MID(H3,SEARCH("//",H3)+2,SEARCH(".",H3,SEARCH("//",H3))-(SEARCH("//",H3)+2))</f>
        <v>agroelectros</v>
      </c>
      <c r="K1" t="str">
        <f>MID(K3,SEARCH("//",K3)+2,SEARCH(".",K3,SEARCH("//",K3))-(SEARCH("//",K3)+2))</f>
        <v>ferricentro</v>
      </c>
      <c r="N1" t="s">
        <v>446</v>
      </c>
    </row>
    <row r="2" spans="2:14">
      <c r="B2" s="83" t="s">
        <v>428</v>
      </c>
      <c r="C2" s="83" t="s">
        <v>435</v>
      </c>
      <c r="D2" s="83" t="s">
        <v>436</v>
      </c>
      <c r="E2" s="83" t="s">
        <v>492</v>
      </c>
      <c r="F2" s="83" t="s">
        <v>437</v>
      </c>
      <c r="G2" s="83" t="s">
        <v>438</v>
      </c>
      <c r="H2" s="83" t="s">
        <v>493</v>
      </c>
      <c r="I2" s="83" t="s">
        <v>442</v>
      </c>
      <c r="J2" s="83" t="s">
        <v>443</v>
      </c>
      <c r="K2" s="83" t="s">
        <v>494</v>
      </c>
      <c r="L2" s="83" t="s">
        <v>444</v>
      </c>
      <c r="M2" s="83" t="s">
        <v>445</v>
      </c>
      <c r="N2" s="83" t="s">
        <v>495</v>
      </c>
    </row>
    <row r="3" spans="2:14" s="82" customFormat="1" ht="231" customHeight="1">
      <c r="B3" s="71" t="str">
        <f>'Analisis Economico Choco'!B11</f>
        <v>Aceite 2 tiempos</v>
      </c>
      <c r="C3" s="84">
        <f>156708*1.19</f>
        <v>186482.52</v>
      </c>
      <c r="D3" s="85"/>
      <c r="E3" s="86" t="s">
        <v>434</v>
      </c>
      <c r="F3" s="84">
        <v>145000</v>
      </c>
      <c r="G3" s="85"/>
      <c r="H3" s="86" t="s">
        <v>439</v>
      </c>
      <c r="I3" s="84">
        <v>142000</v>
      </c>
      <c r="J3" s="85"/>
      <c r="K3" s="86" t="s">
        <v>440</v>
      </c>
      <c r="L3" s="84">
        <v>249900</v>
      </c>
      <c r="M3" s="85"/>
      <c r="N3" s="86" t="s">
        <v>441</v>
      </c>
    </row>
    <row r="4" spans="2:14" s="82" customFormat="1" ht="231" customHeight="1">
      <c r="B4" s="71" t="str">
        <f>'Analisis Economico Choco'!B12</f>
        <v>Aceite 4 tiempos</v>
      </c>
      <c r="C4" s="84">
        <v>89900</v>
      </c>
      <c r="D4" s="85"/>
      <c r="E4" s="86" t="s">
        <v>447</v>
      </c>
      <c r="F4" s="84">
        <v>183600</v>
      </c>
      <c r="G4" s="85"/>
      <c r="H4" s="86" t="s">
        <v>448</v>
      </c>
      <c r="I4" s="84">
        <v>199890</v>
      </c>
      <c r="J4" s="85"/>
      <c r="K4" s="86" t="s">
        <v>449</v>
      </c>
      <c r="L4" s="84">
        <v>99000</v>
      </c>
      <c r="M4" s="85"/>
      <c r="N4" s="86" t="s">
        <v>450</v>
      </c>
    </row>
  </sheetData>
  <hyperlinks>
    <hyperlink ref="E3" r:id="rId1" xr:uid="{3C552706-BEAB-4AEB-B2C2-F0DF47661564}"/>
    <hyperlink ref="H3" r:id="rId2" xr:uid="{765719D6-3AA1-4F73-8589-9281CD860F96}"/>
    <hyperlink ref="K3" r:id="rId3" xr:uid="{7E5A7CF5-ED47-4865-A80D-3D1DCB7C727B}"/>
    <hyperlink ref="N3" r:id="rId4" xr:uid="{BF3D3508-4A91-4899-89FA-D2D8F2089FA6}"/>
    <hyperlink ref="E4" r:id="rId5" xr:uid="{9CC3ACC8-B4B5-4D55-8F31-6CD2BD3B8616}"/>
    <hyperlink ref="H4" r:id="rId6" xr:uid="{E67CC105-4AE8-4D57-B0D7-06B7D14E9FC8}"/>
    <hyperlink ref="K4" r:id="rId7" xr:uid="{B3CA1E69-E2D4-43A0-8F4E-DDF32A2C3FE6}"/>
    <hyperlink ref="N4" r:id="rId8" xr:uid="{EC785790-8349-413B-8925-77BA16523B3B}"/>
  </hyperlinks>
  <pageMargins left="0.7" right="0.7" top="0.75" bottom="0.75" header="0.3" footer="0.3"/>
  <drawing r:id="rId9"/>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BF8A4-43E8-4B30-BF60-7F6E1B8E387D}">
  <dimension ref="A1:N30"/>
  <sheetViews>
    <sheetView topLeftCell="D1" workbookViewId="0">
      <selection activeCell="I9" sqref="I9"/>
    </sheetView>
  </sheetViews>
  <sheetFormatPr baseColWidth="10" defaultColWidth="9.109375" defaultRowHeight="13.2"/>
  <cols>
    <col min="1" max="1" width="10.6640625" style="9" bestFit="1" customWidth="1"/>
    <col min="2" max="2" width="11.109375" style="9" bestFit="1" customWidth="1"/>
    <col min="3" max="3" width="14.5546875" style="9" bestFit="1" customWidth="1"/>
    <col min="4" max="4" width="26.109375" style="9" customWidth="1"/>
    <col min="5" max="5" width="11.6640625" style="9" customWidth="1"/>
    <col min="6" max="6" width="11.109375" style="14" customWidth="1"/>
    <col min="7" max="12" width="20.5546875" style="9" customWidth="1"/>
    <col min="13" max="14" width="23.5546875" style="9" hidden="1" customWidth="1"/>
  </cols>
  <sheetData>
    <row r="1" spans="1:14" s="4" customFormat="1" ht="15.6">
      <c r="A1" s="165"/>
      <c r="B1" s="166"/>
      <c r="C1" s="166"/>
      <c r="D1" s="169" t="s">
        <v>0</v>
      </c>
      <c r="E1" s="169"/>
      <c r="F1" s="169"/>
      <c r="G1" s="169"/>
      <c r="H1" s="169"/>
      <c r="I1" s="169"/>
      <c r="J1" s="169"/>
      <c r="K1" s="15"/>
      <c r="L1" s="18"/>
      <c r="M1" s="32">
        <v>5.1999999999999998E-2</v>
      </c>
      <c r="N1" s="33">
        <v>2024</v>
      </c>
    </row>
    <row r="2" spans="1:14" s="4" customFormat="1" ht="15.6">
      <c r="A2" s="167"/>
      <c r="B2" s="168"/>
      <c r="C2" s="168"/>
      <c r="D2" s="170" t="s">
        <v>375</v>
      </c>
      <c r="E2" s="170"/>
      <c r="F2" s="170"/>
      <c r="G2" s="170"/>
      <c r="H2" s="170"/>
      <c r="I2" s="170"/>
      <c r="J2" s="170"/>
      <c r="K2" s="16"/>
      <c r="L2" s="17"/>
      <c r="M2" s="32">
        <v>9.2200000000000004E-2</v>
      </c>
      <c r="N2" s="33">
        <v>2023</v>
      </c>
    </row>
    <row r="3" spans="1:14" ht="15.6">
      <c r="A3" s="171"/>
      <c r="B3" s="172"/>
      <c r="C3" s="172"/>
      <c r="D3" s="172"/>
      <c r="E3" s="172"/>
      <c r="F3" s="172"/>
      <c r="G3" s="172"/>
      <c r="H3" s="172"/>
      <c r="I3" s="172"/>
      <c r="J3" s="172"/>
      <c r="K3" s="172"/>
      <c r="L3" s="173"/>
      <c r="M3" s="28"/>
      <c r="N3" s="29"/>
    </row>
    <row r="4" spans="1:14" ht="15.6">
      <c r="A4" s="174" t="s">
        <v>1</v>
      </c>
      <c r="B4" s="175"/>
      <c r="C4" s="175"/>
      <c r="D4" s="175"/>
      <c r="E4" s="175"/>
      <c r="F4" s="176"/>
      <c r="G4" s="177" t="s">
        <v>415</v>
      </c>
      <c r="H4" s="178"/>
      <c r="I4" s="177" t="s">
        <v>416</v>
      </c>
      <c r="J4" s="178"/>
      <c r="K4" s="179" t="str">
        <f>M4</f>
        <v>PROMEDIO SIMPLE (INDEXACIÓN DE PRECIOS - PRECIOS DE REFERENCIA, ETC)</v>
      </c>
      <c r="L4" s="179"/>
      <c r="M4" s="153" t="s">
        <v>377</v>
      </c>
      <c r="N4" s="154"/>
    </row>
    <row r="5" spans="1:14" s="5" customFormat="1" ht="46.8">
      <c r="A5" s="10" t="s">
        <v>2</v>
      </c>
      <c r="B5" s="11" t="s">
        <v>3</v>
      </c>
      <c r="C5" s="11" t="s">
        <v>4</v>
      </c>
      <c r="D5" s="11" t="s">
        <v>5</v>
      </c>
      <c r="E5" s="11" t="s">
        <v>6</v>
      </c>
      <c r="F5" s="11" t="s">
        <v>7</v>
      </c>
      <c r="G5" s="11" t="s">
        <v>378</v>
      </c>
      <c r="H5" s="11" t="s">
        <v>417</v>
      </c>
      <c r="I5" s="11" t="s">
        <v>378</v>
      </c>
      <c r="J5" s="11" t="s">
        <v>417</v>
      </c>
      <c r="K5" s="11" t="s">
        <v>8</v>
      </c>
      <c r="L5" s="11" t="s">
        <v>9</v>
      </c>
      <c r="M5" s="11" t="s">
        <v>8</v>
      </c>
      <c r="N5" s="11" t="s">
        <v>9</v>
      </c>
    </row>
    <row r="6" spans="1:14" ht="15">
      <c r="A6" s="6" t="s">
        <v>376</v>
      </c>
      <c r="B6" s="6"/>
      <c r="C6" s="7"/>
      <c r="D6" s="22" t="s">
        <v>380</v>
      </c>
      <c r="E6" s="19">
        <v>1</v>
      </c>
      <c r="F6" s="13" t="s">
        <v>382</v>
      </c>
      <c r="G6" s="50">
        <v>18260</v>
      </c>
      <c r="H6" s="50">
        <f>$E$6*G6</f>
        <v>18260</v>
      </c>
      <c r="I6" s="12">
        <f>ROUND(18000*(1+$M$1),0)</f>
        <v>18936</v>
      </c>
      <c r="J6" s="12">
        <f>$E$6*I6</f>
        <v>18936</v>
      </c>
      <c r="K6" s="31">
        <f>M6</f>
        <v>18598</v>
      </c>
      <c r="L6" s="31">
        <f>K6*E6</f>
        <v>18598</v>
      </c>
      <c r="M6" s="8">
        <f>+ROUND(AVERAGE($I6,$G6),0)</f>
        <v>18598</v>
      </c>
      <c r="N6" s="8">
        <f>+M6*$E$6</f>
        <v>18598</v>
      </c>
    </row>
    <row r="7" spans="1:14" ht="15">
      <c r="A7" s="6" t="s">
        <v>379</v>
      </c>
      <c r="B7" s="6"/>
      <c r="C7" s="7"/>
      <c r="D7" s="22" t="s">
        <v>381</v>
      </c>
      <c r="E7" s="19">
        <v>1</v>
      </c>
      <c r="F7" s="13" t="s">
        <v>382</v>
      </c>
      <c r="G7" s="50">
        <v>12050</v>
      </c>
      <c r="H7" s="50">
        <f>$E$6*G7</f>
        <v>12050</v>
      </c>
      <c r="I7" s="12">
        <f>ROUND((18000*(1+$M$1)*(1+$M$2)),0)</f>
        <v>20682</v>
      </c>
      <c r="J7" s="12">
        <f>$E$6*I7</f>
        <v>20682</v>
      </c>
      <c r="K7" s="31">
        <f>M7</f>
        <v>16366</v>
      </c>
      <c r="L7" s="31">
        <f>K7*E7</f>
        <v>16366</v>
      </c>
      <c r="M7" s="8">
        <f>+ROUND(AVERAGE($I7,$G7),0)</f>
        <v>16366</v>
      </c>
      <c r="N7" s="8">
        <f>+M7*$E$6</f>
        <v>16366</v>
      </c>
    </row>
    <row r="8" spans="1:14" ht="15">
      <c r="A8" s="6" t="s">
        <v>418</v>
      </c>
      <c r="B8" s="6"/>
      <c r="C8" s="7"/>
      <c r="D8" s="22" t="s">
        <v>419</v>
      </c>
      <c r="E8" s="19">
        <v>1</v>
      </c>
      <c r="F8" s="13" t="s">
        <v>382</v>
      </c>
      <c r="G8" s="50">
        <v>170000</v>
      </c>
      <c r="H8" s="50">
        <f>$E$6*G8</f>
        <v>170000</v>
      </c>
      <c r="I8" s="12">
        <f>+[1]Aceites!G41</f>
        <v>171980</v>
      </c>
      <c r="J8" s="12">
        <f>$E$6*I8</f>
        <v>171980</v>
      </c>
      <c r="K8" s="31">
        <f>M8</f>
        <v>170990</v>
      </c>
      <c r="L8" s="31">
        <f>K8*E8</f>
        <v>170990</v>
      </c>
      <c r="M8" s="8">
        <f>+ROUND(AVERAGE($I8,$G8),0)</f>
        <v>170990</v>
      </c>
      <c r="N8" s="8">
        <f>+M8*$E$6</f>
        <v>170990</v>
      </c>
    </row>
    <row r="9" spans="1:14" ht="15">
      <c r="A9" s="6" t="s">
        <v>420</v>
      </c>
      <c r="B9" s="6"/>
      <c r="C9" s="7"/>
      <c r="D9" s="22" t="s">
        <v>421</v>
      </c>
      <c r="E9" s="19">
        <v>1</v>
      </c>
      <c r="F9" s="13" t="s">
        <v>382</v>
      </c>
      <c r="G9" s="50">
        <v>124000</v>
      </c>
      <c r="H9" s="50">
        <f>$E$6*G9</f>
        <v>124000</v>
      </c>
      <c r="I9" s="12">
        <f>+[1]Aceites!O27</f>
        <v>125400</v>
      </c>
      <c r="J9" s="12">
        <f>$E$6*I9</f>
        <v>125400</v>
      </c>
      <c r="K9" s="31">
        <f>M9</f>
        <v>124700</v>
      </c>
      <c r="L9" s="31">
        <f>K9*E9</f>
        <v>124700</v>
      </c>
      <c r="M9" s="8">
        <f>+ROUND(AVERAGE($I9,$G9),0)</f>
        <v>124700</v>
      </c>
      <c r="N9" s="8">
        <f>+M9*$E$6</f>
        <v>124700</v>
      </c>
    </row>
    <row r="10" spans="1:14" ht="15">
      <c r="A10" s="6" t="s">
        <v>422</v>
      </c>
      <c r="B10" s="6"/>
      <c r="C10" s="7"/>
      <c r="D10" s="22" t="s">
        <v>423</v>
      </c>
      <c r="E10" s="19">
        <v>1</v>
      </c>
      <c r="F10" s="51" t="s">
        <v>352</v>
      </c>
      <c r="G10" s="52">
        <v>400000</v>
      </c>
      <c r="H10" s="52">
        <f>$E$6*G10</f>
        <v>400000</v>
      </c>
      <c r="I10" s="12">
        <f>ROUND(150000*(1+$M$1),0)</f>
        <v>157800</v>
      </c>
      <c r="J10" s="12">
        <f>$E$6*I10</f>
        <v>157800</v>
      </c>
      <c r="K10" s="31">
        <f>M10</f>
        <v>157800</v>
      </c>
      <c r="L10" s="31">
        <f>K10*E10</f>
        <v>157800</v>
      </c>
      <c r="M10" s="8">
        <f>+ROUND(AVERAGE($I10),0)</f>
        <v>157800</v>
      </c>
      <c r="N10" s="8">
        <f>+M10*$E$6</f>
        <v>157800</v>
      </c>
    </row>
    <row r="11" spans="1:14" ht="16.2" thickBot="1">
      <c r="A11" s="155" t="s">
        <v>424</v>
      </c>
      <c r="B11" s="155"/>
      <c r="C11" s="155"/>
      <c r="D11" s="155"/>
      <c r="E11" s="155"/>
      <c r="F11" s="155"/>
      <c r="G11" s="20"/>
      <c r="H11" s="21">
        <f>SUM(H6:H10)</f>
        <v>724310</v>
      </c>
      <c r="I11" s="20"/>
      <c r="J11" s="21">
        <f>SUM(J6:J10)</f>
        <v>494798</v>
      </c>
      <c r="K11" s="21"/>
      <c r="L11" s="53">
        <f>SUM(L6:L10)</f>
        <v>488454</v>
      </c>
      <c r="M11" s="25"/>
      <c r="N11" s="26">
        <f>SUM(N6:N10)</f>
        <v>488454</v>
      </c>
    </row>
    <row r="12" spans="1:14" ht="18.600000000000001" customHeight="1">
      <c r="A12" s="156" t="s">
        <v>425</v>
      </c>
      <c r="B12" s="157"/>
      <c r="C12" s="157"/>
      <c r="D12" s="157"/>
      <c r="E12" s="157"/>
      <c r="F12" s="157"/>
      <c r="G12" s="157"/>
      <c r="H12" s="157"/>
      <c r="I12" s="157"/>
      <c r="J12" s="157"/>
      <c r="K12" s="157"/>
      <c r="L12" s="158"/>
      <c r="M12" s="27"/>
      <c r="N12" s="27"/>
    </row>
    <row r="13" spans="1:14" ht="18.600000000000001" customHeight="1">
      <c r="A13" s="159"/>
      <c r="B13" s="160"/>
      <c r="C13" s="160"/>
      <c r="D13" s="160"/>
      <c r="E13" s="160"/>
      <c r="F13" s="160"/>
      <c r="G13" s="160"/>
      <c r="H13" s="160"/>
      <c r="I13" s="160"/>
      <c r="J13" s="160"/>
      <c r="K13" s="160"/>
      <c r="L13" s="161"/>
      <c r="M13" s="24"/>
      <c r="N13" s="24"/>
    </row>
    <row r="14" spans="1:14" ht="18.600000000000001" customHeight="1">
      <c r="A14" s="159"/>
      <c r="B14" s="160"/>
      <c r="C14" s="160"/>
      <c r="D14" s="160"/>
      <c r="E14" s="160"/>
      <c r="F14" s="160"/>
      <c r="G14" s="160"/>
      <c r="H14" s="160"/>
      <c r="I14" s="160"/>
      <c r="J14" s="160"/>
      <c r="K14" s="160"/>
      <c r="L14" s="161"/>
      <c r="M14" s="24"/>
      <c r="N14" s="24"/>
    </row>
    <row r="15" spans="1:14" ht="13.8" thickBot="1">
      <c r="A15" s="162"/>
      <c r="B15" s="163"/>
      <c r="C15" s="163"/>
      <c r="D15" s="163"/>
      <c r="E15" s="163"/>
      <c r="F15" s="163"/>
      <c r="G15" s="163"/>
      <c r="H15" s="163"/>
      <c r="I15" s="163"/>
      <c r="J15" s="163"/>
      <c r="K15" s="163"/>
      <c r="L15" s="164"/>
      <c r="M15" s="24"/>
      <c r="N15" s="24"/>
    </row>
    <row r="19" spans="8:10">
      <c r="I19" s="23"/>
      <c r="J19" s="23"/>
    </row>
    <row r="21" spans="8:10">
      <c r="H21" s="34"/>
      <c r="I21" s="35"/>
    </row>
    <row r="22" spans="8:10">
      <c r="H22" s="34"/>
      <c r="I22" s="36"/>
    </row>
    <row r="27" spans="8:10">
      <c r="I27" s="9">
        <v>2</v>
      </c>
    </row>
    <row r="28" spans="8:10">
      <c r="I28" s="9">
        <v>5</v>
      </c>
      <c r="J28" s="9">
        <f>I28*40%</f>
        <v>2</v>
      </c>
    </row>
    <row r="29" spans="8:10">
      <c r="I29" s="9">
        <f>I27*100%</f>
        <v>2</v>
      </c>
    </row>
    <row r="30" spans="8:10">
      <c r="I30" s="30">
        <f>I29/I28</f>
        <v>0.4</v>
      </c>
    </row>
  </sheetData>
  <mergeCells count="11">
    <mergeCell ref="M4:N4"/>
    <mergeCell ref="A11:F11"/>
    <mergeCell ref="A12:L15"/>
    <mergeCell ref="A1:C2"/>
    <mergeCell ref="D1:J1"/>
    <mergeCell ref="D2:J2"/>
    <mergeCell ref="A3:L3"/>
    <mergeCell ref="A4:F4"/>
    <mergeCell ref="G4:H4"/>
    <mergeCell ref="I4:J4"/>
    <mergeCell ref="K4:L4"/>
  </mergeCells>
  <conditionalFormatting sqref="D1:D2">
    <cfRule type="duplicateValues" dxfId="0" priority="1"/>
  </conditionalFormatting>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8798-1877-4F78-BC97-E362FF4CD156}">
  <dimension ref="A2:D10"/>
  <sheetViews>
    <sheetView workbookViewId="0">
      <selection activeCell="D6" sqref="D6"/>
    </sheetView>
  </sheetViews>
  <sheetFormatPr baseColWidth="10" defaultRowHeight="13.2"/>
  <cols>
    <col min="1" max="1" width="24.77734375" customWidth="1"/>
  </cols>
  <sheetData>
    <row r="2" spans="1:4">
      <c r="A2" s="54" t="s">
        <v>470</v>
      </c>
      <c r="B2" s="180" t="s">
        <v>469</v>
      </c>
      <c r="C2" s="180"/>
    </row>
    <row r="3" spans="1:4">
      <c r="A3" s="54" t="s">
        <v>471</v>
      </c>
      <c r="B3" s="180" t="s">
        <v>472</v>
      </c>
      <c r="C3" s="180"/>
    </row>
    <row r="5" spans="1:4" ht="46.8">
      <c r="A5" s="11" t="s">
        <v>5</v>
      </c>
      <c r="B5" s="11" t="s">
        <v>6</v>
      </c>
      <c r="C5" s="11" t="s">
        <v>7</v>
      </c>
      <c r="D5" s="11" t="s">
        <v>473</v>
      </c>
    </row>
    <row r="6" spans="1:4" ht="15">
      <c r="A6" s="22" t="s">
        <v>380</v>
      </c>
      <c r="B6" s="19">
        <v>1</v>
      </c>
      <c r="C6" s="13" t="s">
        <v>382</v>
      </c>
      <c r="D6" s="50">
        <v>18040</v>
      </c>
    </row>
    <row r="7" spans="1:4" ht="15">
      <c r="A7" s="22" t="s">
        <v>381</v>
      </c>
      <c r="B7" s="19">
        <v>1</v>
      </c>
      <c r="C7" s="13" t="s">
        <v>382</v>
      </c>
      <c r="D7" s="50">
        <v>15875</v>
      </c>
    </row>
    <row r="8" spans="1:4" ht="15">
      <c r="A8" s="22" t="s">
        <v>419</v>
      </c>
      <c r="B8" s="19">
        <v>1</v>
      </c>
      <c r="C8" s="13" t="s">
        <v>382</v>
      </c>
      <c r="D8" s="50">
        <v>165860</v>
      </c>
    </row>
    <row r="9" spans="1:4" ht="15">
      <c r="A9" s="22" t="s">
        <v>421</v>
      </c>
      <c r="B9" s="19">
        <v>1</v>
      </c>
      <c r="C9" s="13" t="s">
        <v>382</v>
      </c>
      <c r="D9" s="50">
        <v>120959</v>
      </c>
    </row>
    <row r="10" spans="1:4" ht="15">
      <c r="A10" s="22" t="s">
        <v>423</v>
      </c>
      <c r="B10" s="19">
        <v>1</v>
      </c>
      <c r="C10" s="13" t="s">
        <v>352</v>
      </c>
      <c r="D10" s="50">
        <v>153066</v>
      </c>
    </row>
  </sheetData>
  <mergeCells count="2">
    <mergeCell ref="B2:C2"/>
    <mergeCell ref="B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86"/>
  <sheetViews>
    <sheetView topLeftCell="A163" workbookViewId="0">
      <selection activeCell="B93" sqref="B93"/>
    </sheetView>
  </sheetViews>
  <sheetFormatPr baseColWidth="10" defaultColWidth="11.44140625" defaultRowHeight="13.2"/>
  <cols>
    <col min="2" max="2" width="29.6640625" customWidth="1"/>
  </cols>
  <sheetData>
    <row r="1" spans="1:2" ht="15.6">
      <c r="A1" s="181" t="s">
        <v>10</v>
      </c>
      <c r="B1" s="181"/>
    </row>
    <row r="2" spans="1:2" ht="15.6">
      <c r="A2" s="1" t="s">
        <v>11</v>
      </c>
      <c r="B2" s="2" t="s">
        <v>5</v>
      </c>
    </row>
    <row r="3" spans="1:2" ht="15">
      <c r="A3" s="3" t="s">
        <v>12</v>
      </c>
      <c r="B3" s="3" t="s">
        <v>13</v>
      </c>
    </row>
    <row r="4" spans="1:2" ht="15">
      <c r="A4" s="3" t="s">
        <v>14</v>
      </c>
      <c r="B4" s="3" t="s">
        <v>15</v>
      </c>
    </row>
    <row r="5" spans="1:2" ht="15">
      <c r="A5" s="3" t="s">
        <v>16</v>
      </c>
      <c r="B5" s="3" t="s">
        <v>17</v>
      </c>
    </row>
    <row r="6" spans="1:2" ht="15">
      <c r="A6" s="3" t="s">
        <v>374</v>
      </c>
      <c r="B6" s="3" t="s">
        <v>18</v>
      </c>
    </row>
    <row r="7" spans="1:2" ht="15">
      <c r="A7" s="3" t="s">
        <v>19</v>
      </c>
      <c r="B7" s="3" t="s">
        <v>20</v>
      </c>
    </row>
    <row r="8" spans="1:2" ht="15">
      <c r="A8" s="3" t="s">
        <v>21</v>
      </c>
      <c r="B8" s="3" t="s">
        <v>22</v>
      </c>
    </row>
    <row r="9" spans="1:2" ht="15">
      <c r="A9" s="3" t="s">
        <v>23</v>
      </c>
      <c r="B9" s="3" t="s">
        <v>24</v>
      </c>
    </row>
    <row r="10" spans="1:2" ht="15">
      <c r="A10" s="3" t="s">
        <v>25</v>
      </c>
      <c r="B10" s="3" t="s">
        <v>26</v>
      </c>
    </row>
    <row r="11" spans="1:2" ht="15">
      <c r="A11" s="3" t="s">
        <v>27</v>
      </c>
      <c r="B11" s="3" t="s">
        <v>28</v>
      </c>
    </row>
    <row r="12" spans="1:2" ht="15">
      <c r="A12" s="3" t="s">
        <v>29</v>
      </c>
      <c r="B12" s="3" t="s">
        <v>30</v>
      </c>
    </row>
    <row r="13" spans="1:2" ht="15">
      <c r="A13" s="3" t="s">
        <v>31</v>
      </c>
      <c r="B13" s="3" t="s">
        <v>32</v>
      </c>
    </row>
    <row r="14" spans="1:2" ht="15">
      <c r="A14" s="3" t="s">
        <v>33</v>
      </c>
      <c r="B14" s="3" t="s">
        <v>34</v>
      </c>
    </row>
    <row r="15" spans="1:2" ht="15">
      <c r="A15" s="3" t="s">
        <v>35</v>
      </c>
      <c r="B15" s="3" t="s">
        <v>36</v>
      </c>
    </row>
    <row r="16" spans="1:2" ht="15">
      <c r="A16" s="3" t="s">
        <v>37</v>
      </c>
      <c r="B16" s="3" t="s">
        <v>38</v>
      </c>
    </row>
    <row r="17" spans="1:2" ht="15">
      <c r="A17" s="3" t="s">
        <v>39</v>
      </c>
      <c r="B17" s="3" t="s">
        <v>40</v>
      </c>
    </row>
    <row r="18" spans="1:2" ht="15">
      <c r="A18" s="3" t="s">
        <v>41</v>
      </c>
      <c r="B18" s="3" t="s">
        <v>42</v>
      </c>
    </row>
    <row r="19" spans="1:2" ht="15">
      <c r="A19" s="3" t="s">
        <v>43</v>
      </c>
      <c r="B19" s="3" t="s">
        <v>44</v>
      </c>
    </row>
    <row r="20" spans="1:2" ht="15">
      <c r="A20" s="3" t="s">
        <v>45</v>
      </c>
      <c r="B20" s="3" t="s">
        <v>46</v>
      </c>
    </row>
    <row r="21" spans="1:2" ht="15">
      <c r="A21" s="3" t="s">
        <v>47</v>
      </c>
      <c r="B21" s="3" t="s">
        <v>48</v>
      </c>
    </row>
    <row r="22" spans="1:2" ht="15">
      <c r="A22" s="3" t="s">
        <v>49</v>
      </c>
      <c r="B22" s="3" t="s">
        <v>50</v>
      </c>
    </row>
    <row r="23" spans="1:2" ht="15">
      <c r="A23" s="3" t="s">
        <v>51</v>
      </c>
      <c r="B23" s="3" t="s">
        <v>52</v>
      </c>
    </row>
    <row r="24" spans="1:2" ht="15">
      <c r="A24" s="3" t="s">
        <v>53</v>
      </c>
      <c r="B24" s="3" t="s">
        <v>54</v>
      </c>
    </row>
    <row r="25" spans="1:2" ht="15">
      <c r="A25" s="3" t="s">
        <v>55</v>
      </c>
      <c r="B25" s="3" t="s">
        <v>56</v>
      </c>
    </row>
    <row r="26" spans="1:2" ht="15">
      <c r="A26" s="3" t="s">
        <v>57</v>
      </c>
      <c r="B26" s="3" t="s">
        <v>54</v>
      </c>
    </row>
    <row r="27" spans="1:2" ht="15">
      <c r="A27" s="3" t="s">
        <v>58</v>
      </c>
      <c r="B27" s="3" t="s">
        <v>59</v>
      </c>
    </row>
    <row r="28" spans="1:2" ht="15">
      <c r="A28" s="3" t="s">
        <v>60</v>
      </c>
      <c r="B28" s="3" t="s">
        <v>61</v>
      </c>
    </row>
    <row r="29" spans="1:2" ht="15">
      <c r="A29" s="3" t="s">
        <v>62</v>
      </c>
      <c r="B29" s="3" t="s">
        <v>63</v>
      </c>
    </row>
    <row r="30" spans="1:2" ht="15">
      <c r="A30" s="3" t="s">
        <v>64</v>
      </c>
      <c r="B30" s="3" t="s">
        <v>65</v>
      </c>
    </row>
    <row r="31" spans="1:2" ht="15">
      <c r="A31" s="3" t="s">
        <v>66</v>
      </c>
      <c r="B31" s="3" t="s">
        <v>67</v>
      </c>
    </row>
    <row r="32" spans="1:2" ht="15">
      <c r="A32" s="3" t="s">
        <v>68</v>
      </c>
      <c r="B32" s="3" t="s">
        <v>69</v>
      </c>
    </row>
    <row r="33" spans="1:2" ht="15">
      <c r="A33" s="3" t="s">
        <v>70</v>
      </c>
      <c r="B33" s="3" t="s">
        <v>71</v>
      </c>
    </row>
    <row r="34" spans="1:2" ht="15">
      <c r="A34" s="3" t="s">
        <v>72</v>
      </c>
      <c r="B34" s="3" t="s">
        <v>73</v>
      </c>
    </row>
    <row r="35" spans="1:2" ht="15">
      <c r="A35" s="3" t="s">
        <v>74</v>
      </c>
      <c r="B35" s="3" t="s">
        <v>75</v>
      </c>
    </row>
    <row r="36" spans="1:2" ht="15">
      <c r="A36" s="3" t="s">
        <v>76</v>
      </c>
      <c r="B36" s="3" t="s">
        <v>77</v>
      </c>
    </row>
    <row r="37" spans="1:2" ht="15">
      <c r="A37" s="3" t="s">
        <v>78</v>
      </c>
      <c r="B37" s="3" t="s">
        <v>79</v>
      </c>
    </row>
    <row r="38" spans="1:2" ht="15">
      <c r="A38" s="3" t="s">
        <v>80</v>
      </c>
      <c r="B38" s="3" t="s">
        <v>81</v>
      </c>
    </row>
    <row r="39" spans="1:2" ht="15">
      <c r="A39" s="3" t="s">
        <v>82</v>
      </c>
      <c r="B39" s="3" t="s">
        <v>83</v>
      </c>
    </row>
    <row r="40" spans="1:2" ht="15">
      <c r="A40" s="3" t="s">
        <v>84</v>
      </c>
      <c r="B40" s="3" t="s">
        <v>85</v>
      </c>
    </row>
    <row r="41" spans="1:2" ht="15">
      <c r="A41" s="3" t="s">
        <v>86</v>
      </c>
      <c r="B41" s="3" t="s">
        <v>87</v>
      </c>
    </row>
    <row r="42" spans="1:2" ht="15">
      <c r="A42" s="3" t="s">
        <v>88</v>
      </c>
      <c r="B42" s="3" t="s">
        <v>89</v>
      </c>
    </row>
    <row r="43" spans="1:2" ht="15">
      <c r="A43" s="3" t="s">
        <v>90</v>
      </c>
      <c r="B43" s="3" t="s">
        <v>91</v>
      </c>
    </row>
    <row r="44" spans="1:2" ht="15">
      <c r="A44" s="3" t="s">
        <v>92</v>
      </c>
      <c r="B44" s="3" t="s">
        <v>93</v>
      </c>
    </row>
    <row r="45" spans="1:2" ht="15">
      <c r="A45" s="3" t="s">
        <v>94</v>
      </c>
      <c r="B45" s="3" t="s">
        <v>95</v>
      </c>
    </row>
    <row r="46" spans="1:2" ht="15">
      <c r="A46" s="3" t="s">
        <v>96</v>
      </c>
      <c r="B46" s="3" t="s">
        <v>97</v>
      </c>
    </row>
    <row r="47" spans="1:2" ht="15">
      <c r="A47" s="3" t="s">
        <v>98</v>
      </c>
      <c r="B47" s="3" t="s">
        <v>99</v>
      </c>
    </row>
    <row r="48" spans="1:2" ht="15">
      <c r="A48" s="3" t="s">
        <v>100</v>
      </c>
      <c r="B48" s="3" t="s">
        <v>101</v>
      </c>
    </row>
    <row r="49" spans="1:2" ht="15">
      <c r="A49" s="3" t="s">
        <v>102</v>
      </c>
      <c r="B49" s="3" t="s">
        <v>103</v>
      </c>
    </row>
    <row r="50" spans="1:2" ht="15">
      <c r="A50" s="3" t="s">
        <v>104</v>
      </c>
      <c r="B50" s="3" t="s">
        <v>105</v>
      </c>
    </row>
    <row r="51" spans="1:2" ht="15">
      <c r="A51" s="3" t="s">
        <v>106</v>
      </c>
      <c r="B51" s="3" t="s">
        <v>107</v>
      </c>
    </row>
    <row r="52" spans="1:2" ht="15">
      <c r="A52" s="3" t="s">
        <v>108</v>
      </c>
      <c r="B52" s="3" t="s">
        <v>109</v>
      </c>
    </row>
    <row r="53" spans="1:2" ht="15">
      <c r="A53" s="3" t="s">
        <v>110</v>
      </c>
      <c r="B53" s="3" t="s">
        <v>111</v>
      </c>
    </row>
    <row r="54" spans="1:2" ht="15">
      <c r="A54" s="3" t="s">
        <v>112</v>
      </c>
      <c r="B54" s="3" t="s">
        <v>113</v>
      </c>
    </row>
    <row r="55" spans="1:2" ht="15">
      <c r="A55" s="3" t="s">
        <v>114</v>
      </c>
      <c r="B55" s="3" t="s">
        <v>115</v>
      </c>
    </row>
    <row r="56" spans="1:2" ht="15">
      <c r="A56" s="3" t="s">
        <v>116</v>
      </c>
      <c r="B56" s="3" t="s">
        <v>117</v>
      </c>
    </row>
    <row r="57" spans="1:2" ht="15">
      <c r="A57" s="3" t="s">
        <v>118</v>
      </c>
      <c r="B57" s="3" t="s">
        <v>119</v>
      </c>
    </row>
    <row r="58" spans="1:2" ht="15">
      <c r="A58" s="3" t="s">
        <v>120</v>
      </c>
      <c r="B58" s="3" t="s">
        <v>121</v>
      </c>
    </row>
    <row r="59" spans="1:2" ht="15">
      <c r="A59" s="3" t="s">
        <v>122</v>
      </c>
      <c r="B59" s="3" t="s">
        <v>123</v>
      </c>
    </row>
    <row r="60" spans="1:2" ht="15">
      <c r="A60" s="3" t="s">
        <v>124</v>
      </c>
      <c r="B60" s="3" t="s">
        <v>125</v>
      </c>
    </row>
    <row r="61" spans="1:2" ht="15">
      <c r="A61" s="3" t="s">
        <v>126</v>
      </c>
      <c r="B61" s="3" t="s">
        <v>127</v>
      </c>
    </row>
    <row r="62" spans="1:2" ht="15">
      <c r="A62" s="3" t="s">
        <v>128</v>
      </c>
      <c r="B62" s="3" t="s">
        <v>129</v>
      </c>
    </row>
    <row r="63" spans="1:2" ht="15">
      <c r="A63" s="3" t="s">
        <v>130</v>
      </c>
      <c r="B63" s="3" t="s">
        <v>131</v>
      </c>
    </row>
    <row r="64" spans="1:2" ht="15">
      <c r="A64" s="3" t="s">
        <v>132</v>
      </c>
      <c r="B64" s="3" t="s">
        <v>133</v>
      </c>
    </row>
    <row r="65" spans="1:2" ht="15">
      <c r="A65" s="3" t="s">
        <v>134</v>
      </c>
      <c r="B65" s="3" t="s">
        <v>135</v>
      </c>
    </row>
    <row r="66" spans="1:2" ht="15">
      <c r="A66" s="3" t="s">
        <v>136</v>
      </c>
      <c r="B66" s="3" t="s">
        <v>137</v>
      </c>
    </row>
    <row r="67" spans="1:2" ht="15">
      <c r="A67" s="3" t="s">
        <v>138</v>
      </c>
      <c r="B67" s="3" t="s">
        <v>139</v>
      </c>
    </row>
    <row r="68" spans="1:2" ht="15">
      <c r="A68" s="3" t="s">
        <v>140</v>
      </c>
      <c r="B68" s="3" t="s">
        <v>141</v>
      </c>
    </row>
    <row r="69" spans="1:2" ht="15">
      <c r="A69" s="3" t="s">
        <v>142</v>
      </c>
      <c r="B69" s="3" t="s">
        <v>143</v>
      </c>
    </row>
    <row r="70" spans="1:2" ht="15">
      <c r="A70" s="3" t="s">
        <v>144</v>
      </c>
      <c r="B70" s="3" t="s">
        <v>145</v>
      </c>
    </row>
    <row r="71" spans="1:2" ht="15">
      <c r="A71" s="3" t="s">
        <v>146</v>
      </c>
      <c r="B71" s="3" t="s">
        <v>147</v>
      </c>
    </row>
    <row r="72" spans="1:2" ht="15">
      <c r="A72" s="3" t="s">
        <v>148</v>
      </c>
      <c r="B72" s="3" t="s">
        <v>149</v>
      </c>
    </row>
    <row r="73" spans="1:2" ht="15">
      <c r="A73" s="3" t="s">
        <v>150</v>
      </c>
      <c r="B73" s="3" t="s">
        <v>151</v>
      </c>
    </row>
    <row r="74" spans="1:2" ht="15">
      <c r="A74" s="3" t="s">
        <v>152</v>
      </c>
      <c r="B74" s="3" t="s">
        <v>153</v>
      </c>
    </row>
    <row r="75" spans="1:2" ht="15">
      <c r="A75" s="3" t="s">
        <v>154</v>
      </c>
      <c r="B75" s="3" t="s">
        <v>155</v>
      </c>
    </row>
    <row r="76" spans="1:2" ht="15">
      <c r="A76" s="3" t="s">
        <v>156</v>
      </c>
      <c r="B76" s="3" t="s">
        <v>157</v>
      </c>
    </row>
    <row r="77" spans="1:2" ht="15">
      <c r="A77" s="3" t="s">
        <v>158</v>
      </c>
      <c r="B77" s="3" t="s">
        <v>159</v>
      </c>
    </row>
    <row r="78" spans="1:2" ht="15">
      <c r="A78" s="3" t="s">
        <v>160</v>
      </c>
      <c r="B78" s="3" t="s">
        <v>161</v>
      </c>
    </row>
    <row r="79" spans="1:2" ht="15">
      <c r="A79" s="3" t="s">
        <v>162</v>
      </c>
      <c r="B79" s="3" t="s">
        <v>163</v>
      </c>
    </row>
    <row r="80" spans="1:2" ht="15">
      <c r="A80" s="3" t="s">
        <v>164</v>
      </c>
      <c r="B80" s="3" t="s">
        <v>165</v>
      </c>
    </row>
    <row r="81" spans="1:2" ht="15">
      <c r="A81" s="3" t="s">
        <v>166</v>
      </c>
      <c r="B81" s="3" t="s">
        <v>167</v>
      </c>
    </row>
    <row r="82" spans="1:2" ht="15">
      <c r="A82" s="3" t="s">
        <v>168</v>
      </c>
      <c r="B82" s="3" t="s">
        <v>169</v>
      </c>
    </row>
    <row r="83" spans="1:2" ht="15">
      <c r="A83" s="3" t="s">
        <v>170</v>
      </c>
      <c r="B83" s="3" t="s">
        <v>171</v>
      </c>
    </row>
    <row r="84" spans="1:2" ht="15">
      <c r="A84" s="3" t="s">
        <v>172</v>
      </c>
      <c r="B84" s="3" t="s">
        <v>173</v>
      </c>
    </row>
    <row r="85" spans="1:2" ht="15">
      <c r="A85" s="3" t="s">
        <v>174</v>
      </c>
      <c r="B85" s="3" t="s">
        <v>175</v>
      </c>
    </row>
    <row r="86" spans="1:2" ht="15">
      <c r="A86" s="3" t="s">
        <v>176</v>
      </c>
      <c r="B86" s="3" t="s">
        <v>177</v>
      </c>
    </row>
    <row r="87" spans="1:2" ht="15">
      <c r="A87" s="3" t="s">
        <v>178</v>
      </c>
      <c r="B87" s="3" t="s">
        <v>179</v>
      </c>
    </row>
    <row r="88" spans="1:2" ht="15">
      <c r="A88" s="3" t="s">
        <v>180</v>
      </c>
      <c r="B88" s="3" t="s">
        <v>181</v>
      </c>
    </row>
    <row r="89" spans="1:2" ht="15">
      <c r="A89" s="3" t="s">
        <v>182</v>
      </c>
      <c r="B89" s="3" t="s">
        <v>183</v>
      </c>
    </row>
    <row r="90" spans="1:2" ht="15">
      <c r="A90" s="3" t="s">
        <v>184</v>
      </c>
      <c r="B90" s="3" t="s">
        <v>185</v>
      </c>
    </row>
    <row r="91" spans="1:2" ht="15">
      <c r="A91" s="3" t="s">
        <v>186</v>
      </c>
      <c r="B91" s="3" t="s">
        <v>187</v>
      </c>
    </row>
    <row r="92" spans="1:2" ht="15">
      <c r="A92" s="3" t="s">
        <v>188</v>
      </c>
      <c r="B92" s="3" t="s">
        <v>189</v>
      </c>
    </row>
    <row r="93" spans="1:2" ht="15">
      <c r="A93" s="3" t="s">
        <v>190</v>
      </c>
      <c r="B93" s="3" t="s">
        <v>191</v>
      </c>
    </row>
    <row r="94" spans="1:2" ht="15">
      <c r="A94" s="3" t="s">
        <v>192</v>
      </c>
      <c r="B94" s="3" t="s">
        <v>193</v>
      </c>
    </row>
    <row r="95" spans="1:2" ht="15">
      <c r="A95" s="3" t="s">
        <v>194</v>
      </c>
      <c r="B95" s="3" t="s">
        <v>195</v>
      </c>
    </row>
    <row r="96" spans="1:2" ht="15">
      <c r="A96" s="3" t="s">
        <v>196</v>
      </c>
      <c r="B96" s="3" t="s">
        <v>197</v>
      </c>
    </row>
    <row r="97" spans="1:2" ht="15">
      <c r="A97" s="3" t="s">
        <v>198</v>
      </c>
      <c r="B97" s="3" t="s">
        <v>199</v>
      </c>
    </row>
    <row r="98" spans="1:2" ht="15">
      <c r="A98" s="3" t="s">
        <v>200</v>
      </c>
      <c r="B98" s="3" t="s">
        <v>201</v>
      </c>
    </row>
    <row r="99" spans="1:2" ht="15">
      <c r="A99" s="3" t="s">
        <v>202</v>
      </c>
      <c r="B99" s="3" t="s">
        <v>203</v>
      </c>
    </row>
    <row r="100" spans="1:2" ht="15">
      <c r="A100" s="3" t="s">
        <v>204</v>
      </c>
      <c r="B100" s="3" t="s">
        <v>205</v>
      </c>
    </row>
    <row r="101" spans="1:2" ht="15">
      <c r="A101" s="3" t="s">
        <v>206</v>
      </c>
      <c r="B101" s="3" t="s">
        <v>207</v>
      </c>
    </row>
    <row r="102" spans="1:2" ht="15">
      <c r="A102" s="3" t="s">
        <v>208</v>
      </c>
      <c r="B102" s="3" t="s">
        <v>209</v>
      </c>
    </row>
    <row r="103" spans="1:2" ht="15">
      <c r="A103" s="3" t="s">
        <v>210</v>
      </c>
      <c r="B103" s="3" t="s">
        <v>211</v>
      </c>
    </row>
    <row r="104" spans="1:2" ht="15">
      <c r="A104" s="3" t="s">
        <v>212</v>
      </c>
      <c r="B104" s="3" t="s">
        <v>69</v>
      </c>
    </row>
    <row r="105" spans="1:2" ht="15">
      <c r="A105" s="3" t="s">
        <v>213</v>
      </c>
      <c r="B105" s="3" t="s">
        <v>214</v>
      </c>
    </row>
    <row r="106" spans="1:2" ht="15">
      <c r="A106" s="3" t="s">
        <v>215</v>
      </c>
      <c r="B106" s="3" t="s">
        <v>216</v>
      </c>
    </row>
    <row r="107" spans="1:2" ht="15">
      <c r="A107" s="3" t="s">
        <v>217</v>
      </c>
      <c r="B107" s="3" t="s">
        <v>218</v>
      </c>
    </row>
    <row r="108" spans="1:2" ht="15">
      <c r="A108" s="3" t="s">
        <v>219</v>
      </c>
      <c r="B108" s="3" t="s">
        <v>220</v>
      </c>
    </row>
    <row r="109" spans="1:2" ht="15">
      <c r="A109" s="3" t="s">
        <v>221</v>
      </c>
      <c r="B109" s="3" t="s">
        <v>222</v>
      </c>
    </row>
    <row r="110" spans="1:2" ht="15">
      <c r="A110" s="3" t="s">
        <v>223</v>
      </c>
      <c r="B110" s="3" t="s">
        <v>224</v>
      </c>
    </row>
    <row r="111" spans="1:2" ht="15">
      <c r="A111" s="3" t="s">
        <v>225</v>
      </c>
      <c r="B111" s="3" t="s">
        <v>226</v>
      </c>
    </row>
    <row r="112" spans="1:2" ht="15">
      <c r="A112" s="3" t="s">
        <v>227</v>
      </c>
      <c r="B112" s="3" t="s">
        <v>228</v>
      </c>
    </row>
    <row r="113" spans="1:2" ht="15">
      <c r="A113" s="3" t="s">
        <v>229</v>
      </c>
      <c r="B113" s="3" t="s">
        <v>230</v>
      </c>
    </row>
    <row r="114" spans="1:2" ht="15">
      <c r="A114" s="3" t="s">
        <v>231</v>
      </c>
      <c r="B114" s="3" t="s">
        <v>232</v>
      </c>
    </row>
    <row r="115" spans="1:2" ht="15">
      <c r="A115" s="3" t="s">
        <v>233</v>
      </c>
      <c r="B115" s="3" t="s">
        <v>234</v>
      </c>
    </row>
    <row r="116" spans="1:2" ht="15">
      <c r="A116" s="3" t="s">
        <v>235</v>
      </c>
      <c r="B116" s="3" t="s">
        <v>236</v>
      </c>
    </row>
    <row r="117" spans="1:2" ht="15">
      <c r="A117" s="3" t="s">
        <v>237</v>
      </c>
      <c r="B117" s="3" t="s">
        <v>238</v>
      </c>
    </row>
    <row r="118" spans="1:2" ht="15">
      <c r="A118" s="3" t="s">
        <v>239</v>
      </c>
      <c r="B118" s="3" t="s">
        <v>240</v>
      </c>
    </row>
    <row r="119" spans="1:2" ht="15">
      <c r="A119" s="3" t="s">
        <v>241</v>
      </c>
      <c r="B119" s="3" t="s">
        <v>242</v>
      </c>
    </row>
    <row r="120" spans="1:2" ht="15">
      <c r="A120" s="3" t="s">
        <v>243</v>
      </c>
      <c r="B120" s="3" t="s">
        <v>244</v>
      </c>
    </row>
    <row r="121" spans="1:2" ht="15">
      <c r="A121" s="3" t="s">
        <v>245</v>
      </c>
      <c r="B121" s="3" t="s">
        <v>246</v>
      </c>
    </row>
    <row r="122" spans="1:2" ht="15">
      <c r="A122" s="3" t="s">
        <v>247</v>
      </c>
      <c r="B122" s="3" t="s">
        <v>248</v>
      </c>
    </row>
    <row r="123" spans="1:2" ht="15">
      <c r="A123" s="3" t="s">
        <v>249</v>
      </c>
      <c r="B123" s="3" t="s">
        <v>250</v>
      </c>
    </row>
    <row r="124" spans="1:2" ht="15">
      <c r="A124" s="3" t="s">
        <v>251</v>
      </c>
      <c r="B124" s="3" t="s">
        <v>252</v>
      </c>
    </row>
    <row r="125" spans="1:2" ht="15">
      <c r="A125" s="3" t="s">
        <v>253</v>
      </c>
      <c r="B125" s="3" t="s">
        <v>254</v>
      </c>
    </row>
    <row r="126" spans="1:2" ht="15">
      <c r="A126" s="3" t="s">
        <v>255</v>
      </c>
      <c r="B126" s="3" t="s">
        <v>256</v>
      </c>
    </row>
    <row r="127" spans="1:2" ht="15">
      <c r="A127" s="3" t="s">
        <v>257</v>
      </c>
      <c r="B127" s="3" t="s">
        <v>258</v>
      </c>
    </row>
    <row r="128" spans="1:2" ht="15">
      <c r="A128" s="3" t="s">
        <v>259</v>
      </c>
      <c r="B128" s="3" t="s">
        <v>260</v>
      </c>
    </row>
    <row r="129" spans="1:2" ht="15">
      <c r="A129" s="3" t="s">
        <v>261</v>
      </c>
      <c r="B129" s="3" t="s">
        <v>262</v>
      </c>
    </row>
    <row r="130" spans="1:2" ht="15">
      <c r="A130" s="3" t="s">
        <v>263</v>
      </c>
      <c r="B130" s="3" t="s">
        <v>264</v>
      </c>
    </row>
    <row r="131" spans="1:2" ht="15">
      <c r="A131" s="3" t="s">
        <v>265</v>
      </c>
      <c r="B131" s="3" t="s">
        <v>266</v>
      </c>
    </row>
    <row r="132" spans="1:2" ht="15">
      <c r="A132" s="3" t="s">
        <v>267</v>
      </c>
      <c r="B132" s="3" t="s">
        <v>268</v>
      </c>
    </row>
    <row r="133" spans="1:2" ht="15">
      <c r="A133" s="3" t="s">
        <v>269</v>
      </c>
      <c r="B133" s="3" t="s">
        <v>270</v>
      </c>
    </row>
    <row r="134" spans="1:2" ht="15">
      <c r="A134" s="3" t="s">
        <v>271</v>
      </c>
      <c r="B134" s="3" t="s">
        <v>272</v>
      </c>
    </row>
    <row r="135" spans="1:2" ht="15">
      <c r="A135" s="3" t="s">
        <v>273</v>
      </c>
      <c r="B135" s="3" t="s">
        <v>274</v>
      </c>
    </row>
    <row r="136" spans="1:2" ht="15">
      <c r="A136" s="3" t="s">
        <v>275</v>
      </c>
      <c r="B136" s="3" t="s">
        <v>276</v>
      </c>
    </row>
    <row r="137" spans="1:2" ht="15">
      <c r="A137" s="3" t="s">
        <v>277</v>
      </c>
      <c r="B137" s="3" t="s">
        <v>278</v>
      </c>
    </row>
    <row r="138" spans="1:2" ht="15">
      <c r="A138" s="3" t="s">
        <v>279</v>
      </c>
      <c r="B138" s="3" t="s">
        <v>280</v>
      </c>
    </row>
    <row r="139" spans="1:2" ht="15">
      <c r="A139" s="3" t="s">
        <v>281</v>
      </c>
      <c r="B139" s="3" t="s">
        <v>282</v>
      </c>
    </row>
    <row r="140" spans="1:2" ht="15">
      <c r="A140" s="3" t="s">
        <v>283</v>
      </c>
      <c r="B140" s="3" t="s">
        <v>284</v>
      </c>
    </row>
    <row r="141" spans="1:2" ht="15">
      <c r="A141" s="3" t="s">
        <v>285</v>
      </c>
      <c r="B141" s="3" t="s">
        <v>286</v>
      </c>
    </row>
    <row r="142" spans="1:2" ht="15">
      <c r="A142" s="3" t="s">
        <v>287</v>
      </c>
      <c r="B142" s="3" t="s">
        <v>288</v>
      </c>
    </row>
    <row r="143" spans="1:2" ht="15">
      <c r="A143" s="3" t="s">
        <v>289</v>
      </c>
      <c r="B143" s="3" t="s">
        <v>289</v>
      </c>
    </row>
    <row r="144" spans="1:2" ht="15">
      <c r="A144" s="3" t="s">
        <v>290</v>
      </c>
      <c r="B144" s="3" t="s">
        <v>291</v>
      </c>
    </row>
    <row r="145" spans="1:2" ht="15">
      <c r="A145" s="3" t="s">
        <v>292</v>
      </c>
      <c r="B145" s="3" t="s">
        <v>293</v>
      </c>
    </row>
    <row r="146" spans="1:2" ht="15">
      <c r="A146" s="3" t="s">
        <v>294</v>
      </c>
      <c r="B146" s="3" t="s">
        <v>295</v>
      </c>
    </row>
    <row r="147" spans="1:2" ht="15">
      <c r="A147" s="3" t="s">
        <v>296</v>
      </c>
      <c r="B147" s="3" t="s">
        <v>69</v>
      </c>
    </row>
    <row r="148" spans="1:2" ht="15">
      <c r="A148" s="3" t="s">
        <v>297</v>
      </c>
      <c r="B148" s="3" t="s">
        <v>298</v>
      </c>
    </row>
    <row r="149" spans="1:2" ht="15">
      <c r="A149" s="3" t="s">
        <v>299</v>
      </c>
      <c r="B149" s="3" t="s">
        <v>300</v>
      </c>
    </row>
    <row r="150" spans="1:2" ht="15">
      <c r="A150" s="3" t="s">
        <v>301</v>
      </c>
      <c r="B150" s="3" t="s">
        <v>302</v>
      </c>
    </row>
    <row r="151" spans="1:2" ht="15">
      <c r="A151" s="3" t="s">
        <v>303</v>
      </c>
      <c r="B151" s="3" t="s">
        <v>304</v>
      </c>
    </row>
    <row r="152" spans="1:2" ht="15">
      <c r="A152" s="3" t="s">
        <v>305</v>
      </c>
      <c r="B152" s="3" t="s">
        <v>306</v>
      </c>
    </row>
    <row r="153" spans="1:2" ht="15">
      <c r="A153" s="3" t="s">
        <v>307</v>
      </c>
      <c r="B153" s="3" t="s">
        <v>308</v>
      </c>
    </row>
    <row r="154" spans="1:2" ht="15">
      <c r="A154" s="3" t="s">
        <v>309</v>
      </c>
      <c r="B154" s="3" t="s">
        <v>310</v>
      </c>
    </row>
    <row r="155" spans="1:2" ht="15">
      <c r="A155" s="3" t="s">
        <v>311</v>
      </c>
      <c r="B155" s="3" t="s">
        <v>312</v>
      </c>
    </row>
    <row r="156" spans="1:2" ht="15">
      <c r="A156" s="3" t="s">
        <v>313</v>
      </c>
      <c r="B156" s="3" t="s">
        <v>131</v>
      </c>
    </row>
    <row r="157" spans="1:2" ht="15">
      <c r="A157" s="3" t="s">
        <v>314</v>
      </c>
      <c r="B157" s="3" t="s">
        <v>315</v>
      </c>
    </row>
    <row r="158" spans="1:2" ht="15">
      <c r="A158" s="3" t="s">
        <v>316</v>
      </c>
      <c r="B158" s="3" t="s">
        <v>317</v>
      </c>
    </row>
    <row r="159" spans="1:2" ht="15">
      <c r="A159" s="3" t="s">
        <v>318</v>
      </c>
      <c r="B159" s="3" t="s">
        <v>319</v>
      </c>
    </row>
    <row r="160" spans="1:2" ht="15">
      <c r="A160" s="3" t="s">
        <v>320</v>
      </c>
      <c r="B160" s="3" t="s">
        <v>321</v>
      </c>
    </row>
    <row r="161" spans="1:2" ht="15">
      <c r="A161" s="3" t="s">
        <v>322</v>
      </c>
      <c r="B161" s="3" t="s">
        <v>323</v>
      </c>
    </row>
    <row r="162" spans="1:2" ht="15">
      <c r="A162" s="3" t="s">
        <v>324</v>
      </c>
      <c r="B162" s="3" t="s">
        <v>325</v>
      </c>
    </row>
    <row r="163" spans="1:2" ht="15">
      <c r="A163" s="3" t="s">
        <v>326</v>
      </c>
      <c r="B163" s="3" t="s">
        <v>327</v>
      </c>
    </row>
    <row r="164" spans="1:2" ht="15">
      <c r="A164" s="3" t="s">
        <v>328</v>
      </c>
      <c r="B164" s="3" t="s">
        <v>329</v>
      </c>
    </row>
    <row r="165" spans="1:2" ht="15">
      <c r="A165" s="3" t="s">
        <v>330</v>
      </c>
      <c r="B165" s="3" t="s">
        <v>331</v>
      </c>
    </row>
    <row r="166" spans="1:2" ht="15">
      <c r="A166" s="3" t="s">
        <v>332</v>
      </c>
      <c r="B166" s="3" t="s">
        <v>333</v>
      </c>
    </row>
    <row r="167" spans="1:2" ht="15">
      <c r="A167" s="3" t="s">
        <v>334</v>
      </c>
      <c r="B167" s="3" t="s">
        <v>335</v>
      </c>
    </row>
    <row r="168" spans="1:2" ht="15">
      <c r="A168" s="3" t="s">
        <v>336</v>
      </c>
      <c r="B168" s="3" t="s">
        <v>337</v>
      </c>
    </row>
    <row r="169" spans="1:2" ht="15">
      <c r="A169" s="3" t="s">
        <v>338</v>
      </c>
      <c r="B169" s="3" t="s">
        <v>339</v>
      </c>
    </row>
    <row r="170" spans="1:2" ht="15">
      <c r="A170" s="3" t="s">
        <v>340</v>
      </c>
      <c r="B170" s="3" t="s">
        <v>341</v>
      </c>
    </row>
    <row r="171" spans="1:2" ht="15">
      <c r="A171" s="3" t="s">
        <v>342</v>
      </c>
      <c r="B171" s="3" t="s">
        <v>343</v>
      </c>
    </row>
    <row r="172" spans="1:2" ht="15">
      <c r="A172" s="3" t="s">
        <v>344</v>
      </c>
      <c r="B172" s="3" t="s">
        <v>345</v>
      </c>
    </row>
    <row r="173" spans="1:2" ht="15">
      <c r="A173" s="3" t="s">
        <v>346</v>
      </c>
      <c r="B173" s="3" t="s">
        <v>347</v>
      </c>
    </row>
    <row r="174" spans="1:2" ht="15">
      <c r="A174" s="3" t="s">
        <v>348</v>
      </c>
      <c r="B174" s="3" t="s">
        <v>349</v>
      </c>
    </row>
    <row r="175" spans="1:2" ht="15">
      <c r="A175" s="3" t="s">
        <v>350</v>
      </c>
      <c r="B175" s="3" t="s">
        <v>351</v>
      </c>
    </row>
    <row r="176" spans="1:2" ht="15">
      <c r="A176" s="3" t="s">
        <v>352</v>
      </c>
      <c r="B176" s="3" t="s">
        <v>353</v>
      </c>
    </row>
    <row r="177" spans="1:2" ht="15">
      <c r="A177" s="3" t="s">
        <v>354</v>
      </c>
      <c r="B177" s="3" t="s">
        <v>355</v>
      </c>
    </row>
    <row r="178" spans="1:2" ht="15">
      <c r="A178" s="3" t="s">
        <v>356</v>
      </c>
      <c r="B178" s="3" t="s">
        <v>357</v>
      </c>
    </row>
    <row r="179" spans="1:2" ht="15">
      <c r="A179" s="3" t="s">
        <v>358</v>
      </c>
      <c r="B179" s="3" t="s">
        <v>359</v>
      </c>
    </row>
    <row r="180" spans="1:2" ht="15">
      <c r="A180" s="3" t="s">
        <v>360</v>
      </c>
      <c r="B180" s="3" t="s">
        <v>361</v>
      </c>
    </row>
    <row r="181" spans="1:2" ht="15">
      <c r="A181" s="3" t="s">
        <v>362</v>
      </c>
      <c r="B181" s="3" t="s">
        <v>363</v>
      </c>
    </row>
    <row r="182" spans="1:2" ht="15">
      <c r="A182" s="3" t="s">
        <v>364</v>
      </c>
      <c r="B182" s="3" t="s">
        <v>365</v>
      </c>
    </row>
    <row r="183" spans="1:2" ht="15">
      <c r="A183" s="3" t="s">
        <v>366</v>
      </c>
      <c r="B183" s="3" t="s">
        <v>367</v>
      </c>
    </row>
    <row r="184" spans="1:2" ht="15">
      <c r="A184" s="3" t="s">
        <v>368</v>
      </c>
      <c r="B184" s="3" t="s">
        <v>369</v>
      </c>
    </row>
    <row r="185" spans="1:2" ht="15">
      <c r="A185" s="3" t="s">
        <v>370</v>
      </c>
      <c r="B185" s="3" t="s">
        <v>371</v>
      </c>
    </row>
    <row r="186" spans="1:2" ht="15">
      <c r="A186" s="3" t="s">
        <v>372</v>
      </c>
      <c r="B186" s="3" t="s">
        <v>373</v>
      </c>
    </row>
  </sheetData>
  <sheetProtection algorithmName="SHA-512" hashValue="VxKR1iGF/yeV0mEw5MnidqzJm59t/sJq/NOtcJeim3JsChQa2+IuBhGSglBvbugDaZezH/0oWST87tDkK8eLqg==" saltValue="AmgE0j55R3boGQFSez6xEg==" spinCount="100000" sheet="1" objects="1" scenarios="1"/>
  <mergeCells count="1">
    <mergeCell ref="A1:B1"/>
  </mergeCells>
  <pageMargins left="0.7" right="0.7" top="0.75" bottom="0.75" header="0.3" footer="0.3"/>
  <pageSetup orientation="portrait" r:id="rId1"/>
  <headerFooter>
    <oddHeader>&amp;L&amp;"Calibri"&amp;15&amp;K000000 Información Pública Clasificada&amp;1#_x000D_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6123B-BFD1-422C-B1F9-74B7FADF714E}">
  <dimension ref="G2:O41"/>
  <sheetViews>
    <sheetView zoomScale="90" zoomScaleNormal="90" workbookViewId="0">
      <selection activeCell="O28" sqref="O28"/>
    </sheetView>
  </sheetViews>
  <sheetFormatPr baseColWidth="10" defaultRowHeight="13.2"/>
  <sheetData>
    <row r="2" spans="7:15">
      <c r="O2">
        <v>156900</v>
      </c>
    </row>
    <row r="3" spans="7:15">
      <c r="G3">
        <v>199900</v>
      </c>
    </row>
    <row r="9" spans="7:15">
      <c r="G9">
        <v>220000</v>
      </c>
      <c r="O9">
        <v>122900</v>
      </c>
    </row>
    <row r="15" spans="7:15">
      <c r="O15">
        <v>119900</v>
      </c>
    </row>
    <row r="16" spans="7:15">
      <c r="G16">
        <v>155000</v>
      </c>
    </row>
    <row r="20" spans="7:15">
      <c r="O20">
        <v>101900</v>
      </c>
    </row>
    <row r="24" spans="7:15">
      <c r="G24">
        <v>155000</v>
      </c>
    </row>
    <row r="27" spans="7:15">
      <c r="O27">
        <f>+AVERAGE(O2:O20)</f>
        <v>125400</v>
      </c>
    </row>
    <row r="31" spans="7:15">
      <c r="G31">
        <v>130000</v>
      </c>
    </row>
    <row r="41" spans="7:7">
      <c r="G41">
        <f>+AVERAGE(G1:G31)</f>
        <v>171980</v>
      </c>
    </row>
  </sheetData>
  <pageMargins left="0.7" right="0.7" top="0.75" bottom="0.75" header="0.3" footer="0.3"/>
  <drawing r:id="rId1"/>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Analisis Economico Choco</vt:lpstr>
      <vt:lpstr>SICOM</vt:lpstr>
      <vt:lpstr>Referencias</vt:lpstr>
      <vt:lpstr>Estudio De Mercado 2025</vt:lpstr>
      <vt:lpstr>CTO-275-2025</vt:lpstr>
      <vt:lpstr>Listado de unidades</vt:lpstr>
      <vt:lpstr>Aceite</vt:lpstr>
      <vt:lpstr>matrizitems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Vasquez Sanchez</dc:creator>
  <cp:keywords/>
  <dc:description/>
  <cp:lastModifiedBy>Nelson Javier Arguellez Palacios</cp:lastModifiedBy>
  <cp:revision/>
  <cp:lastPrinted>2026-02-20T21:12:46Z</cp:lastPrinted>
  <dcterms:created xsi:type="dcterms:W3CDTF">2018-02-12T16:24:15Z</dcterms:created>
  <dcterms:modified xsi:type="dcterms:W3CDTF">2026-07-08T21:18:33Z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2023-08-21T00:40:25Z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7e40e8fb-58dc-429c-b5f8-43fc5e87340d</vt:lpwstr>
  </property>
  <property fmtid="{D5CDD505-2E9C-101B-9397-08002B2CF9AE}" pid="8" name="MSIP_Label_52b498cd-7a81-4486-9103-65b5717baee6_ContentBits">
    <vt:lpwstr>1</vt:lpwstr>
  </property>
</Properties>
</file>