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rgov-my.sharepoint.com/personal/norma_mendoza_adr_gov_co/Documents/2026/2026/5. Proyecto de Inversión/7. Adquisiciones/10. Firmas Digitales/Estudio del Sector/Observaciones 21072026/"/>
    </mc:Choice>
  </mc:AlternateContent>
  <xr:revisionPtr revIDLastSave="411" documentId="8_{B5F221B5-7E47-464E-A973-B60689712597}" xr6:coauthVersionLast="47" xr6:coauthVersionMax="47" xr10:uidLastSave="{24E2C325-1FCE-4394-BEC0-6BED75380876}"/>
  <bookViews>
    <workbookView xWindow="-108" yWindow="-108" windowWidth="23256" windowHeight="13896" activeTab="1" xr2:uid="{F5A8BABD-34DA-49EB-8BD7-0237C9B132CD}"/>
  </bookViews>
  <sheets>
    <sheet name="1 Cotizaciones" sheetId="6" r:id="rId1"/>
    <sheet name="2. Comparativo" sheetId="4" r:id="rId2"/>
    <sheet name="3. Estimación de Costos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4" l="1"/>
  <c r="K8" i="4" s="1"/>
  <c r="U8" i="4" l="1"/>
  <c r="U7" i="4"/>
  <c r="U6" i="4"/>
  <c r="U5" i="4"/>
  <c r="T8" i="4"/>
  <c r="T7" i="4"/>
  <c r="T6" i="4"/>
  <c r="T5" i="4"/>
  <c r="R8" i="4"/>
  <c r="R7" i="4"/>
  <c r="R6" i="4"/>
  <c r="R5" i="4"/>
  <c r="S5" i="4" s="1"/>
  <c r="P8" i="4"/>
  <c r="P7" i="4"/>
  <c r="P6" i="4"/>
  <c r="P5" i="4"/>
  <c r="O8" i="4"/>
  <c r="O7" i="4"/>
  <c r="O6" i="4"/>
  <c r="O5" i="4"/>
  <c r="N8" i="4"/>
  <c r="R19" i="4" s="1"/>
  <c r="S19" i="4" s="1"/>
  <c r="N7" i="4"/>
  <c r="R18" i="4" s="1"/>
  <c r="S18" i="4" s="1"/>
  <c r="N6" i="4"/>
  <c r="R17" i="4" s="1"/>
  <c r="S17" i="4" s="1"/>
  <c r="N5" i="4"/>
  <c r="J7" i="4"/>
  <c r="K7" i="4" s="1"/>
  <c r="J6" i="4"/>
  <c r="K6" i="4" s="1"/>
  <c r="J5" i="4"/>
  <c r="K5" i="4" s="1"/>
  <c r="G5" i="4"/>
  <c r="F8" i="4"/>
  <c r="G8" i="4" s="1"/>
  <c r="F7" i="4"/>
  <c r="G7" i="4" s="1"/>
  <c r="F6" i="4"/>
  <c r="G6" i="4" s="1"/>
  <c r="S7" i="4" l="1"/>
  <c r="S8" i="4"/>
  <c r="S6" i="4"/>
  <c r="R16" i="4"/>
  <c r="S16" i="4" s="1"/>
  <c r="U16" i="4" s="1"/>
  <c r="V16" i="4" s="1"/>
  <c r="K9" i="4"/>
  <c r="U18" i="4"/>
  <c r="V18" i="4" s="1"/>
  <c r="O9" i="4"/>
  <c r="V7" i="4"/>
  <c r="W8" i="4"/>
  <c r="V5" i="4"/>
  <c r="W5" i="4"/>
  <c r="Q5" i="4"/>
  <c r="Q7" i="4"/>
  <c r="W7" i="4"/>
  <c r="Q8" i="4"/>
  <c r="R27" i="4"/>
  <c r="S27" i="4" s="1"/>
  <c r="U27" i="4" s="1"/>
  <c r="V27" i="4" s="1"/>
  <c r="F7" i="8"/>
  <c r="G7" i="8" s="1"/>
  <c r="I7" i="8" s="1"/>
  <c r="J7" i="8" s="1"/>
  <c r="U19" i="4"/>
  <c r="V19" i="4" s="1"/>
  <c r="R28" i="4"/>
  <c r="S28" i="4" s="1"/>
  <c r="U28" i="4" s="1"/>
  <c r="V28" i="4" s="1"/>
  <c r="F8" i="8"/>
  <c r="G8" i="8" s="1"/>
  <c r="I8" i="8" s="1"/>
  <c r="J8" i="8" s="1"/>
  <c r="R29" i="4"/>
  <c r="S29" i="4" s="1"/>
  <c r="U29" i="4" s="1"/>
  <c r="V29" i="4" s="1"/>
  <c r="F9" i="8"/>
  <c r="G9" i="8" s="1"/>
  <c r="I9" i="8" s="1"/>
  <c r="J9" i="8" s="1"/>
  <c r="R30" i="4"/>
  <c r="S30" i="4" s="1"/>
  <c r="U30" i="4" s="1"/>
  <c r="V30" i="4" s="1"/>
  <c r="F10" i="8"/>
  <c r="G10" i="8" s="1"/>
  <c r="I10" i="8" s="1"/>
  <c r="J10" i="8" s="1"/>
  <c r="U17" i="4"/>
  <c r="V17" i="4" s="1"/>
  <c r="W6" i="4"/>
  <c r="U9" i="4"/>
  <c r="Q6" i="4"/>
  <c r="V6" i="4"/>
  <c r="T9" i="4"/>
  <c r="P9" i="4"/>
  <c r="N9" i="4"/>
  <c r="R9" i="4"/>
  <c r="V8" i="4"/>
  <c r="W9" i="4" l="1"/>
  <c r="V9" i="4"/>
  <c r="J11" i="8"/>
  <c r="V31" i="4"/>
  <c r="Q9" i="4"/>
  <c r="V20" i="4"/>
  <c r="F9" i="4"/>
</calcChain>
</file>

<file path=xl/sharedStrings.xml><?xml version="1.0" encoding="utf-8"?>
<sst xmlns="http://schemas.openxmlformats.org/spreadsheetml/2006/main" count="120" uniqueCount="51">
  <si>
    <t>DECRIPCION</t>
  </si>
  <si>
    <t>MODALIDAD</t>
  </si>
  <si>
    <t>CANTIDAD</t>
  </si>
  <si>
    <t>VALORTOTAL</t>
  </si>
  <si>
    <t>VALOR TOTAL</t>
  </si>
  <si>
    <t xml:space="preserve">Suscripción </t>
  </si>
  <si>
    <t>TOTAL</t>
  </si>
  <si>
    <t>Cotización. Camerfirma (SECOP II)</t>
  </si>
  <si>
    <t>Cotización.   ANDES SERVICIO DE CERTIFICACION DIGITAL S. A (Correo electrónico)</t>
  </si>
  <si>
    <t>CAMERFIRMA</t>
  </si>
  <si>
    <t>ANDES SERVICIO DE CERTIFICACION DIGITAL S. A</t>
  </si>
  <si>
    <t>Certificados digitales de firma digital función pública acreditados (Vigencia 2 años)</t>
  </si>
  <si>
    <t>Certificado digital de persona jurídica para facturación electrónica (Vigencia 2 años)</t>
  </si>
  <si>
    <t>API de integración para firma digital (incluye soporte e implementación)</t>
  </si>
  <si>
    <t>Estampado cronológico (Acreditado)</t>
  </si>
  <si>
    <t>SAAS</t>
  </si>
  <si>
    <t>Estampa</t>
  </si>
  <si>
    <t>VALOR UNITARIO 
(SIN IVA)</t>
  </si>
  <si>
    <t>VALOR UNITARIO 
(CON IVA)</t>
  </si>
  <si>
    <t xml:space="preserve">MEDIA ARITMETICA/PROMEDIO </t>
  </si>
  <si>
    <t xml:space="preserve">VALOR  COTIZADO  MAS BAJO </t>
  </si>
  <si>
    <t>VALOR  UNITARIO MAS ALTO</t>
  </si>
  <si>
    <t>MAB - MEDIA ARITMETICA BAJA</t>
  </si>
  <si>
    <t>DESVIACION ESTANDAR</t>
  </si>
  <si>
    <t xml:space="preserve">% DISPERSION </t>
  </si>
  <si>
    <t>MEDIA GOMETRICA</t>
  </si>
  <si>
    <t xml:space="preserve">MEDIANA </t>
  </si>
  <si>
    <t>TECHO INFERIOR</t>
  </si>
  <si>
    <t>TECHO SUPERIOR</t>
  </si>
  <si>
    <t>VALOR UNITARIO ANTES DE IVA</t>
  </si>
  <si>
    <t>LICENCIAMIENTO REQUERIDO POR LA AGENCIA DE DESARROLLO RURAL</t>
  </si>
  <si>
    <t>PROYECCIÓN</t>
  </si>
  <si>
    <t>N°</t>
  </si>
  <si>
    <t>SERVICIOS Y/O PRODUCTOS</t>
  </si>
  <si>
    <t>DESCRIPCIÓN</t>
  </si>
  <si>
    <t>VALOR UNITARIO</t>
  </si>
  <si>
    <t>SIN IVA</t>
  </si>
  <si>
    <t>SUBTOTAL</t>
  </si>
  <si>
    <t>(VALOR UNITARIO*CANTIDAD</t>
  </si>
  <si>
    <t>IVA %</t>
  </si>
  <si>
    <t>(SI APLICA)</t>
  </si>
  <si>
    <t>VALOR IVA</t>
  </si>
  <si>
    <t>VALOR TOTAL INCLUIDO IVA</t>
  </si>
  <si>
    <t>Certificados Digitales de Función Pública Acreditado</t>
  </si>
  <si>
    <t>Certificado digital para facturación electrónica de persona jurídica para la ADR, según Anexo No. 1 ESPECIFICACIONES TÉCNICAS DE OBLIGATORIO CUMPLIMIENTO</t>
  </si>
  <si>
    <t>Certificados para firmas digitales, según Anexo No. 1 ESPECIFICACIONES TÉCNICAS DE OBLIGATORIO CUMPLIMIENTO</t>
  </si>
  <si>
    <t xml:space="preserve">Servicio de API de integración </t>
  </si>
  <si>
    <t>API de integración,según Anexo No. 1 ESPECIFICACIONES TÉCNICAS DE OBLIGATORIO CUMPLIMIENTO</t>
  </si>
  <si>
    <t>Estampado Cronológico Acreditado</t>
  </si>
  <si>
    <t>Estampados, según Anexo No. 1 ESPECIFICACIONES TÉCNICAS DE OBLIGATORIO CUMPLIMIENTO</t>
  </si>
  <si>
    <t>MEDIA GEOMETRICA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</si>
</sst>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.000_-;\-&quot;$&quot;\ * #,##0.00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rgb="FF000000"/>
      <name val="Arial"/>
      <family val="2"/>
    </font>
    <font>
      <sz val="9"/>
      <color theme="1"/>
      <name val="Times New Roman"/>
      <family val="1"/>
    </font>
    <font>
      <sz val="8"/>
      <name val="Aptos Narrow"/>
      <family val="2"/>
      <scheme val="minor"/>
    </font>
    <font>
      <b/>
      <sz val="10"/>
      <color rgb="FFFFFFFF"/>
      <name val="Arial Narrow"/>
      <family val="2"/>
    </font>
    <font>
      <b/>
      <sz val="9"/>
      <color rgb="FFFFFFFF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E5014"/>
        <bgColor rgb="FFD8D8D8"/>
      </patternFill>
    </fill>
    <fill>
      <patternFill patternType="solid">
        <fgColor theme="2" tint="-0.249977111117893"/>
        <bgColor rgb="FFD8D8D8"/>
      </patternFill>
    </fill>
    <fill>
      <patternFill patternType="solid">
        <fgColor theme="2" tint="-0.49998474074526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749992370372631"/>
        <bgColor rgb="FFD8D8D8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2" tint="-0.499984740745262"/>
        <bgColor rgb="FFD8D8D8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DFDFD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6" fontId="0" fillId="0" borderId="0" xfId="0" applyNumberFormat="1"/>
    <xf numFmtId="44" fontId="0" fillId="0" borderId="0" xfId="0" applyNumberFormat="1"/>
    <xf numFmtId="0" fontId="7" fillId="0" borderId="6" xfId="0" applyFont="1" applyBorder="1" applyAlignment="1">
      <alignment vertical="center" wrapText="1"/>
    </xf>
    <xf numFmtId="8" fontId="6" fillId="2" borderId="5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8" fontId="4" fillId="0" borderId="11" xfId="0" applyNumberFormat="1" applyFont="1" applyBorder="1" applyAlignment="1">
      <alignment horizontal="center" vertical="center" wrapText="1"/>
    </xf>
    <xf numFmtId="44" fontId="4" fillId="0" borderId="11" xfId="0" applyNumberFormat="1" applyFont="1" applyBorder="1" applyAlignment="1">
      <alignment horizontal="right" vertical="center" wrapText="1"/>
    </xf>
    <xf numFmtId="8" fontId="4" fillId="0" borderId="11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8" fontId="4" fillId="0" borderId="10" xfId="0" applyNumberFormat="1" applyFont="1" applyBorder="1" applyAlignment="1">
      <alignment horizontal="center" vertical="center" wrapText="1"/>
    </xf>
    <xf numFmtId="44" fontId="4" fillId="0" borderId="10" xfId="0" applyNumberFormat="1" applyFont="1" applyBorder="1" applyAlignment="1">
      <alignment horizontal="right" vertical="center" wrapText="1"/>
    </xf>
    <xf numFmtId="8" fontId="4" fillId="0" borderId="10" xfId="0" applyNumberFormat="1" applyFont="1" applyBorder="1" applyAlignment="1">
      <alignment horizontal="right" vertical="center" wrapText="1"/>
    </xf>
    <xf numFmtId="8" fontId="6" fillId="2" borderId="12" xfId="0" applyNumberFormat="1" applyFont="1" applyFill="1" applyBorder="1" applyAlignment="1">
      <alignment horizontal="center" vertical="center" wrapText="1"/>
    </xf>
    <xf numFmtId="44" fontId="4" fillId="0" borderId="11" xfId="1" applyFont="1" applyBorder="1" applyAlignment="1">
      <alignment horizontal="center" vertical="center" wrapText="1"/>
    </xf>
    <xf numFmtId="44" fontId="4" fillId="0" borderId="10" xfId="1" applyFont="1" applyBorder="1" applyAlignment="1">
      <alignment horizontal="center" vertical="center" wrapText="1"/>
    </xf>
    <xf numFmtId="9" fontId="4" fillId="0" borderId="11" xfId="2" applyFont="1" applyBorder="1" applyAlignment="1">
      <alignment horizontal="right" vertical="center" wrapText="1"/>
    </xf>
    <xf numFmtId="8" fontId="9" fillId="7" borderId="1" xfId="0" applyNumberFormat="1" applyFont="1" applyFill="1" applyBorder="1" applyAlignment="1">
      <alignment horizontal="right" vertical="center"/>
    </xf>
    <xf numFmtId="44" fontId="9" fillId="7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>
      <alignment horizontal="right" vertical="center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/>
    </xf>
    <xf numFmtId="44" fontId="12" fillId="0" borderId="1" xfId="0" applyNumberFormat="1" applyFont="1" applyBorder="1" applyAlignment="1">
      <alignment horizontal="right" vertical="center" wrapText="1"/>
    </xf>
    <xf numFmtId="6" fontId="12" fillId="0" borderId="1" xfId="0" applyNumberFormat="1" applyFont="1" applyBorder="1" applyAlignment="1">
      <alignment horizontal="right" vertical="center"/>
    </xf>
    <xf numFmtId="9" fontId="12" fillId="0" borderId="1" xfId="0" applyNumberFormat="1" applyFont="1" applyBorder="1" applyAlignment="1">
      <alignment horizontal="right" vertical="center"/>
    </xf>
    <xf numFmtId="6" fontId="12" fillId="0" borderId="1" xfId="0" applyNumberFormat="1" applyFont="1" applyBorder="1" applyAlignment="1">
      <alignment horizontal="right" vertical="center" wrapText="1"/>
    </xf>
    <xf numFmtId="3" fontId="12" fillId="0" borderId="1" xfId="0" applyNumberFormat="1" applyFont="1" applyBorder="1" applyAlignment="1">
      <alignment horizontal="center" vertical="center"/>
    </xf>
    <xf numFmtId="0" fontId="10" fillId="8" borderId="8" xfId="0" applyFont="1" applyFill="1" applyBorder="1" applyAlignment="1">
      <alignment vertical="top"/>
    </xf>
    <xf numFmtId="0" fontId="10" fillId="8" borderId="9" xfId="0" applyFont="1" applyFill="1" applyBorder="1" applyAlignment="1">
      <alignment vertical="top"/>
    </xf>
    <xf numFmtId="8" fontId="10" fillId="8" borderId="1" xfId="0" applyNumberFormat="1" applyFont="1" applyFill="1" applyBorder="1" applyAlignment="1">
      <alignment horizontal="right" vertical="center"/>
    </xf>
    <xf numFmtId="0" fontId="12" fillId="0" borderId="0" xfId="0" applyFont="1"/>
    <xf numFmtId="0" fontId="4" fillId="0" borderId="0" xfId="0" applyFont="1"/>
    <xf numFmtId="0" fontId="5" fillId="8" borderId="0" xfId="0" applyFont="1" applyFill="1"/>
    <xf numFmtId="6" fontId="4" fillId="0" borderId="0" xfId="0" applyNumberFormat="1" applyFont="1"/>
    <xf numFmtId="0" fontId="10" fillId="10" borderId="18" xfId="0" applyFont="1" applyFill="1" applyBorder="1" applyAlignment="1">
      <alignment horizontal="center" vertical="center" wrapText="1"/>
    </xf>
    <xf numFmtId="0" fontId="10" fillId="10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top"/>
    </xf>
    <xf numFmtId="0" fontId="10" fillId="8" borderId="8" xfId="0" applyFont="1" applyFill="1" applyBorder="1" applyAlignment="1">
      <alignment horizontal="center" vertical="top"/>
    </xf>
    <xf numFmtId="0" fontId="10" fillId="5" borderId="17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0" fillId="11" borderId="17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 wrapText="1"/>
    </xf>
    <xf numFmtId="0" fontId="10" fillId="10" borderId="19" xfId="0" applyFont="1" applyFill="1" applyBorder="1" applyAlignment="1">
      <alignment horizontal="center" vertical="center" wrapText="1"/>
    </xf>
    <xf numFmtId="0" fontId="2" fillId="0" borderId="0" xfId="0" applyFont="1"/>
    <xf numFmtId="9" fontId="4" fillId="0" borderId="11" xfId="2" applyNumberFormat="1" applyFont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</xdr:colOff>
      <xdr:row>4</xdr:row>
      <xdr:rowOff>106680</xdr:rowOff>
    </xdr:from>
    <xdr:ext cx="9193957" cy="3772247"/>
    <xdr:pic>
      <xdr:nvPicPr>
        <xdr:cNvPr id="2" name="Imagen 1">
          <a:extLst>
            <a:ext uri="{FF2B5EF4-FFF2-40B4-BE49-F238E27FC236}">
              <a16:creationId xmlns:a16="http://schemas.microsoft.com/office/drawing/2014/main" id="{D21C94BE-DAA9-404C-9BD6-FCDE8E68F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" y="838200"/>
          <a:ext cx="9193957" cy="3772247"/>
        </a:xfrm>
        <a:prstGeom prst="rect">
          <a:avLst/>
        </a:prstGeom>
      </xdr:spPr>
    </xdr:pic>
    <xdr:clientData/>
  </xdr:oneCellAnchor>
  <xdr:oneCellAnchor>
    <xdr:from>
      <xdr:col>1</xdr:col>
      <xdr:colOff>7620</xdr:colOff>
      <xdr:row>30</xdr:row>
      <xdr:rowOff>53340</xdr:rowOff>
    </xdr:from>
    <xdr:ext cx="6873836" cy="3848433"/>
    <xdr:pic>
      <xdr:nvPicPr>
        <xdr:cNvPr id="3" name="Imagen 2">
          <a:extLst>
            <a:ext uri="{FF2B5EF4-FFF2-40B4-BE49-F238E27FC236}">
              <a16:creationId xmlns:a16="http://schemas.microsoft.com/office/drawing/2014/main" id="{2F6FBBCF-D1C6-4EC9-9B3D-E5B9B8FB3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5539740"/>
          <a:ext cx="6873836" cy="3848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02A11-F357-4E33-8B0A-3A009AFAD10B}">
  <dimension ref="C2:K29"/>
  <sheetViews>
    <sheetView topLeftCell="A26" workbookViewId="0">
      <selection activeCell="C3" sqref="C3:K3"/>
    </sheetView>
  </sheetViews>
  <sheetFormatPr baseColWidth="10" defaultRowHeight="14.4" x14ac:dyDescent="0.3"/>
  <sheetData>
    <row r="2" spans="3:11" x14ac:dyDescent="0.3">
      <c r="H2" s="1"/>
    </row>
    <row r="3" spans="3:11" x14ac:dyDescent="0.3">
      <c r="C3" s="69" t="s">
        <v>7</v>
      </c>
      <c r="D3" s="70"/>
      <c r="E3" s="70"/>
      <c r="F3" s="70"/>
      <c r="G3" s="70"/>
      <c r="H3" s="70"/>
      <c r="I3" s="70"/>
      <c r="J3" s="70"/>
      <c r="K3" s="70"/>
    </row>
    <row r="29" spans="3:11" x14ac:dyDescent="0.3">
      <c r="C29" s="69" t="s">
        <v>8</v>
      </c>
      <c r="D29" s="70"/>
      <c r="E29" s="70"/>
      <c r="F29" s="70"/>
      <c r="G29" s="70"/>
      <c r="H29" s="70"/>
      <c r="I29" s="70"/>
      <c r="J29" s="70"/>
      <c r="K29" s="70"/>
    </row>
  </sheetData>
  <mergeCells count="2">
    <mergeCell ref="C29:K29"/>
    <mergeCell ref="C3:K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9603C-83D6-4202-B775-7551D836B558}">
  <dimension ref="B1:W32"/>
  <sheetViews>
    <sheetView tabSelected="1" topLeftCell="A2" zoomScale="70" zoomScaleNormal="70" workbookViewId="0">
      <selection activeCell="C13" sqref="C13:H16"/>
    </sheetView>
  </sheetViews>
  <sheetFormatPr baseColWidth="10" defaultColWidth="11.44140625" defaultRowHeight="14.4" x14ac:dyDescent="0.3"/>
  <cols>
    <col min="2" max="2" width="44.6640625" customWidth="1"/>
    <col min="3" max="3" width="23.109375" customWidth="1"/>
    <col min="4" max="5" width="14.33203125" customWidth="1"/>
    <col min="6" max="6" width="19.21875" customWidth="1"/>
    <col min="7" max="10" width="14.33203125" customWidth="1"/>
    <col min="11" max="11" width="20.88671875" customWidth="1"/>
    <col min="14" max="14" width="22" style="43" customWidth="1"/>
    <col min="15" max="22" width="18.77734375" style="43" customWidth="1"/>
    <col min="23" max="23" width="18.77734375" customWidth="1"/>
  </cols>
  <sheetData>
    <row r="1" spans="2:23" x14ac:dyDescent="0.3">
      <c r="N1"/>
      <c r="O1"/>
      <c r="P1"/>
      <c r="Q1"/>
      <c r="R1"/>
      <c r="S1"/>
      <c r="T1"/>
      <c r="U1"/>
      <c r="V1"/>
    </row>
    <row r="2" spans="2:23" ht="15" thickBot="1" x14ac:dyDescent="0.35">
      <c r="N2"/>
      <c r="O2"/>
      <c r="P2"/>
      <c r="Q2"/>
      <c r="R2"/>
      <c r="S2"/>
      <c r="T2"/>
      <c r="U2"/>
      <c r="V2"/>
    </row>
    <row r="3" spans="2:23" ht="35.549999999999997" customHeight="1" thickBot="1" x14ac:dyDescent="0.35">
      <c r="B3" s="48" t="s">
        <v>0</v>
      </c>
      <c r="C3" s="48" t="s">
        <v>1</v>
      </c>
      <c r="D3" s="50" t="s">
        <v>9</v>
      </c>
      <c r="E3" s="51"/>
      <c r="F3" s="51"/>
      <c r="G3" s="52"/>
      <c r="H3" s="53" t="s">
        <v>10</v>
      </c>
      <c r="I3" s="54"/>
      <c r="J3" s="54"/>
      <c r="K3" s="55"/>
      <c r="N3" s="8" t="s">
        <v>19</v>
      </c>
      <c r="O3" s="8" t="s">
        <v>20</v>
      </c>
      <c r="P3" s="8" t="s">
        <v>21</v>
      </c>
      <c r="Q3" s="8" t="s">
        <v>22</v>
      </c>
      <c r="R3" s="8" t="s">
        <v>23</v>
      </c>
      <c r="S3" s="8" t="s">
        <v>24</v>
      </c>
      <c r="T3" s="8" t="s">
        <v>25</v>
      </c>
      <c r="U3" s="8" t="s">
        <v>26</v>
      </c>
      <c r="V3" s="8" t="s">
        <v>27</v>
      </c>
      <c r="W3" s="8" t="s">
        <v>28</v>
      </c>
    </row>
    <row r="4" spans="2:23" ht="48.45" customHeight="1" thickBot="1" x14ac:dyDescent="0.35">
      <c r="B4" s="49"/>
      <c r="C4" s="49"/>
      <c r="D4" s="8" t="s">
        <v>2</v>
      </c>
      <c r="E4" s="8" t="s">
        <v>17</v>
      </c>
      <c r="F4" s="8" t="s">
        <v>18</v>
      </c>
      <c r="G4" s="8" t="s">
        <v>3</v>
      </c>
      <c r="H4" s="8" t="s">
        <v>2</v>
      </c>
      <c r="I4" s="8" t="s">
        <v>17</v>
      </c>
      <c r="J4" s="8" t="s">
        <v>18</v>
      </c>
      <c r="K4" s="8" t="s">
        <v>3</v>
      </c>
      <c r="N4" s="8" t="s">
        <v>29</v>
      </c>
      <c r="O4" s="8" t="s">
        <v>29</v>
      </c>
      <c r="P4" s="8" t="s">
        <v>29</v>
      </c>
      <c r="Q4" s="8" t="s">
        <v>29</v>
      </c>
      <c r="R4" s="8" t="s">
        <v>29</v>
      </c>
      <c r="S4" s="8" t="s">
        <v>29</v>
      </c>
      <c r="T4" s="8" t="s">
        <v>29</v>
      </c>
      <c r="U4" s="8" t="s">
        <v>29</v>
      </c>
      <c r="V4" s="8" t="s">
        <v>29</v>
      </c>
      <c r="W4" s="8" t="s">
        <v>29</v>
      </c>
    </row>
    <row r="5" spans="2:23" ht="28.8" customHeight="1" thickBot="1" x14ac:dyDescent="0.35">
      <c r="B5" s="9" t="s">
        <v>12</v>
      </c>
      <c r="C5" s="9" t="s">
        <v>5</v>
      </c>
      <c r="D5" s="10">
        <v>1</v>
      </c>
      <c r="E5" s="22">
        <v>350000</v>
      </c>
      <c r="F5" s="11">
        <v>416500</v>
      </c>
      <c r="G5" s="11">
        <f>F5</f>
        <v>416500</v>
      </c>
      <c r="H5" s="10">
        <v>1</v>
      </c>
      <c r="I5" s="13">
        <v>700000</v>
      </c>
      <c r="J5" s="14">
        <f>(I5*0.19)+I5</f>
        <v>833000</v>
      </c>
      <c r="K5" s="14">
        <f>J5*H5</f>
        <v>833000</v>
      </c>
      <c r="N5" s="13">
        <f>AVERAGE(E5,I5)</f>
        <v>525000</v>
      </c>
      <c r="O5" s="13">
        <f>MIN(E5,I5)</f>
        <v>350000</v>
      </c>
      <c r="P5" s="13">
        <f>MAX(E5,I5)</f>
        <v>700000</v>
      </c>
      <c r="Q5" s="14">
        <f>(N5+O5)/2</f>
        <v>437500</v>
      </c>
      <c r="R5" s="14">
        <f>_xlfn.STDEV.S(E5,I5)</f>
        <v>247487.37341529163</v>
      </c>
      <c r="S5" s="24">
        <f>R5/N5</f>
        <v>0.47140452079103168</v>
      </c>
      <c r="T5" s="14">
        <f>GEOMEAN(E5,I5)</f>
        <v>494974.74683058332</v>
      </c>
      <c r="U5" s="13">
        <f>MEDIAN(E5,I5)</f>
        <v>525000</v>
      </c>
      <c r="V5" s="14">
        <f>N5-R5</f>
        <v>277512.62658470834</v>
      </c>
      <c r="W5" s="13">
        <f>+N5+R5</f>
        <v>772487.37341529166</v>
      </c>
    </row>
    <row r="6" spans="2:23" ht="28.2" customHeight="1" thickBot="1" x14ac:dyDescent="0.35">
      <c r="B6" s="9" t="s">
        <v>11</v>
      </c>
      <c r="C6" s="9" t="s">
        <v>5</v>
      </c>
      <c r="D6" s="10">
        <v>100</v>
      </c>
      <c r="E6" s="22">
        <v>190000</v>
      </c>
      <c r="F6" s="11">
        <f>(E6*19%)+E6</f>
        <v>226100</v>
      </c>
      <c r="G6" s="12">
        <f>F6*D6</f>
        <v>22610000</v>
      </c>
      <c r="H6" s="10">
        <v>100</v>
      </c>
      <c r="I6" s="13">
        <v>290000</v>
      </c>
      <c r="J6" s="14">
        <f>(I6*0.19)+I6</f>
        <v>345100</v>
      </c>
      <c r="K6" s="14">
        <f>J6*H6</f>
        <v>34510000</v>
      </c>
      <c r="N6" s="13">
        <f>AVERAGE(E6,I6)</f>
        <v>240000</v>
      </c>
      <c r="O6" s="13">
        <f>MIN(E6,I6)</f>
        <v>190000</v>
      </c>
      <c r="P6" s="13">
        <f>MAX(E6,I6)</f>
        <v>290000</v>
      </c>
      <c r="Q6" s="14">
        <f>(N6+O6)/2</f>
        <v>215000</v>
      </c>
      <c r="R6" s="14">
        <f>_xlfn.STDEV.S(E6,I6)</f>
        <v>70710.67811865476</v>
      </c>
      <c r="S6" s="24">
        <f>R6/N6</f>
        <v>0.29462782549439481</v>
      </c>
      <c r="T6" s="14">
        <f>GEOMEAN(E6,I6)</f>
        <v>234733.89188611004</v>
      </c>
      <c r="U6" s="13">
        <f>MEDIAN(E6,I6)</f>
        <v>240000</v>
      </c>
      <c r="V6" s="13">
        <f>N6-R6</f>
        <v>169289.32188134524</v>
      </c>
      <c r="W6" s="13">
        <f t="shared" ref="W6:W8" si="0">+N6+R6</f>
        <v>310710.67811865476</v>
      </c>
    </row>
    <row r="7" spans="2:23" ht="24.6" thickBot="1" x14ac:dyDescent="0.35">
      <c r="B7" s="9" t="s">
        <v>13</v>
      </c>
      <c r="C7" s="9" t="s">
        <v>15</v>
      </c>
      <c r="D7" s="10">
        <v>1</v>
      </c>
      <c r="E7" s="22">
        <v>20000000</v>
      </c>
      <c r="F7" s="11">
        <f>(E7*19%)+E7</f>
        <v>23800000</v>
      </c>
      <c r="G7" s="12">
        <f>F7*D7</f>
        <v>23800000</v>
      </c>
      <c r="H7" s="10">
        <v>1</v>
      </c>
      <c r="I7" s="13">
        <v>15990000</v>
      </c>
      <c r="J7" s="14">
        <f>(I7*19%)+I7</f>
        <v>19028100</v>
      </c>
      <c r="K7" s="14">
        <f>J7*H7</f>
        <v>19028100</v>
      </c>
      <c r="N7" s="13">
        <f>AVERAGE(E7,I7)</f>
        <v>17995000</v>
      </c>
      <c r="O7" s="13">
        <f>MIN(E7,I7)</f>
        <v>15990000</v>
      </c>
      <c r="P7" s="13">
        <f>MAX(E7,I7)</f>
        <v>20000000</v>
      </c>
      <c r="Q7" s="14">
        <f>(N7+O7)/2</f>
        <v>16992500</v>
      </c>
      <c r="R7" s="14">
        <f>_xlfn.STDEV.S(E7,I7)</f>
        <v>2835498.1925580557</v>
      </c>
      <c r="S7" s="78">
        <f>R7/N7</f>
        <v>0.15757144721078387</v>
      </c>
      <c r="T7" s="14">
        <f>GEOMEAN(E7,I7)</f>
        <v>17882952.776317451</v>
      </c>
      <c r="U7" s="13">
        <f>MEDIAN(E7,I7)</f>
        <v>17995000</v>
      </c>
      <c r="V7" s="13">
        <f>N7-R7</f>
        <v>15159501.807441944</v>
      </c>
      <c r="W7" s="13">
        <f t="shared" si="0"/>
        <v>20830498.192558058</v>
      </c>
    </row>
    <row r="8" spans="2:23" ht="28.8" customHeight="1" thickBot="1" x14ac:dyDescent="0.35">
      <c r="B8" s="15" t="s">
        <v>14</v>
      </c>
      <c r="C8" s="15" t="s">
        <v>16</v>
      </c>
      <c r="D8" s="16">
        <v>47000</v>
      </c>
      <c r="E8" s="23">
        <v>120</v>
      </c>
      <c r="F8" s="17">
        <f>(E8*19%)+E8</f>
        <v>142.80000000000001</v>
      </c>
      <c r="G8" s="18">
        <f>D8*F8</f>
        <v>6711600.0000000009</v>
      </c>
      <c r="H8" s="16">
        <v>47000</v>
      </c>
      <c r="I8" s="19">
        <v>160</v>
      </c>
      <c r="J8" s="20">
        <f>(I8*0.19)+I8</f>
        <v>190.4</v>
      </c>
      <c r="K8" s="14">
        <f>J8*H8</f>
        <v>8948800</v>
      </c>
      <c r="N8" s="13">
        <f>AVERAGE(E8,I8)</f>
        <v>140</v>
      </c>
      <c r="O8" s="13">
        <f>MIN(E8,I8)</f>
        <v>120</v>
      </c>
      <c r="P8" s="13">
        <f>MAX(E8,I8)</f>
        <v>160</v>
      </c>
      <c r="Q8" s="14">
        <f>(N8+O8)/2</f>
        <v>130</v>
      </c>
      <c r="R8" s="14">
        <f>_xlfn.STDEV.S(E8,I8)</f>
        <v>28.284271247461902</v>
      </c>
      <c r="S8" s="24">
        <f>R8/N8</f>
        <v>0.20203050891044216</v>
      </c>
      <c r="T8" s="14">
        <f>GEOMEAN(E8,I8)</f>
        <v>138.5640646055102</v>
      </c>
      <c r="U8" s="13">
        <f>MEDIAN(E8,I8)</f>
        <v>140</v>
      </c>
      <c r="V8" s="13">
        <f>N8-R8</f>
        <v>111.7157287525381</v>
      </c>
      <c r="W8" s="13">
        <f t="shared" si="0"/>
        <v>168.2842712474619</v>
      </c>
    </row>
    <row r="9" spans="2:23" ht="33" customHeight="1" thickTop="1" thickBot="1" x14ac:dyDescent="0.35">
      <c r="B9" s="5" t="s">
        <v>6</v>
      </c>
      <c r="C9" s="6"/>
      <c r="D9" s="7"/>
      <c r="E9" s="3"/>
      <c r="F9" s="4">
        <f>SUM(G5:G8)</f>
        <v>53538100</v>
      </c>
      <c r="K9" s="21">
        <f>SUM(K5:K8)</f>
        <v>63319900</v>
      </c>
      <c r="N9" s="26">
        <f>SUM(N5:N8)</f>
        <v>18760140</v>
      </c>
      <c r="O9" s="26">
        <f>SUM(O5:O8)</f>
        <v>16530120</v>
      </c>
      <c r="P9" s="26">
        <f>SUM(P5:P8)</f>
        <v>20990160</v>
      </c>
      <c r="Q9" s="25">
        <f>SUM(Q5:Q8)</f>
        <v>17645130</v>
      </c>
      <c r="R9" s="25">
        <f>SUM(R5:R8)</f>
        <v>3153724.5283632497</v>
      </c>
      <c r="S9" s="27"/>
      <c r="T9" s="25">
        <f>SUM(T5:T8)</f>
        <v>18612799.979098752</v>
      </c>
      <c r="U9" s="26">
        <f>SUM(U5:U8)</f>
        <v>18760140</v>
      </c>
      <c r="V9" s="25">
        <f>+SUM(V5:V8)</f>
        <v>15606415.47163675</v>
      </c>
      <c r="W9" s="26">
        <f>+SUM(W5:W8)</f>
        <v>21913864.52836325</v>
      </c>
    </row>
    <row r="10" spans="2:23" ht="15" thickTop="1" x14ac:dyDescent="0.3">
      <c r="F10" s="2"/>
      <c r="N10"/>
      <c r="O10"/>
      <c r="P10"/>
      <c r="Q10"/>
      <c r="R10"/>
      <c r="S10"/>
      <c r="T10"/>
      <c r="U10"/>
      <c r="V10"/>
    </row>
    <row r="11" spans="2:23" x14ac:dyDescent="0.3">
      <c r="N11"/>
      <c r="O11"/>
      <c r="P11"/>
      <c r="Q11"/>
      <c r="R11"/>
      <c r="S11"/>
      <c r="T11"/>
      <c r="U11"/>
      <c r="V11"/>
    </row>
    <row r="12" spans="2:23" x14ac:dyDescent="0.3">
      <c r="G12" s="1"/>
      <c r="N12"/>
      <c r="O12"/>
      <c r="P12"/>
      <c r="Q12"/>
      <c r="R12"/>
      <c r="S12"/>
      <c r="T12"/>
      <c r="U12"/>
      <c r="V12"/>
    </row>
    <row r="13" spans="2:23" x14ac:dyDescent="0.3">
      <c r="N13" s="56" t="s">
        <v>30</v>
      </c>
      <c r="O13" s="57"/>
      <c r="P13" s="57"/>
      <c r="Q13" s="58"/>
      <c r="R13" s="59" t="s">
        <v>31</v>
      </c>
      <c r="S13" s="60"/>
      <c r="T13" s="60"/>
      <c r="U13" s="60"/>
      <c r="V13" s="60"/>
    </row>
    <row r="14" spans="2:23" ht="24" x14ac:dyDescent="0.3">
      <c r="N14" s="61" t="s">
        <v>32</v>
      </c>
      <c r="O14" s="63" t="s">
        <v>33</v>
      </c>
      <c r="P14" s="61" t="s">
        <v>34</v>
      </c>
      <c r="Q14" s="63" t="s">
        <v>2</v>
      </c>
      <c r="R14" s="28" t="s">
        <v>35</v>
      </c>
      <c r="S14" s="28" t="s">
        <v>37</v>
      </c>
      <c r="T14" s="28" t="s">
        <v>39</v>
      </c>
      <c r="U14" s="28" t="s">
        <v>41</v>
      </c>
      <c r="V14" s="28" t="s">
        <v>42</v>
      </c>
    </row>
    <row r="15" spans="2:23" ht="24" x14ac:dyDescent="0.3">
      <c r="N15" s="62"/>
      <c r="O15" s="64"/>
      <c r="P15" s="62"/>
      <c r="Q15" s="64"/>
      <c r="R15" s="29" t="s">
        <v>36</v>
      </c>
      <c r="S15" s="29" t="s">
        <v>38</v>
      </c>
      <c r="T15" s="29" t="s">
        <v>40</v>
      </c>
      <c r="U15" s="29" t="s">
        <v>40</v>
      </c>
      <c r="V15" s="29" t="s">
        <v>40</v>
      </c>
    </row>
    <row r="16" spans="2:23" ht="102.6" x14ac:dyDescent="0.3">
      <c r="N16" s="30">
        <v>1</v>
      </c>
      <c r="O16" s="31" t="s">
        <v>43</v>
      </c>
      <c r="P16" s="32" t="s">
        <v>44</v>
      </c>
      <c r="Q16" s="33">
        <v>1</v>
      </c>
      <c r="R16" s="34">
        <f>+N5</f>
        <v>525000</v>
      </c>
      <c r="S16" s="35">
        <f>R16*Q16</f>
        <v>525000</v>
      </c>
      <c r="T16" s="36">
        <v>0.19</v>
      </c>
      <c r="U16" s="37">
        <f>S16*T16</f>
        <v>99750</v>
      </c>
      <c r="V16" s="35">
        <f>S16+U16</f>
        <v>624750</v>
      </c>
    </row>
    <row r="17" spans="7:22" ht="79.8" x14ac:dyDescent="0.3">
      <c r="G17" s="77"/>
      <c r="N17" s="30">
        <v>2</v>
      </c>
      <c r="O17" s="31" t="s">
        <v>43</v>
      </c>
      <c r="P17" s="32" t="s">
        <v>45</v>
      </c>
      <c r="Q17" s="33">
        <v>100</v>
      </c>
      <c r="R17" s="34">
        <f>+N6</f>
        <v>240000</v>
      </c>
      <c r="S17" s="35">
        <f>R17*Q17</f>
        <v>24000000</v>
      </c>
      <c r="T17" s="36">
        <v>0.19</v>
      </c>
      <c r="U17" s="37">
        <f>S17*T17</f>
        <v>4560000</v>
      </c>
      <c r="V17" s="35">
        <f t="shared" ref="V17:V19" si="1">S17+U17</f>
        <v>28560000</v>
      </c>
    </row>
    <row r="18" spans="7:22" ht="68.400000000000006" x14ac:dyDescent="0.3">
      <c r="N18" s="30">
        <v>3</v>
      </c>
      <c r="O18" s="31" t="s">
        <v>46</v>
      </c>
      <c r="P18" s="32" t="s">
        <v>47</v>
      </c>
      <c r="Q18" s="33">
        <v>1</v>
      </c>
      <c r="R18" s="34">
        <f>+N7</f>
        <v>17995000</v>
      </c>
      <c r="S18" s="35">
        <f>R18*Q18</f>
        <v>17995000</v>
      </c>
      <c r="T18" s="36">
        <v>0.19</v>
      </c>
      <c r="U18" s="37">
        <f>S18*T18</f>
        <v>3419050</v>
      </c>
      <c r="V18" s="35">
        <f t="shared" si="1"/>
        <v>21414050</v>
      </c>
    </row>
    <row r="19" spans="7:22" ht="68.400000000000006" x14ac:dyDescent="0.3">
      <c r="N19" s="30">
        <v>4</v>
      </c>
      <c r="O19" s="31" t="s">
        <v>48</v>
      </c>
      <c r="P19" s="32" t="s">
        <v>49</v>
      </c>
      <c r="Q19" s="38">
        <v>47000</v>
      </c>
      <c r="R19" s="34">
        <f>+N8</f>
        <v>140</v>
      </c>
      <c r="S19" s="35">
        <f>R19*Q19</f>
        <v>6580000</v>
      </c>
      <c r="T19" s="36">
        <v>0.19</v>
      </c>
      <c r="U19" s="37">
        <f>S19*T19</f>
        <v>1250200</v>
      </c>
      <c r="V19" s="35">
        <f t="shared" si="1"/>
        <v>7830200</v>
      </c>
    </row>
    <row r="20" spans="7:22" x14ac:dyDescent="0.3">
      <c r="N20" s="65" t="s">
        <v>4</v>
      </c>
      <c r="O20" s="66"/>
      <c r="P20" s="66"/>
      <c r="Q20" s="66"/>
      <c r="R20" s="39"/>
      <c r="S20" s="39"/>
      <c r="T20" s="39"/>
      <c r="U20" s="40"/>
      <c r="V20" s="41">
        <f>SUM(V16:V19)</f>
        <v>58429000</v>
      </c>
    </row>
    <row r="21" spans="7:22" x14ac:dyDescent="0.3">
      <c r="N21" s="42"/>
      <c r="O21" s="42"/>
      <c r="P21" s="42"/>
      <c r="Q21" s="42"/>
      <c r="R21" s="42"/>
      <c r="S21" s="42"/>
      <c r="T21" s="42"/>
      <c r="U21" s="42"/>
      <c r="V21" s="42"/>
    </row>
    <row r="22" spans="7:22" x14ac:dyDescent="0.3">
      <c r="N22" s="42"/>
      <c r="O22" s="42"/>
      <c r="P22" s="42"/>
      <c r="Q22" s="42"/>
      <c r="R22" s="42"/>
      <c r="S22" s="42"/>
      <c r="T22" s="42"/>
      <c r="U22" s="42"/>
      <c r="V22" s="42"/>
    </row>
    <row r="23" spans="7:22" x14ac:dyDescent="0.3">
      <c r="N23" s="42"/>
      <c r="O23" s="42"/>
      <c r="P23" s="42"/>
      <c r="Q23" s="42"/>
      <c r="R23" s="42"/>
      <c r="S23" s="44" t="s">
        <v>50</v>
      </c>
      <c r="T23" s="42"/>
      <c r="U23" s="42"/>
      <c r="V23" s="42"/>
    </row>
    <row r="24" spans="7:22" ht="14.4" customHeight="1" x14ac:dyDescent="0.3">
      <c r="N24" s="56" t="s">
        <v>30</v>
      </c>
      <c r="O24" s="57"/>
      <c r="P24" s="57"/>
      <c r="Q24" s="58"/>
      <c r="R24" s="67" t="s">
        <v>31</v>
      </c>
      <c r="S24" s="68"/>
      <c r="T24" s="68"/>
      <c r="U24" s="68"/>
      <c r="V24" s="68"/>
    </row>
    <row r="25" spans="7:22" ht="14.4" customHeight="1" x14ac:dyDescent="0.3">
      <c r="N25" s="61" t="s">
        <v>32</v>
      </c>
      <c r="O25" s="63" t="s">
        <v>33</v>
      </c>
      <c r="P25" s="61" t="s">
        <v>34</v>
      </c>
      <c r="Q25" s="63" t="s">
        <v>2</v>
      </c>
      <c r="R25" s="28" t="s">
        <v>35</v>
      </c>
      <c r="S25" s="28" t="s">
        <v>37</v>
      </c>
      <c r="T25" s="28" t="s">
        <v>39</v>
      </c>
      <c r="U25" s="28" t="s">
        <v>41</v>
      </c>
      <c r="V25" s="28" t="s">
        <v>42</v>
      </c>
    </row>
    <row r="26" spans="7:22" ht="31.8" customHeight="1" x14ac:dyDescent="0.3">
      <c r="N26" s="62"/>
      <c r="O26" s="64"/>
      <c r="P26" s="62"/>
      <c r="Q26" s="64"/>
      <c r="R26" s="29" t="s">
        <v>36</v>
      </c>
      <c r="S26" s="29" t="s">
        <v>38</v>
      </c>
      <c r="T26" s="29" t="s">
        <v>40</v>
      </c>
      <c r="U26" s="29" t="s">
        <v>40</v>
      </c>
      <c r="V26" s="29" t="s">
        <v>40</v>
      </c>
    </row>
    <row r="27" spans="7:22" ht="102.6" x14ac:dyDescent="0.3">
      <c r="N27" s="30">
        <v>1</v>
      </c>
      <c r="O27" s="31" t="s">
        <v>43</v>
      </c>
      <c r="P27" s="32" t="s">
        <v>44</v>
      </c>
      <c r="Q27" s="33">
        <v>1</v>
      </c>
      <c r="R27" s="37">
        <f>+T5</f>
        <v>494974.74683058332</v>
      </c>
      <c r="S27" s="35">
        <f>R27*Q27</f>
        <v>494974.74683058332</v>
      </c>
      <c r="T27" s="36">
        <v>0.19</v>
      </c>
      <c r="U27" s="37">
        <f>T27*S27</f>
        <v>94045.201897810824</v>
      </c>
      <c r="V27" s="35">
        <f>+U27+S27</f>
        <v>589019.94872839411</v>
      </c>
    </row>
    <row r="28" spans="7:22" ht="79.8" x14ac:dyDescent="0.3">
      <c r="N28" s="30">
        <v>2</v>
      </c>
      <c r="O28" s="31" t="s">
        <v>43</v>
      </c>
      <c r="P28" s="32" t="s">
        <v>45</v>
      </c>
      <c r="Q28" s="33">
        <v>100</v>
      </c>
      <c r="R28" s="37">
        <f>+T6</f>
        <v>234733.89188611004</v>
      </c>
      <c r="S28" s="35">
        <f>R28*Q28</f>
        <v>23473389.188611005</v>
      </c>
      <c r="T28" s="36">
        <v>0.19</v>
      </c>
      <c r="U28" s="37">
        <f t="shared" ref="U28:U30" si="2">T28*S28</f>
        <v>4459943.9458360905</v>
      </c>
      <c r="V28" s="35">
        <f>U28+S28</f>
        <v>27933333.134447094</v>
      </c>
    </row>
    <row r="29" spans="7:22" ht="68.400000000000006" x14ac:dyDescent="0.3">
      <c r="N29" s="30">
        <v>3</v>
      </c>
      <c r="O29" s="31" t="s">
        <v>46</v>
      </c>
      <c r="P29" s="32" t="s">
        <v>47</v>
      </c>
      <c r="Q29" s="33">
        <v>1</v>
      </c>
      <c r="R29" s="37">
        <f>+T7</f>
        <v>17882952.776317451</v>
      </c>
      <c r="S29" s="35">
        <f>R29*Q29</f>
        <v>17882952.776317451</v>
      </c>
      <c r="T29" s="36">
        <v>0.19</v>
      </c>
      <c r="U29" s="37">
        <f t="shared" si="2"/>
        <v>3397761.0275003156</v>
      </c>
      <c r="V29" s="35">
        <f t="shared" ref="V29:V30" si="3">U29+S29</f>
        <v>21280713.803817768</v>
      </c>
    </row>
    <row r="30" spans="7:22" ht="68.400000000000006" x14ac:dyDescent="0.3">
      <c r="N30" s="30">
        <v>4</v>
      </c>
      <c r="O30" s="31" t="s">
        <v>48</v>
      </c>
      <c r="P30" s="32" t="s">
        <v>49</v>
      </c>
      <c r="Q30" s="38">
        <v>47000</v>
      </c>
      <c r="R30" s="37">
        <f>+T8</f>
        <v>138.5640646055102</v>
      </c>
      <c r="S30" s="35">
        <f>R30*Q30</f>
        <v>6512511.0364589794</v>
      </c>
      <c r="T30" s="36">
        <v>0.19</v>
      </c>
      <c r="U30" s="37">
        <f t="shared" si="2"/>
        <v>1237377.096927206</v>
      </c>
      <c r="V30" s="35">
        <f t="shared" si="3"/>
        <v>7749888.1333861854</v>
      </c>
    </row>
    <row r="31" spans="7:22" x14ac:dyDescent="0.3">
      <c r="N31" s="65" t="s">
        <v>4</v>
      </c>
      <c r="O31" s="66"/>
      <c r="P31" s="66"/>
      <c r="Q31" s="66"/>
      <c r="R31" s="39"/>
      <c r="S31" s="39"/>
      <c r="T31" s="39"/>
      <c r="U31" s="40"/>
      <c r="V31" s="41">
        <f>SUM(V27:V30)</f>
        <v>57552955.020379446</v>
      </c>
    </row>
    <row r="32" spans="7:22" x14ac:dyDescent="0.3">
      <c r="S32" s="45"/>
    </row>
  </sheetData>
  <mergeCells count="18">
    <mergeCell ref="N31:Q31"/>
    <mergeCell ref="N20:Q20"/>
    <mergeCell ref="N24:Q24"/>
    <mergeCell ref="R24:V24"/>
    <mergeCell ref="N25:N26"/>
    <mergeCell ref="O25:O26"/>
    <mergeCell ref="P25:P26"/>
    <mergeCell ref="Q25:Q26"/>
    <mergeCell ref="R13:V13"/>
    <mergeCell ref="C3:C4"/>
    <mergeCell ref="B3:B4"/>
    <mergeCell ref="D3:G3"/>
    <mergeCell ref="H3:K3"/>
    <mergeCell ref="N13:Q13"/>
    <mergeCell ref="Q14:Q15"/>
    <mergeCell ref="P14:P15"/>
    <mergeCell ref="O14:O15"/>
    <mergeCell ref="N14:N1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C53A6-D5D6-4B38-9A4D-34B36702265D}">
  <dimension ref="B3:J11"/>
  <sheetViews>
    <sheetView zoomScale="70" zoomScaleNormal="70" workbookViewId="0">
      <selection activeCell="F7" sqref="F7"/>
    </sheetView>
  </sheetViews>
  <sheetFormatPr baseColWidth="10" defaultRowHeight="14.4" x14ac:dyDescent="0.3"/>
  <cols>
    <col min="2" max="2" width="22" customWidth="1"/>
    <col min="3" max="10" width="18.77734375" customWidth="1"/>
  </cols>
  <sheetData>
    <row r="3" spans="2:10" x14ac:dyDescent="0.3">
      <c r="B3" s="42"/>
      <c r="C3" s="42"/>
      <c r="D3" s="42"/>
      <c r="E3" s="42"/>
      <c r="F3" s="42"/>
      <c r="G3" s="44" t="s">
        <v>50</v>
      </c>
      <c r="H3" s="42"/>
      <c r="I3" s="42"/>
      <c r="J3" s="42"/>
    </row>
    <row r="4" spans="2:10" x14ac:dyDescent="0.3">
      <c r="B4" s="56" t="s">
        <v>30</v>
      </c>
      <c r="C4" s="57"/>
      <c r="D4" s="57"/>
      <c r="E4" s="58"/>
      <c r="F4" s="71" t="s">
        <v>31</v>
      </c>
      <c r="G4" s="72"/>
      <c r="H4" s="72"/>
      <c r="I4" s="72"/>
      <c r="J4" s="72"/>
    </row>
    <row r="5" spans="2:10" ht="24" x14ac:dyDescent="0.3">
      <c r="B5" s="73" t="s">
        <v>32</v>
      </c>
      <c r="C5" s="75" t="s">
        <v>33</v>
      </c>
      <c r="D5" s="73" t="s">
        <v>34</v>
      </c>
      <c r="E5" s="75" t="s">
        <v>2</v>
      </c>
      <c r="F5" s="46" t="s">
        <v>35</v>
      </c>
      <c r="G5" s="46" t="s">
        <v>37</v>
      </c>
      <c r="H5" s="46" t="s">
        <v>39</v>
      </c>
      <c r="I5" s="46" t="s">
        <v>41</v>
      </c>
      <c r="J5" s="46" t="s">
        <v>42</v>
      </c>
    </row>
    <row r="6" spans="2:10" ht="24" x14ac:dyDescent="0.3">
      <c r="B6" s="74"/>
      <c r="C6" s="76"/>
      <c r="D6" s="74"/>
      <c r="E6" s="76"/>
      <c r="F6" s="47" t="s">
        <v>36</v>
      </c>
      <c r="G6" s="47" t="s">
        <v>38</v>
      </c>
      <c r="H6" s="47" t="s">
        <v>40</v>
      </c>
      <c r="I6" s="47" t="s">
        <v>40</v>
      </c>
      <c r="J6" s="47" t="s">
        <v>40</v>
      </c>
    </row>
    <row r="7" spans="2:10" ht="102.6" x14ac:dyDescent="0.3">
      <c r="B7" s="30">
        <v>1</v>
      </c>
      <c r="C7" s="31" t="s">
        <v>43</v>
      </c>
      <c r="D7" s="32" t="s">
        <v>44</v>
      </c>
      <c r="E7" s="33">
        <v>1</v>
      </c>
      <c r="F7" s="37">
        <f>+'2. Comparativo'!T5</f>
        <v>494974.74683058332</v>
      </c>
      <c r="G7" s="35">
        <f>F7*E7</f>
        <v>494974.74683058332</v>
      </c>
      <c r="H7" s="36">
        <v>0.19</v>
      </c>
      <c r="I7" s="37">
        <f>H7*G7</f>
        <v>94045.201897810824</v>
      </c>
      <c r="J7" s="35">
        <f>+I7+G7</f>
        <v>589019.94872839411</v>
      </c>
    </row>
    <row r="8" spans="2:10" ht="79.8" x14ac:dyDescent="0.3">
      <c r="B8" s="30">
        <v>2</v>
      </c>
      <c r="C8" s="31" t="s">
        <v>43</v>
      </c>
      <c r="D8" s="32" t="s">
        <v>45</v>
      </c>
      <c r="E8" s="33">
        <v>100</v>
      </c>
      <c r="F8" s="37">
        <f>+'2. Comparativo'!T6</f>
        <v>234733.89188611004</v>
      </c>
      <c r="G8" s="35">
        <f>F8*E8</f>
        <v>23473389.188611005</v>
      </c>
      <c r="H8" s="36">
        <v>0.19</v>
      </c>
      <c r="I8" s="37">
        <f t="shared" ref="I8:I10" si="0">H8*G8</f>
        <v>4459943.9458360905</v>
      </c>
      <c r="J8" s="35">
        <f>I8+G8</f>
        <v>27933333.134447094</v>
      </c>
    </row>
    <row r="9" spans="2:10" ht="68.400000000000006" x14ac:dyDescent="0.3">
      <c r="B9" s="30">
        <v>3</v>
      </c>
      <c r="C9" s="31" t="s">
        <v>46</v>
      </c>
      <c r="D9" s="32" t="s">
        <v>47</v>
      </c>
      <c r="E9" s="33">
        <v>1</v>
      </c>
      <c r="F9" s="37">
        <f>+'2. Comparativo'!T7</f>
        <v>17882952.776317451</v>
      </c>
      <c r="G9" s="35">
        <f>F9*E9</f>
        <v>17882952.776317451</v>
      </c>
      <c r="H9" s="36">
        <v>0.19</v>
      </c>
      <c r="I9" s="37">
        <f t="shared" si="0"/>
        <v>3397761.0275003156</v>
      </c>
      <c r="J9" s="35">
        <f t="shared" ref="J9:J10" si="1">I9+G9</f>
        <v>21280713.803817768</v>
      </c>
    </row>
    <row r="10" spans="2:10" ht="68.400000000000006" x14ac:dyDescent="0.3">
      <c r="B10" s="30">
        <v>4</v>
      </c>
      <c r="C10" s="31" t="s">
        <v>48</v>
      </c>
      <c r="D10" s="32" t="s">
        <v>49</v>
      </c>
      <c r="E10" s="38">
        <v>47000</v>
      </c>
      <c r="F10" s="37">
        <f>+'2. Comparativo'!T8</f>
        <v>138.5640646055102</v>
      </c>
      <c r="G10" s="35">
        <f>F10*E10</f>
        <v>6512511.0364589794</v>
      </c>
      <c r="H10" s="36">
        <v>0.19</v>
      </c>
      <c r="I10" s="37">
        <f t="shared" si="0"/>
        <v>1237377.096927206</v>
      </c>
      <c r="J10" s="35">
        <f t="shared" si="1"/>
        <v>7749888.1333861854</v>
      </c>
    </row>
    <row r="11" spans="2:10" x14ac:dyDescent="0.3">
      <c r="B11" s="65" t="s">
        <v>4</v>
      </c>
      <c r="C11" s="66"/>
      <c r="D11" s="66"/>
      <c r="E11" s="66"/>
      <c r="F11" s="39"/>
      <c r="G11" s="39"/>
      <c r="H11" s="39"/>
      <c r="I11" s="40"/>
      <c r="J11" s="41">
        <f>SUM(J7:J10)</f>
        <v>57552955.020379446</v>
      </c>
    </row>
  </sheetData>
  <mergeCells count="7">
    <mergeCell ref="B11:E11"/>
    <mergeCell ref="B4:E4"/>
    <mergeCell ref="F4:J4"/>
    <mergeCell ref="B5:B6"/>
    <mergeCell ref="C5:C6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 Cotizaciones</vt:lpstr>
      <vt:lpstr>2. Comparativo</vt:lpstr>
      <vt:lpstr>3. Estimación de Costos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Norma Constanza Mendoza Velandia</dc:creator>
  <cp:keywords/>
  <dc:description/>
  <cp:lastModifiedBy>Norma Constanza Mendoza Velandia</cp:lastModifiedBy>
  <cp:revision/>
  <dcterms:created xsi:type="dcterms:W3CDTF">2026-03-17T12:49:16Z</dcterms:created>
  <dcterms:modified xsi:type="dcterms:W3CDTF">2026-07-21T20:40:20Z</dcterms:modified>
  <cp:category/>
  <cp:contentStatus/>
</cp:coreProperties>
</file>