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\Documents\001. ASESORÍA ALCALDIA 2026\01. ESTUDIOS DEL SECTOR Y PLANTILLAS DIRECTAS\01. SECRETARÍA DE PLANEACIÓN\4. CONTRATOS MES DE JUNIO\1. CONSTRUCCIÓN, MEJORAMIENTO Y ADECUACION DE PAVIMENTO EN PIEDRA\"/>
    </mc:Choice>
  </mc:AlternateContent>
  <xr:revisionPtr revIDLastSave="0" documentId="13_ncr:1_{B36CC05B-1137-42EC-AA3D-A47F06E68E7F}" xr6:coauthVersionLast="47" xr6:coauthVersionMax="47" xr10:uidLastSave="{00000000-0000-0000-0000-000000000000}"/>
  <bookViews>
    <workbookView xWindow="3348" yWindow="3348" windowWidth="17280" windowHeight="8880" tabRatio="869" activeTab="2" xr2:uid="{F88E2608-E310-40A2-916D-8BCA191F5282}"/>
  </bookViews>
  <sheets>
    <sheet name="INFORMACION" sheetId="33" r:id="rId1"/>
    <sheet name="PRESENTACION" sheetId="27" r:id="rId2"/>
    <sheet name="PPTO" sheetId="1" r:id="rId3"/>
    <sheet name="RENDIMIENTO" sheetId="42" state="hidden" r:id="rId4"/>
    <sheet name="ITEMS" sheetId="34" state="hidden" r:id="rId5"/>
    <sheet name="PPTO DIRECTO" sheetId="45" state="hidden" r:id="rId6"/>
    <sheet name="APUS" sheetId="36" r:id="rId7"/>
    <sheet name="INSUMOS" sheetId="35" r:id="rId8"/>
    <sheet name="COTIZACIONES" sheetId="44" state="hidden" r:id="rId9"/>
    <sheet name="DESGLOCE DE PERSONAL" sheetId="37" r:id="rId10"/>
    <sheet name="AIU" sheetId="38" r:id="rId11"/>
    <sheet name="FM" sheetId="39" state="hidden" r:id="rId12"/>
    <sheet name="PPTO INTERVENTORIA" sheetId="40" state="hidden" r:id="rId13"/>
    <sheet name="PPTO PMA" sheetId="41" state="hidden" r:id="rId14"/>
    <sheet name="PPTO PMT" sheetId="43" state="hidden" r:id="rId15"/>
    <sheet name="Hoja4" sheetId="4" state="hidden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hidden="1">'[1]BAR MANT RED AT'!#REF!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hidden="1">{"via1",#N/A,TRUE,"general";"via2",#N/A,TRUE,"general";"via3",#N/A,TRUE,"general"}</definedName>
    <definedName name="Adm">[2]PRESUPUESTO!$F$237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" hidden="1">#REF!</definedName>
    <definedName name="aqaq" hidden="1">{"TAB1",#N/A,TRUE,"GENERAL";"TAB2",#N/A,TRUE,"GENERAL";"TAB3",#N/A,TRUE,"GENERAL";"TAB4",#N/A,TRUE,"GENERAL";"TAB5",#N/A,TRUE,"GENERAL"}</definedName>
    <definedName name="_xlnm.Print_Area" localSheetId="10">AIU!$A$1:$J$70</definedName>
    <definedName name="_xlnm.Print_Area" localSheetId="6">APUS!$L$10:$W$1643</definedName>
    <definedName name="_xlnm.Print_Area" localSheetId="9">'DESGLOCE DE PERSONAL'!$B$1:$K$83</definedName>
    <definedName name="_xlnm.Print_Area" localSheetId="11">FM!$A$1:$F$55</definedName>
    <definedName name="_xlnm.Print_Area" localSheetId="0">INFORMACION!$A$1:$F$33</definedName>
    <definedName name="_xlnm.Print_Area" localSheetId="7">INSUMOS!$B$2:$L$942</definedName>
    <definedName name="_xlnm.Print_Area" localSheetId="4">ITEMS!$B$9:$I$131</definedName>
    <definedName name="_xlnm.Print_Area" localSheetId="2">PPTO!$B$2:$I$83</definedName>
    <definedName name="_xlnm.Print_Area" localSheetId="5">'PPTO DIRECTO'!$B$2:$I$72</definedName>
    <definedName name="_xlnm.Print_Area" localSheetId="12">'PPTO INTERVENTORIA'!$A$1:$K$48</definedName>
    <definedName name="_xlnm.Print_Area" localSheetId="13">'PPTO PMA'!$B$1:$K$53</definedName>
    <definedName name="_xlnm.Print_Area" localSheetId="14">'PPTO PMT'!$B$2:$J$33</definedName>
    <definedName name="_xlnm.Print_Area" localSheetId="1">PRESENTACION!$A$1:$E$44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ase">[3]BaseDatos!$A$2:$F$505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P.1" localSheetId="4">ITEMS!#REF!</definedName>
    <definedName name="CAP.1" localSheetId="5">'PPTO DIRECTO'!#REF!</definedName>
    <definedName name="CAP.1">PPTO!#REF!</definedName>
    <definedName name="CAP.2" localSheetId="4">ITEMS!#REF!</definedName>
    <definedName name="CAP.2" localSheetId="5">'PPTO DIRECTO'!#REF!</definedName>
    <definedName name="CAP.2">PPTO!#REF!</definedName>
    <definedName name="CAP.3" localSheetId="4">ITEMS!#REF!</definedName>
    <definedName name="CAP.3" localSheetId="5">'PPTO DIRECTO'!#REF!</definedName>
    <definedName name="CAP.3">PPTO!#REF!</definedName>
    <definedName name="CAP.4">[4]PPTO!$C$37</definedName>
    <definedName name="CAP.5">[4]PPTO!$C$44</definedName>
    <definedName name="CAP.6">[4]PPTO!$C$50</definedName>
    <definedName name="CAP.7">[4]PPTO!$C$60</definedName>
    <definedName name="CAP.8">[4]PPTO!$C$73</definedName>
    <definedName name="CAP.9">[4]PPTO!$C$79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>[5]Equipo!$A$7:$A$65536</definedName>
    <definedName name="EQUIPO_2">[6]Equipo!$A$7:$A$65536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rev">[2]PRESUPUESTO!$F$238</definedName>
    <definedName name="inf">#REF!</definedName>
    <definedName name="INTERV" hidden="1">{"via1",#N/A,TRUE,"general";"via2",#N/A,TRUE,"general";"via3",#N/A,TRUE,"general"}</definedName>
    <definedName name="item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SUtl">[2]PRESUPUESTO!#REF!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>[5]materiales!$A$7:$A$1317</definedName>
    <definedName name="MATERIALES_2">[6]materiales!$A$7:$A$1317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[5]otros!$A$6:$A$1235</definedName>
    <definedName name="OTROS_2">[6]otros!$A$6:$A$1235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_xlnm.Print_Titles" localSheetId="6">APUS!$2:$8</definedName>
    <definedName name="_xlnm.Print_Titles" localSheetId="4">ITEMS!$3:$8</definedName>
    <definedName name="_xlnm.Print_Titles" localSheetId="2">PPTO!$3:$8</definedName>
    <definedName name="_xlnm.Print_Titles" localSheetId="5">'PPTO DIRECTO'!$3:$8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idad">[2]PRESUPUESTO!$F$239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5" i="1" l="1"/>
  <c r="H70" i="1"/>
  <c r="F36" i="1" l="1"/>
  <c r="J24" i="37"/>
  <c r="D24" i="37"/>
  <c r="F60" i="1"/>
  <c r="F59" i="1"/>
  <c r="F58" i="1"/>
  <c r="F39" i="1"/>
  <c r="F40" i="1"/>
  <c r="F38" i="1"/>
  <c r="F37" i="1"/>
  <c r="F33" i="1"/>
  <c r="F34" i="1" s="1"/>
  <c r="F18" i="1"/>
  <c r="F17" i="1"/>
  <c r="F19" i="1"/>
  <c r="F11" i="1"/>
  <c r="F12" i="1" s="1"/>
  <c r="F16" i="1"/>
  <c r="F15" i="1"/>
  <c r="F14" i="1"/>
  <c r="F61" i="1"/>
  <c r="M1613" i="36"/>
  <c r="S1613" i="36" s="1"/>
  <c r="V1609" i="36"/>
  <c r="V1606" i="36"/>
  <c r="V1607" i="36"/>
  <c r="V1608" i="36"/>
  <c r="N1592" i="36"/>
  <c r="V1592" i="36" s="1"/>
  <c r="T1633" i="36"/>
  <c r="T1632" i="36"/>
  <c r="T1631" i="36"/>
  <c r="T1630" i="36"/>
  <c r="O1622" i="36"/>
  <c r="N1622" i="36"/>
  <c r="O1621" i="36"/>
  <c r="T1615" i="36"/>
  <c r="S1615" i="36"/>
  <c r="Q1615" i="36"/>
  <c r="N1615" i="36"/>
  <c r="T1614" i="36"/>
  <c r="S1614" i="36"/>
  <c r="Q1614" i="36"/>
  <c r="N1614" i="36"/>
  <c r="T1613" i="36"/>
  <c r="Q1613" i="36"/>
  <c r="N1613" i="36"/>
  <c r="V1605" i="36"/>
  <c r="V1604" i="36"/>
  <c r="T1599" i="36"/>
  <c r="V1599" i="36" s="1"/>
  <c r="R1599" i="36"/>
  <c r="N1599" i="36"/>
  <c r="T1598" i="36"/>
  <c r="V1598" i="36" s="1"/>
  <c r="R1598" i="36"/>
  <c r="N1598" i="36"/>
  <c r="T1597" i="36"/>
  <c r="V1597" i="36" s="1"/>
  <c r="R1597" i="36"/>
  <c r="N1597" i="36"/>
  <c r="S1596" i="36"/>
  <c r="O1591" i="36"/>
  <c r="N1540" i="36"/>
  <c r="V1540" i="36" s="1"/>
  <c r="T1579" i="36"/>
  <c r="T1578" i="36"/>
  <c r="T1577" i="36"/>
  <c r="T1576" i="36"/>
  <c r="O1568" i="36"/>
  <c r="N1568" i="36"/>
  <c r="O1567" i="36"/>
  <c r="T1561" i="36"/>
  <c r="S1561" i="36"/>
  <c r="Q1561" i="36"/>
  <c r="N1561" i="36"/>
  <c r="T1560" i="36"/>
  <c r="S1560" i="36"/>
  <c r="Q1560" i="36"/>
  <c r="N1560" i="36"/>
  <c r="T1559" i="36"/>
  <c r="S1559" i="36"/>
  <c r="Q1559" i="36"/>
  <c r="N1559" i="36"/>
  <c r="V1554" i="36"/>
  <c r="V1553" i="36"/>
  <c r="V1552" i="36"/>
  <c r="R1552" i="36"/>
  <c r="T1547" i="36"/>
  <c r="V1547" i="36" s="1"/>
  <c r="R1547" i="36"/>
  <c r="N1547" i="36"/>
  <c r="T1546" i="36"/>
  <c r="V1546" i="36" s="1"/>
  <c r="R1546" i="36"/>
  <c r="N1546" i="36"/>
  <c r="T1545" i="36"/>
  <c r="V1545" i="36" s="1"/>
  <c r="R1545" i="36"/>
  <c r="N1545" i="36"/>
  <c r="S1544" i="36"/>
  <c r="O1539" i="36"/>
  <c r="F42" i="1"/>
  <c r="F41" i="1"/>
  <c r="T1526" i="36"/>
  <c r="T1525" i="36"/>
  <c r="T1524" i="36"/>
  <c r="T1523" i="36"/>
  <c r="T1515" i="36"/>
  <c r="S1515" i="36"/>
  <c r="R1515" i="36"/>
  <c r="O1515" i="36"/>
  <c r="N1515" i="36"/>
  <c r="O1514" i="36"/>
  <c r="N1514" i="36"/>
  <c r="T1508" i="36"/>
  <c r="S1508" i="36"/>
  <c r="Q1508" i="36"/>
  <c r="N1508" i="36"/>
  <c r="T1507" i="36"/>
  <c r="S1507" i="36"/>
  <c r="Q1507" i="36"/>
  <c r="N1507" i="36"/>
  <c r="T1506" i="36"/>
  <c r="S1506" i="36"/>
  <c r="Q1506" i="36"/>
  <c r="N1506" i="36"/>
  <c r="U1501" i="36"/>
  <c r="V1501" i="36" s="1"/>
  <c r="R1501" i="36"/>
  <c r="N1501" i="36"/>
  <c r="U1500" i="36"/>
  <c r="V1500" i="36" s="1"/>
  <c r="R1500" i="36"/>
  <c r="N1500" i="36"/>
  <c r="U1499" i="36"/>
  <c r="V1499" i="36" s="1"/>
  <c r="R1499" i="36"/>
  <c r="N1499" i="36"/>
  <c r="T1493" i="36"/>
  <c r="V1493" i="36" s="1"/>
  <c r="R1493" i="36"/>
  <c r="N1493" i="36"/>
  <c r="T1492" i="36"/>
  <c r="V1492" i="36" s="1"/>
  <c r="R1492" i="36"/>
  <c r="N1492" i="36"/>
  <c r="S1491" i="36"/>
  <c r="V1487" i="36"/>
  <c r="O1487" i="36"/>
  <c r="O1486" i="36"/>
  <c r="M1236" i="36"/>
  <c r="M1235" i="36"/>
  <c r="N1235" i="36" s="1"/>
  <c r="N805" i="36"/>
  <c r="V915" i="36"/>
  <c r="V913" i="36"/>
  <c r="V914" i="36"/>
  <c r="T978" i="36"/>
  <c r="S978" i="36"/>
  <c r="U971" i="36"/>
  <c r="V971" i="36" s="1"/>
  <c r="N976" i="36"/>
  <c r="T864" i="36"/>
  <c r="F55" i="1" l="1"/>
  <c r="F54" i="1"/>
  <c r="O1540" i="36"/>
  <c r="V1614" i="36"/>
  <c r="V1615" i="36"/>
  <c r="V1613" i="36"/>
  <c r="R1235" i="36"/>
  <c r="V1560" i="36"/>
  <c r="V1610" i="36"/>
  <c r="O1592" i="36"/>
  <c r="V1561" i="36"/>
  <c r="V1555" i="36"/>
  <c r="V1556" i="36" s="1"/>
  <c r="V1559" i="36"/>
  <c r="V1508" i="36"/>
  <c r="V1506" i="36"/>
  <c r="V1507" i="36"/>
  <c r="U1515" i="36"/>
  <c r="V1515" i="36" s="1"/>
  <c r="V1502" i="36"/>
  <c r="V1503" i="36" s="1"/>
  <c r="V978" i="36"/>
  <c r="F57" i="1" l="1"/>
  <c r="F56" i="1"/>
  <c r="V1617" i="36"/>
  <c r="V1618" i="36" s="1"/>
  <c r="V1563" i="36"/>
  <c r="V1564" i="36" s="1"/>
  <c r="V1510" i="36"/>
  <c r="V1511" i="36" s="1"/>
  <c r="S751" i="36" l="1"/>
  <c r="T778" i="36"/>
  <c r="T777" i="36"/>
  <c r="T776" i="36"/>
  <c r="T775" i="36"/>
  <c r="AE768" i="36"/>
  <c r="O767" i="36"/>
  <c r="N767" i="36"/>
  <c r="O766" i="36"/>
  <c r="AE761" i="36"/>
  <c r="T758" i="36"/>
  <c r="S758" i="36"/>
  <c r="Q758" i="36"/>
  <c r="N758" i="36"/>
  <c r="S743" i="36"/>
  <c r="V739" i="36"/>
  <c r="O739" i="36"/>
  <c r="C739" i="36"/>
  <c r="D748" i="36" s="1"/>
  <c r="E755" i="36" s="1"/>
  <c r="F763" i="36" s="1"/>
  <c r="O738" i="36"/>
  <c r="V758" i="36" l="1"/>
  <c r="AE758" i="36" s="1"/>
  <c r="J766" i="36"/>
  <c r="J767" i="36" s="1"/>
  <c r="G770" i="36"/>
  <c r="H772" i="36" s="1"/>
  <c r="I781" i="36" s="1"/>
  <c r="V20" i="1"/>
  <c r="Y1381" i="36"/>
  <c r="Y739" i="36"/>
  <c r="Y745" i="36" s="1"/>
  <c r="Y1328" i="36"/>
  <c r="Z1350" i="36" s="1"/>
  <c r="T1473" i="36"/>
  <c r="T1472" i="36"/>
  <c r="T1471" i="36"/>
  <c r="T1470" i="36"/>
  <c r="AE1463" i="36"/>
  <c r="O1462" i="36"/>
  <c r="N1462" i="36"/>
  <c r="O1461" i="36"/>
  <c r="AE1456" i="36"/>
  <c r="T1453" i="36"/>
  <c r="S1453" i="36"/>
  <c r="Q1453" i="36"/>
  <c r="N1453" i="36"/>
  <c r="AE1441" i="36"/>
  <c r="S1438" i="36"/>
  <c r="V1434" i="36"/>
  <c r="O1434" i="36"/>
  <c r="C1434" i="36"/>
  <c r="D1443" i="36" s="1"/>
  <c r="E1450" i="36" s="1"/>
  <c r="F1458" i="36" s="1"/>
  <c r="O1433" i="36"/>
  <c r="T1420" i="36"/>
  <c r="T1419" i="36"/>
  <c r="T1418" i="36"/>
  <c r="T1417" i="36"/>
  <c r="AE1410" i="36"/>
  <c r="O1409" i="36"/>
  <c r="N1409" i="36"/>
  <c r="O1408" i="36"/>
  <c r="AE1403" i="36"/>
  <c r="T1400" i="36"/>
  <c r="S1400" i="36"/>
  <c r="Q1400" i="36"/>
  <c r="N1400" i="36"/>
  <c r="AE1388" i="36"/>
  <c r="S1385" i="36"/>
  <c r="V1381" i="36"/>
  <c r="O1381" i="36"/>
  <c r="C1381" i="36"/>
  <c r="D1390" i="36" s="1"/>
  <c r="E1397" i="36" s="1"/>
  <c r="F1405" i="36" s="1"/>
  <c r="O1380" i="36"/>
  <c r="T1367" i="36"/>
  <c r="T1366" i="36"/>
  <c r="T1365" i="36"/>
  <c r="T1364" i="36"/>
  <c r="AE1357" i="36"/>
  <c r="O1356" i="36"/>
  <c r="N1356" i="36"/>
  <c r="O1355" i="36"/>
  <c r="AE1350" i="36"/>
  <c r="AE1335" i="36"/>
  <c r="S1332" i="36"/>
  <c r="V1328" i="36"/>
  <c r="O1328" i="36"/>
  <c r="C1328" i="36"/>
  <c r="D1337" i="36" s="1"/>
  <c r="E1344" i="36" s="1"/>
  <c r="F1352" i="36" s="1"/>
  <c r="O1327" i="36"/>
  <c r="T1261" i="36"/>
  <c r="T1260" i="36"/>
  <c r="T1259" i="36"/>
  <c r="T1258" i="36"/>
  <c r="AE1251" i="36"/>
  <c r="O1250" i="36"/>
  <c r="N1250" i="36"/>
  <c r="O1249" i="36"/>
  <c r="AE1244" i="36"/>
  <c r="T1241" i="36"/>
  <c r="S1241" i="36"/>
  <c r="Q1241" i="36"/>
  <c r="N1241" i="36"/>
  <c r="AE1229" i="36"/>
  <c r="S1226" i="36"/>
  <c r="V1222" i="36"/>
  <c r="O1222" i="36"/>
  <c r="C1222" i="36"/>
  <c r="D1231" i="36" s="1"/>
  <c r="E1238" i="36" s="1"/>
  <c r="F1246" i="36" s="1"/>
  <c r="O1221" i="36"/>
  <c r="T1208" i="36"/>
  <c r="T1207" i="36"/>
  <c r="T1206" i="36"/>
  <c r="T1205" i="36"/>
  <c r="AE1198" i="36"/>
  <c r="O1196" i="36"/>
  <c r="N1196" i="36"/>
  <c r="AE1191" i="36"/>
  <c r="T1188" i="36"/>
  <c r="S1188" i="36"/>
  <c r="Q1188" i="36"/>
  <c r="N1188" i="36"/>
  <c r="AE1176" i="36"/>
  <c r="T1175" i="36"/>
  <c r="V1175" i="36" s="1"/>
  <c r="AE1175" i="36" s="1"/>
  <c r="R1175" i="36"/>
  <c r="N1175" i="36"/>
  <c r="T1174" i="36"/>
  <c r="V1174" i="36" s="1"/>
  <c r="AE1174" i="36" s="1"/>
  <c r="R1174" i="36"/>
  <c r="N1174" i="36"/>
  <c r="S1173" i="36"/>
  <c r="V1169" i="36"/>
  <c r="O1169" i="36"/>
  <c r="C1169" i="36"/>
  <c r="D1178" i="36" s="1"/>
  <c r="E1185" i="36" s="1"/>
  <c r="F1193" i="36" s="1"/>
  <c r="O1168" i="36"/>
  <c r="Z761" i="36" l="1"/>
  <c r="Y767" i="36"/>
  <c r="Y761" i="36"/>
  <c r="AB761" i="36" s="1"/>
  <c r="Y766" i="36"/>
  <c r="Y753" i="36"/>
  <c r="Y758" i="36"/>
  <c r="AB758" i="36" s="1"/>
  <c r="Y752" i="36"/>
  <c r="Y744" i="36"/>
  <c r="Y768" i="36"/>
  <c r="AB768" i="36" s="1"/>
  <c r="Y751" i="36"/>
  <c r="Y746" i="36"/>
  <c r="Z768" i="36"/>
  <c r="Z758" i="36"/>
  <c r="Y1169" i="36"/>
  <c r="Y1182" i="36" s="1"/>
  <c r="Y1222" i="36"/>
  <c r="Y1227" i="36" s="1"/>
  <c r="V1453" i="36"/>
  <c r="J1461" i="36"/>
  <c r="J1462" i="36" s="1"/>
  <c r="G1465" i="36"/>
  <c r="H1467" i="36" s="1"/>
  <c r="I1476" i="36" s="1"/>
  <c r="Z1403" i="36"/>
  <c r="V1400" i="36"/>
  <c r="AE1400" i="36" s="1"/>
  <c r="J1408" i="36"/>
  <c r="J1409" i="36" s="1"/>
  <c r="G1412" i="36"/>
  <c r="H1414" i="36" s="1"/>
  <c r="I1423" i="36" s="1"/>
  <c r="Y1394" i="36"/>
  <c r="Y1387" i="36"/>
  <c r="Y1403" i="36"/>
  <c r="AB1403" i="36" s="1"/>
  <c r="Y1409" i="36"/>
  <c r="Y1408" i="36"/>
  <c r="Y1388" i="36"/>
  <c r="AB1388" i="36" s="1"/>
  <c r="Y1393" i="36"/>
  <c r="Z1388" i="36"/>
  <c r="Y1410" i="36"/>
  <c r="AB1410" i="36" s="1"/>
  <c r="Y1386" i="36"/>
  <c r="Y1395" i="36"/>
  <c r="Z1410" i="36"/>
  <c r="Y1400" i="36"/>
  <c r="AB1400" i="36" s="1"/>
  <c r="J1355" i="36"/>
  <c r="J1356" i="36" s="1"/>
  <c r="G1359" i="36"/>
  <c r="H1361" i="36" s="1"/>
  <c r="I1370" i="36" s="1"/>
  <c r="Y1341" i="36"/>
  <c r="Y1334" i="36"/>
  <c r="Y1350" i="36"/>
  <c r="AB1350" i="36" s="1"/>
  <c r="AC1350" i="36" s="1"/>
  <c r="Y1356" i="36"/>
  <c r="Y1355" i="36"/>
  <c r="Z1335" i="36"/>
  <c r="Y1357" i="36"/>
  <c r="AB1357" i="36" s="1"/>
  <c r="Y1333" i="36"/>
  <c r="Y1342" i="36"/>
  <c r="Z1357" i="36"/>
  <c r="Y1335" i="36"/>
  <c r="AB1335" i="36" s="1"/>
  <c r="Y1340" i="36"/>
  <c r="V1241" i="36"/>
  <c r="AE1241" i="36" s="1"/>
  <c r="J1249" i="36"/>
  <c r="J1250" i="36" s="1"/>
  <c r="G1253" i="36"/>
  <c r="H1255" i="36" s="1"/>
  <c r="I1264" i="36" s="1"/>
  <c r="V1188" i="36"/>
  <c r="AE1188" i="36" s="1"/>
  <c r="J1196" i="36"/>
  <c r="J1197" i="36" s="1"/>
  <c r="G1200" i="36"/>
  <c r="H1202" i="36" s="1"/>
  <c r="I1211" i="36" s="1"/>
  <c r="AC768" i="36" l="1"/>
  <c r="AC761" i="36"/>
  <c r="AC758" i="36"/>
  <c r="Z1174" i="36"/>
  <c r="Z1175" i="36"/>
  <c r="Y1235" i="36"/>
  <c r="Y1244" i="36"/>
  <c r="AB1244" i="36" s="1"/>
  <c r="Y1197" i="36"/>
  <c r="Y1191" i="36"/>
  <c r="AB1191" i="36" s="1"/>
  <c r="Z1244" i="36"/>
  <c r="Y1188" i="36"/>
  <c r="AB1188" i="36" s="1"/>
  <c r="Y1196" i="36"/>
  <c r="Y1198" i="36"/>
  <c r="AB1198" i="36" s="1"/>
  <c r="Y1181" i="36"/>
  <c r="Y1176" i="36"/>
  <c r="AB1176" i="36" s="1"/>
  <c r="Z1176" i="36"/>
  <c r="Y1234" i="36"/>
  <c r="Y1229" i="36"/>
  <c r="AB1229" i="36" s="1"/>
  <c r="Y1175" i="36"/>
  <c r="AB1175" i="36" s="1"/>
  <c r="Y1249" i="36"/>
  <c r="Y1228" i="36"/>
  <c r="Y1251" i="36"/>
  <c r="AB1251" i="36" s="1"/>
  <c r="Z1191" i="36"/>
  <c r="Y1241" i="36"/>
  <c r="AB1241" i="36" s="1"/>
  <c r="Y1183" i="36"/>
  <c r="Z1251" i="36"/>
  <c r="Z1198" i="36"/>
  <c r="Y1174" i="36"/>
  <c r="AB1174" i="36" s="1"/>
  <c r="Y1236" i="36"/>
  <c r="Z1229" i="36"/>
  <c r="Y1250" i="36"/>
  <c r="AE1453" i="36"/>
  <c r="Z1400" i="36"/>
  <c r="AC1400" i="36" s="1"/>
  <c r="AC1403" i="36"/>
  <c r="AC1410" i="36"/>
  <c r="AC1388" i="36"/>
  <c r="AC1335" i="36"/>
  <c r="AC1357" i="36"/>
  <c r="Z1241" i="36"/>
  <c r="Z1188" i="36"/>
  <c r="AC1229" i="36" l="1"/>
  <c r="AC1191" i="36"/>
  <c r="AC1244" i="36"/>
  <c r="AC1188" i="36"/>
  <c r="AC1174" i="36"/>
  <c r="AC1175" i="36"/>
  <c r="AC1176" i="36"/>
  <c r="AC1198" i="36"/>
  <c r="AC1251" i="36"/>
  <c r="AC1241" i="36"/>
  <c r="V58" i="1" l="1"/>
  <c r="T1155" i="36"/>
  <c r="T1154" i="36"/>
  <c r="T1153" i="36"/>
  <c r="T1152" i="36"/>
  <c r="AE1145" i="36"/>
  <c r="O1143" i="36"/>
  <c r="N1143" i="36"/>
  <c r="AE1138" i="36"/>
  <c r="AE1123" i="36"/>
  <c r="T1121" i="36"/>
  <c r="V1121" i="36" s="1"/>
  <c r="AE1121" i="36" s="1"/>
  <c r="R1121" i="36"/>
  <c r="N1121" i="36"/>
  <c r="S1120" i="36"/>
  <c r="Y1116" i="36"/>
  <c r="Y1143" i="36" s="1"/>
  <c r="V1116" i="36"/>
  <c r="O1116" i="36"/>
  <c r="C1116" i="36"/>
  <c r="D1125" i="36" s="1"/>
  <c r="E1132" i="36" s="1"/>
  <c r="F1140" i="36" s="1"/>
  <c r="O1115" i="36"/>
  <c r="T1102" i="36"/>
  <c r="T1101" i="36"/>
  <c r="T1100" i="36"/>
  <c r="T1099" i="36"/>
  <c r="AE1092" i="36"/>
  <c r="O1090" i="36"/>
  <c r="N1090" i="36"/>
  <c r="AE1085" i="36"/>
  <c r="T1082" i="36"/>
  <c r="S1082" i="36"/>
  <c r="Q1082" i="36"/>
  <c r="N1082" i="36"/>
  <c r="AE1070" i="36"/>
  <c r="T1069" i="36"/>
  <c r="V1069" i="36" s="1"/>
  <c r="AE1069" i="36" s="1"/>
  <c r="R1069" i="36"/>
  <c r="N1069" i="36"/>
  <c r="T1068" i="36"/>
  <c r="V1068" i="36" s="1"/>
  <c r="AE1068" i="36" s="1"/>
  <c r="R1068" i="36"/>
  <c r="N1068" i="36"/>
  <c r="S1067" i="36"/>
  <c r="V1063" i="36"/>
  <c r="O1063" i="36"/>
  <c r="C1063" i="36"/>
  <c r="D1072" i="36" s="1"/>
  <c r="E1079" i="36" s="1"/>
  <c r="F1087" i="36" s="1"/>
  <c r="O1062" i="36"/>
  <c r="T1049" i="36"/>
  <c r="T1048" i="36"/>
  <c r="T1047" i="36"/>
  <c r="T1046" i="36"/>
  <c r="AE1039" i="36"/>
  <c r="O1038" i="36"/>
  <c r="N1038" i="36"/>
  <c r="O1037" i="36"/>
  <c r="AE1032" i="36"/>
  <c r="T1029" i="36"/>
  <c r="S1029" i="36"/>
  <c r="Q1029" i="36"/>
  <c r="N1029" i="36"/>
  <c r="S1014" i="36"/>
  <c r="Y1010" i="36"/>
  <c r="Y1016" i="36" s="1"/>
  <c r="V1010" i="36"/>
  <c r="O1010" i="36"/>
  <c r="C1010" i="36"/>
  <c r="D1019" i="36" s="1"/>
  <c r="E1026" i="36" s="1"/>
  <c r="F1034" i="36" s="1"/>
  <c r="O1009" i="36"/>
  <c r="T996" i="36"/>
  <c r="T995" i="36"/>
  <c r="T994" i="36"/>
  <c r="T993" i="36"/>
  <c r="AE986" i="36"/>
  <c r="O985" i="36"/>
  <c r="N985" i="36"/>
  <c r="O984" i="36"/>
  <c r="AE979" i="36"/>
  <c r="T976" i="36"/>
  <c r="S976" i="36"/>
  <c r="Q976" i="36"/>
  <c r="S960" i="36"/>
  <c r="Y956" i="36"/>
  <c r="Y962" i="36" s="1"/>
  <c r="V956" i="36"/>
  <c r="O956" i="36"/>
  <c r="C956" i="36"/>
  <c r="D965" i="36" s="1"/>
  <c r="E973" i="36" s="1"/>
  <c r="F981" i="36" s="1"/>
  <c r="O955" i="36"/>
  <c r="T942" i="36"/>
  <c r="T941" i="36"/>
  <c r="T940" i="36"/>
  <c r="T939" i="36"/>
  <c r="AE932" i="36"/>
  <c r="O931" i="36"/>
  <c r="N931" i="36"/>
  <c r="O930" i="36"/>
  <c r="AE925" i="36"/>
  <c r="T922" i="36"/>
  <c r="S922" i="36"/>
  <c r="Q922" i="36"/>
  <c r="N922" i="36"/>
  <c r="S902" i="36"/>
  <c r="Y898" i="36"/>
  <c r="Y904" i="36" s="1"/>
  <c r="V898" i="36"/>
  <c r="O898" i="36"/>
  <c r="C898" i="36"/>
  <c r="D907" i="36" s="1"/>
  <c r="E919" i="36" s="1"/>
  <c r="F927" i="36" s="1"/>
  <c r="O897" i="36"/>
  <c r="T884" i="36"/>
  <c r="T883" i="36"/>
  <c r="T882" i="36"/>
  <c r="T881" i="36"/>
  <c r="AE874" i="36"/>
  <c r="O873" i="36"/>
  <c r="N873" i="36"/>
  <c r="O872" i="36"/>
  <c r="AE867" i="36"/>
  <c r="S864" i="36"/>
  <c r="Q864" i="36"/>
  <c r="N864" i="36"/>
  <c r="S849" i="36"/>
  <c r="Y845" i="36"/>
  <c r="Y872" i="36" s="1"/>
  <c r="V845" i="36"/>
  <c r="O845" i="36"/>
  <c r="C845" i="36"/>
  <c r="D854" i="36" s="1"/>
  <c r="E861" i="36" s="1"/>
  <c r="F869" i="36" s="1"/>
  <c r="O844" i="36"/>
  <c r="T831" i="36"/>
  <c r="T830" i="36"/>
  <c r="T829" i="36"/>
  <c r="T828" i="36"/>
  <c r="AE821" i="36"/>
  <c r="O820" i="36"/>
  <c r="N820" i="36"/>
  <c r="O819" i="36"/>
  <c r="AE814" i="36"/>
  <c r="S796" i="36"/>
  <c r="V792" i="36"/>
  <c r="O792" i="36"/>
  <c r="C792" i="36"/>
  <c r="D801" i="36" s="1"/>
  <c r="E808" i="36" s="1"/>
  <c r="F816" i="36" s="1"/>
  <c r="O791" i="36"/>
  <c r="V56" i="1"/>
  <c r="Y1063" i="36"/>
  <c r="T566" i="36"/>
  <c r="T565" i="36"/>
  <c r="T564" i="36"/>
  <c r="T563" i="36"/>
  <c r="AE556" i="36"/>
  <c r="O554" i="36"/>
  <c r="N554" i="36"/>
  <c r="AE549" i="36"/>
  <c r="T546" i="36"/>
  <c r="S546" i="36"/>
  <c r="Q546" i="36"/>
  <c r="N546" i="36"/>
  <c r="AE534" i="36"/>
  <c r="T532" i="36"/>
  <c r="V532" i="36" s="1"/>
  <c r="AE532" i="36" s="1"/>
  <c r="R532" i="36"/>
  <c r="N532" i="36"/>
  <c r="S531" i="36"/>
  <c r="Y527" i="36"/>
  <c r="V527" i="36"/>
  <c r="O527" i="36"/>
  <c r="C527" i="36"/>
  <c r="D536" i="36" s="1"/>
  <c r="E543" i="36" s="1"/>
  <c r="F551" i="36" s="1"/>
  <c r="O526" i="36"/>
  <c r="V15" i="1"/>
  <c r="V57" i="1"/>
  <c r="T725" i="36"/>
  <c r="T724" i="36"/>
  <c r="T723" i="36"/>
  <c r="T722" i="36"/>
  <c r="AE715" i="36"/>
  <c r="O714" i="36"/>
  <c r="N714" i="36"/>
  <c r="O713" i="36"/>
  <c r="AE708" i="36"/>
  <c r="T705" i="36"/>
  <c r="S705" i="36"/>
  <c r="Q705" i="36"/>
  <c r="N705" i="36"/>
  <c r="T691" i="36"/>
  <c r="V691" i="36" s="1"/>
  <c r="AE691" i="36" s="1"/>
  <c r="R691" i="36"/>
  <c r="N691" i="36"/>
  <c r="S690" i="36"/>
  <c r="Y686" i="36"/>
  <c r="Y692" i="36" s="1"/>
  <c r="V686" i="36"/>
  <c r="O686" i="36"/>
  <c r="C686" i="36"/>
  <c r="D695" i="36" s="1"/>
  <c r="E702" i="36" s="1"/>
  <c r="F710" i="36" s="1"/>
  <c r="O685" i="36"/>
  <c r="O1274" i="36"/>
  <c r="C1275" i="36"/>
  <c r="O1275" i="36"/>
  <c r="V1275" i="36"/>
  <c r="S1279" i="36"/>
  <c r="AE1282" i="36"/>
  <c r="T672" i="36"/>
  <c r="T671" i="36"/>
  <c r="T670" i="36"/>
  <c r="T669" i="36"/>
  <c r="AE662" i="36"/>
  <c r="O661" i="36"/>
  <c r="N661" i="36"/>
  <c r="O660" i="36"/>
  <c r="AE655" i="36"/>
  <c r="T639" i="36"/>
  <c r="V639" i="36" s="1"/>
  <c r="R639" i="36"/>
  <c r="N639" i="36"/>
  <c r="T638" i="36"/>
  <c r="V638" i="36" s="1"/>
  <c r="AE638" i="36" s="1"/>
  <c r="R638" i="36"/>
  <c r="N638" i="36"/>
  <c r="S637" i="36"/>
  <c r="Y633" i="36"/>
  <c r="Y640" i="36" s="1"/>
  <c r="V633" i="36"/>
  <c r="O633" i="36"/>
  <c r="C633" i="36"/>
  <c r="D642" i="36" s="1"/>
  <c r="E649" i="36" s="1"/>
  <c r="F657" i="36" s="1"/>
  <c r="O632" i="36"/>
  <c r="T587" i="36"/>
  <c r="V587" i="36" s="1"/>
  <c r="AE587" i="36" s="1"/>
  <c r="R587" i="36"/>
  <c r="N587" i="36"/>
  <c r="T619" i="36"/>
  <c r="T618" i="36"/>
  <c r="T617" i="36"/>
  <c r="T616" i="36"/>
  <c r="AE609" i="36"/>
  <c r="O607" i="36"/>
  <c r="N607" i="36"/>
  <c r="AE602" i="36"/>
  <c r="T599" i="36"/>
  <c r="S599" i="36"/>
  <c r="Q599" i="36"/>
  <c r="N599" i="36"/>
  <c r="T586" i="36"/>
  <c r="V586" i="36" s="1"/>
  <c r="AE586" i="36" s="1"/>
  <c r="R586" i="36"/>
  <c r="N586" i="36"/>
  <c r="T585" i="36"/>
  <c r="V585" i="36" s="1"/>
  <c r="AE585" i="36" s="1"/>
  <c r="R585" i="36"/>
  <c r="N585" i="36"/>
  <c r="S584" i="36"/>
  <c r="V580" i="36"/>
  <c r="O580" i="36"/>
  <c r="C580" i="36"/>
  <c r="D589" i="36" s="1"/>
  <c r="E596" i="36" s="1"/>
  <c r="F604" i="36" s="1"/>
  <c r="O579" i="36"/>
  <c r="T513" i="36"/>
  <c r="T512" i="36"/>
  <c r="T511" i="36"/>
  <c r="T510" i="36"/>
  <c r="AE503" i="36"/>
  <c r="O501" i="36"/>
  <c r="N501" i="36"/>
  <c r="AE496" i="36"/>
  <c r="T493" i="36"/>
  <c r="S493" i="36"/>
  <c r="Q493" i="36"/>
  <c r="N493" i="36"/>
  <c r="AE481" i="36"/>
  <c r="T480" i="36"/>
  <c r="V480" i="36" s="1"/>
  <c r="AE480" i="36" s="1"/>
  <c r="R480" i="36"/>
  <c r="N480" i="36"/>
  <c r="T479" i="36"/>
  <c r="V479" i="36" s="1"/>
  <c r="AE479" i="36" s="1"/>
  <c r="R479" i="36"/>
  <c r="N479" i="36"/>
  <c r="S478" i="36"/>
  <c r="V474" i="36"/>
  <c r="O474" i="36"/>
  <c r="C474" i="36"/>
  <c r="D483" i="36" s="1"/>
  <c r="E490" i="36" s="1"/>
  <c r="F498" i="36" s="1"/>
  <c r="O473" i="36"/>
  <c r="V1082" i="36" l="1"/>
  <c r="AE1082" i="36" s="1"/>
  <c r="J1143" i="36"/>
  <c r="J1144" i="36" s="1"/>
  <c r="G1147" i="36"/>
  <c r="H1149" i="36" s="1"/>
  <c r="I1158" i="36" s="1"/>
  <c r="Y1129" i="36"/>
  <c r="Y1122" i="36"/>
  <c r="Y1138" i="36"/>
  <c r="AB1138" i="36" s="1"/>
  <c r="Y1144" i="36"/>
  <c r="Z1138" i="36"/>
  <c r="Y1123" i="36"/>
  <c r="AB1123" i="36" s="1"/>
  <c r="Y1128" i="36"/>
  <c r="Z1123" i="36"/>
  <c r="Y1145" i="36"/>
  <c r="AB1145" i="36" s="1"/>
  <c r="Y1121" i="36"/>
  <c r="AB1121" i="36" s="1"/>
  <c r="Y1130" i="36"/>
  <c r="Z1145" i="36"/>
  <c r="Z1121" i="36"/>
  <c r="Y1023" i="36"/>
  <c r="Y984" i="36"/>
  <c r="J1090" i="36"/>
  <c r="J1091" i="36" s="1"/>
  <c r="G1094" i="36"/>
  <c r="H1096" i="36" s="1"/>
  <c r="I1105" i="36" s="1"/>
  <c r="Y1076" i="36"/>
  <c r="Y1069" i="36"/>
  <c r="AB1069" i="36" s="1"/>
  <c r="Z1069" i="36"/>
  <c r="Y1085" i="36"/>
  <c r="AB1085" i="36" s="1"/>
  <c r="Y1091" i="36"/>
  <c r="Y1090" i="36"/>
  <c r="Y1070" i="36"/>
  <c r="AB1070" i="36" s="1"/>
  <c r="Y1075" i="36"/>
  <c r="Z1085" i="36"/>
  <c r="Z1070" i="36"/>
  <c r="Y1092" i="36"/>
  <c r="AB1092" i="36" s="1"/>
  <c r="Y1068" i="36"/>
  <c r="AB1068" i="36" s="1"/>
  <c r="Y1077" i="36"/>
  <c r="Z1092" i="36"/>
  <c r="Z1068" i="36"/>
  <c r="Y1082" i="36"/>
  <c r="AB1082" i="36" s="1"/>
  <c r="V1029" i="36"/>
  <c r="AE1029" i="36" s="1"/>
  <c r="Y1015" i="36"/>
  <c r="Z1032" i="36"/>
  <c r="J1037" i="36"/>
  <c r="J1038" i="36" s="1"/>
  <c r="G1041" i="36"/>
  <c r="H1043" i="36" s="1"/>
  <c r="I1052" i="36" s="1"/>
  <c r="Y1032" i="36"/>
  <c r="AB1032" i="36" s="1"/>
  <c r="Y1038" i="36"/>
  <c r="Y1037" i="36"/>
  <c r="Y1017" i="36"/>
  <c r="Y1022" i="36"/>
  <c r="Y1039" i="36"/>
  <c r="AB1039" i="36" s="1"/>
  <c r="Y1024" i="36"/>
  <c r="Z1039" i="36"/>
  <c r="Y1029" i="36"/>
  <c r="AB1029" i="36" s="1"/>
  <c r="Y968" i="36"/>
  <c r="Y961" i="36"/>
  <c r="Z979" i="36"/>
  <c r="Y976" i="36"/>
  <c r="AB976" i="36" s="1"/>
  <c r="Y963" i="36"/>
  <c r="J984" i="36"/>
  <c r="J985" i="36" s="1"/>
  <c r="G988" i="36"/>
  <c r="H990" i="36" s="1"/>
  <c r="I999" i="36" s="1"/>
  <c r="Y969" i="36"/>
  <c r="Y979" i="36"/>
  <c r="AB979" i="36" s="1"/>
  <c r="Y985" i="36"/>
  <c r="Y986" i="36"/>
  <c r="AB986" i="36" s="1"/>
  <c r="Y970" i="36"/>
  <c r="V976" i="36"/>
  <c r="Z986" i="36"/>
  <c r="Y867" i="36"/>
  <c r="AB867" i="36" s="1"/>
  <c r="Y859" i="36"/>
  <c r="Y930" i="36"/>
  <c r="Y916" i="36"/>
  <c r="Y912" i="36"/>
  <c r="Y911" i="36"/>
  <c r="V922" i="36"/>
  <c r="AE922" i="36" s="1"/>
  <c r="Y851" i="36"/>
  <c r="Y873" i="36"/>
  <c r="Y903" i="36"/>
  <c r="Z925" i="36"/>
  <c r="J930" i="36"/>
  <c r="J931" i="36" s="1"/>
  <c r="G934" i="36"/>
  <c r="H936" i="36" s="1"/>
  <c r="I945" i="36" s="1"/>
  <c r="Y925" i="36"/>
  <c r="AB925" i="36" s="1"/>
  <c r="Y931" i="36"/>
  <c r="Y905" i="36"/>
  <c r="Y910" i="36"/>
  <c r="Y932" i="36"/>
  <c r="AB932" i="36" s="1"/>
  <c r="Y917" i="36"/>
  <c r="Z932" i="36"/>
  <c r="Y922" i="36"/>
  <c r="AB922" i="36" s="1"/>
  <c r="V864" i="36"/>
  <c r="AE864" i="36" s="1"/>
  <c r="Y858" i="36"/>
  <c r="Z867" i="36"/>
  <c r="Y852" i="36"/>
  <c r="Y864" i="36"/>
  <c r="AB864" i="36" s="1"/>
  <c r="Y857" i="36"/>
  <c r="Y850" i="36"/>
  <c r="J872" i="36"/>
  <c r="J873" i="36" s="1"/>
  <c r="G876" i="36"/>
  <c r="H878" i="36" s="1"/>
  <c r="I887" i="36" s="1"/>
  <c r="Y874" i="36"/>
  <c r="AB874" i="36" s="1"/>
  <c r="Z874" i="36"/>
  <c r="J819" i="36"/>
  <c r="J820" i="36" s="1"/>
  <c r="G823" i="36"/>
  <c r="H825" i="36" s="1"/>
  <c r="I834" i="36" s="1"/>
  <c r="V546" i="36"/>
  <c r="AE546" i="36" s="1"/>
  <c r="J554" i="36"/>
  <c r="J555" i="36" s="1"/>
  <c r="G558" i="36"/>
  <c r="H560" i="36" s="1"/>
  <c r="I569" i="36" s="1"/>
  <c r="Y540" i="36"/>
  <c r="Y533" i="36"/>
  <c r="Y549" i="36"/>
  <c r="AB549" i="36" s="1"/>
  <c r="Y555" i="36"/>
  <c r="Z549" i="36"/>
  <c r="Y554" i="36"/>
  <c r="Y534" i="36"/>
  <c r="AB534" i="36" s="1"/>
  <c r="Y539" i="36"/>
  <c r="Z534" i="36"/>
  <c r="Y556" i="36"/>
  <c r="AB556" i="36" s="1"/>
  <c r="Y532" i="36"/>
  <c r="AB532" i="36" s="1"/>
  <c r="Y541" i="36"/>
  <c r="Z556" i="36"/>
  <c r="Z532" i="36"/>
  <c r="Y546" i="36"/>
  <c r="AB546" i="36" s="1"/>
  <c r="Y705" i="36"/>
  <c r="AB705" i="36" s="1"/>
  <c r="V705" i="36"/>
  <c r="AE705" i="36" s="1"/>
  <c r="Y691" i="36"/>
  <c r="AB691" i="36" s="1"/>
  <c r="Z708" i="36"/>
  <c r="J713" i="36"/>
  <c r="J714" i="36" s="1"/>
  <c r="G717" i="36"/>
  <c r="H719" i="36" s="1"/>
  <c r="I728" i="36" s="1"/>
  <c r="Y699" i="36"/>
  <c r="Y708" i="36"/>
  <c r="AB708" i="36" s="1"/>
  <c r="Y714" i="36"/>
  <c r="Z691" i="36"/>
  <c r="Y713" i="36"/>
  <c r="Y693" i="36"/>
  <c r="Y698" i="36"/>
  <c r="Y715" i="36"/>
  <c r="AB715" i="36" s="1"/>
  <c r="Y700" i="36"/>
  <c r="Z715" i="36"/>
  <c r="Y645" i="36"/>
  <c r="Y646" i="36"/>
  <c r="AE639" i="36"/>
  <c r="Z639" i="36"/>
  <c r="J660" i="36"/>
  <c r="J661" i="36" s="1"/>
  <c r="G664" i="36"/>
  <c r="H666" i="36" s="1"/>
  <c r="I675" i="36" s="1"/>
  <c r="Y655" i="36"/>
  <c r="AB655" i="36" s="1"/>
  <c r="Y661" i="36"/>
  <c r="Z655" i="36"/>
  <c r="Y638" i="36"/>
  <c r="AB638" i="36" s="1"/>
  <c r="Z638" i="36"/>
  <c r="Y660" i="36"/>
  <c r="Y662" i="36"/>
  <c r="AB662" i="36" s="1"/>
  <c r="Y647" i="36"/>
  <c r="Z662" i="36"/>
  <c r="Y639" i="36"/>
  <c r="AB639" i="36" s="1"/>
  <c r="V599" i="36"/>
  <c r="AE599" i="36" s="1"/>
  <c r="J607" i="36"/>
  <c r="J608" i="36" s="1"/>
  <c r="G611" i="36"/>
  <c r="H613" i="36" s="1"/>
  <c r="I622" i="36" s="1"/>
  <c r="V493" i="36"/>
  <c r="J501" i="36"/>
  <c r="J502" i="36" s="1"/>
  <c r="G505" i="36"/>
  <c r="H507" i="36" s="1"/>
  <c r="I516" i="36" s="1"/>
  <c r="Z976" i="36" l="1"/>
  <c r="AC976" i="36" s="1"/>
  <c r="AC1145" i="36"/>
  <c r="AC867" i="36"/>
  <c r="AC1121" i="36"/>
  <c r="Z1082" i="36"/>
  <c r="AC1082" i="36" s="1"/>
  <c r="AC1123" i="36"/>
  <c r="AC1138" i="36"/>
  <c r="AC979" i="36"/>
  <c r="AC1085" i="36"/>
  <c r="AC1092" i="36"/>
  <c r="AC1068" i="36"/>
  <c r="AC1069" i="36"/>
  <c r="AC1070" i="36"/>
  <c r="Z1029" i="36"/>
  <c r="AC1029" i="36" s="1"/>
  <c r="AC1032" i="36"/>
  <c r="AC1039" i="36"/>
  <c r="AC986" i="36"/>
  <c r="AE976" i="36"/>
  <c r="Z922" i="36"/>
  <c r="AC922" i="36" s="1"/>
  <c r="AC925" i="36"/>
  <c r="AC932" i="36"/>
  <c r="Z864" i="36"/>
  <c r="AC874" i="36"/>
  <c r="Z546" i="36"/>
  <c r="AC546" i="36" s="1"/>
  <c r="AC534" i="36"/>
  <c r="AC549" i="36"/>
  <c r="AC532" i="36"/>
  <c r="AC556" i="36"/>
  <c r="AC715" i="36"/>
  <c r="Z705" i="36"/>
  <c r="AC705" i="36" s="1"/>
  <c r="AC691" i="36"/>
  <c r="AC708" i="36"/>
  <c r="AC655" i="36"/>
  <c r="AC662" i="36"/>
  <c r="AC638" i="36"/>
  <c r="AC639" i="36"/>
  <c r="AE493" i="36"/>
  <c r="AC864" i="36" l="1"/>
  <c r="T460" i="36" l="1"/>
  <c r="T459" i="36"/>
  <c r="T458" i="36"/>
  <c r="T457" i="36"/>
  <c r="AE450" i="36"/>
  <c r="O448" i="36"/>
  <c r="N448" i="36"/>
  <c r="AE443" i="36"/>
  <c r="T440" i="36"/>
  <c r="S440" i="36"/>
  <c r="Q440" i="36"/>
  <c r="N440" i="36"/>
  <c r="AE428" i="36"/>
  <c r="T427" i="36"/>
  <c r="V427" i="36" s="1"/>
  <c r="AE427" i="36" s="1"/>
  <c r="R427" i="36"/>
  <c r="N427" i="36"/>
  <c r="T426" i="36"/>
  <c r="V426" i="36" s="1"/>
  <c r="AE426" i="36" s="1"/>
  <c r="R426" i="36"/>
  <c r="N426" i="36"/>
  <c r="S425" i="36"/>
  <c r="Y421" i="36"/>
  <c r="V421" i="36"/>
  <c r="O421" i="36"/>
  <c r="C421" i="36"/>
  <c r="D430" i="36" s="1"/>
  <c r="E437" i="36" s="1"/>
  <c r="F445" i="36" s="1"/>
  <c r="O420" i="36"/>
  <c r="V440" i="36" l="1"/>
  <c r="AE440" i="36" s="1"/>
  <c r="J448" i="36"/>
  <c r="J449" i="36" s="1"/>
  <c r="G452" i="36"/>
  <c r="H454" i="36" s="1"/>
  <c r="I463" i="36" s="1"/>
  <c r="Y435" i="36"/>
  <c r="Z426" i="36"/>
  <c r="Y426" i="36"/>
  <c r="AB426" i="36" s="1"/>
  <c r="Z450" i="36"/>
  <c r="Y427" i="36"/>
  <c r="AB427" i="36" s="1"/>
  <c r="Y434" i="36"/>
  <c r="Z427" i="36"/>
  <c r="Y443" i="36"/>
  <c r="AB443" i="36" s="1"/>
  <c r="Y449" i="36"/>
  <c r="Z443" i="36"/>
  <c r="Y448" i="36"/>
  <c r="Y428" i="36"/>
  <c r="AB428" i="36" s="1"/>
  <c r="Y433" i="36"/>
  <c r="Z428" i="36"/>
  <c r="Y450" i="36"/>
  <c r="AB450" i="36" s="1"/>
  <c r="Y440" i="36"/>
  <c r="AB440" i="36" s="1"/>
  <c r="Z440" i="36" l="1"/>
  <c r="AC440" i="36" s="1"/>
  <c r="AC426" i="36"/>
  <c r="AC428" i="36"/>
  <c r="AC443" i="36"/>
  <c r="AC450" i="36"/>
  <c r="AC427" i="36"/>
  <c r="V61" i="1" l="1"/>
  <c r="Y792" i="36" l="1"/>
  <c r="Y798" i="36" l="1"/>
  <c r="Y805" i="36"/>
  <c r="Y804" i="36"/>
  <c r="Z814" i="36"/>
  <c r="Y799" i="36"/>
  <c r="Y821" i="36"/>
  <c r="AB821" i="36" s="1"/>
  <c r="Y806" i="36"/>
  <c r="Z821" i="36"/>
  <c r="Y820" i="36"/>
  <c r="Y814" i="36"/>
  <c r="AB814" i="36" s="1"/>
  <c r="Y797" i="36"/>
  <c r="Y819" i="36"/>
  <c r="Y580" i="36"/>
  <c r="Y474" i="36"/>
  <c r="Y1275" i="36"/>
  <c r="Y1434" i="36"/>
  <c r="T1314" i="36"/>
  <c r="T1313" i="36"/>
  <c r="T1312" i="36"/>
  <c r="T1311" i="36"/>
  <c r="AE1304" i="36"/>
  <c r="O1303" i="36"/>
  <c r="N1303" i="36"/>
  <c r="O1302" i="36"/>
  <c r="AE1297" i="36"/>
  <c r="D1284" i="36"/>
  <c r="E1291" i="36" s="1"/>
  <c r="F1299" i="36" s="1"/>
  <c r="V53" i="1"/>
  <c r="V24" i="1"/>
  <c r="V23" i="1"/>
  <c r="V22" i="1"/>
  <c r="Y1461" i="36" l="1"/>
  <c r="Y1441" i="36"/>
  <c r="AB1441" i="36" s="1"/>
  <c r="Y1446" i="36"/>
  <c r="Z1441" i="36"/>
  <c r="Y1463" i="36"/>
  <c r="AB1463" i="36" s="1"/>
  <c r="Y1447" i="36"/>
  <c r="Y1440" i="36"/>
  <c r="Y1456" i="36"/>
  <c r="AB1456" i="36" s="1"/>
  <c r="Y1439" i="36"/>
  <c r="Z1463" i="36"/>
  <c r="Y1453" i="36"/>
  <c r="AB1453" i="36" s="1"/>
  <c r="Y1448" i="36"/>
  <c r="Z1456" i="36"/>
  <c r="Y1462" i="36"/>
  <c r="Z1453" i="36"/>
  <c r="AC814" i="36"/>
  <c r="AC821" i="36"/>
  <c r="Y1281" i="36"/>
  <c r="Z1282" i="36"/>
  <c r="Y1282" i="36"/>
  <c r="AB1282" i="36" s="1"/>
  <c r="Y1280" i="36"/>
  <c r="Y487" i="36"/>
  <c r="Z480" i="36"/>
  <c r="Z481" i="36"/>
  <c r="Y479" i="36"/>
  <c r="AB479" i="36" s="1"/>
  <c r="Y502" i="36"/>
  <c r="Y488" i="36"/>
  <c r="Z503" i="36"/>
  <c r="Z479" i="36"/>
  <c r="Y480" i="36"/>
  <c r="AB480" i="36" s="1"/>
  <c r="Y496" i="36"/>
  <c r="AB496" i="36" s="1"/>
  <c r="Y493" i="36"/>
  <c r="AB493" i="36" s="1"/>
  <c r="Z496" i="36"/>
  <c r="Y501" i="36"/>
  <c r="Y481" i="36"/>
  <c r="AB481" i="36" s="1"/>
  <c r="Y486" i="36"/>
  <c r="Y503" i="36"/>
  <c r="AB503" i="36" s="1"/>
  <c r="Z493" i="36"/>
  <c r="Y607" i="36"/>
  <c r="Y592" i="36"/>
  <c r="Y587" i="36"/>
  <c r="AB587" i="36" s="1"/>
  <c r="Z587" i="36"/>
  <c r="Y594" i="36"/>
  <c r="Y593" i="36"/>
  <c r="Y609" i="36"/>
  <c r="AB609" i="36" s="1"/>
  <c r="Y585" i="36"/>
  <c r="AB585" i="36" s="1"/>
  <c r="Z609" i="36"/>
  <c r="Z585" i="36"/>
  <c r="Z602" i="36"/>
  <c r="Y586" i="36"/>
  <c r="AB586" i="36" s="1"/>
  <c r="Z586" i="36"/>
  <c r="Y599" i="36"/>
  <c r="AB599" i="36" s="1"/>
  <c r="Y602" i="36"/>
  <c r="AB602" i="36" s="1"/>
  <c r="Y608" i="36"/>
  <c r="Z599" i="36"/>
  <c r="J1302" i="36"/>
  <c r="J1303" i="36" s="1"/>
  <c r="G1306" i="36"/>
  <c r="H1308" i="36" s="1"/>
  <c r="I1317" i="36" s="1"/>
  <c r="V21" i="1"/>
  <c r="V19" i="1"/>
  <c r="V18" i="1"/>
  <c r="V17" i="1"/>
  <c r="V16" i="1"/>
  <c r="I370" i="35"/>
  <c r="I368" i="35"/>
  <c r="I593" i="35"/>
  <c r="I330" i="35"/>
  <c r="N849" i="35"/>
  <c r="AC1453" i="36" l="1"/>
  <c r="AC1456" i="36"/>
  <c r="AC1463" i="36"/>
  <c r="AC1441" i="36"/>
  <c r="AC503" i="36"/>
  <c r="AC602" i="36"/>
  <c r="AC481" i="36"/>
  <c r="AC585" i="36"/>
  <c r="AC479" i="36"/>
  <c r="AC609" i="36"/>
  <c r="AC599" i="36"/>
  <c r="AC587" i="36"/>
  <c r="AC586" i="36"/>
  <c r="AC493" i="36"/>
  <c r="AC496" i="36"/>
  <c r="AC480" i="36"/>
  <c r="AC1282" i="36"/>
  <c r="O246" i="36" l="1"/>
  <c r="O196" i="36"/>
  <c r="O146" i="36"/>
  <c r="S216" i="36"/>
  <c r="S166" i="36"/>
  <c r="S116" i="36"/>
  <c r="V60" i="1"/>
  <c r="O296" i="36"/>
  <c r="S266" i="36"/>
  <c r="Y1288" i="36" l="1"/>
  <c r="Y1287" i="36"/>
  <c r="Y1297" i="36"/>
  <c r="AB1297" i="36" s="1"/>
  <c r="Y1289" i="36"/>
  <c r="Y1303" i="36"/>
  <c r="Z1297" i="36"/>
  <c r="Y1302" i="36"/>
  <c r="Z1304" i="36"/>
  <c r="Y1304" i="36"/>
  <c r="AB1304" i="36" s="1"/>
  <c r="AC1304" i="36" l="1"/>
  <c r="AC1297" i="36"/>
  <c r="L78" i="1"/>
  <c r="S372" i="36" l="1"/>
  <c r="S316" i="36"/>
  <c r="S66" i="36"/>
  <c r="S16" i="36"/>
  <c r="O46" i="36"/>
  <c r="O96" i="36"/>
  <c r="E72" i="45"/>
  <c r="E71" i="45"/>
  <c r="C71" i="45"/>
  <c r="E70" i="45"/>
  <c r="C70" i="45"/>
  <c r="C57" i="45"/>
  <c r="V55" i="45"/>
  <c r="V54" i="45"/>
  <c r="V53" i="45"/>
  <c r="C52" i="45"/>
  <c r="V50" i="45"/>
  <c r="V49" i="45"/>
  <c r="V48" i="45"/>
  <c r="V47" i="45"/>
  <c r="V46" i="45"/>
  <c r="V45" i="45"/>
  <c r="V44" i="45"/>
  <c r="C43" i="45"/>
  <c r="V41" i="45"/>
  <c r="V40" i="45"/>
  <c r="V39" i="45"/>
  <c r="V38" i="45"/>
  <c r="V37" i="45"/>
  <c r="V36" i="45"/>
  <c r="C35" i="45"/>
  <c r="V33" i="45"/>
  <c r="V32" i="45"/>
  <c r="V31" i="45"/>
  <c r="V30" i="45"/>
  <c r="V29" i="45"/>
  <c r="V28" i="45"/>
  <c r="V27" i="45"/>
  <c r="V26" i="45"/>
  <c r="V25" i="45"/>
  <c r="C24" i="45"/>
  <c r="V22" i="45"/>
  <c r="V21" i="45"/>
  <c r="V20" i="45"/>
  <c r="V19" i="45"/>
  <c r="V18" i="45"/>
  <c r="V17" i="45"/>
  <c r="V16" i="45"/>
  <c r="C15" i="45"/>
  <c r="V13" i="45"/>
  <c r="V12" i="45"/>
  <c r="V11" i="45"/>
  <c r="V10" i="45"/>
  <c r="C5" i="45"/>
  <c r="J37" i="41" l="1"/>
  <c r="J36" i="41" s="1"/>
  <c r="J34" i="41"/>
  <c r="J27" i="41"/>
  <c r="J26" i="41"/>
  <c r="J20" i="41"/>
  <c r="J19" i="41" s="1"/>
  <c r="J13" i="41"/>
  <c r="J12" i="41"/>
  <c r="J11" i="41" s="1"/>
  <c r="J25" i="41" l="1"/>
  <c r="H42" i="38"/>
  <c r="J31" i="41" l="1"/>
  <c r="J30" i="41"/>
  <c r="J29" i="41"/>
  <c r="J24" i="41"/>
  <c r="V368" i="36"/>
  <c r="O368" i="36"/>
  <c r="O367" i="36"/>
  <c r="V312" i="36"/>
  <c r="O312" i="36"/>
  <c r="O311" i="36"/>
  <c r="J28" i="41" l="1"/>
  <c r="V52" i="1" l="1"/>
  <c r="G16" i="40" l="1"/>
  <c r="G15" i="40"/>
  <c r="G14" i="40"/>
  <c r="A42" i="27" l="1"/>
  <c r="S8" i="36" l="1"/>
  <c r="S7" i="36"/>
  <c r="S6" i="36"/>
  <c r="N7" i="36"/>
  <c r="N6" i="36"/>
  <c r="N787" i="36" l="1"/>
  <c r="N1642" i="36"/>
  <c r="N1535" i="36"/>
  <c r="N1588" i="36"/>
  <c r="S787" i="36"/>
  <c r="S1642" i="36"/>
  <c r="S1588" i="36"/>
  <c r="S1535" i="36"/>
  <c r="N786" i="36"/>
  <c r="N1534" i="36"/>
  <c r="N1641" i="36"/>
  <c r="N1587" i="36"/>
  <c r="S786" i="36"/>
  <c r="S1587" i="36"/>
  <c r="S1534" i="36"/>
  <c r="S1641" i="36"/>
  <c r="S788" i="36"/>
  <c r="S1536" i="36"/>
  <c r="S1643" i="36"/>
  <c r="S1589" i="36"/>
  <c r="N1270" i="36"/>
  <c r="N1482" i="36"/>
  <c r="N1376" i="36"/>
  <c r="N1429" i="36"/>
  <c r="S1269" i="36"/>
  <c r="S1481" i="36"/>
  <c r="S1375" i="36"/>
  <c r="S1428" i="36"/>
  <c r="N1269" i="36"/>
  <c r="N1375" i="36"/>
  <c r="N1481" i="36"/>
  <c r="N1428" i="36"/>
  <c r="S1270" i="36"/>
  <c r="S1482" i="36"/>
  <c r="S1376" i="36"/>
  <c r="S1429" i="36"/>
  <c r="S1271" i="36"/>
  <c r="S1483" i="36"/>
  <c r="S1377" i="36"/>
  <c r="S1430" i="36"/>
  <c r="N1164" i="36"/>
  <c r="N1217" i="36"/>
  <c r="S1164" i="36"/>
  <c r="S1217" i="36"/>
  <c r="N1163" i="36"/>
  <c r="N1216" i="36"/>
  <c r="S1163" i="36"/>
  <c r="S1216" i="36"/>
  <c r="S1165" i="36"/>
  <c r="S1218" i="36"/>
  <c r="S1111" i="36"/>
  <c r="S1005" i="36"/>
  <c r="S1058" i="36"/>
  <c r="N1111" i="36"/>
  <c r="N1005" i="36"/>
  <c r="N1058" i="36"/>
  <c r="N1110" i="36"/>
  <c r="N1004" i="36"/>
  <c r="N1057" i="36"/>
  <c r="S1112" i="36"/>
  <c r="S1059" i="36"/>
  <c r="S1006" i="36"/>
  <c r="S1110" i="36"/>
  <c r="S1004" i="36"/>
  <c r="S1057" i="36"/>
  <c r="N951" i="36"/>
  <c r="N840" i="36"/>
  <c r="N893" i="36"/>
  <c r="S951" i="36"/>
  <c r="S840" i="36"/>
  <c r="S893" i="36"/>
  <c r="N892" i="36"/>
  <c r="N950" i="36"/>
  <c r="N839" i="36"/>
  <c r="S950" i="36"/>
  <c r="S839" i="36"/>
  <c r="S892" i="36"/>
  <c r="S952" i="36"/>
  <c r="S841" i="36"/>
  <c r="S894" i="36"/>
  <c r="N733" i="36"/>
  <c r="N574" i="36"/>
  <c r="S735" i="36"/>
  <c r="S576" i="36"/>
  <c r="S733" i="36"/>
  <c r="S574" i="36"/>
  <c r="S734" i="36"/>
  <c r="S575" i="36"/>
  <c r="N734" i="36"/>
  <c r="N575" i="36"/>
  <c r="N681" i="36"/>
  <c r="N522" i="36"/>
  <c r="N628" i="36"/>
  <c r="S522" i="36"/>
  <c r="S628" i="36"/>
  <c r="S681" i="36"/>
  <c r="S680" i="36"/>
  <c r="S521" i="36"/>
  <c r="S627" i="36"/>
  <c r="S523" i="36"/>
  <c r="S629" i="36"/>
  <c r="S682" i="36"/>
  <c r="N521" i="36"/>
  <c r="N680" i="36"/>
  <c r="N627" i="36"/>
  <c r="N468" i="36"/>
  <c r="S469" i="36"/>
  <c r="N469" i="36"/>
  <c r="S468" i="36"/>
  <c r="S470" i="36"/>
  <c r="N1322" i="36"/>
  <c r="S1324" i="36"/>
  <c r="N1323" i="36"/>
  <c r="S1322" i="36"/>
  <c r="S1323" i="36"/>
  <c r="N256" i="36"/>
  <c r="N206" i="36"/>
  <c r="N257" i="36"/>
  <c r="N207" i="36"/>
  <c r="S257" i="36"/>
  <c r="S207" i="36"/>
  <c r="S258" i="36"/>
  <c r="S208" i="36"/>
  <c r="S256" i="36"/>
  <c r="S206" i="36"/>
  <c r="N306" i="36"/>
  <c r="S307" i="36"/>
  <c r="N307" i="36"/>
  <c r="S308" i="36"/>
  <c r="S306" i="36"/>
  <c r="N107" i="36"/>
  <c r="S108" i="36"/>
  <c r="N106" i="36"/>
  <c r="S106" i="36"/>
  <c r="S107" i="36"/>
  <c r="S363" i="36"/>
  <c r="S364" i="36"/>
  <c r="S362" i="36"/>
  <c r="N362" i="36"/>
  <c r="N363" i="36"/>
  <c r="V59" i="1"/>
  <c r="R38" i="36" l="1"/>
  <c r="R37" i="36"/>
  <c r="R36" i="36"/>
  <c r="F28" i="37"/>
  <c r="F53" i="37" l="1"/>
  <c r="F52" i="37"/>
  <c r="F49" i="37"/>
  <c r="F48" i="37"/>
  <c r="F29" i="37"/>
  <c r="N416" i="36"/>
  <c r="N415" i="36"/>
  <c r="N157" i="36"/>
  <c r="N156" i="36"/>
  <c r="N57" i="36"/>
  <c r="N56" i="36"/>
  <c r="F33" i="43"/>
  <c r="F32" i="43"/>
  <c r="F31" i="43"/>
  <c r="C32" i="43"/>
  <c r="C31" i="43"/>
  <c r="G10" i="43"/>
  <c r="F19" i="43" s="1"/>
  <c r="I19" i="43" s="1"/>
  <c r="D4" i="43"/>
  <c r="I5" i="43"/>
  <c r="I18" i="43"/>
  <c r="I17" i="43"/>
  <c r="I16" i="43"/>
  <c r="I15" i="43"/>
  <c r="I14" i="43"/>
  <c r="I13" i="43"/>
  <c r="E12" i="43"/>
  <c r="D12" i="43"/>
  <c r="AE147" i="36" l="1"/>
  <c r="AE140" i="36"/>
  <c r="AE139" i="36"/>
  <c r="R138" i="36"/>
  <c r="R137" i="36"/>
  <c r="R136" i="36"/>
  <c r="AE131" i="36"/>
  <c r="AE130" i="36"/>
  <c r="AE129" i="36"/>
  <c r="AE120" i="36"/>
  <c r="AE119" i="36"/>
  <c r="AE118" i="36"/>
  <c r="T117" i="36"/>
  <c r="V117" i="36" s="1"/>
  <c r="AE117" i="36" s="1"/>
  <c r="R117" i="36"/>
  <c r="N117" i="36"/>
  <c r="C112" i="36"/>
  <c r="D122" i="36" s="1"/>
  <c r="E133" i="36" s="1"/>
  <c r="F142" i="36" s="1"/>
  <c r="G149" i="36" l="1"/>
  <c r="H151" i="36" s="1"/>
  <c r="J145" i="36"/>
  <c r="J146" i="36" s="1"/>
  <c r="J876" i="35" l="1"/>
  <c r="K876" i="35" s="1"/>
  <c r="Q876" i="35" s="1"/>
  <c r="C110" i="35"/>
  <c r="C215" i="35"/>
  <c r="O45" i="36" s="1"/>
  <c r="D220" i="35"/>
  <c r="C234" i="35"/>
  <c r="C307" i="35"/>
  <c r="C932" i="35"/>
  <c r="T36" i="36"/>
  <c r="S36" i="36"/>
  <c r="T37" i="36"/>
  <c r="S37" i="36"/>
  <c r="T38" i="36"/>
  <c r="S38" i="36"/>
  <c r="T17" i="36"/>
  <c r="V17" i="36" s="1"/>
  <c r="AE17" i="36" s="1"/>
  <c r="D231" i="35"/>
  <c r="D232" i="35"/>
  <c r="T317" i="36"/>
  <c r="V317" i="36" s="1"/>
  <c r="AE317" i="36" s="1"/>
  <c r="C12" i="36"/>
  <c r="D22" i="36" s="1"/>
  <c r="N17" i="36"/>
  <c r="R17" i="36"/>
  <c r="N25" i="36"/>
  <c r="N36" i="36"/>
  <c r="Q36" i="36"/>
  <c r="N37" i="36"/>
  <c r="Q37" i="36"/>
  <c r="N38" i="36"/>
  <c r="Q38" i="36"/>
  <c r="N67" i="36"/>
  <c r="R67" i="36"/>
  <c r="T67" i="36"/>
  <c r="V67" i="36" s="1"/>
  <c r="AE67" i="36" s="1"/>
  <c r="N86" i="36"/>
  <c r="Q86" i="36"/>
  <c r="R86" i="36"/>
  <c r="S86" i="36"/>
  <c r="T86" i="36"/>
  <c r="N87" i="36"/>
  <c r="Q87" i="36"/>
  <c r="R87" i="36"/>
  <c r="S87" i="36"/>
  <c r="T87" i="36"/>
  <c r="N88" i="36"/>
  <c r="Q88" i="36"/>
  <c r="R88" i="36"/>
  <c r="S88" i="36"/>
  <c r="T88" i="36"/>
  <c r="C62" i="36"/>
  <c r="D72" i="36" s="1"/>
  <c r="N95" i="36"/>
  <c r="O95" i="36"/>
  <c r="N186" i="36"/>
  <c r="Q186" i="36"/>
  <c r="R186" i="36"/>
  <c r="S186" i="36"/>
  <c r="T186" i="36"/>
  <c r="N187" i="36"/>
  <c r="Q187" i="36"/>
  <c r="R187" i="36"/>
  <c r="S187" i="36"/>
  <c r="T187" i="36"/>
  <c r="C162" i="36"/>
  <c r="D172" i="36" s="1"/>
  <c r="E183" i="36" s="1"/>
  <c r="F192" i="36" s="1"/>
  <c r="O195" i="36"/>
  <c r="N236" i="36"/>
  <c r="Q236" i="36"/>
  <c r="R236" i="36"/>
  <c r="S236" i="36"/>
  <c r="T236" i="36"/>
  <c r="N237" i="36"/>
  <c r="Q237" i="36"/>
  <c r="R237" i="36"/>
  <c r="S237" i="36"/>
  <c r="T237" i="36"/>
  <c r="C212" i="36"/>
  <c r="D222" i="36" s="1"/>
  <c r="E233" i="36" s="1"/>
  <c r="F242" i="36" s="1"/>
  <c r="J245" i="36" s="1"/>
  <c r="J246" i="36" s="1"/>
  <c r="O245" i="36"/>
  <c r="N286" i="36"/>
  <c r="Q286" i="36"/>
  <c r="R286" i="36"/>
  <c r="S286" i="36"/>
  <c r="T286" i="36"/>
  <c r="N287" i="36"/>
  <c r="Q287" i="36"/>
  <c r="R287" i="36"/>
  <c r="S287" i="36"/>
  <c r="T287" i="36"/>
  <c r="N288" i="36"/>
  <c r="Q288" i="36"/>
  <c r="R288" i="36"/>
  <c r="S288" i="36"/>
  <c r="T288" i="36"/>
  <c r="C262" i="36"/>
  <c r="D272" i="36" s="1"/>
  <c r="E283" i="36" s="1"/>
  <c r="F292" i="36" s="1"/>
  <c r="O295" i="36"/>
  <c r="N317" i="36"/>
  <c r="R317" i="36"/>
  <c r="C312" i="36"/>
  <c r="D322" i="36" s="1"/>
  <c r="E331" i="36" s="1"/>
  <c r="F339" i="36" s="1"/>
  <c r="O342" i="36"/>
  <c r="N343" i="36"/>
  <c r="O343" i="36"/>
  <c r="T351" i="36"/>
  <c r="T352" i="36"/>
  <c r="T353" i="36"/>
  <c r="T354" i="36"/>
  <c r="N373" i="36"/>
  <c r="R373" i="36"/>
  <c r="T373" i="36"/>
  <c r="V373" i="36" s="1"/>
  <c r="AE373" i="36" s="1"/>
  <c r="N387" i="36"/>
  <c r="Q387" i="36"/>
  <c r="S387" i="36"/>
  <c r="T387" i="36"/>
  <c r="C368" i="36"/>
  <c r="D377" i="36" s="1"/>
  <c r="E384" i="36" s="1"/>
  <c r="F392" i="36" s="1"/>
  <c r="N395" i="36"/>
  <c r="O395" i="36"/>
  <c r="T404" i="36"/>
  <c r="T405" i="36"/>
  <c r="T406" i="36"/>
  <c r="T407" i="36"/>
  <c r="D219" i="35"/>
  <c r="D230" i="35"/>
  <c r="D226" i="35"/>
  <c r="C5" i="1"/>
  <c r="B6" i="38" s="1"/>
  <c r="H3" i="33"/>
  <c r="B3" i="39" s="1"/>
  <c r="B6" i="40" s="1"/>
  <c r="E83" i="1"/>
  <c r="E82" i="1"/>
  <c r="E81" i="1"/>
  <c r="C82" i="1"/>
  <c r="C81" i="1"/>
  <c r="J18" i="35"/>
  <c r="K18" i="35" s="1"/>
  <c r="Q18" i="35" s="1"/>
  <c r="J25" i="35"/>
  <c r="K25" i="35" s="1"/>
  <c r="Q25" i="35" s="1"/>
  <c r="J27" i="35"/>
  <c r="K27" i="35" s="1"/>
  <c r="Q27" i="35" s="1"/>
  <c r="J36" i="35"/>
  <c r="K36" i="35" s="1"/>
  <c r="Q36" i="35" s="1"/>
  <c r="J40" i="35"/>
  <c r="K40" i="35" s="1"/>
  <c r="Q40" i="35" s="1"/>
  <c r="J44" i="35"/>
  <c r="K44" i="35" s="1"/>
  <c r="Q44" i="35" s="1"/>
  <c r="J45" i="35"/>
  <c r="K45" i="35" s="1"/>
  <c r="Q45" i="35" s="1"/>
  <c r="J46" i="35"/>
  <c r="K46" i="35" s="1"/>
  <c r="Q46" i="35" s="1"/>
  <c r="J47" i="35"/>
  <c r="K47" i="35" s="1"/>
  <c r="Q47" i="35" s="1"/>
  <c r="J48" i="35"/>
  <c r="K48" i="35" s="1"/>
  <c r="Q48" i="35" s="1"/>
  <c r="J49" i="35"/>
  <c r="K49" i="35" s="1"/>
  <c r="Q49" i="35" s="1"/>
  <c r="J50" i="35"/>
  <c r="K50" i="35" s="1"/>
  <c r="Q50" i="35" s="1"/>
  <c r="J51" i="35"/>
  <c r="K51" i="35" s="1"/>
  <c r="Q51" i="35" s="1"/>
  <c r="J52" i="35"/>
  <c r="K52" i="35" s="1"/>
  <c r="Q52" i="35" s="1"/>
  <c r="J53" i="35"/>
  <c r="K53" i="35" s="1"/>
  <c r="Q53" i="35" s="1"/>
  <c r="J54" i="35"/>
  <c r="K54" i="35" s="1"/>
  <c r="Q54" i="35" s="1"/>
  <c r="J55" i="35"/>
  <c r="K55" i="35" s="1"/>
  <c r="Q55" i="35" s="1"/>
  <c r="J56" i="35"/>
  <c r="K56" i="35" s="1"/>
  <c r="Q56" i="35" s="1"/>
  <c r="J57" i="35"/>
  <c r="K57" i="35" s="1"/>
  <c r="Q57" i="35" s="1"/>
  <c r="J58" i="35"/>
  <c r="K58" i="35" s="1"/>
  <c r="Q58" i="35" s="1"/>
  <c r="J59" i="35"/>
  <c r="K59" i="35" s="1"/>
  <c r="Q59" i="35" s="1"/>
  <c r="J60" i="35"/>
  <c r="K60" i="35" s="1"/>
  <c r="Q60" i="35" s="1"/>
  <c r="J61" i="35"/>
  <c r="K61" i="35" s="1"/>
  <c r="Q61" i="35" s="1"/>
  <c r="J62" i="35"/>
  <c r="K62" i="35" s="1"/>
  <c r="Q62" i="35" s="1"/>
  <c r="J63" i="35"/>
  <c r="K63" i="35" s="1"/>
  <c r="Q63" i="35" s="1"/>
  <c r="J64" i="35"/>
  <c r="K64" i="35" s="1"/>
  <c r="Q64" i="35" s="1"/>
  <c r="J65" i="35"/>
  <c r="K65" i="35" s="1"/>
  <c r="Q65" i="35" s="1"/>
  <c r="J66" i="35"/>
  <c r="K66" i="35" s="1"/>
  <c r="Q66" i="35" s="1"/>
  <c r="J67" i="35"/>
  <c r="K67" i="35" s="1"/>
  <c r="Q67" i="35" s="1"/>
  <c r="J68" i="35"/>
  <c r="K68" i="35" s="1"/>
  <c r="Q68" i="35" s="1"/>
  <c r="J69" i="35"/>
  <c r="K69" i="35" s="1"/>
  <c r="Q69" i="35" s="1"/>
  <c r="J70" i="35"/>
  <c r="K70" i="35" s="1"/>
  <c r="Q70" i="35" s="1"/>
  <c r="J71" i="35"/>
  <c r="K71" i="35" s="1"/>
  <c r="Q71" i="35" s="1"/>
  <c r="J72" i="35"/>
  <c r="K72" i="35" s="1"/>
  <c r="Q72" i="35" s="1"/>
  <c r="J73" i="35"/>
  <c r="K73" i="35" s="1"/>
  <c r="Q73" i="35" s="1"/>
  <c r="J74" i="35"/>
  <c r="K74" i="35" s="1"/>
  <c r="Q74" i="35" s="1"/>
  <c r="J75" i="35"/>
  <c r="K75" i="35" s="1"/>
  <c r="Q75" i="35" s="1"/>
  <c r="J76" i="35"/>
  <c r="K76" i="35" s="1"/>
  <c r="Q76" i="35" s="1"/>
  <c r="J77" i="35"/>
  <c r="K77" i="35" s="1"/>
  <c r="Q77" i="35" s="1"/>
  <c r="J78" i="35"/>
  <c r="K78" i="35" s="1"/>
  <c r="Q78" i="35" s="1"/>
  <c r="J79" i="35"/>
  <c r="K79" i="35" s="1"/>
  <c r="Q79" i="35" s="1"/>
  <c r="J80" i="35"/>
  <c r="K80" i="35" s="1"/>
  <c r="Q80" i="35" s="1"/>
  <c r="J81" i="35"/>
  <c r="K81" i="35" s="1"/>
  <c r="Q81" i="35" s="1"/>
  <c r="J82" i="35"/>
  <c r="K82" i="35" s="1"/>
  <c r="Q82" i="35" s="1"/>
  <c r="J83" i="35"/>
  <c r="K83" i="35" s="1"/>
  <c r="Q83" i="35" s="1"/>
  <c r="J84" i="35"/>
  <c r="K84" i="35" s="1"/>
  <c r="Q84" i="35" s="1"/>
  <c r="J85" i="35"/>
  <c r="K85" i="35" s="1"/>
  <c r="Q85" i="35" s="1"/>
  <c r="J86" i="35"/>
  <c r="K86" i="35" s="1"/>
  <c r="Q86" i="35" s="1"/>
  <c r="J87" i="35"/>
  <c r="K87" i="35" s="1"/>
  <c r="Q87" i="35" s="1"/>
  <c r="J88" i="35"/>
  <c r="K88" i="35" s="1"/>
  <c r="Q88" i="35" s="1"/>
  <c r="J89" i="35"/>
  <c r="K89" i="35" s="1"/>
  <c r="Q89" i="35" s="1"/>
  <c r="J90" i="35"/>
  <c r="K90" i="35" s="1"/>
  <c r="Q90" i="35" s="1"/>
  <c r="J91" i="35"/>
  <c r="K91" i="35" s="1"/>
  <c r="Q91" i="35" s="1"/>
  <c r="J92" i="35"/>
  <c r="K92" i="35" s="1"/>
  <c r="Q92" i="35" s="1"/>
  <c r="J93" i="35"/>
  <c r="K93" i="35" s="1"/>
  <c r="Q93" i="35" s="1"/>
  <c r="J94" i="35"/>
  <c r="K94" i="35" s="1"/>
  <c r="Q94" i="35" s="1"/>
  <c r="J95" i="35"/>
  <c r="K95" i="35" s="1"/>
  <c r="Q95" i="35" s="1"/>
  <c r="J96" i="35"/>
  <c r="K96" i="35" s="1"/>
  <c r="Q96" i="35" s="1"/>
  <c r="J97" i="35"/>
  <c r="K97" i="35" s="1"/>
  <c r="Q97" i="35" s="1"/>
  <c r="J98" i="35"/>
  <c r="K98" i="35" s="1"/>
  <c r="Q98" i="35" s="1"/>
  <c r="J99" i="35"/>
  <c r="K99" i="35" s="1"/>
  <c r="Q99" i="35" s="1"/>
  <c r="J100" i="35"/>
  <c r="K100" i="35" s="1"/>
  <c r="Q100" i="35" s="1"/>
  <c r="J101" i="35"/>
  <c r="K101" i="35" s="1"/>
  <c r="Q101" i="35" s="1"/>
  <c r="J102" i="35"/>
  <c r="K102" i="35" s="1"/>
  <c r="Q102" i="35" s="1"/>
  <c r="J103" i="35"/>
  <c r="K103" i="35" s="1"/>
  <c r="Q103" i="35" s="1"/>
  <c r="J104" i="35"/>
  <c r="K104" i="35" s="1"/>
  <c r="Q104" i="35" s="1"/>
  <c r="J105" i="35"/>
  <c r="K105" i="35" s="1"/>
  <c r="Q105" i="35" s="1"/>
  <c r="J106" i="35"/>
  <c r="K106" i="35" s="1"/>
  <c r="Q106" i="35" s="1"/>
  <c r="J107" i="35"/>
  <c r="K107" i="35" s="1"/>
  <c r="Q107" i="35" s="1"/>
  <c r="J124" i="35"/>
  <c r="K124" i="35" s="1"/>
  <c r="Q124" i="35" s="1"/>
  <c r="J125" i="35"/>
  <c r="K125" i="35" s="1"/>
  <c r="Q125" i="35" s="1"/>
  <c r="J126" i="35"/>
  <c r="K126" i="35" s="1"/>
  <c r="Q126" i="35" s="1"/>
  <c r="J127" i="35"/>
  <c r="K127" i="35" s="1"/>
  <c r="Q127" i="35" s="1"/>
  <c r="J128" i="35"/>
  <c r="K128" i="35" s="1"/>
  <c r="Q128" i="35" s="1"/>
  <c r="J129" i="35"/>
  <c r="K129" i="35" s="1"/>
  <c r="Q129" i="35" s="1"/>
  <c r="J130" i="35"/>
  <c r="K130" i="35" s="1"/>
  <c r="Q130" i="35" s="1"/>
  <c r="J131" i="35"/>
  <c r="K131" i="35" s="1"/>
  <c r="Q131" i="35" s="1"/>
  <c r="J132" i="35"/>
  <c r="K132" i="35" s="1"/>
  <c r="Q132" i="35" s="1"/>
  <c r="J133" i="35"/>
  <c r="K133" i="35" s="1"/>
  <c r="Q133" i="35" s="1"/>
  <c r="J136" i="35"/>
  <c r="K136" i="35" s="1"/>
  <c r="Q136" i="35" s="1"/>
  <c r="J137" i="35"/>
  <c r="K137" i="35" s="1"/>
  <c r="Q137" i="35" s="1"/>
  <c r="J138" i="35"/>
  <c r="K138" i="35" s="1"/>
  <c r="Q138" i="35" s="1"/>
  <c r="J139" i="35"/>
  <c r="K139" i="35" s="1"/>
  <c r="Q139" i="35" s="1"/>
  <c r="J140" i="35"/>
  <c r="K140" i="35" s="1"/>
  <c r="Q140" i="35" s="1"/>
  <c r="J141" i="35"/>
  <c r="K141" i="35" s="1"/>
  <c r="Q141" i="35" s="1"/>
  <c r="J142" i="35"/>
  <c r="K142" i="35" s="1"/>
  <c r="Q142" i="35" s="1"/>
  <c r="J145" i="35"/>
  <c r="K145" i="35" s="1"/>
  <c r="Q145" i="35" s="1"/>
  <c r="J146" i="35"/>
  <c r="K146" i="35" s="1"/>
  <c r="Q146" i="35" s="1"/>
  <c r="J147" i="35"/>
  <c r="K147" i="35" s="1"/>
  <c r="Q147" i="35" s="1"/>
  <c r="J148" i="35"/>
  <c r="K148" i="35" s="1"/>
  <c r="Q148" i="35" s="1"/>
  <c r="J149" i="35"/>
  <c r="K149" i="35" s="1"/>
  <c r="Q149" i="35" s="1"/>
  <c r="J150" i="35"/>
  <c r="K150" i="35" s="1"/>
  <c r="Q150" i="35" s="1"/>
  <c r="J151" i="35"/>
  <c r="K151" i="35" s="1"/>
  <c r="Q151" i="35" s="1"/>
  <c r="J152" i="35"/>
  <c r="K152" i="35" s="1"/>
  <c r="Q152" i="35" s="1"/>
  <c r="J153" i="35"/>
  <c r="K153" i="35" s="1"/>
  <c r="Q153" i="35" s="1"/>
  <c r="J154" i="35"/>
  <c r="K154" i="35" s="1"/>
  <c r="Q154" i="35" s="1"/>
  <c r="J155" i="35"/>
  <c r="K155" i="35" s="1"/>
  <c r="Q155" i="35" s="1"/>
  <c r="J156" i="35"/>
  <c r="K156" i="35" s="1"/>
  <c r="Q156" i="35" s="1"/>
  <c r="J157" i="35"/>
  <c r="K157" i="35" s="1"/>
  <c r="Q157" i="35" s="1"/>
  <c r="J158" i="35"/>
  <c r="K158" i="35" s="1"/>
  <c r="Q158" i="35" s="1"/>
  <c r="J159" i="35"/>
  <c r="K159" i="35" s="1"/>
  <c r="Q159" i="35" s="1"/>
  <c r="J160" i="35"/>
  <c r="K160" i="35" s="1"/>
  <c r="Q160" i="35" s="1"/>
  <c r="J161" i="35"/>
  <c r="K161" i="35" s="1"/>
  <c r="Q161" i="35" s="1"/>
  <c r="J162" i="35"/>
  <c r="K162" i="35" s="1"/>
  <c r="Q162" i="35" s="1"/>
  <c r="J163" i="35"/>
  <c r="K163" i="35" s="1"/>
  <c r="Q163" i="35" s="1"/>
  <c r="J164" i="35"/>
  <c r="K164" i="35" s="1"/>
  <c r="Q164" i="35" s="1"/>
  <c r="J165" i="35"/>
  <c r="K165" i="35" s="1"/>
  <c r="Q165" i="35" s="1"/>
  <c r="J166" i="35"/>
  <c r="K166" i="35" s="1"/>
  <c r="Q166" i="35" s="1"/>
  <c r="J167" i="35"/>
  <c r="K167" i="35" s="1"/>
  <c r="Q167" i="35" s="1"/>
  <c r="J168" i="35"/>
  <c r="K168" i="35" s="1"/>
  <c r="Q168" i="35" s="1"/>
  <c r="J169" i="35"/>
  <c r="K169" i="35" s="1"/>
  <c r="Q169" i="35" s="1"/>
  <c r="J170" i="35"/>
  <c r="K170" i="35" s="1"/>
  <c r="Q170" i="35" s="1"/>
  <c r="J171" i="35"/>
  <c r="K171" i="35" s="1"/>
  <c r="Q171" i="35" s="1"/>
  <c r="J172" i="35"/>
  <c r="K172" i="35" s="1"/>
  <c r="Q172" i="35" s="1"/>
  <c r="J173" i="35"/>
  <c r="K173" i="35" s="1"/>
  <c r="Q173" i="35" s="1"/>
  <c r="J177" i="35"/>
  <c r="K177" i="35" s="1"/>
  <c r="Q177" i="35" s="1"/>
  <c r="J178" i="35"/>
  <c r="K178" i="35" s="1"/>
  <c r="Q178" i="35" s="1"/>
  <c r="J179" i="35"/>
  <c r="K179" i="35" s="1"/>
  <c r="Q179" i="35" s="1"/>
  <c r="J180" i="35"/>
  <c r="K180" i="35" s="1"/>
  <c r="Q180" i="35" s="1"/>
  <c r="J181" i="35"/>
  <c r="K181" i="35" s="1"/>
  <c r="Q181" i="35" s="1"/>
  <c r="J182" i="35"/>
  <c r="K182" i="35" s="1"/>
  <c r="Q182" i="35" s="1"/>
  <c r="J183" i="35"/>
  <c r="K183" i="35" s="1"/>
  <c r="Q183" i="35" s="1"/>
  <c r="J184" i="35"/>
  <c r="K184" i="35" s="1"/>
  <c r="Q184" i="35" s="1"/>
  <c r="J185" i="35"/>
  <c r="K185" i="35" s="1"/>
  <c r="Q185" i="35" s="1"/>
  <c r="J186" i="35"/>
  <c r="K186" i="35" s="1"/>
  <c r="Q186" i="35" s="1"/>
  <c r="J187" i="35"/>
  <c r="K187" i="35" s="1"/>
  <c r="Q187" i="35" s="1"/>
  <c r="J188" i="35"/>
  <c r="K188" i="35" s="1"/>
  <c r="Q188" i="35" s="1"/>
  <c r="J189" i="35"/>
  <c r="K189" i="35" s="1"/>
  <c r="Q189" i="35" s="1"/>
  <c r="J190" i="35"/>
  <c r="K190" i="35" s="1"/>
  <c r="Q190" i="35" s="1"/>
  <c r="J191" i="35"/>
  <c r="K191" i="35" s="1"/>
  <c r="Q191" i="35" s="1"/>
  <c r="J192" i="35"/>
  <c r="K192" i="35" s="1"/>
  <c r="Q192" i="35" s="1"/>
  <c r="J193" i="35"/>
  <c r="K193" i="35" s="1"/>
  <c r="Q193" i="35" s="1"/>
  <c r="J194" i="35"/>
  <c r="K194" i="35" s="1"/>
  <c r="Q194" i="35" s="1"/>
  <c r="J195" i="35"/>
  <c r="K195" i="35" s="1"/>
  <c r="Q195" i="35" s="1"/>
  <c r="J196" i="35"/>
  <c r="K196" i="35" s="1"/>
  <c r="Q196" i="35" s="1"/>
  <c r="J197" i="35"/>
  <c r="K197" i="35" s="1"/>
  <c r="Q197" i="35" s="1"/>
  <c r="J198" i="35"/>
  <c r="K198" i="35" s="1"/>
  <c r="Q198" i="35" s="1"/>
  <c r="J199" i="35"/>
  <c r="K199" i="35" s="1"/>
  <c r="Q199" i="35" s="1"/>
  <c r="J200" i="35"/>
  <c r="K200" i="35" s="1"/>
  <c r="Q200" i="35" s="1"/>
  <c r="J201" i="35"/>
  <c r="K201" i="35" s="1"/>
  <c r="Q201" i="35" s="1"/>
  <c r="J202" i="35"/>
  <c r="K202" i="35" s="1"/>
  <c r="Q202" i="35" s="1"/>
  <c r="J203" i="35"/>
  <c r="K203" i="35" s="1"/>
  <c r="Q203" i="35" s="1"/>
  <c r="J204" i="35"/>
  <c r="K204" i="35" s="1"/>
  <c r="Q204" i="35" s="1"/>
  <c r="J205" i="35"/>
  <c r="K205" i="35" s="1"/>
  <c r="Q205" i="35" s="1"/>
  <c r="J206" i="35"/>
  <c r="K206" i="35" s="1"/>
  <c r="Q206" i="35" s="1"/>
  <c r="J207" i="35"/>
  <c r="K207" i="35" s="1"/>
  <c r="Q207" i="35" s="1"/>
  <c r="J208" i="35"/>
  <c r="K208" i="35" s="1"/>
  <c r="Q208" i="35" s="1"/>
  <c r="J209" i="35"/>
  <c r="K209" i="35" s="1"/>
  <c r="Q209" i="35" s="1"/>
  <c r="J210" i="35"/>
  <c r="K210" i="35" s="1"/>
  <c r="Q210" i="35" s="1"/>
  <c r="J211" i="35"/>
  <c r="K211" i="35" s="1"/>
  <c r="Q211" i="35" s="1"/>
  <c r="J212" i="35"/>
  <c r="K212" i="35" s="1"/>
  <c r="Q212" i="35" s="1"/>
  <c r="J213" i="35"/>
  <c r="K213" i="35" s="1"/>
  <c r="Q213" i="35" s="1"/>
  <c r="J221" i="35"/>
  <c r="D221" i="35"/>
  <c r="J222" i="35"/>
  <c r="D222" i="35"/>
  <c r="D223" i="35"/>
  <c r="D224" i="35"/>
  <c r="D225" i="35"/>
  <c r="J227" i="35"/>
  <c r="D227" i="35"/>
  <c r="J228" i="35"/>
  <c r="D228" i="35"/>
  <c r="D229" i="35"/>
  <c r="J332" i="35"/>
  <c r="K332" i="35" s="1"/>
  <c r="Q332" i="35" s="1"/>
  <c r="J333" i="35"/>
  <c r="K333" i="35" s="1"/>
  <c r="Q333" i="35" s="1"/>
  <c r="J334" i="35"/>
  <c r="K334" i="35" s="1"/>
  <c r="Q334" i="35" s="1"/>
  <c r="J336" i="35"/>
  <c r="K336" i="35" s="1"/>
  <c r="Q336" i="35" s="1"/>
  <c r="J337" i="35"/>
  <c r="K337" i="35" s="1"/>
  <c r="Q337" i="35" s="1"/>
  <c r="J338" i="35"/>
  <c r="K338" i="35" s="1"/>
  <c r="Q338" i="35" s="1"/>
  <c r="J339" i="35"/>
  <c r="K339" i="35" s="1"/>
  <c r="Q339" i="35" s="1"/>
  <c r="J344" i="35"/>
  <c r="K344" i="35" s="1"/>
  <c r="Q344" i="35" s="1"/>
  <c r="J350" i="35"/>
  <c r="K350" i="35" s="1"/>
  <c r="Q350" i="35" s="1"/>
  <c r="J351" i="35"/>
  <c r="K351" i="35" s="1"/>
  <c r="Q351" i="35" s="1"/>
  <c r="J355" i="35"/>
  <c r="K355" i="35" s="1"/>
  <c r="Q355" i="35" s="1"/>
  <c r="J356" i="35"/>
  <c r="K356" i="35" s="1"/>
  <c r="Q356" i="35" s="1"/>
  <c r="J357" i="35"/>
  <c r="K357" i="35" s="1"/>
  <c r="Q357" i="35" s="1"/>
  <c r="J361" i="35"/>
  <c r="K361" i="35" s="1"/>
  <c r="Q361" i="35" s="1"/>
  <c r="J362" i="35"/>
  <c r="K362" i="35" s="1"/>
  <c r="Q362" i="35" s="1"/>
  <c r="J363" i="35"/>
  <c r="K363" i="35" s="1"/>
  <c r="Q363" i="35" s="1"/>
  <c r="J364" i="35"/>
  <c r="K364" i="35" s="1"/>
  <c r="Q364" i="35" s="1"/>
  <c r="J366" i="35"/>
  <c r="K366" i="35" s="1"/>
  <c r="Q366" i="35" s="1"/>
  <c r="J367" i="35"/>
  <c r="K367" i="35" s="1"/>
  <c r="Q367" i="35" s="1"/>
  <c r="J371" i="35"/>
  <c r="K371" i="35" s="1"/>
  <c r="Q371" i="35" s="1"/>
  <c r="J373" i="35"/>
  <c r="K373" i="35" s="1"/>
  <c r="Q373" i="35" s="1"/>
  <c r="J374" i="35"/>
  <c r="K374" i="35" s="1"/>
  <c r="Q374" i="35" s="1"/>
  <c r="J375" i="35"/>
  <c r="K375" i="35" s="1"/>
  <c r="Q375" i="35" s="1"/>
  <c r="J376" i="35"/>
  <c r="K376" i="35" s="1"/>
  <c r="Q376" i="35" s="1"/>
  <c r="J378" i="35"/>
  <c r="K378" i="35" s="1"/>
  <c r="Q378" i="35" s="1"/>
  <c r="J379" i="35"/>
  <c r="K379" i="35" s="1"/>
  <c r="Q379" i="35" s="1"/>
  <c r="J380" i="35"/>
  <c r="K380" i="35" s="1"/>
  <c r="Q380" i="35" s="1"/>
  <c r="J381" i="35"/>
  <c r="K381" i="35" s="1"/>
  <c r="Q381" i="35" s="1"/>
  <c r="J382" i="35"/>
  <c r="K382" i="35" s="1"/>
  <c r="Q382" i="35" s="1"/>
  <c r="J383" i="35"/>
  <c r="K383" i="35" s="1"/>
  <c r="Q383" i="35" s="1"/>
  <c r="J385" i="35"/>
  <c r="K385" i="35" s="1"/>
  <c r="Q385" i="35" s="1"/>
  <c r="J386" i="35"/>
  <c r="K386" i="35" s="1"/>
  <c r="Q386" i="35" s="1"/>
  <c r="J387" i="35"/>
  <c r="K387" i="35" s="1"/>
  <c r="Q387" i="35" s="1"/>
  <c r="J388" i="35"/>
  <c r="K388" i="35" s="1"/>
  <c r="Q388" i="35" s="1"/>
  <c r="J389" i="35"/>
  <c r="K389" i="35" s="1"/>
  <c r="Q389" i="35" s="1"/>
  <c r="J391" i="35"/>
  <c r="K391" i="35" s="1"/>
  <c r="Q391" i="35" s="1"/>
  <c r="J392" i="35"/>
  <c r="K392" i="35" s="1"/>
  <c r="Q392" i="35" s="1"/>
  <c r="J393" i="35"/>
  <c r="K393" i="35" s="1"/>
  <c r="Q393" i="35" s="1"/>
  <c r="J394" i="35"/>
  <c r="K394" i="35" s="1"/>
  <c r="Q394" i="35" s="1"/>
  <c r="J395" i="35"/>
  <c r="K395" i="35" s="1"/>
  <c r="Q395" i="35" s="1"/>
  <c r="J396" i="35"/>
  <c r="K396" i="35" s="1"/>
  <c r="Q396" i="35" s="1"/>
  <c r="J397" i="35"/>
  <c r="K397" i="35" s="1"/>
  <c r="Q397" i="35" s="1"/>
  <c r="J398" i="35"/>
  <c r="K398" i="35" s="1"/>
  <c r="Q398" i="35" s="1"/>
  <c r="J409" i="35"/>
  <c r="K409" i="35" s="1"/>
  <c r="Q409" i="35" s="1"/>
  <c r="J411" i="35"/>
  <c r="K411" i="35" s="1"/>
  <c r="Q411" i="35" s="1"/>
  <c r="J413" i="35"/>
  <c r="K413" i="35" s="1"/>
  <c r="J414" i="35"/>
  <c r="K414" i="35" s="1"/>
  <c r="Q414" i="35" s="1"/>
  <c r="J416" i="35"/>
  <c r="K416" i="35" s="1"/>
  <c r="Q416" i="35" s="1"/>
  <c r="J417" i="35"/>
  <c r="K417" i="35" s="1"/>
  <c r="Q417" i="35" s="1"/>
  <c r="J418" i="35"/>
  <c r="K418" i="35" s="1"/>
  <c r="Q418" i="35" s="1"/>
  <c r="J419" i="35"/>
  <c r="K419" i="35" s="1"/>
  <c r="Q419" i="35" s="1"/>
  <c r="J420" i="35"/>
  <c r="K420" i="35" s="1"/>
  <c r="Q420" i="35" s="1"/>
  <c r="J421" i="35"/>
  <c r="K421" i="35" s="1"/>
  <c r="Q421" i="35" s="1"/>
  <c r="J422" i="35"/>
  <c r="K422" i="35" s="1"/>
  <c r="Q422" i="35" s="1"/>
  <c r="J423" i="35"/>
  <c r="K423" i="35" s="1"/>
  <c r="Q423" i="35" s="1"/>
  <c r="J424" i="35"/>
  <c r="K424" i="35" s="1"/>
  <c r="Q424" i="35" s="1"/>
  <c r="J425" i="35"/>
  <c r="K425" i="35" s="1"/>
  <c r="Q425" i="35" s="1"/>
  <c r="J426" i="35"/>
  <c r="K426" i="35" s="1"/>
  <c r="Q426" i="35" s="1"/>
  <c r="J427" i="35"/>
  <c r="K427" i="35" s="1"/>
  <c r="Q427" i="35" s="1"/>
  <c r="J428" i="35"/>
  <c r="K428" i="35" s="1"/>
  <c r="Q428" i="35" s="1"/>
  <c r="J429" i="35"/>
  <c r="K429" i="35" s="1"/>
  <c r="Q429" i="35" s="1"/>
  <c r="J430" i="35"/>
  <c r="K430" i="35" s="1"/>
  <c r="Q430" i="35" s="1"/>
  <c r="J431" i="35"/>
  <c r="K431" i="35" s="1"/>
  <c r="Q431" i="35" s="1"/>
  <c r="J432" i="35"/>
  <c r="K432" i="35" s="1"/>
  <c r="Q432" i="35" s="1"/>
  <c r="J433" i="35"/>
  <c r="K433" i="35" s="1"/>
  <c r="Q433" i="35" s="1"/>
  <c r="J434" i="35"/>
  <c r="K434" i="35" s="1"/>
  <c r="Q434" i="35" s="1"/>
  <c r="J435" i="35"/>
  <c r="K435" i="35" s="1"/>
  <c r="Q435" i="35" s="1"/>
  <c r="J436" i="35"/>
  <c r="K436" i="35" s="1"/>
  <c r="Q436" i="35" s="1"/>
  <c r="J437" i="35"/>
  <c r="K437" i="35" s="1"/>
  <c r="Q437" i="35" s="1"/>
  <c r="J438" i="35"/>
  <c r="K438" i="35" s="1"/>
  <c r="Q438" i="35" s="1"/>
  <c r="J439" i="35"/>
  <c r="K439" i="35" s="1"/>
  <c r="Q439" i="35" s="1"/>
  <c r="J440" i="35"/>
  <c r="K440" i="35" s="1"/>
  <c r="Q440" i="35" s="1"/>
  <c r="J441" i="35"/>
  <c r="K441" i="35" s="1"/>
  <c r="Q441" i="35" s="1"/>
  <c r="J442" i="35"/>
  <c r="K442" i="35" s="1"/>
  <c r="Q442" i="35" s="1"/>
  <c r="J443" i="35"/>
  <c r="K443" i="35" s="1"/>
  <c r="Q443" i="35" s="1"/>
  <c r="J444" i="35"/>
  <c r="K444" i="35" s="1"/>
  <c r="Q444" i="35" s="1"/>
  <c r="J445" i="35"/>
  <c r="K445" i="35" s="1"/>
  <c r="Q445" i="35" s="1"/>
  <c r="J446" i="35"/>
  <c r="K446" i="35" s="1"/>
  <c r="Q446" i="35" s="1"/>
  <c r="J447" i="35"/>
  <c r="K447" i="35" s="1"/>
  <c r="Q447" i="35" s="1"/>
  <c r="J448" i="35"/>
  <c r="K448" i="35" s="1"/>
  <c r="Q448" i="35" s="1"/>
  <c r="J449" i="35"/>
  <c r="K449" i="35" s="1"/>
  <c r="Q449" i="35" s="1"/>
  <c r="J450" i="35"/>
  <c r="J451" i="35"/>
  <c r="J453" i="35"/>
  <c r="J454" i="35"/>
  <c r="J456" i="35"/>
  <c r="J457" i="35"/>
  <c r="J459" i="35"/>
  <c r="J460" i="35"/>
  <c r="J461" i="35"/>
  <c r="J462" i="35"/>
  <c r="J463" i="35"/>
  <c r="J464" i="35"/>
  <c r="J465" i="35"/>
  <c r="K465" i="35" s="1"/>
  <c r="Q465" i="35" s="1"/>
  <c r="J466" i="35"/>
  <c r="K466" i="35" s="1"/>
  <c r="Q466" i="35" s="1"/>
  <c r="J467" i="35"/>
  <c r="K467" i="35" s="1"/>
  <c r="Q467" i="35" s="1"/>
  <c r="J468" i="35"/>
  <c r="K468" i="35" s="1"/>
  <c r="Q468" i="35" s="1"/>
  <c r="J469" i="35"/>
  <c r="K469" i="35" s="1"/>
  <c r="Q469" i="35" s="1"/>
  <c r="J470" i="35"/>
  <c r="K470" i="35" s="1"/>
  <c r="Q470" i="35" s="1"/>
  <c r="J471" i="35"/>
  <c r="K471" i="35" s="1"/>
  <c r="Q471" i="35" s="1"/>
  <c r="J472" i="35"/>
  <c r="K472" i="35" s="1"/>
  <c r="Q472" i="35" s="1"/>
  <c r="J473" i="35"/>
  <c r="K473" i="35" s="1"/>
  <c r="Q473" i="35" s="1"/>
  <c r="J474" i="35"/>
  <c r="K474" i="35" s="1"/>
  <c r="Q474" i="35" s="1"/>
  <c r="J475" i="35"/>
  <c r="K475" i="35" s="1"/>
  <c r="Q475" i="35" s="1"/>
  <c r="J476" i="35"/>
  <c r="K476" i="35" s="1"/>
  <c r="Q476" i="35" s="1"/>
  <c r="J477" i="35"/>
  <c r="K477" i="35" s="1"/>
  <c r="Q477" i="35" s="1"/>
  <c r="J478" i="35"/>
  <c r="I478" i="35"/>
  <c r="J479" i="35"/>
  <c r="I479" i="35"/>
  <c r="J480" i="35"/>
  <c r="I480" i="35"/>
  <c r="J481" i="35"/>
  <c r="I481" i="35"/>
  <c r="J482" i="35"/>
  <c r="I482" i="35"/>
  <c r="J483" i="35"/>
  <c r="I483" i="35"/>
  <c r="J484" i="35"/>
  <c r="I484" i="35"/>
  <c r="J485" i="35"/>
  <c r="K485" i="35" s="1"/>
  <c r="Q485" i="35" s="1"/>
  <c r="J486" i="35"/>
  <c r="K486" i="35" s="1"/>
  <c r="Q486" i="35" s="1"/>
  <c r="J487" i="35"/>
  <c r="K487" i="35" s="1"/>
  <c r="Q487" i="35" s="1"/>
  <c r="J488" i="35"/>
  <c r="K488" i="35" s="1"/>
  <c r="Q488" i="35" s="1"/>
  <c r="J489" i="35"/>
  <c r="K489" i="35" s="1"/>
  <c r="Q489" i="35" s="1"/>
  <c r="J490" i="35"/>
  <c r="K490" i="35" s="1"/>
  <c r="Q490" i="35" s="1"/>
  <c r="J491" i="35"/>
  <c r="K491" i="35" s="1"/>
  <c r="Q491" i="35" s="1"/>
  <c r="J492" i="35"/>
  <c r="K492" i="35" s="1"/>
  <c r="Q492" i="35" s="1"/>
  <c r="J493" i="35"/>
  <c r="K493" i="35" s="1"/>
  <c r="Q493" i="35" s="1"/>
  <c r="J494" i="35"/>
  <c r="K494" i="35" s="1"/>
  <c r="Q494" i="35" s="1"/>
  <c r="J495" i="35"/>
  <c r="K495" i="35" s="1"/>
  <c r="Q495" i="35" s="1"/>
  <c r="J496" i="35"/>
  <c r="K496" i="35" s="1"/>
  <c r="Q496" i="35" s="1"/>
  <c r="J497" i="35"/>
  <c r="K497" i="35" s="1"/>
  <c r="Q497" i="35" s="1"/>
  <c r="J498" i="35"/>
  <c r="K498" i="35" s="1"/>
  <c r="Q498" i="35" s="1"/>
  <c r="J499" i="35"/>
  <c r="K499" i="35" s="1"/>
  <c r="Q499" i="35" s="1"/>
  <c r="J500" i="35"/>
  <c r="K500" i="35" s="1"/>
  <c r="Q500" i="35" s="1"/>
  <c r="J501" i="35"/>
  <c r="K501" i="35" s="1"/>
  <c r="Q501" i="35" s="1"/>
  <c r="J502" i="35"/>
  <c r="K502" i="35" s="1"/>
  <c r="Q502" i="35" s="1"/>
  <c r="J503" i="35"/>
  <c r="K503" i="35" s="1"/>
  <c r="Q503" i="35" s="1"/>
  <c r="J504" i="35"/>
  <c r="K504" i="35" s="1"/>
  <c r="Q504" i="35" s="1"/>
  <c r="J505" i="35"/>
  <c r="K505" i="35" s="1"/>
  <c r="Q505" i="35" s="1"/>
  <c r="J506" i="35"/>
  <c r="K506" i="35" s="1"/>
  <c r="Q506" i="35" s="1"/>
  <c r="J507" i="35"/>
  <c r="K507" i="35" s="1"/>
  <c r="Q507" i="35" s="1"/>
  <c r="J508" i="35"/>
  <c r="K508" i="35" s="1"/>
  <c r="Q508" i="35" s="1"/>
  <c r="J509" i="35"/>
  <c r="K509" i="35" s="1"/>
  <c r="Q509" i="35" s="1"/>
  <c r="J510" i="35"/>
  <c r="K510" i="35" s="1"/>
  <c r="Q510" i="35" s="1"/>
  <c r="J513" i="35"/>
  <c r="K513" i="35" s="1"/>
  <c r="Q513" i="35" s="1"/>
  <c r="J516" i="35"/>
  <c r="K516" i="35" s="1"/>
  <c r="Q516" i="35" s="1"/>
  <c r="J517" i="35"/>
  <c r="K517" i="35" s="1"/>
  <c r="Q517" i="35" s="1"/>
  <c r="J518" i="35"/>
  <c r="K518" i="35" s="1"/>
  <c r="Q518" i="35" s="1"/>
  <c r="J519" i="35"/>
  <c r="K519" i="35" s="1"/>
  <c r="Q519" i="35" s="1"/>
  <c r="J520" i="35"/>
  <c r="K520" i="35" s="1"/>
  <c r="Q520" i="35" s="1"/>
  <c r="J521" i="35"/>
  <c r="K521" i="35" s="1"/>
  <c r="Q521" i="35" s="1"/>
  <c r="J522" i="35"/>
  <c r="K522" i="35" s="1"/>
  <c r="Q522" i="35" s="1"/>
  <c r="J523" i="35"/>
  <c r="K523" i="35" s="1"/>
  <c r="Q523" i="35" s="1"/>
  <c r="J524" i="35"/>
  <c r="K524" i="35" s="1"/>
  <c r="Q524" i="35" s="1"/>
  <c r="J525" i="35"/>
  <c r="K525" i="35" s="1"/>
  <c r="Q525" i="35" s="1"/>
  <c r="J526" i="35"/>
  <c r="I526" i="35"/>
  <c r="J527" i="35"/>
  <c r="I527" i="35"/>
  <c r="J528" i="35"/>
  <c r="I528" i="35"/>
  <c r="J529" i="35"/>
  <c r="I529" i="35"/>
  <c r="J530" i="35"/>
  <c r="I530" i="35"/>
  <c r="J531" i="35"/>
  <c r="I531" i="35"/>
  <c r="J532" i="35"/>
  <c r="K532" i="35" s="1"/>
  <c r="Q532" i="35" s="1"/>
  <c r="J533" i="35"/>
  <c r="K533" i="35" s="1"/>
  <c r="Q533" i="35" s="1"/>
  <c r="J534" i="35"/>
  <c r="K534" i="35" s="1"/>
  <c r="Q534" i="35" s="1"/>
  <c r="J535" i="35"/>
  <c r="K535" i="35" s="1"/>
  <c r="Q535" i="35" s="1"/>
  <c r="J536" i="35"/>
  <c r="K536" i="35" s="1"/>
  <c r="Q536" i="35" s="1"/>
  <c r="J537" i="35"/>
  <c r="K537" i="35" s="1"/>
  <c r="Q537" i="35" s="1"/>
  <c r="J538" i="35"/>
  <c r="K538" i="35" s="1"/>
  <c r="Q538" i="35" s="1"/>
  <c r="J539" i="35"/>
  <c r="K539" i="35" s="1"/>
  <c r="Q539" i="35" s="1"/>
  <c r="J540" i="35"/>
  <c r="K540" i="35" s="1"/>
  <c r="Q540" i="35" s="1"/>
  <c r="J541" i="35"/>
  <c r="K541" i="35" s="1"/>
  <c r="Q541" i="35" s="1"/>
  <c r="J542" i="35"/>
  <c r="K542" i="35" s="1"/>
  <c r="Q542" i="35" s="1"/>
  <c r="J543" i="35"/>
  <c r="K543" i="35" s="1"/>
  <c r="Q543" i="35" s="1"/>
  <c r="J544" i="35"/>
  <c r="K544" i="35" s="1"/>
  <c r="Q544" i="35" s="1"/>
  <c r="J545" i="35"/>
  <c r="K545" i="35" s="1"/>
  <c r="Q545" i="35" s="1"/>
  <c r="J546" i="35"/>
  <c r="K546" i="35" s="1"/>
  <c r="Q546" i="35" s="1"/>
  <c r="J547" i="35"/>
  <c r="K547" i="35" s="1"/>
  <c r="Q547" i="35" s="1"/>
  <c r="J548" i="35"/>
  <c r="K548" i="35" s="1"/>
  <c r="Q548" i="35" s="1"/>
  <c r="J549" i="35"/>
  <c r="K549" i="35" s="1"/>
  <c r="Q549" i="35" s="1"/>
  <c r="J560" i="35"/>
  <c r="K560" i="35" s="1"/>
  <c r="Q560" i="35" s="1"/>
  <c r="J561" i="35"/>
  <c r="K561" i="35" s="1"/>
  <c r="Q561" i="35" s="1"/>
  <c r="J562" i="35"/>
  <c r="K562" i="35" s="1"/>
  <c r="Q562" i="35" s="1"/>
  <c r="J563" i="35"/>
  <c r="K563" i="35" s="1"/>
  <c r="Q563" i="35" s="1"/>
  <c r="J564" i="35"/>
  <c r="K564" i="35" s="1"/>
  <c r="Q564" i="35" s="1"/>
  <c r="J566" i="35"/>
  <c r="K566" i="35" s="1"/>
  <c r="Q566" i="35" s="1"/>
  <c r="J568" i="35"/>
  <c r="K568" i="35" s="1"/>
  <c r="Q568" i="35" s="1"/>
  <c r="J569" i="35"/>
  <c r="K569" i="35" s="1"/>
  <c r="Q569" i="35" s="1"/>
  <c r="J570" i="35"/>
  <c r="K570" i="35" s="1"/>
  <c r="Q570" i="35" s="1"/>
  <c r="J571" i="35"/>
  <c r="K571" i="35" s="1"/>
  <c r="Q571" i="35" s="1"/>
  <c r="J572" i="35"/>
  <c r="K572" i="35" s="1"/>
  <c r="Q572" i="35" s="1"/>
  <c r="J573" i="35"/>
  <c r="K573" i="35" s="1"/>
  <c r="Q573" i="35" s="1"/>
  <c r="J574" i="35"/>
  <c r="K574" i="35" s="1"/>
  <c r="Q574" i="35" s="1"/>
  <c r="J575" i="35"/>
  <c r="K575" i="35" s="1"/>
  <c r="Q575" i="35" s="1"/>
  <c r="J576" i="35"/>
  <c r="K576" i="35" s="1"/>
  <c r="Q576" i="35" s="1"/>
  <c r="J577" i="35"/>
  <c r="K577" i="35" s="1"/>
  <c r="Q577" i="35" s="1"/>
  <c r="J578" i="35"/>
  <c r="K578" i="35" s="1"/>
  <c r="Q578" i="35" s="1"/>
  <c r="J579" i="35"/>
  <c r="K579" i="35" s="1"/>
  <c r="Q579" i="35" s="1"/>
  <c r="J580" i="35"/>
  <c r="K580" i="35" s="1"/>
  <c r="Q580" i="35" s="1"/>
  <c r="J581" i="35"/>
  <c r="K581" i="35" s="1"/>
  <c r="Q581" i="35" s="1"/>
  <c r="J582" i="35"/>
  <c r="K582" i="35" s="1"/>
  <c r="Q582" i="35" s="1"/>
  <c r="J583" i="35"/>
  <c r="K583" i="35" s="1"/>
  <c r="Q583" i="35" s="1"/>
  <c r="J584" i="35"/>
  <c r="K584" i="35" s="1"/>
  <c r="Q584" i="35" s="1"/>
  <c r="J585" i="35"/>
  <c r="K585" i="35" s="1"/>
  <c r="Q585" i="35" s="1"/>
  <c r="J586" i="35"/>
  <c r="K586" i="35" s="1"/>
  <c r="Q586" i="35" s="1"/>
  <c r="J587" i="35"/>
  <c r="K587" i="35" s="1"/>
  <c r="Q587" i="35" s="1"/>
  <c r="J588" i="35"/>
  <c r="K588" i="35" s="1"/>
  <c r="Q588" i="35" s="1"/>
  <c r="J589" i="35"/>
  <c r="K589" i="35" s="1"/>
  <c r="Q589" i="35" s="1"/>
  <c r="J594" i="35"/>
  <c r="K594" i="35" s="1"/>
  <c r="Q594" i="35" s="1"/>
  <c r="J595" i="35"/>
  <c r="K595" i="35" s="1"/>
  <c r="Q595" i="35" s="1"/>
  <c r="J596" i="35"/>
  <c r="K596" i="35" s="1"/>
  <c r="Q596" i="35" s="1"/>
  <c r="J597" i="35"/>
  <c r="K597" i="35" s="1"/>
  <c r="Q597" i="35" s="1"/>
  <c r="J598" i="35"/>
  <c r="K598" i="35" s="1"/>
  <c r="Q598" i="35" s="1"/>
  <c r="J599" i="35"/>
  <c r="K599" i="35" s="1"/>
  <c r="Q599" i="35" s="1"/>
  <c r="J600" i="35"/>
  <c r="K600" i="35" s="1"/>
  <c r="Q600" i="35" s="1"/>
  <c r="J601" i="35"/>
  <c r="K601" i="35" s="1"/>
  <c r="Q601" i="35" s="1"/>
  <c r="J602" i="35"/>
  <c r="K602" i="35" s="1"/>
  <c r="Q602" i="35" s="1"/>
  <c r="J603" i="35"/>
  <c r="K603" i="35" s="1"/>
  <c r="Q603" i="35" s="1"/>
  <c r="J604" i="35"/>
  <c r="K604" i="35" s="1"/>
  <c r="Q604" i="35" s="1"/>
  <c r="J605" i="35"/>
  <c r="K605" i="35" s="1"/>
  <c r="Q605" i="35" s="1"/>
  <c r="J606" i="35"/>
  <c r="K606" i="35" s="1"/>
  <c r="Q606" i="35" s="1"/>
  <c r="J607" i="35"/>
  <c r="K607" i="35" s="1"/>
  <c r="Q607" i="35" s="1"/>
  <c r="J608" i="35"/>
  <c r="K608" i="35" s="1"/>
  <c r="Q608" i="35" s="1"/>
  <c r="J609" i="35"/>
  <c r="K609" i="35" s="1"/>
  <c r="Q609" i="35" s="1"/>
  <c r="J610" i="35"/>
  <c r="K610" i="35" s="1"/>
  <c r="Q610" i="35" s="1"/>
  <c r="J611" i="35"/>
  <c r="K611" i="35" s="1"/>
  <c r="Q611" i="35" s="1"/>
  <c r="J612" i="35"/>
  <c r="K612" i="35" s="1"/>
  <c r="Q612" i="35" s="1"/>
  <c r="J613" i="35"/>
  <c r="K613" i="35" s="1"/>
  <c r="Q613" i="35" s="1"/>
  <c r="J614" i="35"/>
  <c r="K614" i="35" s="1"/>
  <c r="Q614" i="35" s="1"/>
  <c r="J615" i="35"/>
  <c r="K615" i="35" s="1"/>
  <c r="Q615" i="35" s="1"/>
  <c r="J616" i="35"/>
  <c r="K616" i="35" s="1"/>
  <c r="Q616" i="35" s="1"/>
  <c r="J617" i="35"/>
  <c r="K617" i="35" s="1"/>
  <c r="Q617" i="35" s="1"/>
  <c r="J618" i="35"/>
  <c r="K618" i="35" s="1"/>
  <c r="Q618" i="35" s="1"/>
  <c r="J619" i="35"/>
  <c r="K619" i="35" s="1"/>
  <c r="Q619" i="35" s="1"/>
  <c r="J620" i="35"/>
  <c r="K620" i="35" s="1"/>
  <c r="Q620" i="35" s="1"/>
  <c r="J621" i="35"/>
  <c r="K621" i="35" s="1"/>
  <c r="Q621" i="35" s="1"/>
  <c r="J622" i="35"/>
  <c r="K622" i="35" s="1"/>
  <c r="Q622" i="35" s="1"/>
  <c r="J623" i="35"/>
  <c r="K623" i="35" s="1"/>
  <c r="Q623" i="35" s="1"/>
  <c r="J624" i="35"/>
  <c r="K624" i="35" s="1"/>
  <c r="Q624" i="35" s="1"/>
  <c r="J625" i="35"/>
  <c r="K625" i="35" s="1"/>
  <c r="Q625" i="35" s="1"/>
  <c r="J626" i="35"/>
  <c r="K626" i="35" s="1"/>
  <c r="Q626" i="35" s="1"/>
  <c r="J627" i="35"/>
  <c r="K627" i="35" s="1"/>
  <c r="Q627" i="35" s="1"/>
  <c r="J628" i="35"/>
  <c r="K628" i="35" s="1"/>
  <c r="Q628" i="35" s="1"/>
  <c r="J629" i="35"/>
  <c r="K629" i="35" s="1"/>
  <c r="Q629" i="35" s="1"/>
  <c r="J656" i="35"/>
  <c r="K656" i="35" s="1"/>
  <c r="Q656" i="35" s="1"/>
  <c r="J657" i="35"/>
  <c r="K657" i="35" s="1"/>
  <c r="Q657" i="35" s="1"/>
  <c r="J658" i="35"/>
  <c r="K658" i="35" s="1"/>
  <c r="Q658" i="35" s="1"/>
  <c r="J659" i="35"/>
  <c r="K659" i="35" s="1"/>
  <c r="Q659" i="35" s="1"/>
  <c r="J660" i="35"/>
  <c r="K660" i="35" s="1"/>
  <c r="Q660" i="35" s="1"/>
  <c r="J661" i="35"/>
  <c r="K661" i="35" s="1"/>
  <c r="Q661" i="35" s="1"/>
  <c r="J662" i="35"/>
  <c r="K662" i="35" s="1"/>
  <c r="Q662" i="35" s="1"/>
  <c r="J663" i="35"/>
  <c r="K663" i="35" s="1"/>
  <c r="Q663" i="35" s="1"/>
  <c r="J664" i="35"/>
  <c r="K664" i="35" s="1"/>
  <c r="Q664" i="35" s="1"/>
  <c r="J665" i="35"/>
  <c r="K665" i="35" s="1"/>
  <c r="Q665" i="35" s="1"/>
  <c r="J666" i="35"/>
  <c r="K666" i="35" s="1"/>
  <c r="Q666" i="35" s="1"/>
  <c r="J667" i="35"/>
  <c r="K667" i="35" s="1"/>
  <c r="Q667" i="35" s="1"/>
  <c r="J668" i="35"/>
  <c r="K668" i="35" s="1"/>
  <c r="Q668" i="35" s="1"/>
  <c r="J669" i="35"/>
  <c r="K669" i="35" s="1"/>
  <c r="Q669" i="35" s="1"/>
  <c r="J670" i="35"/>
  <c r="K670" i="35" s="1"/>
  <c r="Q670" i="35" s="1"/>
  <c r="J671" i="35"/>
  <c r="K671" i="35" s="1"/>
  <c r="Q671" i="35" s="1"/>
  <c r="J673" i="35"/>
  <c r="K673" i="35" s="1"/>
  <c r="Q673" i="35" s="1"/>
  <c r="J674" i="35"/>
  <c r="K674" i="35" s="1"/>
  <c r="Q674" i="35" s="1"/>
  <c r="J675" i="35"/>
  <c r="K675" i="35" s="1"/>
  <c r="Q675" i="35" s="1"/>
  <c r="J680" i="35"/>
  <c r="K680" i="35" s="1"/>
  <c r="Q680" i="35" s="1"/>
  <c r="J682" i="35"/>
  <c r="K682" i="35" s="1"/>
  <c r="Q682" i="35" s="1"/>
  <c r="J683" i="35"/>
  <c r="K683" i="35" s="1"/>
  <c r="Q683" i="35" s="1"/>
  <c r="J684" i="35"/>
  <c r="K684" i="35" s="1"/>
  <c r="Q684" i="35" s="1"/>
  <c r="J685" i="35"/>
  <c r="K685" i="35" s="1"/>
  <c r="Q685" i="35" s="1"/>
  <c r="J687" i="35"/>
  <c r="K687" i="35" s="1"/>
  <c r="Q687" i="35" s="1"/>
  <c r="J688" i="35"/>
  <c r="K688" i="35" s="1"/>
  <c r="Q688" i="35" s="1"/>
  <c r="J689" i="35"/>
  <c r="K689" i="35" s="1"/>
  <c r="Q689" i="35" s="1"/>
  <c r="J690" i="35"/>
  <c r="K690" i="35" s="1"/>
  <c r="Q690" i="35" s="1"/>
  <c r="J692" i="35"/>
  <c r="K692" i="35" s="1"/>
  <c r="Q692" i="35" s="1"/>
  <c r="J693" i="35"/>
  <c r="K693" i="35" s="1"/>
  <c r="Q693" i="35" s="1"/>
  <c r="J696" i="35"/>
  <c r="K696" i="35" s="1"/>
  <c r="Q696" i="35" s="1"/>
  <c r="J697" i="35"/>
  <c r="K697" i="35" s="1"/>
  <c r="Q697" i="35" s="1"/>
  <c r="J698" i="35"/>
  <c r="K698" i="35" s="1"/>
  <c r="Q698" i="35" s="1"/>
  <c r="J699" i="35"/>
  <c r="K699" i="35" s="1"/>
  <c r="Q699" i="35" s="1"/>
  <c r="J700" i="35"/>
  <c r="K700" i="35" s="1"/>
  <c r="Q700" i="35" s="1"/>
  <c r="J701" i="35"/>
  <c r="K701" i="35" s="1"/>
  <c r="Q701" i="35" s="1"/>
  <c r="J702" i="35"/>
  <c r="K702" i="35" s="1"/>
  <c r="Q702" i="35" s="1"/>
  <c r="J703" i="35"/>
  <c r="K703" i="35" s="1"/>
  <c r="Q703" i="35" s="1"/>
  <c r="J704" i="35"/>
  <c r="K704" i="35" s="1"/>
  <c r="Q704" i="35" s="1"/>
  <c r="J706" i="35"/>
  <c r="K706" i="35" s="1"/>
  <c r="Q706" i="35" s="1"/>
  <c r="J707" i="35"/>
  <c r="K707" i="35" s="1"/>
  <c r="Q707" i="35" s="1"/>
  <c r="J708" i="35"/>
  <c r="K708" i="35" s="1"/>
  <c r="Q708" i="35" s="1"/>
  <c r="J709" i="35"/>
  <c r="K709" i="35" s="1"/>
  <c r="Q709" i="35" s="1"/>
  <c r="J710" i="35"/>
  <c r="K710" i="35" s="1"/>
  <c r="Q710" i="35" s="1"/>
  <c r="J711" i="35"/>
  <c r="K711" i="35" s="1"/>
  <c r="Q711" i="35" s="1"/>
  <c r="J712" i="35"/>
  <c r="K712" i="35" s="1"/>
  <c r="Q712" i="35" s="1"/>
  <c r="J715" i="35"/>
  <c r="K715" i="35" s="1"/>
  <c r="Q715" i="35" s="1"/>
  <c r="J716" i="35"/>
  <c r="K716" i="35" s="1"/>
  <c r="Q716" i="35" s="1"/>
  <c r="J717" i="35"/>
  <c r="K717" i="35" s="1"/>
  <c r="Q717" i="35" s="1"/>
  <c r="J718" i="35"/>
  <c r="K718" i="35" s="1"/>
  <c r="Q718" i="35" s="1"/>
  <c r="J719" i="35"/>
  <c r="K719" i="35" s="1"/>
  <c r="Q719" i="35" s="1"/>
  <c r="J720" i="35"/>
  <c r="K720" i="35" s="1"/>
  <c r="Q720" i="35" s="1"/>
  <c r="J721" i="35"/>
  <c r="K721" i="35" s="1"/>
  <c r="Q721" i="35" s="1"/>
  <c r="J722" i="35"/>
  <c r="K722" i="35" s="1"/>
  <c r="Q722" i="35" s="1"/>
  <c r="J723" i="35"/>
  <c r="K723" i="35" s="1"/>
  <c r="Q723" i="35" s="1"/>
  <c r="J724" i="35"/>
  <c r="K724" i="35" s="1"/>
  <c r="Q724" i="35" s="1"/>
  <c r="J725" i="35"/>
  <c r="K725" i="35" s="1"/>
  <c r="Q725" i="35" s="1"/>
  <c r="J728" i="35"/>
  <c r="K728" i="35" s="1"/>
  <c r="Q728" i="35" s="1"/>
  <c r="J729" i="35"/>
  <c r="K729" i="35" s="1"/>
  <c r="Q729" i="35" s="1"/>
  <c r="J732" i="35"/>
  <c r="K732" i="35" s="1"/>
  <c r="Q732" i="35" s="1"/>
  <c r="J733" i="35"/>
  <c r="K733" i="35" s="1"/>
  <c r="Q733" i="35" s="1"/>
  <c r="J734" i="35"/>
  <c r="K734" i="35" s="1"/>
  <c r="Q734" i="35" s="1"/>
  <c r="J735" i="35"/>
  <c r="K735" i="35" s="1"/>
  <c r="Q735" i="35" s="1"/>
  <c r="J737" i="35"/>
  <c r="K737" i="35" s="1"/>
  <c r="Q737" i="35" s="1"/>
  <c r="J739" i="35"/>
  <c r="K739" i="35" s="1"/>
  <c r="Q739" i="35" s="1"/>
  <c r="J740" i="35"/>
  <c r="K740" i="35" s="1"/>
  <c r="Q740" i="35" s="1"/>
  <c r="J741" i="35"/>
  <c r="K741" i="35" s="1"/>
  <c r="Q741" i="35" s="1"/>
  <c r="J742" i="35"/>
  <c r="K742" i="35" s="1"/>
  <c r="Q742" i="35" s="1"/>
  <c r="J744" i="35"/>
  <c r="K744" i="35" s="1"/>
  <c r="Q744" i="35" s="1"/>
  <c r="J745" i="35"/>
  <c r="K745" i="35" s="1"/>
  <c r="Q745" i="35" s="1"/>
  <c r="J746" i="35"/>
  <c r="K746" i="35" s="1"/>
  <c r="Q746" i="35" s="1"/>
  <c r="J747" i="35"/>
  <c r="K747" i="35" s="1"/>
  <c r="Q747" i="35" s="1"/>
  <c r="J748" i="35"/>
  <c r="K748" i="35" s="1"/>
  <c r="Q748" i="35" s="1"/>
  <c r="J749" i="35"/>
  <c r="K749" i="35" s="1"/>
  <c r="Q749" i="35" s="1"/>
  <c r="J750" i="35"/>
  <c r="K750" i="35" s="1"/>
  <c r="Q750" i="35" s="1"/>
  <c r="J751" i="35"/>
  <c r="K751" i="35" s="1"/>
  <c r="Q751" i="35" s="1"/>
  <c r="J752" i="35"/>
  <c r="K752" i="35" s="1"/>
  <c r="Q752" i="35" s="1"/>
  <c r="J753" i="35"/>
  <c r="K753" i="35" s="1"/>
  <c r="Q753" i="35" s="1"/>
  <c r="J754" i="35"/>
  <c r="K754" i="35" s="1"/>
  <c r="Q754" i="35" s="1"/>
  <c r="J755" i="35"/>
  <c r="K755" i="35" s="1"/>
  <c r="Q755" i="35" s="1"/>
  <c r="J756" i="35"/>
  <c r="K756" i="35" s="1"/>
  <c r="Q756" i="35" s="1"/>
  <c r="J757" i="35"/>
  <c r="K757" i="35" s="1"/>
  <c r="Q757" i="35" s="1"/>
  <c r="J758" i="35"/>
  <c r="K758" i="35" s="1"/>
  <c r="Q758" i="35" s="1"/>
  <c r="J759" i="35"/>
  <c r="K759" i="35" s="1"/>
  <c r="Q759" i="35" s="1"/>
  <c r="J760" i="35"/>
  <c r="K760" i="35" s="1"/>
  <c r="Q760" i="35" s="1"/>
  <c r="J762" i="35"/>
  <c r="K762" i="35" s="1"/>
  <c r="Q762" i="35" s="1"/>
  <c r="J763" i="35"/>
  <c r="K763" i="35" s="1"/>
  <c r="Q763" i="35" s="1"/>
  <c r="J764" i="35"/>
  <c r="K764" i="35" s="1"/>
  <c r="Q764" i="35" s="1"/>
  <c r="J765" i="35"/>
  <c r="K765" i="35" s="1"/>
  <c r="Q765" i="35" s="1"/>
  <c r="J766" i="35"/>
  <c r="K766" i="35" s="1"/>
  <c r="Q766" i="35" s="1"/>
  <c r="J767" i="35"/>
  <c r="K767" i="35" s="1"/>
  <c r="Q767" i="35" s="1"/>
  <c r="J768" i="35"/>
  <c r="K768" i="35" s="1"/>
  <c r="Q768" i="35" s="1"/>
  <c r="J769" i="35"/>
  <c r="K769" i="35" s="1"/>
  <c r="Q769" i="35" s="1"/>
  <c r="J770" i="35"/>
  <c r="K770" i="35" s="1"/>
  <c r="Q770" i="35" s="1"/>
  <c r="J772" i="35"/>
  <c r="K772" i="35" s="1"/>
  <c r="Q772" i="35" s="1"/>
  <c r="J775" i="35"/>
  <c r="K775" i="35" s="1"/>
  <c r="Q775" i="35" s="1"/>
  <c r="J782" i="35"/>
  <c r="K782" i="35" s="1"/>
  <c r="Q782" i="35" s="1"/>
  <c r="J788" i="35"/>
  <c r="K788" i="35" s="1"/>
  <c r="Q788" i="35" s="1"/>
  <c r="J789" i="35"/>
  <c r="K789" i="35" s="1"/>
  <c r="Q789" i="35" s="1"/>
  <c r="J790" i="35"/>
  <c r="K790" i="35" s="1"/>
  <c r="Q790" i="35" s="1"/>
  <c r="J791" i="35"/>
  <c r="K791" i="35" s="1"/>
  <c r="Q791" i="35" s="1"/>
  <c r="J792" i="35"/>
  <c r="K792" i="35" s="1"/>
  <c r="Q792" i="35" s="1"/>
  <c r="J793" i="35"/>
  <c r="K793" i="35" s="1"/>
  <c r="Q793" i="35" s="1"/>
  <c r="J794" i="35"/>
  <c r="K794" i="35" s="1"/>
  <c r="Q794" i="35" s="1"/>
  <c r="J795" i="35"/>
  <c r="K795" i="35" s="1"/>
  <c r="Q795" i="35" s="1"/>
  <c r="J796" i="35"/>
  <c r="K796" i="35" s="1"/>
  <c r="Q796" i="35" s="1"/>
  <c r="J797" i="35"/>
  <c r="K797" i="35" s="1"/>
  <c r="Q797" i="35" s="1"/>
  <c r="J798" i="35"/>
  <c r="K798" i="35" s="1"/>
  <c r="Q798" i="35" s="1"/>
  <c r="J799" i="35"/>
  <c r="K799" i="35" s="1"/>
  <c r="Q799" i="35" s="1"/>
  <c r="J800" i="35"/>
  <c r="K800" i="35" s="1"/>
  <c r="Q800" i="35" s="1"/>
  <c r="J801" i="35"/>
  <c r="K801" i="35" s="1"/>
  <c r="Q801" i="35" s="1"/>
  <c r="J802" i="35"/>
  <c r="K802" i="35" s="1"/>
  <c r="Q802" i="35" s="1"/>
  <c r="J803" i="35"/>
  <c r="K803" i="35" s="1"/>
  <c r="Q803" i="35" s="1"/>
  <c r="J804" i="35"/>
  <c r="K804" i="35" s="1"/>
  <c r="Q804" i="35" s="1"/>
  <c r="J805" i="35"/>
  <c r="K805" i="35" s="1"/>
  <c r="Q805" i="35" s="1"/>
  <c r="J806" i="35"/>
  <c r="K806" i="35" s="1"/>
  <c r="Q806" i="35" s="1"/>
  <c r="J807" i="35"/>
  <c r="K807" i="35" s="1"/>
  <c r="Q807" i="35" s="1"/>
  <c r="J808" i="35"/>
  <c r="K808" i="35" s="1"/>
  <c r="Q808" i="35" s="1"/>
  <c r="J809" i="35"/>
  <c r="K809" i="35" s="1"/>
  <c r="Q809" i="35" s="1"/>
  <c r="J810" i="35"/>
  <c r="K810" i="35" s="1"/>
  <c r="Q810" i="35" s="1"/>
  <c r="J811" i="35"/>
  <c r="K811" i="35" s="1"/>
  <c r="Q811" i="35" s="1"/>
  <c r="J812" i="35"/>
  <c r="K812" i="35" s="1"/>
  <c r="Q812" i="35" s="1"/>
  <c r="J813" i="35"/>
  <c r="K813" i="35" s="1"/>
  <c r="Q813" i="35" s="1"/>
  <c r="J814" i="35"/>
  <c r="K814" i="35" s="1"/>
  <c r="Q814" i="35" s="1"/>
  <c r="J815" i="35"/>
  <c r="K815" i="35" s="1"/>
  <c r="Q815" i="35" s="1"/>
  <c r="J816" i="35"/>
  <c r="K816" i="35" s="1"/>
  <c r="Q816" i="35" s="1"/>
  <c r="J817" i="35"/>
  <c r="K817" i="35" s="1"/>
  <c r="Q817" i="35" s="1"/>
  <c r="J818" i="35"/>
  <c r="K818" i="35" s="1"/>
  <c r="Q818" i="35" s="1"/>
  <c r="J819" i="35"/>
  <c r="K819" i="35" s="1"/>
  <c r="Q819" i="35" s="1"/>
  <c r="J820" i="35"/>
  <c r="K820" i="35" s="1"/>
  <c r="Q820" i="35" s="1"/>
  <c r="J821" i="35"/>
  <c r="K821" i="35" s="1"/>
  <c r="Q821" i="35" s="1"/>
  <c r="J822" i="35"/>
  <c r="K822" i="35" s="1"/>
  <c r="Q822" i="35" s="1"/>
  <c r="J823" i="35"/>
  <c r="K823" i="35" s="1"/>
  <c r="Q823" i="35" s="1"/>
  <c r="J824" i="35"/>
  <c r="K824" i="35" s="1"/>
  <c r="Q824" i="35" s="1"/>
  <c r="J825" i="35"/>
  <c r="K825" i="35" s="1"/>
  <c r="Q825" i="35" s="1"/>
  <c r="J826" i="35"/>
  <c r="K826" i="35" s="1"/>
  <c r="Q826" i="35" s="1"/>
  <c r="J827" i="35"/>
  <c r="K827" i="35" s="1"/>
  <c r="Q827" i="35" s="1"/>
  <c r="J828" i="35"/>
  <c r="K828" i="35" s="1"/>
  <c r="Q828" i="35" s="1"/>
  <c r="J829" i="35"/>
  <c r="K829" i="35" s="1"/>
  <c r="Q829" i="35" s="1"/>
  <c r="J831" i="35"/>
  <c r="K831" i="35" s="1"/>
  <c r="Q831" i="35" s="1"/>
  <c r="J832" i="35"/>
  <c r="K832" i="35" s="1"/>
  <c r="Q832" i="35" s="1"/>
  <c r="J833" i="35"/>
  <c r="K833" i="35" s="1"/>
  <c r="Q833" i="35" s="1"/>
  <c r="J834" i="35"/>
  <c r="K834" i="35" s="1"/>
  <c r="Q834" i="35" s="1"/>
  <c r="J835" i="35"/>
  <c r="K835" i="35" s="1"/>
  <c r="Q835" i="35" s="1"/>
  <c r="J836" i="35"/>
  <c r="K836" i="35" s="1"/>
  <c r="Q836" i="35" s="1"/>
  <c r="J837" i="35"/>
  <c r="K837" i="35" s="1"/>
  <c r="Q837" i="35" s="1"/>
  <c r="J838" i="35"/>
  <c r="K838" i="35" s="1"/>
  <c r="Q838" i="35" s="1"/>
  <c r="J839" i="35"/>
  <c r="K839" i="35" s="1"/>
  <c r="Q839" i="35" s="1"/>
  <c r="J854" i="35"/>
  <c r="K854" i="35" s="1"/>
  <c r="Q854" i="35" s="1"/>
  <c r="J855" i="35"/>
  <c r="K855" i="35" s="1"/>
  <c r="Q855" i="35" s="1"/>
  <c r="J856" i="35"/>
  <c r="K856" i="35" s="1"/>
  <c r="Q856" i="35" s="1"/>
  <c r="J857" i="35"/>
  <c r="K857" i="35" s="1"/>
  <c r="Q857" i="35" s="1"/>
  <c r="J858" i="35"/>
  <c r="K858" i="35" s="1"/>
  <c r="Q858" i="35" s="1"/>
  <c r="J859" i="35"/>
  <c r="K859" i="35" s="1"/>
  <c r="Q859" i="35" s="1"/>
  <c r="J860" i="35"/>
  <c r="K860" i="35" s="1"/>
  <c r="Q860" i="35" s="1"/>
  <c r="J861" i="35"/>
  <c r="K861" i="35" s="1"/>
  <c r="Q861" i="35" s="1"/>
  <c r="J862" i="35"/>
  <c r="K862" i="35" s="1"/>
  <c r="Q862" i="35" s="1"/>
  <c r="J863" i="35"/>
  <c r="K863" i="35" s="1"/>
  <c r="Q863" i="35" s="1"/>
  <c r="J864" i="35"/>
  <c r="K864" i="35" s="1"/>
  <c r="Q864" i="35" s="1"/>
  <c r="J865" i="35"/>
  <c r="K865" i="35" s="1"/>
  <c r="Q865" i="35" s="1"/>
  <c r="J866" i="35"/>
  <c r="K866" i="35" s="1"/>
  <c r="Q866" i="35" s="1"/>
  <c r="J867" i="35"/>
  <c r="K867" i="35" s="1"/>
  <c r="Q867" i="35" s="1"/>
  <c r="J868" i="35"/>
  <c r="K868" i="35" s="1"/>
  <c r="Q868" i="35" s="1"/>
  <c r="J877" i="35"/>
  <c r="K877" i="35" s="1"/>
  <c r="Q877" i="35" s="1"/>
  <c r="J878" i="35"/>
  <c r="K878" i="35" s="1"/>
  <c r="Q878" i="35" s="1"/>
  <c r="J879" i="35"/>
  <c r="K879" i="35" s="1"/>
  <c r="Q879" i="35" s="1"/>
  <c r="J880" i="35"/>
  <c r="K880" i="35" s="1"/>
  <c r="Q880" i="35" s="1"/>
  <c r="J881" i="35"/>
  <c r="K881" i="35" s="1"/>
  <c r="Q881" i="35" s="1"/>
  <c r="J882" i="35"/>
  <c r="K882" i="35" s="1"/>
  <c r="Q882" i="35" s="1"/>
  <c r="J883" i="35"/>
  <c r="K883" i="35" s="1"/>
  <c r="Q883" i="35" s="1"/>
  <c r="J884" i="35"/>
  <c r="K884" i="35" s="1"/>
  <c r="Q884" i="35" s="1"/>
  <c r="J885" i="35"/>
  <c r="K885" i="35" s="1"/>
  <c r="Q885" i="35" s="1"/>
  <c r="J886" i="35"/>
  <c r="K886" i="35" s="1"/>
  <c r="Q886" i="35" s="1"/>
  <c r="J887" i="35"/>
  <c r="K887" i="35" s="1"/>
  <c r="Q887" i="35" s="1"/>
  <c r="J888" i="35"/>
  <c r="K888" i="35" s="1"/>
  <c r="Q888" i="35" s="1"/>
  <c r="J889" i="35"/>
  <c r="K889" i="35" s="1"/>
  <c r="Q889" i="35" s="1"/>
  <c r="J890" i="35"/>
  <c r="K890" i="35" s="1"/>
  <c r="Q890" i="35" s="1"/>
  <c r="J891" i="35"/>
  <c r="K891" i="35" s="1"/>
  <c r="Q891" i="35" s="1"/>
  <c r="J892" i="35"/>
  <c r="K892" i="35" s="1"/>
  <c r="Q892" i="35" s="1"/>
  <c r="J893" i="35"/>
  <c r="K893" i="35" s="1"/>
  <c r="Q893" i="35" s="1"/>
  <c r="J894" i="35"/>
  <c r="K894" i="35" s="1"/>
  <c r="Q894" i="35" s="1"/>
  <c r="J895" i="35"/>
  <c r="K895" i="35" s="1"/>
  <c r="Q895" i="35" s="1"/>
  <c r="J896" i="35"/>
  <c r="K896" i="35" s="1"/>
  <c r="Q896" i="35" s="1"/>
  <c r="J897" i="35"/>
  <c r="K897" i="35" s="1"/>
  <c r="Q897" i="35" s="1"/>
  <c r="J898" i="35"/>
  <c r="K898" i="35" s="1"/>
  <c r="Q898" i="35" s="1"/>
  <c r="J899" i="35"/>
  <c r="K899" i="35" s="1"/>
  <c r="Q899" i="35" s="1"/>
  <c r="J900" i="35"/>
  <c r="K900" i="35" s="1"/>
  <c r="Q900" i="35" s="1"/>
  <c r="J901" i="35"/>
  <c r="K901" i="35" s="1"/>
  <c r="Q901" i="35" s="1"/>
  <c r="J902" i="35"/>
  <c r="K902" i="35" s="1"/>
  <c r="Q902" i="35" s="1"/>
  <c r="J903" i="35"/>
  <c r="K903" i="35" s="1"/>
  <c r="Q903" i="35" s="1"/>
  <c r="J904" i="35"/>
  <c r="K904" i="35" s="1"/>
  <c r="Q904" i="35" s="1"/>
  <c r="J905" i="35"/>
  <c r="K905" i="35" s="1"/>
  <c r="Q905" i="35" s="1"/>
  <c r="J906" i="35"/>
  <c r="K906" i="35" s="1"/>
  <c r="Q906" i="35" s="1"/>
  <c r="J907" i="35"/>
  <c r="K907" i="35" s="1"/>
  <c r="Q907" i="35" s="1"/>
  <c r="J908" i="35"/>
  <c r="K908" i="35" s="1"/>
  <c r="Q908" i="35" s="1"/>
  <c r="J909" i="35"/>
  <c r="K909" i="35" s="1"/>
  <c r="Q909" i="35" s="1"/>
  <c r="J910" i="35"/>
  <c r="K910" i="35" s="1"/>
  <c r="Q910" i="35" s="1"/>
  <c r="J911" i="35"/>
  <c r="K911" i="35" s="1"/>
  <c r="Q911" i="35" s="1"/>
  <c r="J912" i="35"/>
  <c r="K912" i="35" s="1"/>
  <c r="Q912" i="35" s="1"/>
  <c r="J913" i="35"/>
  <c r="K913" i="35" s="1"/>
  <c r="Q913" i="35" s="1"/>
  <c r="J914" i="35"/>
  <c r="K914" i="35" s="1"/>
  <c r="Q914" i="35" s="1"/>
  <c r="J915" i="35"/>
  <c r="K915" i="35" s="1"/>
  <c r="Q915" i="35" s="1"/>
  <c r="J916" i="35"/>
  <c r="K916" i="35" s="1"/>
  <c r="Q916" i="35" s="1"/>
  <c r="J917" i="35"/>
  <c r="K917" i="35" s="1"/>
  <c r="Q917" i="35" s="1"/>
  <c r="J918" i="35"/>
  <c r="K918" i="35" s="1"/>
  <c r="Q918" i="35" s="1"/>
  <c r="J919" i="35"/>
  <c r="K919" i="35" s="1"/>
  <c r="Q919" i="35" s="1"/>
  <c r="J920" i="35"/>
  <c r="K920" i="35" s="1"/>
  <c r="Q920" i="35" s="1"/>
  <c r="J921" i="35"/>
  <c r="K921" i="35" s="1"/>
  <c r="Q921" i="35" s="1"/>
  <c r="J922" i="35"/>
  <c r="K922" i="35" s="1"/>
  <c r="Q922" i="35" s="1"/>
  <c r="J923" i="35"/>
  <c r="K923" i="35" s="1"/>
  <c r="Q923" i="35" s="1"/>
  <c r="J924" i="35"/>
  <c r="K924" i="35" s="1"/>
  <c r="Q924" i="35" s="1"/>
  <c r="J925" i="35"/>
  <c r="K925" i="35" s="1"/>
  <c r="Q925" i="35" s="1"/>
  <c r="J926" i="35"/>
  <c r="K926" i="35" s="1"/>
  <c r="Q926" i="35" s="1"/>
  <c r="J927" i="35"/>
  <c r="K927" i="35" s="1"/>
  <c r="Q927" i="35" s="1"/>
  <c r="J928" i="35"/>
  <c r="K928" i="35" s="1"/>
  <c r="Q928" i="35" s="1"/>
  <c r="J929" i="35"/>
  <c r="K929" i="35" s="1"/>
  <c r="Q929" i="35" s="1"/>
  <c r="J930" i="35"/>
  <c r="K930" i="35" s="1"/>
  <c r="Q930" i="35" s="1"/>
  <c r="E8" i="40"/>
  <c r="I32" i="40" s="1"/>
  <c r="J32" i="40" s="1"/>
  <c r="G17" i="40"/>
  <c r="G18" i="40"/>
  <c r="G22" i="40"/>
  <c r="G23" i="40"/>
  <c r="E7" i="39"/>
  <c r="D23" i="39"/>
  <c r="E9" i="39" s="1"/>
  <c r="D36" i="39"/>
  <c r="E24" i="39" s="1"/>
  <c r="D40" i="39"/>
  <c r="E37" i="39" s="1"/>
  <c r="D43" i="39"/>
  <c r="E41" i="39" s="1"/>
  <c r="F22" i="38"/>
  <c r="AE397" i="36"/>
  <c r="AE390" i="36"/>
  <c r="AE375" i="36"/>
  <c r="B46" i="40"/>
  <c r="B45" i="40"/>
  <c r="B69" i="38"/>
  <c r="B68" i="38"/>
  <c r="C81" i="37"/>
  <c r="C80" i="37"/>
  <c r="C941" i="35"/>
  <c r="C940" i="35"/>
  <c r="G52" i="37"/>
  <c r="G53" i="37"/>
  <c r="F232" i="35" s="1"/>
  <c r="G28" i="37"/>
  <c r="F219" i="35" s="1"/>
  <c r="G29" i="37"/>
  <c r="F36" i="37"/>
  <c r="G36" i="37"/>
  <c r="G37" i="37"/>
  <c r="G48" i="37"/>
  <c r="G49" i="37"/>
  <c r="F40" i="37"/>
  <c r="G40" i="37"/>
  <c r="G41" i="37"/>
  <c r="F44" i="37"/>
  <c r="G44" i="37"/>
  <c r="G45" i="37"/>
  <c r="J315" i="35"/>
  <c r="K315" i="35" s="1"/>
  <c r="Q315" i="35" s="1"/>
  <c r="J316" i="35"/>
  <c r="K316" i="35" s="1"/>
  <c r="Q316" i="35" s="1"/>
  <c r="J318" i="35"/>
  <c r="K318" i="35" s="1"/>
  <c r="Q318" i="35" s="1"/>
  <c r="J319" i="35"/>
  <c r="K319" i="35" s="1"/>
  <c r="Q319" i="35" s="1"/>
  <c r="J321" i="35"/>
  <c r="K321" i="35" s="1"/>
  <c r="Q321" i="35" s="1"/>
  <c r="J325" i="35"/>
  <c r="K325" i="35" s="1"/>
  <c r="Q325" i="35" s="1"/>
  <c r="J329" i="35"/>
  <c r="K329" i="35" s="1"/>
  <c r="Q329" i="35" s="1"/>
  <c r="J278" i="35"/>
  <c r="K278" i="35" s="1"/>
  <c r="J279" i="35"/>
  <c r="K279" i="35" s="1"/>
  <c r="J280" i="35"/>
  <c r="K280" i="35" s="1"/>
  <c r="J281" i="35"/>
  <c r="K281" i="35" s="1"/>
  <c r="J282" i="35"/>
  <c r="K282" i="35" s="1"/>
  <c r="J283" i="35"/>
  <c r="K283" i="35" s="1"/>
  <c r="J284" i="35"/>
  <c r="K284" i="35" s="1"/>
  <c r="J285" i="35"/>
  <c r="K285" i="35" s="1"/>
  <c r="J286" i="35"/>
  <c r="K286" i="35" s="1"/>
  <c r="J287" i="35"/>
  <c r="K287" i="35" s="1"/>
  <c r="J288" i="35"/>
  <c r="K288" i="35" s="1"/>
  <c r="J289" i="35"/>
  <c r="K289" i="35" s="1"/>
  <c r="J290" i="35"/>
  <c r="K290" i="35" s="1"/>
  <c r="J291" i="35"/>
  <c r="K291" i="35" s="1"/>
  <c r="J292" i="35"/>
  <c r="K292" i="35" s="1"/>
  <c r="J293" i="35"/>
  <c r="K293" i="35" s="1"/>
  <c r="J294" i="35"/>
  <c r="K294" i="35" s="1"/>
  <c r="J295" i="35"/>
  <c r="K295" i="35" s="1"/>
  <c r="J296" i="35"/>
  <c r="K296" i="35" s="1"/>
  <c r="J297" i="35"/>
  <c r="K297" i="35" s="1"/>
  <c r="J277" i="35"/>
  <c r="K277" i="35" s="1"/>
  <c r="V10" i="1"/>
  <c r="V14" i="1"/>
  <c r="F8" i="41"/>
  <c r="J17" i="41"/>
  <c r="J18" i="41"/>
  <c r="J22" i="41"/>
  <c r="J39" i="41"/>
  <c r="J40" i="41"/>
  <c r="J41" i="41"/>
  <c r="J305" i="35"/>
  <c r="K305" i="35" s="1"/>
  <c r="J298" i="35"/>
  <c r="K298" i="35" s="1"/>
  <c r="J299" i="35"/>
  <c r="K299" i="35" s="1"/>
  <c r="J300" i="35"/>
  <c r="K300" i="35" s="1"/>
  <c r="J301" i="35"/>
  <c r="K301" i="35" s="1"/>
  <c r="J302" i="35"/>
  <c r="K302" i="35" s="1"/>
  <c r="J303" i="35"/>
  <c r="K303" i="35" s="1"/>
  <c r="J304" i="35"/>
  <c r="K304" i="35" s="1"/>
  <c r="J312" i="35"/>
  <c r="J313" i="35"/>
  <c r="K313" i="35" s="1"/>
  <c r="Q313" i="35" s="1"/>
  <c r="J311" i="35"/>
  <c r="K311" i="35" s="1"/>
  <c r="Q311" i="35" s="1"/>
  <c r="J239" i="35"/>
  <c r="K239" i="35" s="1"/>
  <c r="Q239" i="35" s="1"/>
  <c r="J240" i="35"/>
  <c r="K240" i="35" s="1"/>
  <c r="Q240" i="35" s="1"/>
  <c r="J241" i="35"/>
  <c r="K241" i="35" s="1"/>
  <c r="Q241" i="35" s="1"/>
  <c r="J242" i="35"/>
  <c r="K242" i="35" s="1"/>
  <c r="Q242" i="35" s="1"/>
  <c r="J243" i="35"/>
  <c r="K243" i="35" s="1"/>
  <c r="J244" i="35"/>
  <c r="K244" i="35" s="1"/>
  <c r="Q244" i="35" s="1"/>
  <c r="J245" i="35"/>
  <c r="K245" i="35" s="1"/>
  <c r="Q245" i="35" s="1"/>
  <c r="J246" i="35"/>
  <c r="K246" i="35" s="1"/>
  <c r="Q246" i="35" s="1"/>
  <c r="J247" i="35"/>
  <c r="K247" i="35" s="1"/>
  <c r="Q247" i="35" s="1"/>
  <c r="J248" i="35"/>
  <c r="K248" i="35" s="1"/>
  <c r="Q248" i="35" s="1"/>
  <c r="J249" i="35"/>
  <c r="K249" i="35" s="1"/>
  <c r="Q249" i="35" s="1"/>
  <c r="J250" i="35"/>
  <c r="K250" i="35" s="1"/>
  <c r="J251" i="35"/>
  <c r="K251" i="35" s="1"/>
  <c r="Q251" i="35" s="1"/>
  <c r="J252" i="35"/>
  <c r="K252" i="35" s="1"/>
  <c r="Q252" i="35" s="1"/>
  <c r="J253" i="35"/>
  <c r="K253" i="35" s="1"/>
  <c r="Q253" i="35" s="1"/>
  <c r="J254" i="35"/>
  <c r="K254" i="35" s="1"/>
  <c r="Q254" i="35" s="1"/>
  <c r="J255" i="35"/>
  <c r="K255" i="35" s="1"/>
  <c r="Q255" i="35" s="1"/>
  <c r="J256" i="35"/>
  <c r="K256" i="35" s="1"/>
  <c r="Q256" i="35" s="1"/>
  <c r="J257" i="35"/>
  <c r="K257" i="35" s="1"/>
  <c r="J258" i="35"/>
  <c r="K258" i="35" s="1"/>
  <c r="Q258" i="35" s="1"/>
  <c r="J259" i="35"/>
  <c r="K259" i="35" s="1"/>
  <c r="Q259" i="35" s="1"/>
  <c r="J260" i="35"/>
  <c r="K260" i="35" s="1"/>
  <c r="Q260" i="35" s="1"/>
  <c r="J261" i="35"/>
  <c r="K261" i="35" s="1"/>
  <c r="Q261" i="35" s="1"/>
  <c r="J262" i="35"/>
  <c r="K262" i="35" s="1"/>
  <c r="Q262" i="35" s="1"/>
  <c r="J263" i="35"/>
  <c r="K263" i="35" s="1"/>
  <c r="Q263" i="35" s="1"/>
  <c r="J264" i="35"/>
  <c r="K264" i="35" s="1"/>
  <c r="J265" i="35"/>
  <c r="K265" i="35" s="1"/>
  <c r="Q265" i="35" s="1"/>
  <c r="J266" i="35"/>
  <c r="K266" i="35" s="1"/>
  <c r="Q266" i="35" s="1"/>
  <c r="J267" i="35"/>
  <c r="K267" i="35" s="1"/>
  <c r="Q267" i="35" s="1"/>
  <c r="J268" i="35"/>
  <c r="K268" i="35" s="1"/>
  <c r="Q268" i="35" s="1"/>
  <c r="J269" i="35"/>
  <c r="K269" i="35" s="1"/>
  <c r="Q269" i="35" s="1"/>
  <c r="J271" i="35"/>
  <c r="K271" i="35" s="1"/>
  <c r="J272" i="35"/>
  <c r="K272" i="35" s="1"/>
  <c r="Q272" i="35" s="1"/>
  <c r="J273" i="35"/>
  <c r="K273" i="35" s="1"/>
  <c r="Q273" i="35" s="1"/>
  <c r="J274" i="35"/>
  <c r="K274" i="35" s="1"/>
  <c r="Q274" i="35" s="1"/>
  <c r="J275" i="35"/>
  <c r="K275" i="35" s="1"/>
  <c r="J276" i="35"/>
  <c r="K276" i="35" s="1"/>
  <c r="F32" i="37"/>
  <c r="G32" i="37"/>
  <c r="D33" i="37"/>
  <c r="F33" i="37" s="1"/>
  <c r="G33" i="37"/>
  <c r="D9" i="42"/>
  <c r="C9" i="42"/>
  <c r="L9" i="42" s="1"/>
  <c r="D8" i="42"/>
  <c r="C7" i="42"/>
  <c r="L7" i="42" s="1"/>
  <c r="B6" i="42"/>
  <c r="C8" i="42"/>
  <c r="L8" i="42" s="1"/>
  <c r="H40" i="38"/>
  <c r="A43" i="27"/>
  <c r="E11" i="34"/>
  <c r="D11" i="34"/>
  <c r="E10" i="34"/>
  <c r="D10" i="34"/>
  <c r="D9" i="34"/>
  <c r="C20" i="34" s="1"/>
  <c r="E4" i="41"/>
  <c r="D3" i="40"/>
  <c r="D4" i="38"/>
  <c r="F53" i="41"/>
  <c r="F52" i="41"/>
  <c r="F51" i="41"/>
  <c r="C5" i="41"/>
  <c r="J35" i="41"/>
  <c r="J33" i="41"/>
  <c r="J32" i="41" s="1"/>
  <c r="J23" i="41"/>
  <c r="H942" i="35"/>
  <c r="H941" i="35"/>
  <c r="H940" i="35"/>
  <c r="H45" i="38"/>
  <c r="H43" i="38"/>
  <c r="H39" i="38"/>
  <c r="H53" i="37"/>
  <c r="H52" i="37"/>
  <c r="H49" i="37"/>
  <c r="H48" i="37"/>
  <c r="G229" i="35" s="1"/>
  <c r="H45" i="37"/>
  <c r="H44" i="37"/>
  <c r="G227" i="35" s="1"/>
  <c r="H41" i="37"/>
  <c r="H40" i="37"/>
  <c r="H39" i="37" s="1"/>
  <c r="H37" i="37"/>
  <c r="H36" i="37"/>
  <c r="H35" i="37" s="1"/>
  <c r="H33" i="37"/>
  <c r="H32" i="37"/>
  <c r="G221" i="35" s="1"/>
  <c r="H29" i="37"/>
  <c r="N259" i="35"/>
  <c r="N260" i="35"/>
  <c r="N261" i="35"/>
  <c r="N262" i="35"/>
  <c r="N263" i="35"/>
  <c r="N264" i="35"/>
  <c r="N265" i="35"/>
  <c r="N266" i="35"/>
  <c r="N267" i="35"/>
  <c r="N268" i="35"/>
  <c r="N269" i="35"/>
  <c r="N270" i="35"/>
  <c r="N271" i="35"/>
  <c r="N272" i="35"/>
  <c r="N273" i="35"/>
  <c r="N274" i="35"/>
  <c r="G47" i="40"/>
  <c r="G46" i="40"/>
  <c r="G45" i="40"/>
  <c r="C4" i="40"/>
  <c r="E70" i="38"/>
  <c r="E69" i="38"/>
  <c r="E68" i="38"/>
  <c r="C3" i="38"/>
  <c r="AE344" i="36"/>
  <c r="AE337" i="36"/>
  <c r="AE329" i="36"/>
  <c r="AE320" i="36"/>
  <c r="AE319" i="36"/>
  <c r="AE318" i="36"/>
  <c r="AE297" i="36"/>
  <c r="AE290" i="36"/>
  <c r="AE289" i="36"/>
  <c r="AE281" i="36"/>
  <c r="AE280" i="36"/>
  <c r="AE279" i="36"/>
  <c r="AE270" i="36"/>
  <c r="AE269" i="36"/>
  <c r="AE268" i="36"/>
  <c r="AE247" i="36"/>
  <c r="AE240" i="36"/>
  <c r="AE239" i="36"/>
  <c r="AE231" i="36"/>
  <c r="AE230" i="36"/>
  <c r="AE229" i="36"/>
  <c r="AE220" i="36"/>
  <c r="AE219" i="36"/>
  <c r="AE218" i="36"/>
  <c r="AE197" i="36"/>
  <c r="AE190" i="36"/>
  <c r="AE189" i="36"/>
  <c r="AE181" i="36"/>
  <c r="AE180" i="36"/>
  <c r="AE179" i="36"/>
  <c r="AE170" i="36"/>
  <c r="AE169" i="36"/>
  <c r="AE168" i="36"/>
  <c r="AE97" i="36"/>
  <c r="AE90" i="36"/>
  <c r="AE89" i="36"/>
  <c r="AE81" i="36"/>
  <c r="AE80" i="36"/>
  <c r="AE79" i="36"/>
  <c r="AE70" i="36"/>
  <c r="AE69" i="36"/>
  <c r="AE68" i="36"/>
  <c r="AE47" i="36"/>
  <c r="AE40" i="36"/>
  <c r="AE39" i="36"/>
  <c r="AE31" i="36"/>
  <c r="AE30" i="36"/>
  <c r="AE29" i="36"/>
  <c r="AE20" i="36"/>
  <c r="AE19" i="36"/>
  <c r="AE18" i="36"/>
  <c r="N694" i="35"/>
  <c r="N695" i="35"/>
  <c r="N696" i="35"/>
  <c r="N697" i="35"/>
  <c r="N698" i="35"/>
  <c r="N699" i="35"/>
  <c r="N700" i="35"/>
  <c r="N701" i="35"/>
  <c r="N702" i="35"/>
  <c r="N703" i="35"/>
  <c r="N704" i="35"/>
  <c r="N705" i="35"/>
  <c r="N706" i="35"/>
  <c r="N707" i="35"/>
  <c r="N708" i="35"/>
  <c r="N709" i="35"/>
  <c r="N710" i="35"/>
  <c r="N711" i="35"/>
  <c r="N712" i="35"/>
  <c r="N713" i="35"/>
  <c r="N714" i="35"/>
  <c r="N715" i="35"/>
  <c r="N716" i="35"/>
  <c r="N717" i="35"/>
  <c r="N718" i="35"/>
  <c r="N719" i="35"/>
  <c r="N720" i="35"/>
  <c r="N721" i="35"/>
  <c r="N722" i="35"/>
  <c r="N723" i="35"/>
  <c r="N724" i="35"/>
  <c r="N725" i="35"/>
  <c r="N726" i="35"/>
  <c r="N727" i="35"/>
  <c r="N728" i="35"/>
  <c r="N729" i="35"/>
  <c r="N730" i="35"/>
  <c r="N731" i="35"/>
  <c r="N732" i="35"/>
  <c r="N733" i="35"/>
  <c r="N734" i="35"/>
  <c r="N735" i="35"/>
  <c r="N736" i="35"/>
  <c r="N737" i="35"/>
  <c r="N738" i="35"/>
  <c r="N739" i="35"/>
  <c r="N740" i="35"/>
  <c r="N741" i="35"/>
  <c r="N742" i="35"/>
  <c r="N743" i="35"/>
  <c r="N744" i="35"/>
  <c r="N745" i="35"/>
  <c r="N746" i="35"/>
  <c r="N747" i="35"/>
  <c r="N748" i="35"/>
  <c r="N749" i="35"/>
  <c r="N750" i="35"/>
  <c r="N751" i="35"/>
  <c r="N752" i="35"/>
  <c r="N753" i="35"/>
  <c r="N754" i="35"/>
  <c r="N755" i="35"/>
  <c r="N756" i="35"/>
  <c r="N757" i="35"/>
  <c r="N758" i="35"/>
  <c r="N759" i="35"/>
  <c r="N760" i="35"/>
  <c r="N761" i="35"/>
  <c r="N762" i="35"/>
  <c r="N763" i="35"/>
  <c r="N764" i="35"/>
  <c r="N765" i="35"/>
  <c r="N766" i="35"/>
  <c r="N767" i="35"/>
  <c r="N768" i="35"/>
  <c r="N769" i="35"/>
  <c r="N770" i="35"/>
  <c r="N771" i="35"/>
  <c r="N772" i="35"/>
  <c r="N773" i="35"/>
  <c r="N774" i="35"/>
  <c r="N775" i="35"/>
  <c r="N776" i="35"/>
  <c r="N777" i="35"/>
  <c r="N778" i="35"/>
  <c r="N779" i="35"/>
  <c r="N780" i="35"/>
  <c r="N781" i="35"/>
  <c r="N782" i="35"/>
  <c r="N783" i="35"/>
  <c r="N784" i="35"/>
  <c r="N785" i="35"/>
  <c r="N786" i="35"/>
  <c r="N787" i="35"/>
  <c r="N788" i="35"/>
  <c r="N789" i="35"/>
  <c r="N790" i="35"/>
  <c r="N791" i="35"/>
  <c r="N792" i="35"/>
  <c r="N793" i="35"/>
  <c r="N794" i="35"/>
  <c r="N795" i="35"/>
  <c r="N796" i="35"/>
  <c r="N797" i="35"/>
  <c r="N798" i="35"/>
  <c r="N799" i="35"/>
  <c r="N800" i="35"/>
  <c r="N801" i="35"/>
  <c r="N802" i="35"/>
  <c r="N803" i="35"/>
  <c r="N804" i="35"/>
  <c r="N805" i="35"/>
  <c r="N806" i="35"/>
  <c r="N807" i="35"/>
  <c r="N808" i="35"/>
  <c r="N809" i="35"/>
  <c r="N810" i="35"/>
  <c r="N811" i="35"/>
  <c r="N812" i="35"/>
  <c r="N813" i="35"/>
  <c r="N814" i="35"/>
  <c r="N815" i="35"/>
  <c r="N816" i="35"/>
  <c r="N817" i="35"/>
  <c r="N818" i="35"/>
  <c r="N819" i="35"/>
  <c r="N820" i="35"/>
  <c r="N821" i="35"/>
  <c r="N822" i="35"/>
  <c r="N823" i="35"/>
  <c r="N824" i="35"/>
  <c r="N825" i="35"/>
  <c r="N826" i="35"/>
  <c r="N827" i="35"/>
  <c r="N828" i="35"/>
  <c r="N829" i="35"/>
  <c r="N830" i="35"/>
  <c r="N831" i="35"/>
  <c r="N832" i="35"/>
  <c r="N833" i="35"/>
  <c r="N834" i="35"/>
  <c r="N835" i="35"/>
  <c r="N836" i="35"/>
  <c r="N837" i="35"/>
  <c r="N838" i="35"/>
  <c r="N839" i="35"/>
  <c r="N840" i="35"/>
  <c r="N841" i="35"/>
  <c r="N842" i="35"/>
  <c r="N843" i="35"/>
  <c r="N844" i="35"/>
  <c r="N845" i="35"/>
  <c r="N846" i="35"/>
  <c r="N847" i="35"/>
  <c r="N848" i="35"/>
  <c r="N850" i="35"/>
  <c r="N851" i="35"/>
  <c r="N852" i="35"/>
  <c r="N853" i="35"/>
  <c r="N854" i="35"/>
  <c r="N855" i="35"/>
  <c r="N856" i="35"/>
  <c r="N857" i="35"/>
  <c r="N858" i="35"/>
  <c r="N859" i="35"/>
  <c r="N860" i="35"/>
  <c r="N861" i="35"/>
  <c r="N862" i="35"/>
  <c r="N863" i="35"/>
  <c r="N864" i="35"/>
  <c r="N865" i="35"/>
  <c r="N866" i="35"/>
  <c r="N867" i="35"/>
  <c r="N868" i="35"/>
  <c r="N869" i="35"/>
  <c r="N870" i="35"/>
  <c r="N871" i="35"/>
  <c r="N872" i="35"/>
  <c r="N873" i="35"/>
  <c r="N874" i="35"/>
  <c r="N875" i="35"/>
  <c r="N876" i="35"/>
  <c r="N877" i="35"/>
  <c r="N878" i="35"/>
  <c r="N879" i="35"/>
  <c r="N880" i="35"/>
  <c r="N881" i="35"/>
  <c r="N882" i="35"/>
  <c r="N883" i="35"/>
  <c r="N884" i="35"/>
  <c r="N885" i="35"/>
  <c r="N886" i="35"/>
  <c r="N887" i="35"/>
  <c r="N888" i="35"/>
  <c r="N889" i="35"/>
  <c r="N890" i="35"/>
  <c r="N891" i="35"/>
  <c r="N892" i="35"/>
  <c r="N893" i="35"/>
  <c r="N894" i="35"/>
  <c r="N895" i="35"/>
  <c r="N896" i="35"/>
  <c r="N897" i="35"/>
  <c r="N898" i="35"/>
  <c r="N899" i="35"/>
  <c r="N900" i="35"/>
  <c r="N901" i="35"/>
  <c r="N902" i="35"/>
  <c r="N903" i="35"/>
  <c r="N904" i="35"/>
  <c r="N905" i="35"/>
  <c r="N906" i="35"/>
  <c r="N907" i="35"/>
  <c r="N908" i="35"/>
  <c r="N909" i="35"/>
  <c r="N910" i="35"/>
  <c r="N911" i="35"/>
  <c r="N912" i="35"/>
  <c r="N913" i="35"/>
  <c r="N914" i="35"/>
  <c r="N915" i="35"/>
  <c r="N916" i="35"/>
  <c r="N917" i="35"/>
  <c r="N918" i="35"/>
  <c r="N919" i="35"/>
  <c r="N920" i="35"/>
  <c r="N921" i="35"/>
  <c r="N922" i="35"/>
  <c r="N923" i="35"/>
  <c r="N924" i="35"/>
  <c r="N925" i="35"/>
  <c r="N926" i="35"/>
  <c r="N927" i="35"/>
  <c r="N928" i="35"/>
  <c r="N929" i="35"/>
  <c r="N930" i="35"/>
  <c r="N329" i="35"/>
  <c r="N325" i="35"/>
  <c r="N322" i="35"/>
  <c r="N321" i="35"/>
  <c r="N319" i="35"/>
  <c r="N318" i="35"/>
  <c r="N316" i="35"/>
  <c r="N315" i="35"/>
  <c r="N313" i="35"/>
  <c r="N312" i="35"/>
  <c r="N311" i="35"/>
  <c r="N561" i="35"/>
  <c r="N562" i="35"/>
  <c r="N563" i="35"/>
  <c r="N564" i="35"/>
  <c r="N565" i="35"/>
  <c r="N566" i="35"/>
  <c r="N567" i="35"/>
  <c r="N568" i="35"/>
  <c r="N569" i="35"/>
  <c r="N570" i="35"/>
  <c r="N571" i="35"/>
  <c r="N572" i="35"/>
  <c r="N573" i="35"/>
  <c r="N574" i="35"/>
  <c r="N575" i="35"/>
  <c r="N576" i="35"/>
  <c r="N577" i="35"/>
  <c r="N578" i="35"/>
  <c r="N579" i="35"/>
  <c r="N580" i="35"/>
  <c r="N581" i="35"/>
  <c r="N582" i="35"/>
  <c r="N583" i="35"/>
  <c r="N584" i="35"/>
  <c r="N585" i="35"/>
  <c r="N586" i="35"/>
  <c r="N587" i="35"/>
  <c r="N588" i="35"/>
  <c r="N589" i="35"/>
  <c r="N590" i="35"/>
  <c r="N591" i="35"/>
  <c r="N592" i="35"/>
  <c r="N593" i="35"/>
  <c r="N594" i="35"/>
  <c r="N595" i="35"/>
  <c r="N596" i="35"/>
  <c r="N597" i="35"/>
  <c r="N598" i="35"/>
  <c r="N599" i="35"/>
  <c r="N600" i="35"/>
  <c r="N601" i="35"/>
  <c r="N602" i="35"/>
  <c r="N603" i="35"/>
  <c r="N604" i="35"/>
  <c r="N605" i="35"/>
  <c r="N606" i="35"/>
  <c r="N607" i="35"/>
  <c r="N608" i="35"/>
  <c r="N609" i="35"/>
  <c r="N610" i="35"/>
  <c r="N611" i="35"/>
  <c r="N612" i="35"/>
  <c r="N613" i="35"/>
  <c r="N614" i="35"/>
  <c r="N615" i="35"/>
  <c r="N616" i="35"/>
  <c r="N617" i="35"/>
  <c r="N618" i="35"/>
  <c r="N619" i="35"/>
  <c r="N620" i="35"/>
  <c r="N621" i="35"/>
  <c r="N622" i="35"/>
  <c r="N623" i="35"/>
  <c r="N624" i="35"/>
  <c r="N625" i="35"/>
  <c r="N626" i="35"/>
  <c r="N627" i="35"/>
  <c r="N628" i="35"/>
  <c r="N629" i="35"/>
  <c r="N630" i="35"/>
  <c r="N631" i="35"/>
  <c r="N632" i="35"/>
  <c r="N633" i="35"/>
  <c r="N634" i="35"/>
  <c r="N635" i="35"/>
  <c r="N636" i="35"/>
  <c r="N637" i="35"/>
  <c r="N638" i="35"/>
  <c r="N639" i="35"/>
  <c r="N640" i="35"/>
  <c r="N641" i="35"/>
  <c r="N642" i="35"/>
  <c r="N643" i="35"/>
  <c r="N644" i="35"/>
  <c r="N645" i="35"/>
  <c r="N646" i="35"/>
  <c r="N647" i="35"/>
  <c r="N648" i="35"/>
  <c r="N649" i="35"/>
  <c r="N650" i="35"/>
  <c r="N651" i="35"/>
  <c r="N652" i="35"/>
  <c r="N653" i="35"/>
  <c r="N654" i="35"/>
  <c r="N655" i="35"/>
  <c r="N656" i="35"/>
  <c r="N657" i="35"/>
  <c r="N658" i="35"/>
  <c r="N659" i="35"/>
  <c r="N660" i="35"/>
  <c r="N661" i="35"/>
  <c r="N662" i="35"/>
  <c r="N663" i="35"/>
  <c r="N664" i="35"/>
  <c r="N665" i="35"/>
  <c r="N666" i="35"/>
  <c r="N667" i="35"/>
  <c r="N668" i="35"/>
  <c r="N669" i="35"/>
  <c r="N670" i="35"/>
  <c r="N671" i="35"/>
  <c r="N672" i="35"/>
  <c r="N673" i="35"/>
  <c r="N674" i="35"/>
  <c r="N675" i="35"/>
  <c r="N676" i="35"/>
  <c r="N677" i="35"/>
  <c r="N678" i="35"/>
  <c r="N679" i="35"/>
  <c r="N680" i="35"/>
  <c r="N681" i="35"/>
  <c r="N682" i="35"/>
  <c r="N683" i="35"/>
  <c r="N684" i="35"/>
  <c r="N685" i="35"/>
  <c r="N686" i="35"/>
  <c r="N687" i="35"/>
  <c r="N688" i="35"/>
  <c r="N689" i="35"/>
  <c r="N690" i="35"/>
  <c r="N691" i="35"/>
  <c r="N692" i="35"/>
  <c r="N693" i="35"/>
  <c r="N360" i="35"/>
  <c r="N361" i="35"/>
  <c r="N362" i="35"/>
  <c r="N363" i="35"/>
  <c r="N364" i="35"/>
  <c r="N365" i="35"/>
  <c r="N366" i="35"/>
  <c r="N367" i="35"/>
  <c r="N368" i="35"/>
  <c r="N369" i="35"/>
  <c r="N370" i="35"/>
  <c r="N371" i="35"/>
  <c r="N372" i="35"/>
  <c r="N373" i="35"/>
  <c r="N374" i="35"/>
  <c r="N375" i="35"/>
  <c r="N376" i="35"/>
  <c r="N377" i="35"/>
  <c r="N378" i="35"/>
  <c r="N379" i="35"/>
  <c r="N380" i="35"/>
  <c r="N381" i="35"/>
  <c r="N382" i="35"/>
  <c r="N383" i="35"/>
  <c r="N384" i="35"/>
  <c r="N385" i="35"/>
  <c r="N386" i="35"/>
  <c r="N387" i="35"/>
  <c r="N388" i="35"/>
  <c r="N389" i="35"/>
  <c r="N390" i="35"/>
  <c r="N391" i="35"/>
  <c r="N392" i="35"/>
  <c r="N393" i="35"/>
  <c r="N394" i="35"/>
  <c r="N395" i="35"/>
  <c r="N396" i="35"/>
  <c r="N397" i="35"/>
  <c r="N398" i="35"/>
  <c r="N399" i="35"/>
  <c r="N400" i="35"/>
  <c r="N401" i="35"/>
  <c r="N402" i="35"/>
  <c r="N403" i="35"/>
  <c r="N404" i="35"/>
  <c r="N405" i="35"/>
  <c r="N406" i="35"/>
  <c r="N407" i="35"/>
  <c r="N408" i="35"/>
  <c r="N409" i="35"/>
  <c r="N410" i="35"/>
  <c r="N411" i="35"/>
  <c r="N412" i="35"/>
  <c r="N413" i="35"/>
  <c r="N414" i="35"/>
  <c r="N415" i="35"/>
  <c r="N416" i="35"/>
  <c r="N417" i="35"/>
  <c r="N418" i="35"/>
  <c r="N419" i="35"/>
  <c r="N420" i="35"/>
  <c r="N421" i="35"/>
  <c r="N422" i="35"/>
  <c r="N423" i="35"/>
  <c r="N424" i="35"/>
  <c r="N425" i="35"/>
  <c r="N426" i="35"/>
  <c r="N427" i="35"/>
  <c r="N428" i="35"/>
  <c r="N429" i="35"/>
  <c r="N430" i="35"/>
  <c r="N431" i="35"/>
  <c r="N432" i="35"/>
  <c r="N433" i="35"/>
  <c r="N434" i="35"/>
  <c r="N435" i="35"/>
  <c r="N436" i="35"/>
  <c r="N437" i="35"/>
  <c r="N438" i="35"/>
  <c r="N439" i="35"/>
  <c r="N440" i="35"/>
  <c r="N441" i="35"/>
  <c r="N442" i="35"/>
  <c r="N443" i="35"/>
  <c r="N444" i="35"/>
  <c r="N445" i="35"/>
  <c r="N446" i="35"/>
  <c r="N447" i="35"/>
  <c r="N448" i="35"/>
  <c r="N449" i="35"/>
  <c r="N450" i="35"/>
  <c r="N451" i="35"/>
  <c r="N452" i="35"/>
  <c r="N453" i="35"/>
  <c r="N454" i="35"/>
  <c r="N455" i="35"/>
  <c r="N456" i="35"/>
  <c r="N457" i="35"/>
  <c r="N458" i="35"/>
  <c r="N459" i="35"/>
  <c r="N460" i="35"/>
  <c r="N461" i="35"/>
  <c r="N462" i="35"/>
  <c r="N463" i="35"/>
  <c r="N464" i="35"/>
  <c r="N465" i="35"/>
  <c r="N466" i="35"/>
  <c r="N467" i="35"/>
  <c r="N468" i="35"/>
  <c r="N469" i="35"/>
  <c r="N470" i="35"/>
  <c r="N471" i="35"/>
  <c r="N472" i="35"/>
  <c r="N473" i="35"/>
  <c r="N474" i="35"/>
  <c r="N475" i="35"/>
  <c r="N476" i="35"/>
  <c r="N477" i="35"/>
  <c r="N478" i="35"/>
  <c r="N479" i="35"/>
  <c r="N480" i="35"/>
  <c r="N481" i="35"/>
  <c r="N482" i="35"/>
  <c r="N483" i="35"/>
  <c r="N484" i="35"/>
  <c r="N485" i="35"/>
  <c r="N486" i="35"/>
  <c r="N487" i="35"/>
  <c r="N488" i="35"/>
  <c r="N489" i="35"/>
  <c r="N490" i="35"/>
  <c r="N491" i="35"/>
  <c r="N492" i="35"/>
  <c r="N493" i="35"/>
  <c r="N494" i="35"/>
  <c r="N495" i="35"/>
  <c r="N496" i="35"/>
  <c r="N497" i="35"/>
  <c r="N498" i="35"/>
  <c r="N499" i="35"/>
  <c r="N500" i="35"/>
  <c r="N501" i="35"/>
  <c r="N502" i="35"/>
  <c r="N503" i="35"/>
  <c r="N504" i="35"/>
  <c r="N505" i="35"/>
  <c r="N506" i="35"/>
  <c r="N507" i="35"/>
  <c r="N508" i="35"/>
  <c r="N509" i="35"/>
  <c r="N510" i="35"/>
  <c r="N511" i="35"/>
  <c r="N512" i="35"/>
  <c r="N513" i="35"/>
  <c r="N514" i="35"/>
  <c r="N515" i="35"/>
  <c r="N516" i="35"/>
  <c r="N517" i="35"/>
  <c r="N518" i="35"/>
  <c r="N519" i="35"/>
  <c r="N520" i="35"/>
  <c r="N521" i="35"/>
  <c r="N522" i="35"/>
  <c r="N523" i="35"/>
  <c r="N524" i="35"/>
  <c r="N525" i="35"/>
  <c r="N526" i="35"/>
  <c r="N527" i="35"/>
  <c r="N528" i="35"/>
  <c r="N529" i="35"/>
  <c r="N530" i="35"/>
  <c r="N531" i="35"/>
  <c r="N532" i="35"/>
  <c r="N533" i="35"/>
  <c r="N534" i="35"/>
  <c r="N535" i="35"/>
  <c r="N536" i="35"/>
  <c r="N537" i="35"/>
  <c r="N538" i="35"/>
  <c r="N539" i="35"/>
  <c r="N540" i="35"/>
  <c r="N541" i="35"/>
  <c r="N542" i="35"/>
  <c r="N543" i="35"/>
  <c r="N544" i="35"/>
  <c r="N545" i="35"/>
  <c r="N546" i="35"/>
  <c r="N547" i="35"/>
  <c r="N548" i="35"/>
  <c r="N549" i="35"/>
  <c r="N550" i="35"/>
  <c r="N551" i="35"/>
  <c r="N552" i="35"/>
  <c r="N553" i="35"/>
  <c r="N554" i="35"/>
  <c r="N555" i="35"/>
  <c r="N556" i="35"/>
  <c r="N557" i="35"/>
  <c r="N558" i="35"/>
  <c r="N559" i="35"/>
  <c r="N560" i="35"/>
  <c r="N326" i="35"/>
  <c r="N327" i="35"/>
  <c r="N328" i="35"/>
  <c r="N330" i="35"/>
  <c r="N331" i="35"/>
  <c r="N332" i="35"/>
  <c r="N333" i="35"/>
  <c r="N334" i="35"/>
  <c r="N335" i="35"/>
  <c r="N336" i="35"/>
  <c r="N337" i="35"/>
  <c r="N338" i="35"/>
  <c r="N339" i="35"/>
  <c r="N340" i="35"/>
  <c r="N341" i="35"/>
  <c r="N342" i="35"/>
  <c r="N343" i="35"/>
  <c r="N344" i="35"/>
  <c r="N345" i="35"/>
  <c r="N346" i="35"/>
  <c r="N347" i="35"/>
  <c r="N348" i="35"/>
  <c r="N349" i="35"/>
  <c r="N350" i="35"/>
  <c r="N351" i="35"/>
  <c r="N352" i="35"/>
  <c r="N353" i="35"/>
  <c r="N354" i="35"/>
  <c r="N355" i="35"/>
  <c r="N356" i="35"/>
  <c r="N357" i="35"/>
  <c r="N358" i="35"/>
  <c r="N359" i="35"/>
  <c r="N314" i="35"/>
  <c r="N323" i="35"/>
  <c r="N320" i="35"/>
  <c r="N213" i="35"/>
  <c r="N212" i="35"/>
  <c r="N211" i="35"/>
  <c r="N210" i="35"/>
  <c r="N209" i="35"/>
  <c r="N208" i="35"/>
  <c r="N207" i="35"/>
  <c r="N206" i="35"/>
  <c r="N205" i="35"/>
  <c r="N204" i="35"/>
  <c r="N203" i="35"/>
  <c r="N202" i="35"/>
  <c r="N201" i="35"/>
  <c r="N200" i="35"/>
  <c r="N199" i="35"/>
  <c r="N198" i="35"/>
  <c r="N197" i="35"/>
  <c r="N196" i="35"/>
  <c r="N195" i="35"/>
  <c r="N194" i="35"/>
  <c r="N193" i="35"/>
  <c r="N192" i="35"/>
  <c r="N191" i="35"/>
  <c r="N190" i="35"/>
  <c r="N189" i="35"/>
  <c r="N188" i="35"/>
  <c r="N187" i="35"/>
  <c r="N186" i="35"/>
  <c r="N185" i="35"/>
  <c r="N184" i="35"/>
  <c r="N183" i="35"/>
  <c r="N182" i="35"/>
  <c r="N181" i="35"/>
  <c r="N180" i="35"/>
  <c r="N179" i="35"/>
  <c r="N178" i="35"/>
  <c r="N177" i="35"/>
  <c r="N176" i="35"/>
  <c r="N175" i="35"/>
  <c r="N174" i="35"/>
  <c r="N173" i="35"/>
  <c r="N172" i="35"/>
  <c r="N171" i="35"/>
  <c r="N170" i="35"/>
  <c r="N169" i="35"/>
  <c r="N168" i="35"/>
  <c r="N167" i="35"/>
  <c r="N166" i="35"/>
  <c r="N165" i="35"/>
  <c r="N164" i="35"/>
  <c r="N163" i="35"/>
  <c r="N162" i="35"/>
  <c r="N161" i="35"/>
  <c r="N160" i="35"/>
  <c r="N159" i="35"/>
  <c r="N158" i="35"/>
  <c r="N157" i="35"/>
  <c r="N156" i="35"/>
  <c r="N155" i="35"/>
  <c r="N154" i="35"/>
  <c r="N153" i="35"/>
  <c r="N152" i="35"/>
  <c r="N151" i="35"/>
  <c r="N150" i="35"/>
  <c r="N149" i="35"/>
  <c r="N148" i="35"/>
  <c r="N147" i="35"/>
  <c r="N146" i="35"/>
  <c r="N145" i="35"/>
  <c r="N144" i="35"/>
  <c r="N143" i="35"/>
  <c r="N142" i="35"/>
  <c r="N141" i="35"/>
  <c r="N140" i="35"/>
  <c r="N139" i="35"/>
  <c r="N138" i="35"/>
  <c r="N137" i="35"/>
  <c r="N136" i="35"/>
  <c r="N135" i="35"/>
  <c r="N134" i="35"/>
  <c r="N133" i="35"/>
  <c r="N132" i="35"/>
  <c r="N131" i="35"/>
  <c r="N130" i="35"/>
  <c r="N129" i="35"/>
  <c r="N128" i="35"/>
  <c r="N127" i="35"/>
  <c r="N126" i="35"/>
  <c r="N125" i="35"/>
  <c r="N124" i="35"/>
  <c r="N123" i="35"/>
  <c r="N122" i="35"/>
  <c r="N121" i="35"/>
  <c r="N120" i="35"/>
  <c r="N119" i="35"/>
  <c r="N118" i="35"/>
  <c r="N117" i="35"/>
  <c r="N116" i="35"/>
  <c r="N115" i="35"/>
  <c r="N114" i="35"/>
  <c r="N253" i="35"/>
  <c r="N254" i="35"/>
  <c r="N255" i="35"/>
  <c r="N256" i="35"/>
  <c r="N257" i="35"/>
  <c r="N258" i="35"/>
  <c r="N252" i="35"/>
  <c r="N251" i="35"/>
  <c r="N249" i="35"/>
  <c r="N248" i="35"/>
  <c r="N247" i="35"/>
  <c r="N246" i="35"/>
  <c r="N245" i="35"/>
  <c r="N244" i="35"/>
  <c r="N243" i="35"/>
  <c r="N242" i="35"/>
  <c r="N241" i="35"/>
  <c r="N240" i="35"/>
  <c r="N239" i="35"/>
  <c r="N238" i="35"/>
  <c r="F230" i="35"/>
  <c r="N232" i="35"/>
  <c r="N231" i="35"/>
  <c r="N222" i="35"/>
  <c r="N219" i="35"/>
  <c r="N228" i="35"/>
  <c r="N227" i="35"/>
  <c r="N224" i="35"/>
  <c r="N220" i="35"/>
  <c r="N226" i="35"/>
  <c r="N221" i="35"/>
  <c r="N230" i="35"/>
  <c r="N223" i="35"/>
  <c r="N225" i="35"/>
  <c r="N229" i="35"/>
  <c r="F82" i="37"/>
  <c r="F81" i="37"/>
  <c r="F80" i="37"/>
  <c r="E69" i="37"/>
  <c r="H51" i="37"/>
  <c r="D45" i="37"/>
  <c r="F45" i="37" s="1"/>
  <c r="D41" i="37"/>
  <c r="F41" i="37" s="1"/>
  <c r="F37" i="37"/>
  <c r="H27" i="37"/>
  <c r="D4" i="37"/>
  <c r="C2" i="37"/>
  <c r="F63" i="37"/>
  <c r="G63" i="37" s="1"/>
  <c r="H63" i="37" s="1"/>
  <c r="F59" i="37"/>
  <c r="G59" i="37" s="1"/>
  <c r="H59" i="37" s="1"/>
  <c r="E23" i="38" s="1"/>
  <c r="F68" i="37"/>
  <c r="G68" i="37" s="1"/>
  <c r="H68" i="37" s="1"/>
  <c r="E28" i="38" s="1"/>
  <c r="N31" i="35"/>
  <c r="N32" i="35"/>
  <c r="N33" i="35"/>
  <c r="N34" i="35"/>
  <c r="N35" i="35"/>
  <c r="N36" i="35"/>
  <c r="N37" i="35"/>
  <c r="N38" i="35"/>
  <c r="N39" i="35"/>
  <c r="N40" i="35"/>
  <c r="N41" i="35"/>
  <c r="N42" i="35"/>
  <c r="N43" i="35"/>
  <c r="N44" i="35"/>
  <c r="N45" i="35"/>
  <c r="N46" i="35"/>
  <c r="N47" i="35"/>
  <c r="N48" i="35"/>
  <c r="N49" i="35"/>
  <c r="N50" i="35"/>
  <c r="N51" i="35"/>
  <c r="N52" i="35"/>
  <c r="N53" i="35"/>
  <c r="N54" i="35"/>
  <c r="N55" i="35"/>
  <c r="N56" i="35"/>
  <c r="N57" i="35"/>
  <c r="N58" i="35"/>
  <c r="N59" i="35"/>
  <c r="N60" i="35"/>
  <c r="N61" i="35"/>
  <c r="N62" i="35"/>
  <c r="N63" i="35"/>
  <c r="N64" i="35"/>
  <c r="N65" i="35"/>
  <c r="N66" i="35"/>
  <c r="N67" i="35"/>
  <c r="N68" i="35"/>
  <c r="N69" i="35"/>
  <c r="N70" i="35"/>
  <c r="N71" i="35"/>
  <c r="N72" i="35"/>
  <c r="N73" i="35"/>
  <c r="N74" i="35"/>
  <c r="N75" i="35"/>
  <c r="N76" i="35"/>
  <c r="N77" i="35"/>
  <c r="N78" i="35"/>
  <c r="N79" i="35"/>
  <c r="N80" i="35"/>
  <c r="N81" i="35"/>
  <c r="N82" i="35"/>
  <c r="N83" i="35"/>
  <c r="N84" i="35"/>
  <c r="N85" i="35"/>
  <c r="N86" i="35"/>
  <c r="N87" i="35"/>
  <c r="N88" i="35"/>
  <c r="N89" i="35"/>
  <c r="N90" i="35"/>
  <c r="N91" i="35"/>
  <c r="N92" i="35"/>
  <c r="N93" i="35"/>
  <c r="N94" i="35"/>
  <c r="N95" i="35"/>
  <c r="N96" i="35"/>
  <c r="N97" i="35"/>
  <c r="N98" i="35"/>
  <c r="N99" i="35"/>
  <c r="N100" i="35"/>
  <c r="N101" i="35"/>
  <c r="N102" i="35"/>
  <c r="N103" i="35"/>
  <c r="N104" i="35"/>
  <c r="N105" i="35"/>
  <c r="N106" i="35"/>
  <c r="N107" i="35"/>
  <c r="N108" i="35"/>
  <c r="N11" i="35"/>
  <c r="N12" i="35"/>
  <c r="N13" i="35"/>
  <c r="N14" i="35"/>
  <c r="N15" i="35"/>
  <c r="N16" i="35"/>
  <c r="N17" i="35"/>
  <c r="N18" i="35"/>
  <c r="N19" i="35"/>
  <c r="N20" i="35"/>
  <c r="N21" i="35"/>
  <c r="N22" i="35"/>
  <c r="N23" i="35"/>
  <c r="N24" i="35"/>
  <c r="N25" i="35"/>
  <c r="N26" i="35"/>
  <c r="N27" i="35"/>
  <c r="N28" i="35"/>
  <c r="N29" i="35"/>
  <c r="N30" i="35"/>
  <c r="N10" i="35"/>
  <c r="E5" i="35"/>
  <c r="E4" i="35"/>
  <c r="D3" i="37" s="1"/>
  <c r="J6" i="35"/>
  <c r="E6" i="35"/>
  <c r="E111" i="34"/>
  <c r="E110" i="34"/>
  <c r="E109" i="34"/>
  <c r="O3" i="36"/>
  <c r="U5" i="36"/>
  <c r="O5" i="36"/>
  <c r="O4" i="36"/>
  <c r="C5" i="34"/>
  <c r="F58" i="37"/>
  <c r="G58" i="37" s="1"/>
  <c r="H58" i="37" s="1"/>
  <c r="E22" i="38" s="1"/>
  <c r="F62" i="37"/>
  <c r="G62" i="37"/>
  <c r="H62" i="37" s="1"/>
  <c r="E26" i="38" s="1"/>
  <c r="F65" i="37"/>
  <c r="G65" i="37"/>
  <c r="H65" i="37" s="1"/>
  <c r="E25" i="38" s="1"/>
  <c r="F69" i="37"/>
  <c r="F61" i="37"/>
  <c r="G61" i="37"/>
  <c r="H61" i="37" s="1"/>
  <c r="I15" i="41" s="1"/>
  <c r="F60" i="37"/>
  <c r="G60" i="37" s="1"/>
  <c r="H60" i="37" s="1"/>
  <c r="E24" i="38" s="1"/>
  <c r="F70" i="37"/>
  <c r="G70" i="37"/>
  <c r="H70" i="37" s="1"/>
  <c r="F67" i="37"/>
  <c r="G67" i="37"/>
  <c r="H67" i="37" s="1"/>
  <c r="E29" i="38" s="1"/>
  <c r="A13" i="27"/>
  <c r="H101" i="34"/>
  <c r="N245" i="36" l="1"/>
  <c r="N1567" i="36"/>
  <c r="N1621" i="36"/>
  <c r="N766" i="36"/>
  <c r="N1249" i="36"/>
  <c r="N1461" i="36"/>
  <c r="N1355" i="36"/>
  <c r="N1408" i="36"/>
  <c r="N930" i="36"/>
  <c r="N819" i="36"/>
  <c r="N984" i="36"/>
  <c r="N872" i="36"/>
  <c r="N713" i="36"/>
  <c r="N1037" i="36"/>
  <c r="N660" i="36"/>
  <c r="N1302" i="36"/>
  <c r="R1621" i="36"/>
  <c r="R1567" i="36"/>
  <c r="R766" i="36"/>
  <c r="R1355" i="36"/>
  <c r="R1461" i="36"/>
  <c r="R1408" i="36"/>
  <c r="R1249" i="36"/>
  <c r="R819" i="36"/>
  <c r="R1037" i="36"/>
  <c r="R984" i="36"/>
  <c r="R930" i="36"/>
  <c r="R872" i="36"/>
  <c r="R660" i="36"/>
  <c r="R713" i="36"/>
  <c r="G5" i="45"/>
  <c r="G5" i="1"/>
  <c r="U752" i="36"/>
  <c r="N751" i="36"/>
  <c r="N746" i="36"/>
  <c r="R745" i="36"/>
  <c r="N744" i="36"/>
  <c r="T760" i="36"/>
  <c r="R752" i="36"/>
  <c r="S759" i="36"/>
  <c r="Y759" i="36" s="1"/>
  <c r="R744" i="36"/>
  <c r="N753" i="36"/>
  <c r="S760" i="36"/>
  <c r="Y760" i="36" s="1"/>
  <c r="N752" i="36"/>
  <c r="N760" i="36"/>
  <c r="T746" i="36"/>
  <c r="T745" i="36"/>
  <c r="T744" i="36"/>
  <c r="Q760" i="36"/>
  <c r="U751" i="36"/>
  <c r="R751" i="36"/>
  <c r="T759" i="36"/>
  <c r="N745" i="36"/>
  <c r="R753" i="36"/>
  <c r="Q759" i="36"/>
  <c r="R746" i="36"/>
  <c r="N759" i="36"/>
  <c r="U753" i="36"/>
  <c r="Q1454" i="36"/>
  <c r="N1440" i="36"/>
  <c r="N1401" i="36"/>
  <c r="T1386" i="36"/>
  <c r="N1348" i="36"/>
  <c r="N1334" i="36"/>
  <c r="N1242" i="36"/>
  <c r="N1228" i="36"/>
  <c r="R1197" i="36"/>
  <c r="N1189" i="36"/>
  <c r="O1197" i="36"/>
  <c r="R1395" i="36"/>
  <c r="R1183" i="36"/>
  <c r="S1243" i="36"/>
  <c r="Y1243" i="36" s="1"/>
  <c r="R1340" i="36"/>
  <c r="R1181" i="36"/>
  <c r="S1242" i="36"/>
  <c r="Y1242" i="36" s="1"/>
  <c r="R1334" i="36"/>
  <c r="N1454" i="36"/>
  <c r="T1439" i="36"/>
  <c r="R1386" i="36"/>
  <c r="T1347" i="36"/>
  <c r="T1333" i="36"/>
  <c r="T1227" i="36"/>
  <c r="U1182" i="36"/>
  <c r="N1190" i="36"/>
  <c r="T1197" i="36"/>
  <c r="R1440" i="36"/>
  <c r="R1439" i="36"/>
  <c r="N1386" i="36"/>
  <c r="S1347" i="36"/>
  <c r="Y1347" i="36" s="1"/>
  <c r="R1333" i="36"/>
  <c r="R1227" i="36"/>
  <c r="N1197" i="36"/>
  <c r="U1395" i="36"/>
  <c r="Q1402" i="36"/>
  <c r="N1402" i="36"/>
  <c r="S1401" i="36"/>
  <c r="Y1401" i="36" s="1"/>
  <c r="S1189" i="36"/>
  <c r="Y1189" i="36" s="1"/>
  <c r="S1197" i="36"/>
  <c r="N1439" i="36"/>
  <c r="Q1347" i="36"/>
  <c r="N1333" i="36"/>
  <c r="N1227" i="36"/>
  <c r="S1190" i="36"/>
  <c r="Y1190" i="36" s="1"/>
  <c r="Q1243" i="36"/>
  <c r="N1340" i="36"/>
  <c r="T1334" i="36"/>
  <c r="N1387" i="36"/>
  <c r="N1347" i="36"/>
  <c r="U1342" i="36"/>
  <c r="U1183" i="36"/>
  <c r="U1448" i="36"/>
  <c r="R1236" i="36"/>
  <c r="N1182" i="36"/>
  <c r="Q1190" i="36"/>
  <c r="N1243" i="36"/>
  <c r="R1342" i="36"/>
  <c r="R1234" i="36"/>
  <c r="T1242" i="36"/>
  <c r="U1181" i="36"/>
  <c r="R1387" i="36"/>
  <c r="Q1242" i="36"/>
  <c r="R1448" i="36"/>
  <c r="N1395" i="36"/>
  <c r="N1342" i="36"/>
  <c r="N1236" i="36"/>
  <c r="N1183" i="36"/>
  <c r="N1448" i="36"/>
  <c r="R1394" i="36"/>
  <c r="U1341" i="36"/>
  <c r="N1341" i="36"/>
  <c r="N1393" i="36"/>
  <c r="N1234" i="36"/>
  <c r="S1348" i="36"/>
  <c r="Y1348" i="36" s="1"/>
  <c r="Q1401" i="36"/>
  <c r="R1447" i="36"/>
  <c r="T1402" i="36"/>
  <c r="N1394" i="36"/>
  <c r="T1349" i="36"/>
  <c r="R1341" i="36"/>
  <c r="T1243" i="36"/>
  <c r="T1190" i="36"/>
  <c r="R1182" i="36"/>
  <c r="T1455" i="36"/>
  <c r="N1447" i="36"/>
  <c r="S1402" i="36"/>
  <c r="Y1402" i="36" s="1"/>
  <c r="R1393" i="36"/>
  <c r="S1349" i="36"/>
  <c r="Y1349" i="36" s="1"/>
  <c r="Q1349" i="36"/>
  <c r="N1349" i="36"/>
  <c r="T1228" i="36"/>
  <c r="Q1189" i="36"/>
  <c r="S1455" i="36"/>
  <c r="Y1455" i="36" s="1"/>
  <c r="R1446" i="36"/>
  <c r="T1189" i="36"/>
  <c r="Q1348" i="36"/>
  <c r="Q1455" i="36"/>
  <c r="N1446" i="36"/>
  <c r="N1181" i="36"/>
  <c r="R1228" i="36"/>
  <c r="N1455" i="36"/>
  <c r="T1401" i="36"/>
  <c r="T1387" i="36"/>
  <c r="T1348" i="36"/>
  <c r="S1454" i="36"/>
  <c r="Y1454" i="36" s="1"/>
  <c r="T1454" i="36"/>
  <c r="T1440" i="36"/>
  <c r="U1129" i="36"/>
  <c r="R1077" i="36"/>
  <c r="U1024" i="36"/>
  <c r="R1015" i="36"/>
  <c r="T962" i="36"/>
  <c r="R912" i="36"/>
  <c r="N917" i="36"/>
  <c r="U859" i="36"/>
  <c r="N850" i="36"/>
  <c r="S811" i="36"/>
  <c r="Y811" i="36" s="1"/>
  <c r="N798" i="36"/>
  <c r="T555" i="36"/>
  <c r="S547" i="36"/>
  <c r="Y547" i="36" s="1"/>
  <c r="S707" i="36"/>
  <c r="Y707" i="36" s="1"/>
  <c r="N699" i="36"/>
  <c r="S654" i="36"/>
  <c r="Y654" i="36" s="1"/>
  <c r="N646" i="36"/>
  <c r="N653" i="36"/>
  <c r="R1122" i="36"/>
  <c r="T852" i="36"/>
  <c r="Q601" i="36"/>
  <c r="T600" i="36"/>
  <c r="T654" i="36"/>
  <c r="T1137" i="36"/>
  <c r="R1129" i="36"/>
  <c r="N1077" i="36"/>
  <c r="R1024" i="36"/>
  <c r="N1015" i="36"/>
  <c r="R962" i="36"/>
  <c r="N912" i="36"/>
  <c r="R911" i="36"/>
  <c r="R859" i="36"/>
  <c r="Q811" i="36"/>
  <c r="T797" i="36"/>
  <c r="S555" i="36"/>
  <c r="Q547" i="36"/>
  <c r="T533" i="36"/>
  <c r="Q707" i="36"/>
  <c r="U698" i="36"/>
  <c r="Q654" i="36"/>
  <c r="U645" i="36"/>
  <c r="N706" i="36"/>
  <c r="R593" i="36"/>
  <c r="T865" i="36"/>
  <c r="S652" i="36"/>
  <c r="Y652" i="36" s="1"/>
  <c r="N813" i="36"/>
  <c r="N652" i="36"/>
  <c r="U912" i="36"/>
  <c r="R646" i="36"/>
  <c r="S1137" i="36"/>
  <c r="Y1137" i="36" s="1"/>
  <c r="N1129" i="36"/>
  <c r="U1076" i="36"/>
  <c r="N1024" i="36"/>
  <c r="N962" i="36"/>
  <c r="T924" i="36"/>
  <c r="N911" i="36"/>
  <c r="N859" i="36"/>
  <c r="N811" i="36"/>
  <c r="R797" i="36"/>
  <c r="R555" i="36"/>
  <c r="N547" i="36"/>
  <c r="R533" i="36"/>
  <c r="N707" i="36"/>
  <c r="R698" i="36"/>
  <c r="N654" i="36"/>
  <c r="R645" i="36"/>
  <c r="U594" i="36"/>
  <c r="U488" i="36"/>
  <c r="T495" i="36"/>
  <c r="N1022" i="36"/>
  <c r="U486" i="36"/>
  <c r="N852" i="36"/>
  <c r="R917" i="36"/>
  <c r="Q1137" i="36"/>
  <c r="U1128" i="36"/>
  <c r="T1084" i="36"/>
  <c r="R1076" i="36"/>
  <c r="U1023" i="36"/>
  <c r="T961" i="36"/>
  <c r="S924" i="36"/>
  <c r="Y924" i="36" s="1"/>
  <c r="R910" i="36"/>
  <c r="U806" i="36"/>
  <c r="N797" i="36"/>
  <c r="O555" i="36"/>
  <c r="N533" i="36"/>
  <c r="T706" i="36"/>
  <c r="N698" i="36"/>
  <c r="T653" i="36"/>
  <c r="N645" i="36"/>
  <c r="R594" i="36"/>
  <c r="R488" i="36"/>
  <c r="S813" i="36"/>
  <c r="Y813" i="36" s="1"/>
  <c r="R692" i="36"/>
  <c r="U540" i="36"/>
  <c r="T494" i="36"/>
  <c r="N608" i="36"/>
  <c r="N1137" i="36"/>
  <c r="R1128" i="36"/>
  <c r="S1084" i="36"/>
  <c r="Y1084" i="36" s="1"/>
  <c r="N1076" i="36"/>
  <c r="T1031" i="36"/>
  <c r="R1023" i="36"/>
  <c r="R961" i="36"/>
  <c r="Q924" i="36"/>
  <c r="N910" i="36"/>
  <c r="T866" i="36"/>
  <c r="R806" i="36"/>
  <c r="N555" i="36"/>
  <c r="S706" i="36"/>
  <c r="Y706" i="36" s="1"/>
  <c r="T693" i="36"/>
  <c r="S653" i="36"/>
  <c r="Y653" i="36" s="1"/>
  <c r="T640" i="36"/>
  <c r="N594" i="36"/>
  <c r="N488" i="36"/>
  <c r="N640" i="36"/>
  <c r="S1083" i="36"/>
  <c r="Y1083" i="36" s="1"/>
  <c r="Q923" i="36"/>
  <c r="Q495" i="36"/>
  <c r="N904" i="36"/>
  <c r="T1280" i="36"/>
  <c r="T707" i="36"/>
  <c r="T1136" i="36"/>
  <c r="N1128" i="36"/>
  <c r="Q1084" i="36"/>
  <c r="U1075" i="36"/>
  <c r="S1031" i="36"/>
  <c r="Y1031" i="36" s="1"/>
  <c r="N1023" i="36"/>
  <c r="N961" i="36"/>
  <c r="N924" i="36"/>
  <c r="T905" i="36"/>
  <c r="S866" i="36"/>
  <c r="Y866" i="36" s="1"/>
  <c r="N806" i="36"/>
  <c r="Q706" i="36"/>
  <c r="R693" i="36"/>
  <c r="Q653" i="36"/>
  <c r="R640" i="36"/>
  <c r="U593" i="36"/>
  <c r="U487" i="36"/>
  <c r="T601" i="36"/>
  <c r="T1091" i="36"/>
  <c r="T904" i="36"/>
  <c r="N1280" i="36"/>
  <c r="R1017" i="36"/>
  <c r="N804" i="36"/>
  <c r="N592" i="36"/>
  <c r="T1144" i="36"/>
  <c r="S1136" i="36"/>
  <c r="Y1136" i="36" s="1"/>
  <c r="N1084" i="36"/>
  <c r="R1075" i="36"/>
  <c r="Q1031" i="36"/>
  <c r="U1022" i="36"/>
  <c r="T923" i="36"/>
  <c r="R905" i="36"/>
  <c r="Q866" i="36"/>
  <c r="R857" i="36"/>
  <c r="N693" i="36"/>
  <c r="R487" i="36"/>
  <c r="R541" i="36"/>
  <c r="U968" i="36"/>
  <c r="R699" i="36"/>
  <c r="S1144" i="36"/>
  <c r="Q1136" i="36"/>
  <c r="T1122" i="36"/>
  <c r="T1083" i="36"/>
  <c r="N1075" i="36"/>
  <c r="N1031" i="36"/>
  <c r="R1022" i="36"/>
  <c r="S923" i="36"/>
  <c r="Y923" i="36" s="1"/>
  <c r="N905" i="36"/>
  <c r="N866" i="36"/>
  <c r="N857" i="36"/>
  <c r="T813" i="36"/>
  <c r="U541" i="36"/>
  <c r="T692" i="36"/>
  <c r="T652" i="36"/>
  <c r="S601" i="36"/>
  <c r="Y601" i="36" s="1"/>
  <c r="N593" i="36"/>
  <c r="S495" i="36"/>
  <c r="Y495" i="36" s="1"/>
  <c r="N487" i="36"/>
  <c r="R1144" i="36"/>
  <c r="N1136" i="36"/>
  <c r="T1030" i="36"/>
  <c r="U592" i="36"/>
  <c r="N539" i="36"/>
  <c r="O1144" i="36"/>
  <c r="T1135" i="36"/>
  <c r="N1122" i="36"/>
  <c r="S1091" i="36"/>
  <c r="Q1083" i="36"/>
  <c r="S1030" i="36"/>
  <c r="Y1030" i="36" s="1"/>
  <c r="T1017" i="36"/>
  <c r="Y978" i="36"/>
  <c r="N923" i="36"/>
  <c r="R904" i="36"/>
  <c r="S865" i="36"/>
  <c r="Y865" i="36" s="1"/>
  <c r="R852" i="36"/>
  <c r="Q813" i="36"/>
  <c r="R804" i="36"/>
  <c r="N541" i="36"/>
  <c r="N692" i="36"/>
  <c r="R1280" i="36"/>
  <c r="Q652" i="36"/>
  <c r="N601" i="36"/>
  <c r="R592" i="36"/>
  <c r="N495" i="36"/>
  <c r="R486" i="36"/>
  <c r="N1144" i="36"/>
  <c r="S1135" i="36"/>
  <c r="Y1135" i="36" s="1"/>
  <c r="R1091" i="36"/>
  <c r="N1083" i="36"/>
  <c r="Q1030" i="36"/>
  <c r="Q865" i="36"/>
  <c r="N486" i="36"/>
  <c r="Q1135" i="36"/>
  <c r="O1091" i="36"/>
  <c r="N1030" i="36"/>
  <c r="N1017" i="36"/>
  <c r="R968" i="36"/>
  <c r="T903" i="36"/>
  <c r="N865" i="36"/>
  <c r="T851" i="36"/>
  <c r="T812" i="36"/>
  <c r="T799" i="36"/>
  <c r="T548" i="36"/>
  <c r="R540" i="36"/>
  <c r="U700" i="36"/>
  <c r="N1281" i="36"/>
  <c r="U647" i="36"/>
  <c r="T608" i="36"/>
  <c r="S600" i="36"/>
  <c r="Y600" i="36" s="1"/>
  <c r="T502" i="36"/>
  <c r="S494" i="36"/>
  <c r="Y494" i="36" s="1"/>
  <c r="T1015" i="36"/>
  <c r="T811" i="36"/>
  <c r="N502" i="36"/>
  <c r="N1135" i="36"/>
  <c r="N1091" i="36"/>
  <c r="T1016" i="36"/>
  <c r="N968" i="36"/>
  <c r="U916" i="36"/>
  <c r="R903" i="36"/>
  <c r="R851" i="36"/>
  <c r="S812" i="36"/>
  <c r="Y812" i="36" s="1"/>
  <c r="R799" i="36"/>
  <c r="S548" i="36"/>
  <c r="Y548" i="36" s="1"/>
  <c r="N540" i="36"/>
  <c r="R700" i="36"/>
  <c r="R1281" i="36"/>
  <c r="R647" i="36"/>
  <c r="S608" i="36"/>
  <c r="Q600" i="36"/>
  <c r="S502" i="36"/>
  <c r="Q494" i="36"/>
  <c r="N963" i="36"/>
  <c r="T547" i="36"/>
  <c r="U1130" i="36"/>
  <c r="R1016" i="36"/>
  <c r="Y977" i="36"/>
  <c r="T963" i="36"/>
  <c r="R916" i="36"/>
  <c r="N903" i="36"/>
  <c r="N851" i="36"/>
  <c r="Q812" i="36"/>
  <c r="N799" i="36"/>
  <c r="Q548" i="36"/>
  <c r="U539" i="36"/>
  <c r="N700" i="36"/>
  <c r="T1281" i="36"/>
  <c r="N647" i="36"/>
  <c r="R608" i="36"/>
  <c r="N600" i="36"/>
  <c r="R502" i="36"/>
  <c r="N494" i="36"/>
  <c r="O608" i="36"/>
  <c r="U1077" i="36"/>
  <c r="R850" i="36"/>
  <c r="R1130" i="36"/>
  <c r="N1016" i="36"/>
  <c r="R963" i="36"/>
  <c r="N916" i="36"/>
  <c r="U917" i="36"/>
  <c r="T850" i="36"/>
  <c r="N812" i="36"/>
  <c r="T798" i="36"/>
  <c r="N548" i="36"/>
  <c r="R539" i="36"/>
  <c r="U699" i="36"/>
  <c r="U646" i="36"/>
  <c r="O502" i="36"/>
  <c r="N1130" i="36"/>
  <c r="R798" i="36"/>
  <c r="T442" i="36"/>
  <c r="R434" i="36"/>
  <c r="N441" i="36"/>
  <c r="S442" i="36"/>
  <c r="Y442" i="36" s="1"/>
  <c r="N434" i="36"/>
  <c r="N435" i="36"/>
  <c r="Q442" i="36"/>
  <c r="U433" i="36"/>
  <c r="N442" i="36"/>
  <c r="R433" i="36"/>
  <c r="U435" i="36"/>
  <c r="T441" i="36"/>
  <c r="N433" i="36"/>
  <c r="O449" i="36"/>
  <c r="U434" i="36"/>
  <c r="T449" i="36"/>
  <c r="S441" i="36"/>
  <c r="Y441" i="36" s="1"/>
  <c r="S449" i="36"/>
  <c r="Q441" i="36"/>
  <c r="N449" i="36"/>
  <c r="R435" i="36"/>
  <c r="R449" i="36"/>
  <c r="R1302" i="36"/>
  <c r="U1289" i="36"/>
  <c r="R1289" i="36"/>
  <c r="T1295" i="36"/>
  <c r="N1289" i="36"/>
  <c r="S1296" i="36"/>
  <c r="Y1296" i="36" s="1"/>
  <c r="N1296" i="36"/>
  <c r="S1294" i="36"/>
  <c r="Y1294" i="36" s="1"/>
  <c r="Q1294" i="36"/>
  <c r="U1288" i="36"/>
  <c r="R1287" i="36"/>
  <c r="S1295" i="36"/>
  <c r="Y1295" i="36" s="1"/>
  <c r="T1294" i="36"/>
  <c r="N1294" i="36"/>
  <c r="T1296" i="36"/>
  <c r="R1288" i="36"/>
  <c r="N1288" i="36"/>
  <c r="N1287" i="36"/>
  <c r="Q1296" i="36"/>
  <c r="Q1295" i="36"/>
  <c r="N1295" i="36"/>
  <c r="T374" i="36"/>
  <c r="V374" i="36" s="1"/>
  <c r="AE374" i="36" s="1"/>
  <c r="R374" i="36"/>
  <c r="N374" i="36"/>
  <c r="E83" i="36"/>
  <c r="G43" i="37"/>
  <c r="G39" i="37"/>
  <c r="G35" i="37"/>
  <c r="H47" i="37"/>
  <c r="H31" i="37"/>
  <c r="N195" i="36"/>
  <c r="N295" i="36"/>
  <c r="N45" i="36"/>
  <c r="G225" i="35"/>
  <c r="G219" i="35"/>
  <c r="N146" i="36"/>
  <c r="N296" i="36"/>
  <c r="N246" i="36"/>
  <c r="N196" i="36"/>
  <c r="H43" i="37"/>
  <c r="N342" i="36"/>
  <c r="G232" i="35"/>
  <c r="E33" i="36"/>
  <c r="G224" i="35"/>
  <c r="N46" i="36"/>
  <c r="N96" i="36"/>
  <c r="I33" i="37"/>
  <c r="J33" i="37" s="1"/>
  <c r="D4" i="1"/>
  <c r="D4" i="45"/>
  <c r="E44" i="39"/>
  <c r="B46" i="39" s="1"/>
  <c r="J26" i="40" s="1"/>
  <c r="H15" i="41"/>
  <c r="J38" i="41"/>
  <c r="J21" i="41"/>
  <c r="J16" i="41"/>
  <c r="C52" i="39"/>
  <c r="C53" i="39"/>
  <c r="C54" i="39"/>
  <c r="B53" i="39"/>
  <c r="C52" i="41"/>
  <c r="B52" i="39"/>
  <c r="C51" i="41"/>
  <c r="E4" i="39"/>
  <c r="I6" i="41"/>
  <c r="I5" i="40"/>
  <c r="H6" i="38"/>
  <c r="G4" i="37"/>
  <c r="D75" i="42"/>
  <c r="O179" i="35"/>
  <c r="O130" i="35"/>
  <c r="O80" i="35"/>
  <c r="O64" i="35"/>
  <c r="O96" i="35"/>
  <c r="O48" i="35"/>
  <c r="O126" i="35"/>
  <c r="O146" i="35"/>
  <c r="C75" i="42"/>
  <c r="L75" i="42" s="1"/>
  <c r="O79" i="35"/>
  <c r="O18" i="35"/>
  <c r="O63" i="35"/>
  <c r="O95" i="35"/>
  <c r="O47" i="35"/>
  <c r="O125" i="35"/>
  <c r="D25" i="34"/>
  <c r="E59" i="34"/>
  <c r="E48" i="34"/>
  <c r="D87" i="34"/>
  <c r="E32" i="34"/>
  <c r="D82" i="34"/>
  <c r="F81" i="34"/>
  <c r="E36" i="42"/>
  <c r="E34" i="42"/>
  <c r="G86" i="34"/>
  <c r="D59" i="42"/>
  <c r="D10" i="42"/>
  <c r="D67" i="42"/>
  <c r="F76" i="34"/>
  <c r="E51" i="34"/>
  <c r="C16" i="42"/>
  <c r="L16" i="42" s="1"/>
  <c r="D21" i="34"/>
  <c r="C29" i="34" s="1"/>
  <c r="E16" i="42"/>
  <c r="D47" i="34"/>
  <c r="C55" i="34" s="1"/>
  <c r="C17" i="42"/>
  <c r="L17" i="42" s="1"/>
  <c r="D43" i="34"/>
  <c r="C23" i="42"/>
  <c r="L23" i="42" s="1"/>
  <c r="D50" i="34"/>
  <c r="C59" i="42"/>
  <c r="L59" i="42" s="1"/>
  <c r="D26" i="34"/>
  <c r="D51" i="34"/>
  <c r="E13" i="42"/>
  <c r="E71" i="34"/>
  <c r="C32" i="42"/>
  <c r="L32" i="42" s="1"/>
  <c r="E76" i="34"/>
  <c r="D23" i="42"/>
  <c r="G80" i="34"/>
  <c r="D34" i="34"/>
  <c r="G82" i="34"/>
  <c r="D71" i="34"/>
  <c r="D32" i="42"/>
  <c r="G83" i="34"/>
  <c r="D31" i="34"/>
  <c r="E64" i="42"/>
  <c r="C41" i="42"/>
  <c r="L41" i="42" s="1"/>
  <c r="G76" i="34"/>
  <c r="D39" i="34"/>
  <c r="E65" i="42"/>
  <c r="D41" i="42"/>
  <c r="C50" i="42"/>
  <c r="L50" i="42" s="1"/>
  <c r="E38" i="42"/>
  <c r="D40" i="34"/>
  <c r="D50" i="42"/>
  <c r="F17" i="34"/>
  <c r="E36" i="34"/>
  <c r="D59" i="34"/>
  <c r="C15" i="42"/>
  <c r="L15" i="42" s="1"/>
  <c r="C67" i="42"/>
  <c r="L67" i="42" s="1"/>
  <c r="E87" i="34"/>
  <c r="D52" i="34"/>
  <c r="O99" i="35"/>
  <c r="O83" i="35"/>
  <c r="O67" i="35"/>
  <c r="O51" i="35"/>
  <c r="F26" i="38"/>
  <c r="H26" i="38" s="1"/>
  <c r="F24" i="38"/>
  <c r="H24" i="38" s="1"/>
  <c r="O104" i="35"/>
  <c r="O88" i="35"/>
  <c r="O72" i="35"/>
  <c r="O56" i="35"/>
  <c r="O36" i="35"/>
  <c r="O154" i="35"/>
  <c r="O49" i="35"/>
  <c r="O127" i="35"/>
  <c r="O180" i="35"/>
  <c r="O196" i="35"/>
  <c r="O71" i="35"/>
  <c r="O133" i="35"/>
  <c r="O87" i="35"/>
  <c r="O55" i="35"/>
  <c r="E12" i="34"/>
  <c r="E60" i="34"/>
  <c r="E86" i="34"/>
  <c r="D81" i="34"/>
  <c r="F75" i="34"/>
  <c r="E70" i="34"/>
  <c r="E67" i="42"/>
  <c r="C13" i="42"/>
  <c r="L13" i="42" s="1"/>
  <c r="C39" i="42"/>
  <c r="L39" i="42" s="1"/>
  <c r="D25" i="42"/>
  <c r="D33" i="42"/>
  <c r="D42" i="42"/>
  <c r="D51" i="42"/>
  <c r="D60" i="42"/>
  <c r="D68" i="42"/>
  <c r="C76" i="42"/>
  <c r="L76" i="42" s="1"/>
  <c r="G87" i="34"/>
  <c r="E49" i="34"/>
  <c r="E54" i="42"/>
  <c r="D60" i="34"/>
  <c r="E81" i="34"/>
  <c r="D76" i="34"/>
  <c r="E66" i="42"/>
  <c r="C24" i="42"/>
  <c r="L24" i="42" s="1"/>
  <c r="C33" i="42"/>
  <c r="L33" i="42" s="1"/>
  <c r="C51" i="42"/>
  <c r="L51" i="42" s="1"/>
  <c r="C68" i="42"/>
  <c r="L68" i="42" s="1"/>
  <c r="D42" i="34"/>
  <c r="F43" i="34"/>
  <c r="G70" i="34"/>
  <c r="D41" i="34"/>
  <c r="E68" i="34"/>
  <c r="E31" i="34"/>
  <c r="E50" i="34"/>
  <c r="D13" i="34"/>
  <c r="D61" i="34"/>
  <c r="D86" i="34"/>
  <c r="F80" i="34"/>
  <c r="E75" i="34"/>
  <c r="D70" i="34"/>
  <c r="E68" i="42"/>
  <c r="C12" i="42"/>
  <c r="L12" i="42" s="1"/>
  <c r="C46" i="42"/>
  <c r="L46" i="42" s="1"/>
  <c r="C26" i="42"/>
  <c r="L26" i="42" s="1"/>
  <c r="C34" i="42"/>
  <c r="L34" i="42" s="1"/>
  <c r="C43" i="42"/>
  <c r="L43" i="42" s="1"/>
  <c r="C52" i="42"/>
  <c r="L52" i="42" s="1"/>
  <c r="C61" i="42"/>
  <c r="L61" i="42" s="1"/>
  <c r="C69" i="42"/>
  <c r="L69" i="42" s="1"/>
  <c r="D38" i="34"/>
  <c r="E40" i="34"/>
  <c r="D12" i="34"/>
  <c r="F86" i="34"/>
  <c r="F70" i="34"/>
  <c r="C14" i="42"/>
  <c r="L14" i="42" s="1"/>
  <c r="C25" i="42"/>
  <c r="L25" i="42" s="1"/>
  <c r="C42" i="42"/>
  <c r="L42" i="42" s="1"/>
  <c r="C60" i="42"/>
  <c r="L60" i="42" s="1"/>
  <c r="D76" i="42"/>
  <c r="E44" i="34"/>
  <c r="F41" i="34"/>
  <c r="D48" i="34"/>
  <c r="E61" i="34"/>
  <c r="E80" i="34"/>
  <c r="F69" i="34"/>
  <c r="E69" i="42"/>
  <c r="C11" i="42"/>
  <c r="L11" i="42" s="1"/>
  <c r="C55" i="42"/>
  <c r="L55" i="42" s="1"/>
  <c r="D34" i="42"/>
  <c r="D52" i="42"/>
  <c r="D61" i="42"/>
  <c r="D69" i="42"/>
  <c r="D37" i="34"/>
  <c r="E35" i="34"/>
  <c r="F85" i="34"/>
  <c r="D43" i="42"/>
  <c r="F39" i="34"/>
  <c r="G78" i="34"/>
  <c r="G72" i="34"/>
  <c r="E22" i="34"/>
  <c r="E39" i="34"/>
  <c r="D14" i="34"/>
  <c r="D62" i="34"/>
  <c r="E85" i="34"/>
  <c r="D80" i="34"/>
  <c r="F74" i="34"/>
  <c r="E69" i="34"/>
  <c r="E70" i="42"/>
  <c r="C10" i="42"/>
  <c r="L10" i="42" s="1"/>
  <c r="C18" i="42"/>
  <c r="L18" i="42" s="1"/>
  <c r="C27" i="42"/>
  <c r="L27" i="42" s="1"/>
  <c r="C35" i="42"/>
  <c r="L35" i="42" s="1"/>
  <c r="C44" i="42"/>
  <c r="L44" i="42" s="1"/>
  <c r="C53" i="42"/>
  <c r="L53" i="42" s="1"/>
  <c r="C62" i="42"/>
  <c r="L62" i="42" s="1"/>
  <c r="C70" i="42"/>
  <c r="L70" i="42" s="1"/>
  <c r="E18" i="34"/>
  <c r="F44" i="34"/>
  <c r="E23" i="34"/>
  <c r="F16" i="34"/>
  <c r="D67" i="34"/>
  <c r="C90" i="34" s="1"/>
  <c r="E13" i="34"/>
  <c r="D75" i="34"/>
  <c r="D26" i="42"/>
  <c r="F15" i="34"/>
  <c r="F40" i="34"/>
  <c r="G81" i="34"/>
  <c r="D30" i="34"/>
  <c r="C46" i="34" s="1"/>
  <c r="E26" i="34"/>
  <c r="E43" i="34"/>
  <c r="E14" i="34"/>
  <c r="E62" i="34"/>
  <c r="D85" i="34"/>
  <c r="F79" i="34"/>
  <c r="E74" i="34"/>
  <c r="D69" i="34"/>
  <c r="E71" i="42"/>
  <c r="D18" i="42"/>
  <c r="D27" i="42"/>
  <c r="D35" i="42"/>
  <c r="D44" i="42"/>
  <c r="D53" i="42"/>
  <c r="D62" i="42"/>
  <c r="D70" i="42"/>
  <c r="D18" i="34"/>
  <c r="E15" i="42"/>
  <c r="D33" i="34"/>
  <c r="F14" i="34"/>
  <c r="E33" i="42"/>
  <c r="G79" i="34"/>
  <c r="E25" i="34"/>
  <c r="E34" i="34"/>
  <c r="D15" i="34"/>
  <c r="D63" i="34"/>
  <c r="F84" i="34"/>
  <c r="E79" i="34"/>
  <c r="D74" i="34"/>
  <c r="E72" i="42"/>
  <c r="C19" i="42"/>
  <c r="L19" i="42" s="1"/>
  <c r="C28" i="42"/>
  <c r="L28" i="42" s="1"/>
  <c r="C36" i="42"/>
  <c r="L36" i="42" s="1"/>
  <c r="C45" i="42"/>
  <c r="L45" i="42" s="1"/>
  <c r="C54" i="42"/>
  <c r="L54" i="42" s="1"/>
  <c r="C63" i="42"/>
  <c r="L63" i="42" s="1"/>
  <c r="C71" i="42"/>
  <c r="L71" i="42" s="1"/>
  <c r="E17" i="34"/>
  <c r="E38" i="34"/>
  <c r="E63" i="34"/>
  <c r="F73" i="34"/>
  <c r="D28" i="42"/>
  <c r="D54" i="42"/>
  <c r="D17" i="34"/>
  <c r="E35" i="42"/>
  <c r="G74" i="34"/>
  <c r="E42" i="34"/>
  <c r="D16" i="34"/>
  <c r="D64" i="34"/>
  <c r="D84" i="34"/>
  <c r="F78" i="34"/>
  <c r="E73" i="34"/>
  <c r="E58" i="42"/>
  <c r="E74" i="42"/>
  <c r="D16" i="42"/>
  <c r="C20" i="42"/>
  <c r="L20" i="42" s="1"/>
  <c r="C29" i="42"/>
  <c r="L29" i="42" s="1"/>
  <c r="C37" i="42"/>
  <c r="L37" i="42" s="1"/>
  <c r="C47" i="42"/>
  <c r="L47" i="42" s="1"/>
  <c r="C56" i="42"/>
  <c r="L56" i="42" s="1"/>
  <c r="C64" i="42"/>
  <c r="L64" i="42" s="1"/>
  <c r="C72" i="42"/>
  <c r="L72" i="42" s="1"/>
  <c r="E27" i="34"/>
  <c r="E33" i="34"/>
  <c r="D24" i="34"/>
  <c r="E15" i="34"/>
  <c r="E84" i="34"/>
  <c r="D79" i="34"/>
  <c r="E57" i="42"/>
  <c r="E73" i="42"/>
  <c r="D19" i="42"/>
  <c r="D36" i="42"/>
  <c r="D45" i="42"/>
  <c r="D63" i="42"/>
  <c r="D71" i="42"/>
  <c r="G71" i="34"/>
  <c r="E37" i="34"/>
  <c r="D32" i="34"/>
  <c r="E12" i="42"/>
  <c r="E37" i="42"/>
  <c r="G73" i="34"/>
  <c r="G85" i="34"/>
  <c r="G88" i="34"/>
  <c r="E41" i="34"/>
  <c r="D49" i="34"/>
  <c r="D36" i="34"/>
  <c r="E16" i="34"/>
  <c r="F64" i="34"/>
  <c r="D56" i="34"/>
  <c r="C66" i="34" s="1"/>
  <c r="E64" i="34"/>
  <c r="F83" i="34"/>
  <c r="E78" i="34"/>
  <c r="D73" i="34"/>
  <c r="E59" i="42"/>
  <c r="E75" i="42"/>
  <c r="D15" i="42"/>
  <c r="D20" i="42"/>
  <c r="D29" i="42"/>
  <c r="D37" i="42"/>
  <c r="D47" i="42"/>
  <c r="D56" i="42"/>
  <c r="D64" i="42"/>
  <c r="D72" i="42"/>
  <c r="D27" i="34"/>
  <c r="D57" i="34"/>
  <c r="F88" i="34"/>
  <c r="E83" i="34"/>
  <c r="D78" i="34"/>
  <c r="F72" i="34"/>
  <c r="E60" i="42"/>
  <c r="E76" i="42"/>
  <c r="D14" i="42"/>
  <c r="C21" i="42"/>
  <c r="L21" i="42" s="1"/>
  <c r="C30" i="42"/>
  <c r="L30" i="42" s="1"/>
  <c r="C38" i="42"/>
  <c r="L38" i="42" s="1"/>
  <c r="C48" i="42"/>
  <c r="L48" i="42" s="1"/>
  <c r="C57" i="42"/>
  <c r="L57" i="42" s="1"/>
  <c r="C65" i="42"/>
  <c r="L65" i="42" s="1"/>
  <c r="C73" i="42"/>
  <c r="L73" i="42" s="1"/>
  <c r="E53" i="34"/>
  <c r="E14" i="42"/>
  <c r="F42" i="34"/>
  <c r="G84" i="34"/>
  <c r="G75" i="34"/>
  <c r="D68" i="34"/>
  <c r="D23" i="34"/>
  <c r="D44" i="34"/>
  <c r="O40" i="35"/>
  <c r="E57" i="34"/>
  <c r="E88" i="34"/>
  <c r="D83" i="34"/>
  <c r="F77" i="34"/>
  <c r="E72" i="34"/>
  <c r="E61" i="42"/>
  <c r="D13" i="42"/>
  <c r="D21" i="42"/>
  <c r="D30" i="42"/>
  <c r="D38" i="42"/>
  <c r="D48" i="42"/>
  <c r="D57" i="42"/>
  <c r="D65" i="42"/>
  <c r="D73" i="42"/>
  <c r="D53" i="34"/>
  <c r="D58" i="34"/>
  <c r="D88" i="34"/>
  <c r="F82" i="34"/>
  <c r="E77" i="34"/>
  <c r="D72" i="34"/>
  <c r="E62" i="42"/>
  <c r="D12" i="42"/>
  <c r="C22" i="42"/>
  <c r="L22" i="42" s="1"/>
  <c r="C31" i="42"/>
  <c r="L31" i="42" s="1"/>
  <c r="C40" i="42"/>
  <c r="L40" i="42" s="1"/>
  <c r="C49" i="42"/>
  <c r="L49" i="42" s="1"/>
  <c r="C58" i="42"/>
  <c r="L58" i="42" s="1"/>
  <c r="C66" i="42"/>
  <c r="L66" i="42" s="1"/>
  <c r="C74" i="42"/>
  <c r="L74" i="42" s="1"/>
  <c r="E52" i="34"/>
  <c r="F18" i="34"/>
  <c r="G69" i="34"/>
  <c r="G77" i="34"/>
  <c r="D22" i="34"/>
  <c r="D35" i="34"/>
  <c r="E24" i="34"/>
  <c r="E58" i="34"/>
  <c r="F87" i="34"/>
  <c r="E82" i="34"/>
  <c r="D77" i="34"/>
  <c r="F71" i="34"/>
  <c r="E63" i="42"/>
  <c r="D11" i="42"/>
  <c r="D22" i="42"/>
  <c r="D31" i="42"/>
  <c r="D40" i="42"/>
  <c r="D49" i="42"/>
  <c r="D58" i="42"/>
  <c r="D66" i="42"/>
  <c r="D74" i="42"/>
  <c r="O188" i="35"/>
  <c r="G47" i="37"/>
  <c r="O107" i="35"/>
  <c r="O91" i="35"/>
  <c r="O75" i="35"/>
  <c r="O59" i="35"/>
  <c r="F66" i="37"/>
  <c r="G66" i="37" s="1"/>
  <c r="H66" i="37" s="1"/>
  <c r="E30" i="38" s="1"/>
  <c r="F64" i="37"/>
  <c r="G64" i="37" s="1"/>
  <c r="H64" i="37" s="1"/>
  <c r="E27" i="38" s="1"/>
  <c r="G20" i="40"/>
  <c r="G228" i="35"/>
  <c r="I44" i="37"/>
  <c r="J44" i="37" s="1"/>
  <c r="C5" i="43"/>
  <c r="B5" i="40"/>
  <c r="G230" i="35"/>
  <c r="I40" i="37"/>
  <c r="H225" i="35" s="1"/>
  <c r="G21" i="40"/>
  <c r="G51" i="37"/>
  <c r="O332" i="35"/>
  <c r="G31" i="37"/>
  <c r="I48" i="37"/>
  <c r="J48" i="37" s="1"/>
  <c r="G231" i="35"/>
  <c r="N127" i="36"/>
  <c r="N137" i="36"/>
  <c r="N126" i="36"/>
  <c r="S136" i="36"/>
  <c r="O145" i="36"/>
  <c r="N145" i="36"/>
  <c r="N125" i="36"/>
  <c r="U127" i="36"/>
  <c r="V127" i="36" s="1"/>
  <c r="AE127" i="36" s="1"/>
  <c r="Q137" i="36"/>
  <c r="U126" i="36"/>
  <c r="V126" i="36" s="1"/>
  <c r="AE126" i="36" s="1"/>
  <c r="R126" i="36"/>
  <c r="T136" i="36"/>
  <c r="U125" i="36"/>
  <c r="V125" i="36" s="1"/>
  <c r="R125" i="36"/>
  <c r="Q136" i="36"/>
  <c r="N136" i="36"/>
  <c r="V112" i="36"/>
  <c r="O112" i="36"/>
  <c r="R127" i="36"/>
  <c r="T138" i="36"/>
  <c r="S138" i="36"/>
  <c r="U128" i="36"/>
  <c r="V128" i="36" s="1"/>
  <c r="AE128" i="36" s="1"/>
  <c r="Q138" i="36"/>
  <c r="R128" i="36"/>
  <c r="S137" i="36"/>
  <c r="N128" i="36"/>
  <c r="N138" i="36"/>
  <c r="T137" i="36"/>
  <c r="H5" i="34"/>
  <c r="G69" i="37"/>
  <c r="H69" i="37" s="1"/>
  <c r="E31" i="38" s="1"/>
  <c r="G27" i="37"/>
  <c r="I28" i="37"/>
  <c r="F229" i="35"/>
  <c r="F231" i="35"/>
  <c r="R342" i="36" s="1"/>
  <c r="I32" i="37"/>
  <c r="H221" i="35" s="1"/>
  <c r="I53" i="37"/>
  <c r="H232" i="35" s="1"/>
  <c r="I232" i="35" s="1"/>
  <c r="I52" i="37"/>
  <c r="I36" i="37"/>
  <c r="H223" i="35" s="1"/>
  <c r="F221" i="35"/>
  <c r="F223" i="35"/>
  <c r="F227" i="35"/>
  <c r="F222" i="35"/>
  <c r="O54" i="35"/>
  <c r="O46" i="35"/>
  <c r="O102" i="35"/>
  <c r="O94" i="35"/>
  <c r="O86" i="35"/>
  <c r="O78" i="35"/>
  <c r="O70" i="35"/>
  <c r="O876" i="35"/>
  <c r="O177" i="35"/>
  <c r="O193" i="35"/>
  <c r="O209" i="35"/>
  <c r="O185" i="35"/>
  <c r="O201" i="35"/>
  <c r="O373" i="35"/>
  <c r="O124" i="35"/>
  <c r="O132" i="35"/>
  <c r="O142" i="35"/>
  <c r="I31" i="40"/>
  <c r="J31" i="40" s="1"/>
  <c r="O178" i="35"/>
  <c r="O186" i="35"/>
  <c r="O194" i="35"/>
  <c r="O210" i="35"/>
  <c r="O103" i="35"/>
  <c r="O350" i="35"/>
  <c r="O444" i="35"/>
  <c r="O436" i="35"/>
  <c r="O428" i="35"/>
  <c r="O420" i="35"/>
  <c r="O396" i="35"/>
  <c r="O388" i="35"/>
  <c r="O380" i="35"/>
  <c r="O336" i="35"/>
  <c r="O362" i="35"/>
  <c r="O74" i="35"/>
  <c r="O90" i="35"/>
  <c r="O128" i="35"/>
  <c r="O82" i="35"/>
  <c r="O50" i="35"/>
  <c r="O106" i="35"/>
  <c r="O58" i="35"/>
  <c r="O138" i="35"/>
  <c r="O98" i="35"/>
  <c r="O66" i="35"/>
  <c r="O437" i="35"/>
  <c r="O421" i="35"/>
  <c r="O397" i="35"/>
  <c r="O381" i="35"/>
  <c r="O445" i="35"/>
  <c r="O429" i="35"/>
  <c r="O389" i="35"/>
  <c r="O148" i="35"/>
  <c r="O156" i="35"/>
  <c r="O172" i="35"/>
  <c r="O164" i="35"/>
  <c r="O181" i="35"/>
  <c r="O189" i="35"/>
  <c r="O197" i="35"/>
  <c r="O205" i="35"/>
  <c r="O213" i="35"/>
  <c r="O334" i="35"/>
  <c r="O145" i="35"/>
  <c r="O153" i="35"/>
  <c r="O161" i="35"/>
  <c r="O169" i="35"/>
  <c r="O374" i="35"/>
  <c r="O151" i="35"/>
  <c r="O159" i="35"/>
  <c r="O167" i="35"/>
  <c r="O208" i="35"/>
  <c r="O337" i="35"/>
  <c r="O351" i="35"/>
  <c r="O184" i="35"/>
  <c r="O192" i="35"/>
  <c r="O27" i="35"/>
  <c r="O101" i="35"/>
  <c r="O93" i="35"/>
  <c r="O85" i="35"/>
  <c r="O77" i="35"/>
  <c r="O69" i="35"/>
  <c r="O61" i="35"/>
  <c r="O53" i="35"/>
  <c r="O45" i="35"/>
  <c r="O503" i="35"/>
  <c r="O495" i="35"/>
  <c r="O487" i="35"/>
  <c r="O200" i="35"/>
  <c r="O363" i="35"/>
  <c r="O131" i="35"/>
  <c r="O470" i="35"/>
  <c r="I49" i="37"/>
  <c r="H230" i="35" s="1"/>
  <c r="I29" i="37"/>
  <c r="J29" i="37" s="1"/>
  <c r="F220" i="35"/>
  <c r="O212" i="35"/>
  <c r="O204" i="35"/>
  <c r="O105" i="35"/>
  <c r="O97" i="35"/>
  <c r="O89" i="35"/>
  <c r="O81" i="35"/>
  <c r="O73" i="35"/>
  <c r="O65" i="35"/>
  <c r="O57" i="35"/>
  <c r="O137" i="35"/>
  <c r="O147" i="35"/>
  <c r="O155" i="35"/>
  <c r="O163" i="35"/>
  <c r="O171" i="35"/>
  <c r="O472" i="35"/>
  <c r="O447" i="35"/>
  <c r="O439" i="35"/>
  <c r="O431" i="35"/>
  <c r="O423" i="35"/>
  <c r="O391" i="35"/>
  <c r="O383" i="35"/>
  <c r="O708" i="35"/>
  <c r="S415" i="36"/>
  <c r="O355" i="35"/>
  <c r="O339" i="35"/>
  <c r="S416" i="36"/>
  <c r="S417" i="36"/>
  <c r="O523" i="35"/>
  <c r="O566" i="35"/>
  <c r="S158" i="36"/>
  <c r="S58" i="36"/>
  <c r="S156" i="36"/>
  <c r="S56" i="36"/>
  <c r="S157" i="36"/>
  <c r="S57" i="36"/>
  <c r="O140" i="35"/>
  <c r="O150" i="35"/>
  <c r="O158" i="35"/>
  <c r="O166" i="35"/>
  <c r="O199" i="35"/>
  <c r="O344" i="35"/>
  <c r="O442" i="35"/>
  <c r="O418" i="35"/>
  <c r="O386" i="35"/>
  <c r="O378" i="35"/>
  <c r="O52" i="35"/>
  <c r="O191" i="35"/>
  <c r="O434" i="35"/>
  <c r="O44" i="35"/>
  <c r="O183" i="35"/>
  <c r="O207" i="35"/>
  <c r="O426" i="35"/>
  <c r="O394" i="35"/>
  <c r="O25" i="35"/>
  <c r="F25" i="38"/>
  <c r="H25" i="38" s="1"/>
  <c r="F34" i="38"/>
  <c r="H34" i="38" s="1"/>
  <c r="F28" i="38"/>
  <c r="H28" i="38" s="1"/>
  <c r="F38" i="38"/>
  <c r="H38" i="38" s="1"/>
  <c r="F36" i="38"/>
  <c r="H36" i="38" s="1"/>
  <c r="H14" i="40"/>
  <c r="F29" i="38"/>
  <c r="H29" i="38" s="1"/>
  <c r="F35" i="38"/>
  <c r="H35" i="38" s="1"/>
  <c r="H44" i="38"/>
  <c r="F27" i="38"/>
  <c r="F30" i="38"/>
  <c r="F37" i="38"/>
  <c r="H37" i="38" s="1"/>
  <c r="I33" i="40"/>
  <c r="H22" i="38"/>
  <c r="F31" i="38"/>
  <c r="F23" i="38"/>
  <c r="H23" i="38" s="1"/>
  <c r="F33" i="38"/>
  <c r="H33" i="38" s="1"/>
  <c r="F224" i="35"/>
  <c r="I37" i="37"/>
  <c r="H224" i="35" s="1"/>
  <c r="I41" i="37"/>
  <c r="F228" i="35"/>
  <c r="I45" i="37"/>
  <c r="F225" i="35"/>
  <c r="G223" i="35"/>
  <c r="F226" i="35"/>
  <c r="O623" i="35"/>
  <c r="O615" i="35"/>
  <c r="O607" i="35"/>
  <c r="O599" i="35"/>
  <c r="O583" i="35"/>
  <c r="O575" i="35"/>
  <c r="O333" i="35"/>
  <c r="O518" i="35"/>
  <c r="O129" i="35"/>
  <c r="O100" i="35"/>
  <c r="O92" i="35"/>
  <c r="O84" i="35"/>
  <c r="O76" i="35"/>
  <c r="O68" i="35"/>
  <c r="O60" i="35"/>
  <c r="O139" i="35"/>
  <c r="O414" i="35"/>
  <c r="O398" i="35"/>
  <c r="O382" i="35"/>
  <c r="O149" i="35"/>
  <c r="O157" i="35"/>
  <c r="O165" i="35"/>
  <c r="O173" i="35"/>
  <c r="O338" i="35"/>
  <c r="O540" i="35"/>
  <c r="O532" i="35"/>
  <c r="O364" i="35"/>
  <c r="O182" i="35"/>
  <c r="O190" i="35"/>
  <c r="O198" i="35"/>
  <c r="O206" i="35"/>
  <c r="O522" i="35"/>
  <c r="O663" i="35"/>
  <c r="O688" i="35"/>
  <c r="O671" i="35"/>
  <c r="B4" i="39"/>
  <c r="O375" i="35"/>
  <c r="O356" i="35"/>
  <c r="O542" i="35"/>
  <c r="O534" i="35"/>
  <c r="O366" i="35"/>
  <c r="O136" i="35"/>
  <c r="O395" i="35"/>
  <c r="O387" i="35"/>
  <c r="O379" i="35"/>
  <c r="O187" i="35"/>
  <c r="O195" i="35"/>
  <c r="O203" i="35"/>
  <c r="O211" i="35"/>
  <c r="O361" i="35"/>
  <c r="O519" i="35"/>
  <c r="C6" i="41"/>
  <c r="O562" i="35"/>
  <c r="O716" i="35"/>
  <c r="O524" i="35"/>
  <c r="O516" i="35"/>
  <c r="O506" i="35"/>
  <c r="O498" i="35"/>
  <c r="O490" i="35"/>
  <c r="O473" i="35"/>
  <c r="O465" i="35"/>
  <c r="O448" i="35"/>
  <c r="O440" i="35"/>
  <c r="O432" i="35"/>
  <c r="O424" i="35"/>
  <c r="O392" i="35"/>
  <c r="O446" i="35"/>
  <c r="O438" i="35"/>
  <c r="O430" i="35"/>
  <c r="O422" i="35"/>
  <c r="O504" i="35"/>
  <c r="O496" i="35"/>
  <c r="O471" i="35"/>
  <c r="O508" i="35"/>
  <c r="O500" i="35"/>
  <c r="O492" i="35"/>
  <c r="O544" i="35"/>
  <c r="O536" i="35"/>
  <c r="O509" i="35"/>
  <c r="O501" i="35"/>
  <c r="O485" i="35"/>
  <c r="O493" i="35"/>
  <c r="O561" i="35"/>
  <c r="H222" i="35"/>
  <c r="G220" i="35"/>
  <c r="G222" i="35"/>
  <c r="R326" i="36"/>
  <c r="N277" i="36"/>
  <c r="S334" i="36"/>
  <c r="G226" i="35"/>
  <c r="O441" i="35"/>
  <c r="O417" i="35"/>
  <c r="O385" i="35"/>
  <c r="O433" i="35"/>
  <c r="O376" i="35"/>
  <c r="O673" i="35"/>
  <c r="O665" i="35"/>
  <c r="O657" i="35"/>
  <c r="O625" i="35"/>
  <c r="O617" i="35"/>
  <c r="O609" i="35"/>
  <c r="O601" i="35"/>
  <c r="O585" i="35"/>
  <c r="O577" i="35"/>
  <c r="O569" i="35"/>
  <c r="O425" i="35"/>
  <c r="O409" i="35"/>
  <c r="O393" i="35"/>
  <c r="O162" i="35"/>
  <c r="O170" i="35"/>
  <c r="O357" i="35"/>
  <c r="O367" i="35"/>
  <c r="O507" i="35"/>
  <c r="O499" i="35"/>
  <c r="O491" i="35"/>
  <c r="O476" i="35"/>
  <c r="O468" i="35"/>
  <c r="O419" i="35"/>
  <c r="O411" i="35"/>
  <c r="O547" i="35"/>
  <c r="O539" i="35"/>
  <c r="O521" i="35"/>
  <c r="O513" i="35"/>
  <c r="O505" i="35"/>
  <c r="O497" i="35"/>
  <c r="O489" i="35"/>
  <c r="O549" i="35"/>
  <c r="O541" i="35"/>
  <c r="O533" i="35"/>
  <c r="O627" i="35"/>
  <c r="O619" i="35"/>
  <c r="O611" i="35"/>
  <c r="O603" i="35"/>
  <c r="O595" i="35"/>
  <c r="O587" i="35"/>
  <c r="O579" i="35"/>
  <c r="O571" i="35"/>
  <c r="O732" i="35"/>
  <c r="O724" i="35"/>
  <c r="O701" i="35"/>
  <c r="O690" i="35"/>
  <c r="O580" i="35"/>
  <c r="O572" i="35"/>
  <c r="O734" i="35"/>
  <c r="O718" i="35"/>
  <c r="O710" i="35"/>
  <c r="Q335" i="36"/>
  <c r="U328" i="36"/>
  <c r="V328" i="36" s="1"/>
  <c r="AE328" i="36" s="1"/>
  <c r="S335" i="36"/>
  <c r="N26" i="36"/>
  <c r="N76" i="36"/>
  <c r="U78" i="36"/>
  <c r="V78" i="36" s="1"/>
  <c r="AE78" i="36" s="1"/>
  <c r="R176" i="36"/>
  <c r="R217" i="36"/>
  <c r="N227" i="36"/>
  <c r="N238" i="36"/>
  <c r="V262" i="36"/>
  <c r="N275" i="36"/>
  <c r="U277" i="36"/>
  <c r="V277" i="36" s="1"/>
  <c r="AE277" i="36" s="1"/>
  <c r="R327" i="36"/>
  <c r="Q336" i="36"/>
  <c r="R380" i="36"/>
  <c r="Q388" i="36"/>
  <c r="T336" i="36"/>
  <c r="O12" i="36"/>
  <c r="R26" i="36"/>
  <c r="R76" i="36"/>
  <c r="N167" i="36"/>
  <c r="U176" i="36"/>
  <c r="V176" i="36" s="1"/>
  <c r="AE176" i="36" s="1"/>
  <c r="O212" i="36"/>
  <c r="T217" i="36"/>
  <c r="V217" i="36" s="1"/>
  <c r="AE217" i="36" s="1"/>
  <c r="R227" i="36"/>
  <c r="Q238" i="36"/>
  <c r="R275" i="36"/>
  <c r="N278" i="36"/>
  <c r="N328" i="36"/>
  <c r="U380" i="36"/>
  <c r="V380" i="36" s="1"/>
  <c r="AE380" i="36" s="1"/>
  <c r="S388" i="36"/>
  <c r="S336" i="36"/>
  <c r="V12" i="36"/>
  <c r="N27" i="36"/>
  <c r="U76" i="36"/>
  <c r="V76" i="36" s="1"/>
  <c r="AE76" i="36" s="1"/>
  <c r="R167" i="36"/>
  <c r="N177" i="36"/>
  <c r="N188" i="36"/>
  <c r="V212" i="36"/>
  <c r="N225" i="36"/>
  <c r="U227" i="36"/>
  <c r="V227" i="36" s="1"/>
  <c r="AE227" i="36" s="1"/>
  <c r="S238" i="36"/>
  <c r="U275" i="36"/>
  <c r="V275" i="36" s="1"/>
  <c r="AE275" i="36" s="1"/>
  <c r="R278" i="36"/>
  <c r="R328" i="36"/>
  <c r="N381" i="36"/>
  <c r="T388" i="36"/>
  <c r="N396" i="36"/>
  <c r="U325" i="36"/>
  <c r="V325" i="36" s="1"/>
  <c r="AE325" i="36" s="1"/>
  <c r="R27" i="36"/>
  <c r="N77" i="36"/>
  <c r="O162" i="36"/>
  <c r="T167" i="36"/>
  <c r="V167" i="36" s="1"/>
  <c r="AE167" i="36" s="1"/>
  <c r="R177" i="36"/>
  <c r="Q188" i="36"/>
  <c r="R225" i="36"/>
  <c r="N228" i="36"/>
  <c r="T238" i="36"/>
  <c r="N276" i="36"/>
  <c r="U278" i="36"/>
  <c r="V278" i="36" s="1"/>
  <c r="AE278" i="36" s="1"/>
  <c r="N325" i="36"/>
  <c r="N334" i="36"/>
  <c r="T396" i="36"/>
  <c r="R381" i="36"/>
  <c r="N389" i="36"/>
  <c r="O396" i="36"/>
  <c r="U25" i="36"/>
  <c r="V25" i="36" s="1"/>
  <c r="AE25" i="36" s="1"/>
  <c r="U326" i="36"/>
  <c r="V326" i="36" s="1"/>
  <c r="AE326" i="36" s="1"/>
  <c r="N28" i="36"/>
  <c r="O62" i="36"/>
  <c r="R77" i="36"/>
  <c r="V162" i="36"/>
  <c r="N175" i="36"/>
  <c r="U177" i="36"/>
  <c r="V177" i="36" s="1"/>
  <c r="AE177" i="36" s="1"/>
  <c r="S188" i="36"/>
  <c r="U225" i="36"/>
  <c r="V225" i="36" s="1"/>
  <c r="AE225" i="36" s="1"/>
  <c r="R228" i="36"/>
  <c r="R276" i="36"/>
  <c r="R325" i="36"/>
  <c r="Q334" i="36"/>
  <c r="U381" i="36"/>
  <c r="V381" i="36" s="1"/>
  <c r="AE381" i="36" s="1"/>
  <c r="Q389" i="36"/>
  <c r="U26" i="36"/>
  <c r="V26" i="36" s="1"/>
  <c r="AE26" i="36" s="1"/>
  <c r="T334" i="36"/>
  <c r="U327" i="36"/>
  <c r="V327" i="36" s="1"/>
  <c r="AE327" i="36" s="1"/>
  <c r="R28" i="36"/>
  <c r="V62" i="36"/>
  <c r="N75" i="36"/>
  <c r="U77" i="36"/>
  <c r="V77" i="36" s="1"/>
  <c r="AE77" i="36" s="1"/>
  <c r="R175" i="36"/>
  <c r="N178" i="36"/>
  <c r="T188" i="36"/>
  <c r="N226" i="36"/>
  <c r="U228" i="36"/>
  <c r="V228" i="36" s="1"/>
  <c r="AE228" i="36" s="1"/>
  <c r="N267" i="36"/>
  <c r="U276" i="36"/>
  <c r="V276" i="36" s="1"/>
  <c r="AE276" i="36" s="1"/>
  <c r="N326" i="36"/>
  <c r="N335" i="36"/>
  <c r="N382" i="36"/>
  <c r="S389" i="36"/>
  <c r="U28" i="36"/>
  <c r="V28" i="36" s="1"/>
  <c r="AE28" i="36" s="1"/>
  <c r="T335" i="36"/>
  <c r="R25" i="36"/>
  <c r="U75" i="36"/>
  <c r="V75" i="36" s="1"/>
  <c r="R78" i="36"/>
  <c r="N176" i="36"/>
  <c r="U178" i="36"/>
  <c r="V178" i="36" s="1"/>
  <c r="AE178" i="36" s="1"/>
  <c r="N217" i="36"/>
  <c r="U226" i="36"/>
  <c r="V226" i="36" s="1"/>
  <c r="AE226" i="36" s="1"/>
  <c r="O262" i="36"/>
  <c r="T267" i="36"/>
  <c r="V267" i="36" s="1"/>
  <c r="AE267" i="36" s="1"/>
  <c r="R277" i="36"/>
  <c r="N327" i="36"/>
  <c r="N336" i="36"/>
  <c r="N380" i="36"/>
  <c r="U382" i="36"/>
  <c r="V382" i="36" s="1"/>
  <c r="AE382" i="36" s="1"/>
  <c r="N388" i="36"/>
  <c r="R267" i="36"/>
  <c r="U27" i="36"/>
  <c r="V27" i="36" s="1"/>
  <c r="AE27" i="36" s="1"/>
  <c r="R382" i="36"/>
  <c r="R226" i="36"/>
  <c r="R178" i="36"/>
  <c r="N78" i="36"/>
  <c r="T389" i="36"/>
  <c r="U175" i="36"/>
  <c r="V175" i="36" s="1"/>
  <c r="AE175" i="36" s="1"/>
  <c r="R75" i="36"/>
  <c r="O706" i="35"/>
  <c r="O525" i="35"/>
  <c r="O517" i="35"/>
  <c r="O563" i="35"/>
  <c r="O474" i="35"/>
  <c r="O466" i="35"/>
  <c r="O449" i="35"/>
  <c r="O535" i="35"/>
  <c r="O629" i="35"/>
  <c r="O613" i="35"/>
  <c r="O597" i="35"/>
  <c r="O589" i="35"/>
  <c r="O573" i="35"/>
  <c r="O697" i="35"/>
  <c r="O543" i="35"/>
  <c r="O621" i="35"/>
  <c r="O605" i="35"/>
  <c r="O581" i="35"/>
  <c r="O588" i="35"/>
  <c r="O685" i="35"/>
  <c r="O669" i="35"/>
  <c r="O661" i="35"/>
  <c r="O815" i="35"/>
  <c r="O807" i="35"/>
  <c r="O799" i="35"/>
  <c r="O791" i="35"/>
  <c r="O628" i="35"/>
  <c r="O604" i="35"/>
  <c r="O620" i="35"/>
  <c r="O612" i="35"/>
  <c r="O596" i="35"/>
  <c r="O722" i="35"/>
  <c r="O548" i="35"/>
  <c r="O560" i="35"/>
  <c r="O765" i="35"/>
  <c r="O757" i="35"/>
  <c r="O749" i="35"/>
  <c r="O689" i="35"/>
  <c r="O664" i="35"/>
  <c r="O624" i="35"/>
  <c r="O608" i="35"/>
  <c r="O584" i="35"/>
  <c r="O576" i="35"/>
  <c r="O680" i="35"/>
  <c r="O656" i="35"/>
  <c r="O600" i="35"/>
  <c r="O616" i="35"/>
  <c r="O568" i="35"/>
  <c r="O538" i="35"/>
  <c r="O546" i="35"/>
  <c r="O520" i="35"/>
  <c r="O742" i="35"/>
  <c r="O733" i="35"/>
  <c r="O725" i="35"/>
  <c r="O717" i="35"/>
  <c r="O709" i="35"/>
  <c r="O756" i="35"/>
  <c r="O748" i="35"/>
  <c r="O700" i="35"/>
  <c r="O746" i="35"/>
  <c r="O703" i="35"/>
  <c r="O693" i="35"/>
  <c r="O683" i="35"/>
  <c r="O667" i="35"/>
  <c r="O675" i="35"/>
  <c r="O659" i="35"/>
  <c r="O684" i="35"/>
  <c r="O668" i="35"/>
  <c r="O660" i="35"/>
  <c r="K481" i="35"/>
  <c r="Q481" i="35" s="1"/>
  <c r="O797" i="35"/>
  <c r="O789" i="35"/>
  <c r="O741" i="35"/>
  <c r="K482" i="35"/>
  <c r="Q482" i="35" s="1"/>
  <c r="K478" i="35"/>
  <c r="Q478" i="35" s="1"/>
  <c r="O766" i="35"/>
  <c r="O758" i="35"/>
  <c r="O750" i="35"/>
  <c r="O699" i="35"/>
  <c r="O510" i="35"/>
  <c r="O502" i="35"/>
  <c r="O494" i="35"/>
  <c r="O486" i="35"/>
  <c r="O820" i="35"/>
  <c r="O812" i="35"/>
  <c r="O804" i="35"/>
  <c r="O796" i="35"/>
  <c r="O788" i="35"/>
  <c r="O740" i="35"/>
  <c r="O477" i="35"/>
  <c r="O469" i="35"/>
  <c r="O582" i="35"/>
  <c r="O574" i="35"/>
  <c r="O371" i="35"/>
  <c r="O564" i="35"/>
  <c r="O545" i="35"/>
  <c r="O537" i="35"/>
  <c r="O775" i="35"/>
  <c r="O770" i="35"/>
  <c r="O762" i="35"/>
  <c r="O754" i="35"/>
  <c r="O836" i="35"/>
  <c r="O828" i="35"/>
  <c r="O752" i="35"/>
  <c r="O744" i="35"/>
  <c r="O728" i="35"/>
  <c r="O720" i="35"/>
  <c r="O712" i="35"/>
  <c r="O692" i="35"/>
  <c r="O682" i="35"/>
  <c r="O674" i="35"/>
  <c r="O666" i="35"/>
  <c r="O658" i="35"/>
  <c r="O626" i="35"/>
  <c r="O618" i="35"/>
  <c r="O610" i="35"/>
  <c r="O602" i="35"/>
  <c r="O594" i="35"/>
  <c r="O586" i="35"/>
  <c r="O578" i="35"/>
  <c r="O570" i="35"/>
  <c r="O767" i="35"/>
  <c r="O759" i="35"/>
  <c r="O751" i="35"/>
  <c r="O735" i="35"/>
  <c r="O719" i="35"/>
  <c r="O711" i="35"/>
  <c r="O790" i="35"/>
  <c r="O782" i="35"/>
  <c r="O702" i="35"/>
  <c r="O819" i="35"/>
  <c r="O811" i="35"/>
  <c r="O803" i="35"/>
  <c r="O795" i="35"/>
  <c r="G299" i="36"/>
  <c r="H301" i="36" s="1"/>
  <c r="J295" i="36"/>
  <c r="J296" i="36" s="1"/>
  <c r="K529" i="35"/>
  <c r="Q529" i="35" s="1"/>
  <c r="K462" i="35"/>
  <c r="Q462" i="35" s="1"/>
  <c r="K454" i="35"/>
  <c r="Q454" i="35" s="1"/>
  <c r="K450" i="35"/>
  <c r="Q450" i="35" s="1"/>
  <c r="K528" i="35"/>
  <c r="Q528" i="35" s="1"/>
  <c r="K461" i="35"/>
  <c r="Q461" i="35" s="1"/>
  <c r="K457" i="35"/>
  <c r="Q457" i="35" s="1"/>
  <c r="K453" i="35"/>
  <c r="O453" i="35" s="1"/>
  <c r="K531" i="35"/>
  <c r="Q531" i="35" s="1"/>
  <c r="K527" i="35"/>
  <c r="Q527" i="35" s="1"/>
  <c r="K464" i="35"/>
  <c r="Q464" i="35" s="1"/>
  <c r="K460" i="35"/>
  <c r="Q460" i="35" s="1"/>
  <c r="O798" i="35"/>
  <c r="O768" i="35"/>
  <c r="O760" i="35"/>
  <c r="O837" i="35"/>
  <c r="O829" i="35"/>
  <c r="O821" i="35"/>
  <c r="O813" i="35"/>
  <c r="O805" i="35"/>
  <c r="O817" i="35"/>
  <c r="O809" i="35"/>
  <c r="O801" i="35"/>
  <c r="O793" i="35"/>
  <c r="O838" i="35"/>
  <c r="O822" i="35"/>
  <c r="O814" i="35"/>
  <c r="O806" i="35"/>
  <c r="J395" i="36"/>
  <c r="J396" i="36" s="1"/>
  <c r="G399" i="36"/>
  <c r="H401" i="36" s="1"/>
  <c r="I410" i="36" s="1"/>
  <c r="G346" i="36"/>
  <c r="H348" i="36" s="1"/>
  <c r="I357" i="36" s="1"/>
  <c r="J342" i="36"/>
  <c r="J343" i="36" s="1"/>
  <c r="J195" i="36"/>
  <c r="J196" i="36" s="1"/>
  <c r="G199" i="36"/>
  <c r="H201" i="36" s="1"/>
  <c r="K483" i="35"/>
  <c r="Q483" i="35" s="1"/>
  <c r="K479" i="35"/>
  <c r="Q479" i="35" s="1"/>
  <c r="K456" i="35"/>
  <c r="Q456" i="35" s="1"/>
  <c r="G249" i="36"/>
  <c r="H251" i="36" s="1"/>
  <c r="K530" i="35"/>
  <c r="Q530" i="35" s="1"/>
  <c r="K526" i="35"/>
  <c r="Q526" i="35" s="1"/>
  <c r="K463" i="35"/>
  <c r="Q463" i="35" s="1"/>
  <c r="K459" i="35"/>
  <c r="Q459" i="35" s="1"/>
  <c r="K451" i="35"/>
  <c r="Q451" i="35" s="1"/>
  <c r="K484" i="35"/>
  <c r="Q484" i="35" s="1"/>
  <c r="K480" i="35"/>
  <c r="Q480" i="35" s="1"/>
  <c r="O72" i="34"/>
  <c r="S72" i="34" s="1"/>
  <c r="O75" i="34"/>
  <c r="S75" i="34" s="1"/>
  <c r="O73" i="34"/>
  <c r="S73" i="34" s="1"/>
  <c r="O76" i="34"/>
  <c r="S76" i="34" s="1"/>
  <c r="O85" i="34"/>
  <c r="S85" i="34" s="1"/>
  <c r="O17" i="34"/>
  <c r="S17" i="34" s="1"/>
  <c r="O14" i="34"/>
  <c r="S14" i="34" s="1"/>
  <c r="O74" i="34"/>
  <c r="S74" i="34" s="1"/>
  <c r="O42" i="34"/>
  <c r="S42" i="34" s="1"/>
  <c r="O80" i="34"/>
  <c r="S80" i="34" s="1"/>
  <c r="O81" i="34"/>
  <c r="S81" i="34" s="1"/>
  <c r="O43" i="34"/>
  <c r="S43" i="34" s="1"/>
  <c r="O78" i="34"/>
  <c r="S78" i="34" s="1"/>
  <c r="O88" i="34"/>
  <c r="S88" i="34" s="1"/>
  <c r="O15" i="34"/>
  <c r="S15" i="34" s="1"/>
  <c r="O71" i="34"/>
  <c r="S71" i="34" s="1"/>
  <c r="O84" i="34"/>
  <c r="S84" i="34" s="1"/>
  <c r="O44" i="34"/>
  <c r="S44" i="34" s="1"/>
  <c r="O41" i="34"/>
  <c r="S41" i="34" s="1"/>
  <c r="O83" i="34"/>
  <c r="S83" i="34" s="1"/>
  <c r="O18" i="34"/>
  <c r="S18" i="34" s="1"/>
  <c r="O16" i="34"/>
  <c r="S16" i="34" s="1"/>
  <c r="O87" i="34"/>
  <c r="S87" i="34" s="1"/>
  <c r="O77" i="34"/>
  <c r="S77" i="34" s="1"/>
  <c r="O79" i="34"/>
  <c r="S79" i="34" s="1"/>
  <c r="O82" i="34"/>
  <c r="S82" i="34" s="1"/>
  <c r="O834" i="35"/>
  <c r="O826" i="35"/>
  <c r="O818" i="35"/>
  <c r="O810" i="35"/>
  <c r="O794" i="35"/>
  <c r="O698" i="35"/>
  <c r="O687" i="35"/>
  <c r="O802" i="35"/>
  <c r="O670" i="35"/>
  <c r="O662" i="35"/>
  <c r="O622" i="35"/>
  <c r="O614" i="35"/>
  <c r="O606" i="35"/>
  <c r="O598" i="35"/>
  <c r="O898" i="35"/>
  <c r="O890" i="35"/>
  <c r="O882" i="35"/>
  <c r="O866" i="35"/>
  <c r="O858" i="35"/>
  <c r="O772" i="35"/>
  <c r="O764" i="35"/>
  <c r="O908" i="35"/>
  <c r="O900" i="35"/>
  <c r="O892" i="35"/>
  <c r="O884" i="35"/>
  <c r="O868" i="35"/>
  <c r="O860" i="35"/>
  <c r="O914" i="35"/>
  <c r="O831" i="35"/>
  <c r="O823" i="35"/>
  <c r="O763" i="35"/>
  <c r="O755" i="35"/>
  <c r="O747" i="35"/>
  <c r="O739" i="35"/>
  <c r="O723" i="35"/>
  <c r="O715" i="35"/>
  <c r="O707" i="35"/>
  <c r="O906" i="35"/>
  <c r="O916" i="35"/>
  <c r="O862" i="35"/>
  <c r="O854" i="35"/>
  <c r="O835" i="35"/>
  <c r="O827" i="35"/>
  <c r="O924" i="35"/>
  <c r="O839" i="35"/>
  <c r="O863" i="35"/>
  <c r="O855" i="35"/>
  <c r="O833" i="35"/>
  <c r="O825" i="35"/>
  <c r="O769" i="35"/>
  <c r="O753" i="35"/>
  <c r="O745" i="35"/>
  <c r="O737" i="35"/>
  <c r="O729" i="35"/>
  <c r="O721" i="35"/>
  <c r="O704" i="35"/>
  <c r="O696" i="35"/>
  <c r="O919" i="35"/>
  <c r="O911" i="35"/>
  <c r="O903" i="35"/>
  <c r="O895" i="35"/>
  <c r="O887" i="35"/>
  <c r="O879" i="35"/>
  <c r="D4" i="34"/>
  <c r="O832" i="35"/>
  <c r="O824" i="35"/>
  <c r="O816" i="35"/>
  <c r="O808" i="35"/>
  <c r="O800" i="35"/>
  <c r="O792" i="35"/>
  <c r="O864" i="35"/>
  <c r="O856" i="35"/>
  <c r="V37" i="36"/>
  <c r="AE37" i="36" s="1"/>
  <c r="O881" i="35"/>
  <c r="O865" i="35"/>
  <c r="O857" i="35"/>
  <c r="O889" i="35"/>
  <c r="O913" i="35"/>
  <c r="O905" i="35"/>
  <c r="O897" i="35"/>
  <c r="O259" i="35"/>
  <c r="O923" i="35"/>
  <c r="O915" i="35"/>
  <c r="O907" i="35"/>
  <c r="O899" i="35"/>
  <c r="O891" i="35"/>
  <c r="O883" i="35"/>
  <c r="O867" i="35"/>
  <c r="O859" i="35"/>
  <c r="O885" i="35"/>
  <c r="O877" i="35"/>
  <c r="O861" i="35"/>
  <c r="O260" i="35"/>
  <c r="O256" i="35"/>
  <c r="O242" i="35"/>
  <c r="O258" i="35"/>
  <c r="O901" i="35"/>
  <c r="O893" i="35"/>
  <c r="O263" i="35"/>
  <c r="O268" i="35"/>
  <c r="O248" i="35"/>
  <c r="O266" i="35"/>
  <c r="O241" i="35"/>
  <c r="O253" i="35"/>
  <c r="O316" i="35"/>
  <c r="O929" i="35"/>
  <c r="O921" i="35"/>
  <c r="O926" i="35"/>
  <c r="O918" i="35"/>
  <c r="O910" i="35"/>
  <c r="O902" i="35"/>
  <c r="O894" i="35"/>
  <c r="O886" i="35"/>
  <c r="O878" i="35"/>
  <c r="O925" i="35"/>
  <c r="O917" i="35"/>
  <c r="O909" i="35"/>
  <c r="O274" i="35"/>
  <c r="O168" i="35"/>
  <c r="O246" i="35"/>
  <c r="J869" i="35"/>
  <c r="K869" i="35" s="1"/>
  <c r="Q869" i="35" s="1"/>
  <c r="O141" i="35"/>
  <c r="O62" i="35"/>
  <c r="O254" i="35"/>
  <c r="O930" i="35"/>
  <c r="O922" i="35"/>
  <c r="O251" i="35"/>
  <c r="O427" i="35"/>
  <c r="O252" i="35"/>
  <c r="O319" i="35"/>
  <c r="O927" i="35"/>
  <c r="V387" i="36"/>
  <c r="AE387" i="36" s="1"/>
  <c r="O245" i="35"/>
  <c r="O443" i="35"/>
  <c r="O244" i="35"/>
  <c r="O202" i="35"/>
  <c r="O321" i="35"/>
  <c r="V88" i="36"/>
  <c r="AE88" i="36" s="1"/>
  <c r="O264" i="35"/>
  <c r="Q413" i="35"/>
  <c r="O413" i="35"/>
  <c r="V36" i="36"/>
  <c r="AE36" i="36" s="1"/>
  <c r="V286" i="36"/>
  <c r="AE286" i="36" s="1"/>
  <c r="V187" i="36"/>
  <c r="AE187" i="36" s="1"/>
  <c r="O152" i="35"/>
  <c r="O160" i="35"/>
  <c r="O239" i="35"/>
  <c r="O247" i="35"/>
  <c r="O475" i="35"/>
  <c r="O467" i="35"/>
  <c r="O435" i="35"/>
  <c r="O261" i="35"/>
  <c r="O488" i="35"/>
  <c r="O416" i="35"/>
  <c r="Q257" i="35"/>
  <c r="O257" i="35"/>
  <c r="O273" i="35"/>
  <c r="O265" i="35"/>
  <c r="O329" i="35"/>
  <c r="N307" i="35"/>
  <c r="O249" i="35"/>
  <c r="O240" i="35"/>
  <c r="O311" i="35"/>
  <c r="Q264" i="35"/>
  <c r="O325" i="35"/>
  <c r="V236" i="36"/>
  <c r="AE236" i="36" s="1"/>
  <c r="O255" i="35"/>
  <c r="N110" i="35"/>
  <c r="O272" i="35"/>
  <c r="O262" i="35"/>
  <c r="O318" i="35"/>
  <c r="N234" i="35"/>
  <c r="N215" i="35"/>
  <c r="O928" i="35"/>
  <c r="O920" i="35"/>
  <c r="O912" i="35"/>
  <c r="O904" i="35"/>
  <c r="O896" i="35"/>
  <c r="O888" i="35"/>
  <c r="O880" i="35"/>
  <c r="O269" i="35"/>
  <c r="O267" i="35"/>
  <c r="V287" i="36"/>
  <c r="AE287" i="36" s="1"/>
  <c r="V87" i="36"/>
  <c r="AE87" i="36" s="1"/>
  <c r="V38" i="36"/>
  <c r="AE38" i="36" s="1"/>
  <c r="V186" i="36"/>
  <c r="V288" i="36"/>
  <c r="AE288" i="36" s="1"/>
  <c r="V237" i="36"/>
  <c r="AE237" i="36" s="1"/>
  <c r="V86" i="36"/>
  <c r="Q271" i="35"/>
  <c r="O271" i="35"/>
  <c r="Q243" i="35"/>
  <c r="O243" i="35"/>
  <c r="O313" i="35"/>
  <c r="O315" i="35"/>
  <c r="T1621" i="36" l="1"/>
  <c r="T1567" i="36"/>
  <c r="T766" i="36"/>
  <c r="T1408" i="36"/>
  <c r="T1249" i="36"/>
  <c r="T1355" i="36"/>
  <c r="T1461" i="36"/>
  <c r="T1037" i="36"/>
  <c r="T984" i="36"/>
  <c r="T713" i="36"/>
  <c r="T930" i="36"/>
  <c r="T819" i="36"/>
  <c r="T872" i="36"/>
  <c r="T660" i="36"/>
  <c r="R1568" i="36"/>
  <c r="R1622" i="36"/>
  <c r="R1514" i="36"/>
  <c r="R767" i="36"/>
  <c r="R1462" i="36"/>
  <c r="R1409" i="36"/>
  <c r="R1250" i="36"/>
  <c r="R1356" i="36"/>
  <c r="R1196" i="36"/>
  <c r="R501" i="36"/>
  <c r="R714" i="36"/>
  <c r="R1038" i="36"/>
  <c r="R985" i="36"/>
  <c r="R607" i="36"/>
  <c r="R873" i="36"/>
  <c r="R554" i="36"/>
  <c r="R1090" i="36"/>
  <c r="R820" i="36"/>
  <c r="R661" i="36"/>
  <c r="R1143" i="36"/>
  <c r="R931" i="36"/>
  <c r="R448" i="36"/>
  <c r="T1568" i="36"/>
  <c r="T1514" i="36"/>
  <c r="T1622" i="36"/>
  <c r="T767" i="36"/>
  <c r="T1409" i="36"/>
  <c r="T1250" i="36"/>
  <c r="T1356" i="36"/>
  <c r="T1196" i="36"/>
  <c r="T1462" i="36"/>
  <c r="T820" i="36"/>
  <c r="T661" i="36"/>
  <c r="T714" i="36"/>
  <c r="T607" i="36"/>
  <c r="T1143" i="36"/>
  <c r="T931" i="36"/>
  <c r="T554" i="36"/>
  <c r="T501" i="36"/>
  <c r="T1090" i="36"/>
  <c r="T1038" i="36"/>
  <c r="T985" i="36"/>
  <c r="T873" i="36"/>
  <c r="T448" i="36"/>
  <c r="V811" i="36"/>
  <c r="AE811" i="36" s="1"/>
  <c r="V494" i="36"/>
  <c r="AE494" i="36" s="1"/>
  <c r="AB600" i="36"/>
  <c r="V1084" i="36"/>
  <c r="Z1084" i="36" s="1"/>
  <c r="AB441" i="36"/>
  <c r="AB978" i="36"/>
  <c r="V1348" i="36"/>
  <c r="Z1348" i="36" s="1"/>
  <c r="V442" i="36"/>
  <c r="AE442" i="36" s="1"/>
  <c r="AB1137" i="36"/>
  <c r="AB548" i="36"/>
  <c r="AB653" i="36"/>
  <c r="V1189" i="36"/>
  <c r="Z1189" i="36" s="1"/>
  <c r="AB706" i="36"/>
  <c r="AB1135" i="36"/>
  <c r="V1401" i="36"/>
  <c r="Z1401" i="36" s="1"/>
  <c r="V1243" i="36"/>
  <c r="AE1243" i="36" s="1"/>
  <c r="AB1031" i="36"/>
  <c r="V1030" i="36"/>
  <c r="Z1030" i="36" s="1"/>
  <c r="AB923" i="36"/>
  <c r="V1242" i="36"/>
  <c r="AE1242" i="36" s="1"/>
  <c r="V495" i="36"/>
  <c r="AE495" i="36" s="1"/>
  <c r="V1190" i="36"/>
  <c r="AE1190" i="36" s="1"/>
  <c r="V1347" i="36"/>
  <c r="AE1347" i="36" s="1"/>
  <c r="AB654" i="36"/>
  <c r="V1083" i="36"/>
  <c r="Z1083" i="36" s="1"/>
  <c r="AB812" i="36"/>
  <c r="V601" i="36"/>
  <c r="AE601" i="36" s="1"/>
  <c r="AB1455" i="36"/>
  <c r="V1349" i="36"/>
  <c r="AB924" i="36"/>
  <c r="U502" i="36"/>
  <c r="V502" i="36" s="1"/>
  <c r="V1136" i="36"/>
  <c r="Z1136" i="36" s="1"/>
  <c r="AB865" i="36"/>
  <c r="U608" i="36"/>
  <c r="AB608" i="36" s="1"/>
  <c r="U1144" i="36"/>
  <c r="AB1144" i="36" s="1"/>
  <c r="V547" i="36"/>
  <c r="AE547" i="36" s="1"/>
  <c r="U1091" i="36"/>
  <c r="AB1091" i="36" s="1"/>
  <c r="V707" i="36"/>
  <c r="Z707" i="36" s="1"/>
  <c r="V866" i="36"/>
  <c r="AE866" i="36" s="1"/>
  <c r="AB813" i="36"/>
  <c r="V1402" i="36"/>
  <c r="V977" i="36"/>
  <c r="V1454" i="36"/>
  <c r="Z1454" i="36" s="1"/>
  <c r="AB759" i="36"/>
  <c r="U555" i="36"/>
  <c r="V555" i="36" s="1"/>
  <c r="V652" i="36"/>
  <c r="AE652" i="36" s="1"/>
  <c r="V760" i="36"/>
  <c r="AE760" i="36" s="1"/>
  <c r="V600" i="36"/>
  <c r="V1183" i="36"/>
  <c r="AB1183" i="36"/>
  <c r="V744" i="36"/>
  <c r="AB744" i="36"/>
  <c r="V693" i="36"/>
  <c r="AB693" i="36"/>
  <c r="V806" i="36"/>
  <c r="AB806" i="36"/>
  <c r="V488" i="36"/>
  <c r="AB488" i="36"/>
  <c r="V1076" i="36"/>
  <c r="AB1076" i="36"/>
  <c r="V533" i="36"/>
  <c r="AB533" i="36"/>
  <c r="V962" i="36"/>
  <c r="AB962" i="36"/>
  <c r="V1342" i="36"/>
  <c r="AB1342" i="36"/>
  <c r="V745" i="36"/>
  <c r="AB745" i="36"/>
  <c r="V904" i="36"/>
  <c r="AB904" i="36"/>
  <c r="V434" i="36"/>
  <c r="AB434" i="36"/>
  <c r="V1077" i="36"/>
  <c r="AB1077" i="36"/>
  <c r="V963" i="36"/>
  <c r="AB963" i="36"/>
  <c r="V647" i="36"/>
  <c r="AB647" i="36"/>
  <c r="V592" i="36"/>
  <c r="AB592" i="36"/>
  <c r="V1075" i="36"/>
  <c r="AB1075" i="36"/>
  <c r="V858" i="36"/>
  <c r="AB858" i="36"/>
  <c r="V594" i="36"/>
  <c r="AB594" i="36"/>
  <c r="V852" i="36"/>
  <c r="AB852" i="36"/>
  <c r="V1439" i="36"/>
  <c r="AB1439" i="36"/>
  <c r="V1386" i="36"/>
  <c r="AB1386" i="36"/>
  <c r="V746" i="36"/>
  <c r="AB746" i="36"/>
  <c r="AB977" i="36"/>
  <c r="V969" i="36"/>
  <c r="AB969" i="36"/>
  <c r="V487" i="36"/>
  <c r="AB487" i="36"/>
  <c r="V540" i="36"/>
  <c r="AB540" i="36"/>
  <c r="V1024" i="36"/>
  <c r="AB1024" i="36"/>
  <c r="V1395" i="36"/>
  <c r="AB1395" i="36"/>
  <c r="V646" i="36"/>
  <c r="AB646" i="36"/>
  <c r="V700" i="36"/>
  <c r="AB700" i="36"/>
  <c r="V923" i="36"/>
  <c r="V593" i="36"/>
  <c r="AB593" i="36"/>
  <c r="V797" i="36"/>
  <c r="AB797" i="36"/>
  <c r="V1334" i="36"/>
  <c r="AB1334" i="36"/>
  <c r="V961" i="36"/>
  <c r="AB961" i="36"/>
  <c r="V912" i="36"/>
  <c r="AB912" i="36"/>
  <c r="V1129" i="36"/>
  <c r="AB1129" i="36"/>
  <c r="AB1242" i="36"/>
  <c r="AB760" i="36"/>
  <c r="V435" i="36"/>
  <c r="AB435" i="36"/>
  <c r="V548" i="36"/>
  <c r="V1022" i="36"/>
  <c r="AB1022" i="36"/>
  <c r="V1023" i="36"/>
  <c r="AB1023" i="36"/>
  <c r="V1440" i="36"/>
  <c r="AB1440" i="36"/>
  <c r="V1228" i="36"/>
  <c r="AB1228" i="36"/>
  <c r="V753" i="36"/>
  <c r="AB753" i="36"/>
  <c r="V1181" i="36"/>
  <c r="AB1181" i="36"/>
  <c r="AB1190" i="36"/>
  <c r="AB1347" i="36"/>
  <c r="AB495" i="36"/>
  <c r="V1280" i="36"/>
  <c r="AB1280" i="36"/>
  <c r="V798" i="36"/>
  <c r="AB798" i="36"/>
  <c r="V1016" i="36"/>
  <c r="AB1016" i="36"/>
  <c r="V812" i="36"/>
  <c r="V1122" i="36"/>
  <c r="AB1122" i="36"/>
  <c r="AB652" i="36"/>
  <c r="AB707" i="36"/>
  <c r="AB1454" i="36"/>
  <c r="AB1243" i="36"/>
  <c r="V699" i="36"/>
  <c r="AB699" i="36"/>
  <c r="V433" i="36"/>
  <c r="AB433" i="36"/>
  <c r="V1281" i="36"/>
  <c r="AB1281" i="36"/>
  <c r="V851" i="36"/>
  <c r="AB851" i="36"/>
  <c r="V1017" i="36"/>
  <c r="AB1017" i="36"/>
  <c r="AB601" i="36"/>
  <c r="V1128" i="36"/>
  <c r="AB1128" i="36"/>
  <c r="V865" i="36"/>
  <c r="AB547" i="36"/>
  <c r="AB1348" i="36"/>
  <c r="V441" i="36"/>
  <c r="V850" i="36"/>
  <c r="AB850" i="36"/>
  <c r="AB1030" i="36"/>
  <c r="AB1136" i="36"/>
  <c r="V970" i="36"/>
  <c r="AB970" i="36"/>
  <c r="V1387" i="36"/>
  <c r="AB1387" i="36"/>
  <c r="AB1349" i="36"/>
  <c r="U449" i="36"/>
  <c r="V917" i="36"/>
  <c r="AB917" i="36"/>
  <c r="V539" i="36"/>
  <c r="AB539" i="36"/>
  <c r="V903" i="36"/>
  <c r="AB903" i="36"/>
  <c r="V692" i="36"/>
  <c r="AB692" i="36"/>
  <c r="AB866" i="36"/>
  <c r="AB1083" i="36"/>
  <c r="V653" i="36"/>
  <c r="V916" i="36"/>
  <c r="AB916" i="36"/>
  <c r="V799" i="36"/>
  <c r="AB799" i="36"/>
  <c r="V1130" i="36"/>
  <c r="AB1130" i="36"/>
  <c r="V541" i="36"/>
  <c r="AB541" i="36"/>
  <c r="V968" i="36"/>
  <c r="AB968" i="36"/>
  <c r="V905" i="36"/>
  <c r="AB905" i="36"/>
  <c r="V1031" i="36"/>
  <c r="AB811" i="36"/>
  <c r="AB1402" i="36"/>
  <c r="V759" i="36"/>
  <c r="AB442" i="36"/>
  <c r="V1015" i="36"/>
  <c r="AB1015" i="36"/>
  <c r="V706" i="36"/>
  <c r="V486" i="36"/>
  <c r="AB486" i="36"/>
  <c r="V645" i="36"/>
  <c r="AB645" i="36"/>
  <c r="V1341" i="36"/>
  <c r="AB1341" i="36"/>
  <c r="V1182" i="36"/>
  <c r="AB1182" i="36"/>
  <c r="U1197" i="36"/>
  <c r="V1135" i="36"/>
  <c r="V751" i="36"/>
  <c r="AB751" i="36"/>
  <c r="AB494" i="36"/>
  <c r="V813" i="36"/>
  <c r="AB1084" i="36"/>
  <c r="V924" i="36"/>
  <c r="V1137" i="36"/>
  <c r="V859" i="36"/>
  <c r="AB859" i="36"/>
  <c r="V1455" i="36"/>
  <c r="AB1189" i="36"/>
  <c r="V1227" i="36"/>
  <c r="AB1227" i="36"/>
  <c r="V640" i="36"/>
  <c r="AB640" i="36"/>
  <c r="V698" i="36"/>
  <c r="AB698" i="36"/>
  <c r="V654" i="36"/>
  <c r="V1448" i="36"/>
  <c r="AB1448" i="36"/>
  <c r="AB1401" i="36"/>
  <c r="V1333" i="36"/>
  <c r="AB1333" i="36"/>
  <c r="V752" i="36"/>
  <c r="AB752" i="36"/>
  <c r="T1302" i="36"/>
  <c r="T1303" i="36"/>
  <c r="R1303" i="36"/>
  <c r="V1296" i="36"/>
  <c r="AE1296" i="36" s="1"/>
  <c r="AB1294" i="36"/>
  <c r="V1295" i="36"/>
  <c r="AE1295" i="36" s="1"/>
  <c r="V1294" i="36"/>
  <c r="AB1295" i="36"/>
  <c r="V1288" i="36"/>
  <c r="AB1288" i="36"/>
  <c r="AB1296" i="36"/>
  <c r="V1289" i="36"/>
  <c r="AB1289" i="36"/>
  <c r="F92" i="36"/>
  <c r="H229" i="35"/>
  <c r="T342" i="36"/>
  <c r="T146" i="36"/>
  <c r="T246" i="36"/>
  <c r="T296" i="36"/>
  <c r="T196" i="36"/>
  <c r="R296" i="36"/>
  <c r="R146" i="36"/>
  <c r="R246" i="36"/>
  <c r="R196" i="36"/>
  <c r="F42" i="36"/>
  <c r="R396" i="36"/>
  <c r="J40" i="37"/>
  <c r="T343" i="36"/>
  <c r="I43" i="37"/>
  <c r="J43" i="37" s="1"/>
  <c r="R46" i="36"/>
  <c r="R96" i="36"/>
  <c r="I39" i="37"/>
  <c r="J39" i="37" s="1"/>
  <c r="R343" i="36"/>
  <c r="H219" i="35"/>
  <c r="T96" i="36"/>
  <c r="T46" i="36"/>
  <c r="H227" i="35"/>
  <c r="I227" i="35" s="1"/>
  <c r="K227" i="35" s="1"/>
  <c r="Q227" i="35" s="1"/>
  <c r="AE75" i="36"/>
  <c r="V82" i="36"/>
  <c r="V83" i="36" s="1"/>
  <c r="J15" i="41"/>
  <c r="J14" i="41" s="1"/>
  <c r="J44" i="41" s="1"/>
  <c r="H27" i="38"/>
  <c r="J369" i="35"/>
  <c r="K369" i="35" s="1"/>
  <c r="H72" i="34"/>
  <c r="H30" i="38"/>
  <c r="H80" i="34"/>
  <c r="H76" i="34"/>
  <c r="H74" i="34"/>
  <c r="H83" i="34"/>
  <c r="H69" i="34"/>
  <c r="H81" i="34"/>
  <c r="H86" i="34"/>
  <c r="H82" i="34"/>
  <c r="H88" i="34"/>
  <c r="H73" i="34"/>
  <c r="H87" i="34"/>
  <c r="H79" i="34"/>
  <c r="H77" i="34"/>
  <c r="H75" i="34"/>
  <c r="H85" i="34"/>
  <c r="H84" i="34"/>
  <c r="H78" i="34"/>
  <c r="H71" i="34"/>
  <c r="H70" i="34"/>
  <c r="J36" i="37"/>
  <c r="H226" i="35"/>
  <c r="I226" i="35" s="1"/>
  <c r="H31" i="38"/>
  <c r="H228" i="35"/>
  <c r="I228" i="35" s="1"/>
  <c r="K228" i="35" s="1"/>
  <c r="Q228" i="35" s="1"/>
  <c r="V138" i="36"/>
  <c r="AE138" i="36" s="1"/>
  <c r="V137" i="36"/>
  <c r="AE137" i="36" s="1"/>
  <c r="V136" i="36"/>
  <c r="J28" i="37"/>
  <c r="H220" i="35"/>
  <c r="I223" i="35"/>
  <c r="J53" i="37"/>
  <c r="V132" i="36"/>
  <c r="V133" i="36" s="1"/>
  <c r="AE125" i="36"/>
  <c r="I221" i="35"/>
  <c r="K221" i="35" s="1"/>
  <c r="Q221" i="35" s="1"/>
  <c r="J32" i="37"/>
  <c r="H231" i="35"/>
  <c r="J52" i="37"/>
  <c r="I31" i="37"/>
  <c r="J31" i="37" s="1"/>
  <c r="I51" i="37"/>
  <c r="J51" i="37" s="1"/>
  <c r="R145" i="36"/>
  <c r="J33" i="40"/>
  <c r="J34" i="40" s="1"/>
  <c r="I27" i="37"/>
  <c r="J27" i="37" s="1"/>
  <c r="R95" i="36"/>
  <c r="R395" i="36"/>
  <c r="R45" i="36"/>
  <c r="R295" i="36"/>
  <c r="R245" i="36"/>
  <c r="R195" i="36"/>
  <c r="I225" i="35"/>
  <c r="I47" i="37"/>
  <c r="J47" i="37" s="1"/>
  <c r="J49" i="37"/>
  <c r="I222" i="35"/>
  <c r="K222" i="35" s="1"/>
  <c r="Q222" i="35" s="1"/>
  <c r="H12" i="43"/>
  <c r="I12" i="43" s="1"/>
  <c r="I24" i="43" s="1"/>
  <c r="T295" i="36"/>
  <c r="T245" i="36"/>
  <c r="I224" i="35"/>
  <c r="T45" i="36"/>
  <c r="H15" i="40"/>
  <c r="H16" i="40"/>
  <c r="H20" i="40"/>
  <c r="J14" i="40"/>
  <c r="T145" i="36"/>
  <c r="J45" i="37"/>
  <c r="I35" i="37"/>
  <c r="J35" i="37" s="1"/>
  <c r="J41" i="37"/>
  <c r="J37" i="37"/>
  <c r="V334" i="36"/>
  <c r="I230" i="35"/>
  <c r="T195" i="36"/>
  <c r="T95" i="36"/>
  <c r="T395" i="36"/>
  <c r="V388" i="36"/>
  <c r="AE388" i="36" s="1"/>
  <c r="V238" i="36"/>
  <c r="AE238" i="36" s="1"/>
  <c r="V389" i="36"/>
  <c r="AE389" i="36" s="1"/>
  <c r="V336" i="36"/>
  <c r="AE336" i="36" s="1"/>
  <c r="V32" i="36"/>
  <c r="V33" i="36" s="1"/>
  <c r="V182" i="36"/>
  <c r="V183" i="36" s="1"/>
  <c r="V282" i="36"/>
  <c r="V283" i="36" s="1"/>
  <c r="V188" i="36"/>
  <c r="AE188" i="36" s="1"/>
  <c r="V232" i="36"/>
  <c r="V233" i="36" s="1"/>
  <c r="V383" i="36"/>
  <c r="V384" i="36" s="1"/>
  <c r="V335" i="36"/>
  <c r="AE335" i="36" s="1"/>
  <c r="V330" i="36"/>
  <c r="V331" i="36" s="1"/>
  <c r="O481" i="35"/>
  <c r="O478" i="35"/>
  <c r="O482" i="35"/>
  <c r="O483" i="35"/>
  <c r="O450" i="35"/>
  <c r="O529" i="35"/>
  <c r="Q453" i="35"/>
  <c r="O457" i="35"/>
  <c r="O464" i="35"/>
  <c r="O528" i="35"/>
  <c r="O461" i="35"/>
  <c r="O454" i="35"/>
  <c r="O531" i="35"/>
  <c r="O462" i="35"/>
  <c r="O460" i="35"/>
  <c r="O527" i="35"/>
  <c r="O530" i="35"/>
  <c r="O484" i="35"/>
  <c r="O479" i="35"/>
  <c r="O480" i="35"/>
  <c r="O451" i="35"/>
  <c r="O463" i="35"/>
  <c r="O526" i="35"/>
  <c r="O456" i="35"/>
  <c r="O459" i="35"/>
  <c r="P77" i="34"/>
  <c r="P17" i="34"/>
  <c r="P39" i="34"/>
  <c r="P71" i="34"/>
  <c r="P76" i="34"/>
  <c r="P44" i="34"/>
  <c r="P16" i="34"/>
  <c r="P15" i="34"/>
  <c r="P85" i="34"/>
  <c r="P78" i="34"/>
  <c r="P41" i="34"/>
  <c r="P72" i="34"/>
  <c r="P84" i="34"/>
  <c r="P81" i="34"/>
  <c r="P82" i="34"/>
  <c r="P43" i="34"/>
  <c r="P80" i="34"/>
  <c r="P73" i="34"/>
  <c r="P88" i="34"/>
  <c r="P83" i="34"/>
  <c r="P74" i="34"/>
  <c r="P42" i="34"/>
  <c r="P40" i="34"/>
  <c r="P18" i="34"/>
  <c r="P14" i="34"/>
  <c r="P79" i="34"/>
  <c r="P87" i="34"/>
  <c r="P75" i="34"/>
  <c r="O869" i="35"/>
  <c r="J686" i="35"/>
  <c r="K686" i="35" s="1"/>
  <c r="J871" i="35"/>
  <c r="K871" i="35" s="1"/>
  <c r="J511" i="35"/>
  <c r="K511" i="35" s="1"/>
  <c r="V291" i="36"/>
  <c r="V292" i="36" s="1"/>
  <c r="V91" i="36"/>
  <c r="V92" i="36" s="1"/>
  <c r="AE86" i="36"/>
  <c r="J567" i="35"/>
  <c r="K567" i="35" s="1"/>
  <c r="AE186" i="36"/>
  <c r="V41" i="36"/>
  <c r="V42" i="36" s="1"/>
  <c r="S1568" i="36" l="1"/>
  <c r="U1568" i="36" s="1"/>
  <c r="V1568" i="36" s="1"/>
  <c r="S1622" i="36"/>
  <c r="U1622" i="36" s="1"/>
  <c r="V1622" i="36" s="1"/>
  <c r="S1514" i="36"/>
  <c r="U1514" i="36" s="1"/>
  <c r="V1514" i="36" s="1"/>
  <c r="V1517" i="36" s="1"/>
  <c r="V1518" i="36" s="1"/>
  <c r="S767" i="36"/>
  <c r="U767" i="36" s="1"/>
  <c r="S1409" i="36"/>
  <c r="U1409" i="36" s="1"/>
  <c r="S1250" i="36"/>
  <c r="U1250" i="36" s="1"/>
  <c r="S1462" i="36"/>
  <c r="U1462" i="36" s="1"/>
  <c r="S1356" i="36"/>
  <c r="U1356" i="36" s="1"/>
  <c r="S1196" i="36"/>
  <c r="U1196" i="36" s="1"/>
  <c r="S873" i="36"/>
  <c r="U873" i="36" s="1"/>
  <c r="S554" i="36"/>
  <c r="U554" i="36" s="1"/>
  <c r="S661" i="36"/>
  <c r="U661" i="36" s="1"/>
  <c r="S1143" i="36"/>
  <c r="U1143" i="36" s="1"/>
  <c r="S985" i="36"/>
  <c r="S820" i="36"/>
  <c r="U820" i="36" s="1"/>
  <c r="S501" i="36"/>
  <c r="U501" i="36" s="1"/>
  <c r="S931" i="36"/>
  <c r="U931" i="36" s="1"/>
  <c r="S714" i="36"/>
  <c r="U714" i="36" s="1"/>
  <c r="S1090" i="36"/>
  <c r="U1090" i="36" s="1"/>
  <c r="S1038" i="36"/>
  <c r="U1038" i="36" s="1"/>
  <c r="S607" i="36"/>
  <c r="U607" i="36" s="1"/>
  <c r="S448" i="36"/>
  <c r="U448" i="36" s="1"/>
  <c r="U985" i="36"/>
  <c r="S1621" i="36"/>
  <c r="U1621" i="36" s="1"/>
  <c r="V1621" i="36" s="1"/>
  <c r="S1567" i="36"/>
  <c r="U1567" i="36" s="1"/>
  <c r="V1567" i="36" s="1"/>
  <c r="S766" i="36"/>
  <c r="U766" i="36" s="1"/>
  <c r="S1355" i="36"/>
  <c r="U1355" i="36" s="1"/>
  <c r="S1249" i="36"/>
  <c r="U1249" i="36" s="1"/>
  <c r="S1461" i="36"/>
  <c r="U1461" i="36" s="1"/>
  <c r="S1408" i="36"/>
  <c r="U1408" i="36" s="1"/>
  <c r="S1037" i="36"/>
  <c r="U1037" i="36" s="1"/>
  <c r="S713" i="36"/>
  <c r="U713" i="36" s="1"/>
  <c r="S984" i="36"/>
  <c r="U984" i="36" s="1"/>
  <c r="S819" i="36"/>
  <c r="U819" i="36" s="1"/>
  <c r="S660" i="36"/>
  <c r="U660" i="36" s="1"/>
  <c r="S930" i="36"/>
  <c r="U930" i="36" s="1"/>
  <c r="S872" i="36"/>
  <c r="U872" i="36" s="1"/>
  <c r="V972" i="36"/>
  <c r="V973" i="36" s="1"/>
  <c r="AB973" i="36" s="1"/>
  <c r="AE1348" i="36"/>
  <c r="AE977" i="36"/>
  <c r="V980" i="36"/>
  <c r="V981" i="36" s="1"/>
  <c r="Z811" i="36"/>
  <c r="AC811" i="36" s="1"/>
  <c r="AE1401" i="36"/>
  <c r="Z494" i="36"/>
  <c r="AC494" i="36" s="1"/>
  <c r="AE1084" i="36"/>
  <c r="V1144" i="36"/>
  <c r="Z442" i="36"/>
  <c r="AC442" i="36" s="1"/>
  <c r="V1404" i="36"/>
  <c r="V1405" i="36" s="1"/>
  <c r="AB1405" i="36" s="1"/>
  <c r="AE1030" i="36"/>
  <c r="AE1189" i="36"/>
  <c r="V1245" i="36"/>
  <c r="V1246" i="36" s="1"/>
  <c r="AB1246" i="36" s="1"/>
  <c r="Z1242" i="36"/>
  <c r="AC1242" i="36" s="1"/>
  <c r="V1086" i="36"/>
  <c r="V1087" i="36" s="1"/>
  <c r="AB1087" i="36" s="1"/>
  <c r="AE1083" i="36"/>
  <c r="Z1243" i="36"/>
  <c r="AC1243" i="36" s="1"/>
  <c r="V1033" i="36"/>
  <c r="V1034" i="36" s="1"/>
  <c r="AB1034" i="36" s="1"/>
  <c r="V497" i="36"/>
  <c r="V498" i="36" s="1"/>
  <c r="AB498" i="36" s="1"/>
  <c r="Z495" i="36"/>
  <c r="V1192" i="36"/>
  <c r="V1193" i="36" s="1"/>
  <c r="AB1193" i="36" s="1"/>
  <c r="V1091" i="36"/>
  <c r="AE1091" i="36" s="1"/>
  <c r="V1351" i="36"/>
  <c r="V1352" i="36" s="1"/>
  <c r="AB1352" i="36" s="1"/>
  <c r="Z1347" i="36"/>
  <c r="AC1347" i="36" s="1"/>
  <c r="AE1454" i="36"/>
  <c r="Z1190" i="36"/>
  <c r="Z1192" i="36" s="1"/>
  <c r="Z1193" i="36" s="1"/>
  <c r="AE1136" i="36"/>
  <c r="Z977" i="36"/>
  <c r="AC977" i="36" s="1"/>
  <c r="Z652" i="36"/>
  <c r="AC652" i="36" s="1"/>
  <c r="AB555" i="36"/>
  <c r="AB502" i="36"/>
  <c r="Z1349" i="36"/>
  <c r="AC1349" i="36" s="1"/>
  <c r="Z601" i="36"/>
  <c r="AC601" i="36" s="1"/>
  <c r="AE1349" i="36"/>
  <c r="V608" i="36"/>
  <c r="AE608" i="36" s="1"/>
  <c r="V550" i="36"/>
  <c r="V551" i="36" s="1"/>
  <c r="AB551" i="36" s="1"/>
  <c r="Z547" i="36"/>
  <c r="AC547" i="36" s="1"/>
  <c r="Z866" i="36"/>
  <c r="AC866" i="36" s="1"/>
  <c r="AE707" i="36"/>
  <c r="V1457" i="36"/>
  <c r="V1458" i="36" s="1"/>
  <c r="AB1458" i="36" s="1"/>
  <c r="AC1136" i="36"/>
  <c r="V815" i="36"/>
  <c r="V816" i="36" s="1"/>
  <c r="AB816" i="36" s="1"/>
  <c r="Z1402" i="36"/>
  <c r="AC1402" i="36" s="1"/>
  <c r="AE1402" i="36"/>
  <c r="Z760" i="36"/>
  <c r="AC760" i="36" s="1"/>
  <c r="AC1348" i="36"/>
  <c r="AC707" i="36"/>
  <c r="AE1333" i="36"/>
  <c r="Z1333" i="36"/>
  <c r="AE924" i="36"/>
  <c r="Z924" i="36"/>
  <c r="AC924" i="36" s="1"/>
  <c r="AE486" i="36"/>
  <c r="V489" i="36"/>
  <c r="V490" i="36" s="1"/>
  <c r="AB490" i="36" s="1"/>
  <c r="Z486" i="36"/>
  <c r="AC486" i="36" s="1"/>
  <c r="AE1387" i="36"/>
  <c r="Z1387" i="36"/>
  <c r="AC1387" i="36" s="1"/>
  <c r="AE865" i="36"/>
  <c r="Z865" i="36"/>
  <c r="V868" i="36"/>
  <c r="V869" i="36" s="1"/>
  <c r="AB869" i="36" s="1"/>
  <c r="AE1228" i="36"/>
  <c r="Z1228" i="36"/>
  <c r="AC1228" i="36" s="1"/>
  <c r="AE434" i="36"/>
  <c r="Z434" i="36"/>
  <c r="AC434" i="36" s="1"/>
  <c r="AE806" i="36"/>
  <c r="Z806" i="36"/>
  <c r="AC806" i="36" s="1"/>
  <c r="AE706" i="36"/>
  <c r="V709" i="36"/>
  <c r="V710" i="36" s="1"/>
  <c r="Z706" i="36"/>
  <c r="Z978" i="36"/>
  <c r="AC978" i="36" s="1"/>
  <c r="AE978" i="36"/>
  <c r="AC1084" i="36"/>
  <c r="AE502" i="36"/>
  <c r="Z502" i="36"/>
  <c r="AE540" i="36"/>
  <c r="Z540" i="36"/>
  <c r="AC540" i="36" s="1"/>
  <c r="AE653" i="36"/>
  <c r="Z653" i="36"/>
  <c r="AC653" i="36" s="1"/>
  <c r="AE548" i="36"/>
  <c r="Z548" i="36"/>
  <c r="AC548" i="36" s="1"/>
  <c r="AE1024" i="36"/>
  <c r="Z1024" i="36"/>
  <c r="AC1024" i="36" s="1"/>
  <c r="AE813" i="36"/>
  <c r="Z813" i="36"/>
  <c r="AC813" i="36" s="1"/>
  <c r="AE555" i="36"/>
  <c r="Z555" i="36"/>
  <c r="AE1440" i="36"/>
  <c r="Z1440" i="36"/>
  <c r="AC1440" i="36" s="1"/>
  <c r="Z1075" i="36"/>
  <c r="AC1075" i="36" s="1"/>
  <c r="V1078" i="36"/>
  <c r="V1079" i="36" s="1"/>
  <c r="AB1079" i="36" s="1"/>
  <c r="AE1075" i="36"/>
  <c r="Z904" i="36"/>
  <c r="AC904" i="36" s="1"/>
  <c r="AE904" i="36"/>
  <c r="AE693" i="36"/>
  <c r="Z693" i="36"/>
  <c r="AC693" i="36" s="1"/>
  <c r="AE1448" i="36"/>
  <c r="Z1448" i="36"/>
  <c r="AC1448" i="36" s="1"/>
  <c r="AE1015" i="36"/>
  <c r="Z1015" i="36"/>
  <c r="AC1015" i="36" s="1"/>
  <c r="Z692" i="36"/>
  <c r="AC692" i="36" s="1"/>
  <c r="AE692" i="36"/>
  <c r="AE970" i="36"/>
  <c r="Z970" i="36"/>
  <c r="AC970" i="36" s="1"/>
  <c r="AE797" i="36"/>
  <c r="Z797" i="36"/>
  <c r="AE487" i="36"/>
  <c r="Z487" i="36"/>
  <c r="AC487" i="36" s="1"/>
  <c r="AE435" i="36"/>
  <c r="Z435" i="36"/>
  <c r="AC435" i="36" s="1"/>
  <c r="Z745" i="36"/>
  <c r="AC745" i="36" s="1"/>
  <c r="AE745" i="36"/>
  <c r="AE744" i="36"/>
  <c r="Z744" i="36"/>
  <c r="Z654" i="36"/>
  <c r="AC654" i="36" s="1"/>
  <c r="AE654" i="36"/>
  <c r="V754" i="36"/>
  <c r="V755" i="36" s="1"/>
  <c r="AB755" i="36" s="1"/>
  <c r="Z751" i="36"/>
  <c r="AC751" i="36" s="1"/>
  <c r="AE751" i="36"/>
  <c r="AE759" i="36"/>
  <c r="Z759" i="36"/>
  <c r="V762" i="36"/>
  <c r="V763" i="36" s="1"/>
  <c r="AE1130" i="36"/>
  <c r="Z1130" i="36"/>
  <c r="AC1130" i="36" s="1"/>
  <c r="AE903" i="36"/>
  <c r="Z903" i="36"/>
  <c r="AC903" i="36" s="1"/>
  <c r="AE1023" i="36"/>
  <c r="Z1023" i="36"/>
  <c r="AC1023" i="36" s="1"/>
  <c r="AE969" i="36"/>
  <c r="Z969" i="36"/>
  <c r="AC969" i="36" s="1"/>
  <c r="AE1137" i="36"/>
  <c r="Z1137" i="36"/>
  <c r="AC1137" i="36" s="1"/>
  <c r="Z698" i="36"/>
  <c r="AC698" i="36" s="1"/>
  <c r="V701" i="36"/>
  <c r="V702" i="36" s="1"/>
  <c r="AB702" i="36" s="1"/>
  <c r="AE698" i="36"/>
  <c r="V1139" i="36"/>
  <c r="V1140" i="36" s="1"/>
  <c r="AB1140" i="36" s="1"/>
  <c r="AE1135" i="36"/>
  <c r="Z1135" i="36"/>
  <c r="AE812" i="36"/>
  <c r="Z812" i="36"/>
  <c r="AC812" i="36" s="1"/>
  <c r="AE593" i="36"/>
  <c r="Z593" i="36"/>
  <c r="AC593" i="36" s="1"/>
  <c r="AE1342" i="36"/>
  <c r="Z1342" i="36"/>
  <c r="AC1342" i="36" s="1"/>
  <c r="V1131" i="36"/>
  <c r="V1132" i="36" s="1"/>
  <c r="AB1132" i="36" s="1"/>
  <c r="AE1128" i="36"/>
  <c r="Z1128" i="36"/>
  <c r="AC1128" i="36" s="1"/>
  <c r="Z539" i="36"/>
  <c r="AC539" i="36" s="1"/>
  <c r="V542" i="36"/>
  <c r="V543" i="36" s="1"/>
  <c r="AB543" i="36" s="1"/>
  <c r="AE539" i="36"/>
  <c r="V656" i="36"/>
  <c r="V657" i="36" s="1"/>
  <c r="AE1017" i="36"/>
  <c r="Z1017" i="36"/>
  <c r="AC1017" i="36" s="1"/>
  <c r="AE699" i="36"/>
  <c r="Z699" i="36"/>
  <c r="AC699" i="36" s="1"/>
  <c r="V1184" i="36"/>
  <c r="V1185" i="36" s="1"/>
  <c r="AB1185" i="36" s="1"/>
  <c r="AE1181" i="36"/>
  <c r="Z1181" i="36"/>
  <c r="Z923" i="36"/>
  <c r="V926" i="36"/>
  <c r="V927" i="36" s="1"/>
  <c r="AB927" i="36" s="1"/>
  <c r="AE923" i="36"/>
  <c r="AC1030" i="36"/>
  <c r="V595" i="36"/>
  <c r="V596" i="36" s="1"/>
  <c r="AB596" i="36" s="1"/>
  <c r="AE592" i="36"/>
  <c r="Z592" i="36"/>
  <c r="AC592" i="36" s="1"/>
  <c r="AE1122" i="36"/>
  <c r="Z1122" i="36"/>
  <c r="AC1122" i="36" s="1"/>
  <c r="AE640" i="36"/>
  <c r="Z640" i="36"/>
  <c r="V1197" i="36"/>
  <c r="AB1197" i="36"/>
  <c r="Z1016" i="36"/>
  <c r="AC1016" i="36" s="1"/>
  <c r="AE1016" i="36"/>
  <c r="AE1129" i="36"/>
  <c r="Z1129" i="36"/>
  <c r="AC1129" i="36" s="1"/>
  <c r="AE852" i="36"/>
  <c r="Z852" i="36"/>
  <c r="AC852" i="36" s="1"/>
  <c r="Z962" i="36"/>
  <c r="AC962" i="36" s="1"/>
  <c r="AE962" i="36"/>
  <c r="AE799" i="36"/>
  <c r="Z799" i="36"/>
  <c r="AC799" i="36" s="1"/>
  <c r="AE917" i="36"/>
  <c r="Z917" i="36"/>
  <c r="AC917" i="36" s="1"/>
  <c r="Z851" i="36"/>
  <c r="AC851" i="36" s="1"/>
  <c r="AE851" i="36"/>
  <c r="AE700" i="36"/>
  <c r="Z700" i="36"/>
  <c r="AC700" i="36" s="1"/>
  <c r="AE647" i="36"/>
  <c r="Z647" i="36"/>
  <c r="AC647" i="36" s="1"/>
  <c r="AE1183" i="36"/>
  <c r="Z1183" i="36"/>
  <c r="AC1183" i="36" s="1"/>
  <c r="AE1439" i="36"/>
  <c r="Z1439" i="36"/>
  <c r="AC1439" i="36" s="1"/>
  <c r="AE1031" i="36"/>
  <c r="Z1031" i="36"/>
  <c r="AC1031" i="36" s="1"/>
  <c r="AE1227" i="36"/>
  <c r="Z1227" i="36"/>
  <c r="AE1182" i="36"/>
  <c r="Z1182" i="36"/>
  <c r="AC1182" i="36" s="1"/>
  <c r="AE905" i="36"/>
  <c r="Z905" i="36"/>
  <c r="AC905" i="36" s="1"/>
  <c r="V449" i="36"/>
  <c r="AB449" i="36"/>
  <c r="AE850" i="36"/>
  <c r="Z850" i="36"/>
  <c r="AE798" i="36"/>
  <c r="Z798" i="36"/>
  <c r="AC798" i="36" s="1"/>
  <c r="AE912" i="36"/>
  <c r="Z912" i="36"/>
  <c r="AC912" i="36" s="1"/>
  <c r="AE594" i="36"/>
  <c r="Z594" i="36"/>
  <c r="AC594" i="36" s="1"/>
  <c r="AE533" i="36"/>
  <c r="Z533" i="36"/>
  <c r="AC533" i="36" s="1"/>
  <c r="AC1189" i="36"/>
  <c r="AE916" i="36"/>
  <c r="Z916" i="36"/>
  <c r="AC916" i="36" s="1"/>
  <c r="AE441" i="36"/>
  <c r="Z441" i="36"/>
  <c r="V444" i="36"/>
  <c r="V445" i="36" s="1"/>
  <c r="AB445" i="36" s="1"/>
  <c r="AE1281" i="36"/>
  <c r="Z1281" i="36"/>
  <c r="AC1281" i="36" s="1"/>
  <c r="AE646" i="36"/>
  <c r="Z646" i="36"/>
  <c r="AC646" i="36" s="1"/>
  <c r="AE746" i="36"/>
  <c r="Z746" i="36"/>
  <c r="AC746" i="36" s="1"/>
  <c r="AE1455" i="36"/>
  <c r="Z1455" i="36"/>
  <c r="AC1455" i="36" s="1"/>
  <c r="AE1341" i="36"/>
  <c r="Z1341" i="36"/>
  <c r="AC1341" i="36" s="1"/>
  <c r="AE968" i="36"/>
  <c r="Z968" i="36"/>
  <c r="AC968" i="36" s="1"/>
  <c r="AC1401" i="36"/>
  <c r="AE1280" i="36"/>
  <c r="Z1280" i="36"/>
  <c r="AC1280" i="36" s="1"/>
  <c r="AE753" i="36"/>
  <c r="Z753" i="36"/>
  <c r="AC753" i="36" s="1"/>
  <c r="V1025" i="36"/>
  <c r="V1026" i="36" s="1"/>
  <c r="AB1026" i="36" s="1"/>
  <c r="AE1022" i="36"/>
  <c r="Z1022" i="36"/>
  <c r="AC1022" i="36" s="1"/>
  <c r="Z961" i="36"/>
  <c r="AE961" i="36"/>
  <c r="AE858" i="36"/>
  <c r="Z858" i="36"/>
  <c r="AC858" i="36" s="1"/>
  <c r="AE963" i="36"/>
  <c r="Z963" i="36"/>
  <c r="AC963" i="36" s="1"/>
  <c r="AE1076" i="36"/>
  <c r="Z1076" i="36"/>
  <c r="AC1076" i="36" s="1"/>
  <c r="AE600" i="36"/>
  <c r="V603" i="36"/>
  <c r="V604" i="36" s="1"/>
  <c r="AB604" i="36" s="1"/>
  <c r="Z600" i="36"/>
  <c r="AC1083" i="36"/>
  <c r="Z1086" i="36"/>
  <c r="Z1087" i="36" s="1"/>
  <c r="V436" i="36"/>
  <c r="V437" i="36" s="1"/>
  <c r="AB437" i="36" s="1"/>
  <c r="AE433" i="36"/>
  <c r="Z433" i="36"/>
  <c r="AE1395" i="36"/>
  <c r="Z1395" i="36"/>
  <c r="AC1395" i="36" s="1"/>
  <c r="AE1386" i="36"/>
  <c r="Z1386" i="36"/>
  <c r="AE752" i="36"/>
  <c r="Z752" i="36"/>
  <c r="AC752" i="36" s="1"/>
  <c r="Z859" i="36"/>
  <c r="AC859" i="36" s="1"/>
  <c r="AE859" i="36"/>
  <c r="V648" i="36"/>
  <c r="V649" i="36" s="1"/>
  <c r="AB649" i="36" s="1"/>
  <c r="Z645" i="36"/>
  <c r="AE645" i="36"/>
  <c r="AE541" i="36"/>
  <c r="Z541" i="36"/>
  <c r="AC541" i="36" s="1"/>
  <c r="AC1454" i="36"/>
  <c r="AE1334" i="36"/>
  <c r="Z1334" i="36"/>
  <c r="AC1334" i="36" s="1"/>
  <c r="AE1077" i="36"/>
  <c r="Z1077" i="36"/>
  <c r="AC1077" i="36" s="1"/>
  <c r="AE488" i="36"/>
  <c r="Z488" i="36"/>
  <c r="AC488" i="36" s="1"/>
  <c r="S1302" i="36"/>
  <c r="U1302" i="36" s="1"/>
  <c r="S1303" i="36"/>
  <c r="U1303" i="36" s="1"/>
  <c r="Z1296" i="36"/>
  <c r="AC1296" i="36" s="1"/>
  <c r="Z1295" i="36"/>
  <c r="AC1295" i="36" s="1"/>
  <c r="AE1294" i="36"/>
  <c r="V1298" i="36"/>
  <c r="V1299" i="36" s="1"/>
  <c r="AB1299" i="36" s="1"/>
  <c r="Z1294" i="36"/>
  <c r="AE1289" i="36"/>
  <c r="Z1289" i="36"/>
  <c r="AC1289" i="36" s="1"/>
  <c r="AE1288" i="36"/>
  <c r="Z1288" i="36"/>
  <c r="AC1288" i="36" s="1"/>
  <c r="J95" i="36"/>
  <c r="J96" i="36" s="1"/>
  <c r="G99" i="36"/>
  <c r="J840" i="35"/>
  <c r="K840" i="35" s="1"/>
  <c r="J849" i="35"/>
  <c r="K849" i="35" s="1"/>
  <c r="J390" i="35"/>
  <c r="K390" i="35" s="1"/>
  <c r="J771" i="35"/>
  <c r="K771" i="35" s="1"/>
  <c r="J787" i="35"/>
  <c r="K787" i="35" s="1"/>
  <c r="J845" i="35"/>
  <c r="K845" i="35" s="1"/>
  <c r="J847" i="35"/>
  <c r="K847" i="35" s="1"/>
  <c r="J842" i="35"/>
  <c r="K842" i="35" s="1"/>
  <c r="J852" i="35"/>
  <c r="K852" i="35" s="1"/>
  <c r="J850" i="35"/>
  <c r="K850" i="35" s="1"/>
  <c r="J43" i="35"/>
  <c r="K43" i="35" s="1"/>
  <c r="J42" i="35"/>
  <c r="K42" i="35" s="1"/>
  <c r="J593" i="35"/>
  <c r="K593" i="35" s="1"/>
  <c r="J843" i="35"/>
  <c r="K843" i="35" s="1"/>
  <c r="J592" i="35"/>
  <c r="K592" i="35" s="1"/>
  <c r="J784" i="35"/>
  <c r="K784" i="35" s="1"/>
  <c r="J340" i="35"/>
  <c r="K340" i="35" s="1"/>
  <c r="J365" i="35"/>
  <c r="K365" i="35" s="1"/>
  <c r="J591" i="35"/>
  <c r="K591" i="35" s="1"/>
  <c r="J590" i="35"/>
  <c r="K590" i="35" s="1"/>
  <c r="J848" i="35"/>
  <c r="K848" i="35" s="1"/>
  <c r="J846" i="35"/>
  <c r="K846" i="35" s="1"/>
  <c r="J851" i="35"/>
  <c r="K851" i="35" s="1"/>
  <c r="J853" i="35"/>
  <c r="K853" i="35" s="1"/>
  <c r="J841" i="35"/>
  <c r="K841" i="35" s="1"/>
  <c r="J844" i="35"/>
  <c r="K844" i="35" s="1"/>
  <c r="I229" i="35"/>
  <c r="S395" i="36"/>
  <c r="U395" i="36" s="1"/>
  <c r="V395" i="36" s="1"/>
  <c r="S146" i="36"/>
  <c r="U146" i="36" s="1"/>
  <c r="V146" i="36" s="1"/>
  <c r="AE146" i="36" s="1"/>
  <c r="S296" i="36"/>
  <c r="U296" i="36" s="1"/>
  <c r="V296" i="36" s="1"/>
  <c r="AE296" i="36" s="1"/>
  <c r="S246" i="36"/>
  <c r="U246" i="36" s="1"/>
  <c r="V246" i="36" s="1"/>
  <c r="AE246" i="36" s="1"/>
  <c r="S196" i="36"/>
  <c r="U196" i="36" s="1"/>
  <c r="V196" i="36" s="1"/>
  <c r="AE196" i="36" s="1"/>
  <c r="J45" i="36"/>
  <c r="J46" i="36" s="1"/>
  <c r="G49" i="36"/>
  <c r="J647" i="35"/>
  <c r="K647" i="35" s="1"/>
  <c r="J648" i="35"/>
  <c r="K648" i="35" s="1"/>
  <c r="S195" i="36"/>
  <c r="U195" i="36" s="1"/>
  <c r="V195" i="36" s="1"/>
  <c r="S343" i="36"/>
  <c r="U343" i="36" s="1"/>
  <c r="V343" i="36" s="1"/>
  <c r="AE343" i="36" s="1"/>
  <c r="I219" i="35"/>
  <c r="S46" i="36"/>
  <c r="U46" i="36" s="1"/>
  <c r="V46" i="36" s="1"/>
  <c r="AE46" i="36" s="1"/>
  <c r="S96" i="36"/>
  <c r="U96" i="36" s="1"/>
  <c r="V96" i="36" s="1"/>
  <c r="AE96" i="36" s="1"/>
  <c r="S396" i="36"/>
  <c r="U396" i="36" s="1"/>
  <c r="V396" i="36" s="1"/>
  <c r="AE396" i="36" s="1"/>
  <c r="S95" i="36"/>
  <c r="U95" i="36" s="1"/>
  <c r="V95" i="36" s="1"/>
  <c r="AE95" i="36" s="1"/>
  <c r="H62" i="45"/>
  <c r="S245" i="36"/>
  <c r="U245" i="36" s="1"/>
  <c r="V245" i="36" s="1"/>
  <c r="J317" i="35"/>
  <c r="Q369" i="35"/>
  <c r="O369" i="35"/>
  <c r="O227" i="35"/>
  <c r="O221" i="35"/>
  <c r="S45" i="36"/>
  <c r="U45" i="36" s="1"/>
  <c r="V45" i="36" s="1"/>
  <c r="AE45" i="36" s="1"/>
  <c r="S145" i="36"/>
  <c r="U145" i="36" s="1"/>
  <c r="V145" i="36" s="1"/>
  <c r="S295" i="36"/>
  <c r="U295" i="36" s="1"/>
  <c r="V295" i="36" s="1"/>
  <c r="AE136" i="36"/>
  <c r="V141" i="36"/>
  <c r="V142" i="36" s="1"/>
  <c r="I220" i="35"/>
  <c r="S342" i="36"/>
  <c r="U342" i="36" s="1"/>
  <c r="V342" i="36" s="1"/>
  <c r="I231" i="35"/>
  <c r="O228" i="35"/>
  <c r="AE334" i="36"/>
  <c r="O222" i="35"/>
  <c r="H21" i="40"/>
  <c r="J20" i="40"/>
  <c r="H18" i="40"/>
  <c r="J18" i="40" s="1"/>
  <c r="J16" i="40"/>
  <c r="J15" i="40"/>
  <c r="H17" i="40"/>
  <c r="J17" i="40" s="1"/>
  <c r="V241" i="36"/>
  <c r="V242" i="36" s="1"/>
  <c r="V391" i="36"/>
  <c r="V392" i="36" s="1"/>
  <c r="V338" i="36"/>
  <c r="V339" i="36" s="1"/>
  <c r="V191" i="36"/>
  <c r="V192" i="36" s="1"/>
  <c r="J41" i="35"/>
  <c r="K41" i="35" s="1"/>
  <c r="J354" i="35"/>
  <c r="K354" i="35" s="1"/>
  <c r="J120" i="35"/>
  <c r="K120" i="35" s="1"/>
  <c r="J345" i="35"/>
  <c r="K345" i="35" s="1"/>
  <c r="J225" i="35"/>
  <c r="K225" i="35" s="1"/>
  <c r="Q225" i="35" s="1"/>
  <c r="Q511" i="35"/>
  <c r="O511" i="35"/>
  <c r="J327" i="35"/>
  <c r="Y212" i="36"/>
  <c r="J226" i="35"/>
  <c r="K226" i="35" s="1"/>
  <c r="J870" i="35"/>
  <c r="K870" i="35" s="1"/>
  <c r="Q870" i="35" s="1"/>
  <c r="Q44" i="34"/>
  <c r="Q40" i="34"/>
  <c r="Q17" i="34"/>
  <c r="Q74" i="34"/>
  <c r="Q16" i="34"/>
  <c r="Q39" i="34"/>
  <c r="Q77" i="34"/>
  <c r="Q42" i="34"/>
  <c r="Q80" i="34"/>
  <c r="Q71" i="34"/>
  <c r="Q43" i="34"/>
  <c r="Q87" i="34"/>
  <c r="Q83" i="34"/>
  <c r="Q14" i="34"/>
  <c r="Q84" i="34"/>
  <c r="Q81" i="34"/>
  <c r="Q78" i="34"/>
  <c r="Q82" i="34"/>
  <c r="Q76" i="34"/>
  <c r="Q18" i="34"/>
  <c r="Q15" i="34"/>
  <c r="Q73" i="34"/>
  <c r="Q79" i="34"/>
  <c r="Q75" i="34"/>
  <c r="Q72" i="34"/>
  <c r="Q41" i="34"/>
  <c r="Q88" i="34"/>
  <c r="Q85" i="34"/>
  <c r="J694" i="35"/>
  <c r="K694" i="35" s="1"/>
  <c r="O694" i="35" s="1"/>
  <c r="J691" i="35"/>
  <c r="K691" i="35" s="1"/>
  <c r="O691" i="35" s="1"/>
  <c r="J28" i="35"/>
  <c r="K28" i="35" s="1"/>
  <c r="O28" i="35" s="1"/>
  <c r="J550" i="35"/>
  <c r="K550" i="35" s="1"/>
  <c r="Q550" i="35" s="1"/>
  <c r="J348" i="35"/>
  <c r="K348" i="35" s="1"/>
  <c r="J342" i="35"/>
  <c r="K342" i="35" s="1"/>
  <c r="J123" i="35"/>
  <c r="K123" i="35" s="1"/>
  <c r="Q871" i="35"/>
  <c r="O871" i="35"/>
  <c r="O686" i="35"/>
  <c r="Q686" i="35"/>
  <c r="J22" i="35"/>
  <c r="K22" i="35" s="1"/>
  <c r="J875" i="35"/>
  <c r="K875" i="35" s="1"/>
  <c r="J773" i="35"/>
  <c r="K773" i="35" s="1"/>
  <c r="J777" i="35"/>
  <c r="K777" i="35" s="1"/>
  <c r="J565" i="35"/>
  <c r="K565" i="35" s="1"/>
  <c r="J779" i="35"/>
  <c r="K779" i="35" s="1"/>
  <c r="J872" i="35"/>
  <c r="K872" i="35" s="1"/>
  <c r="J780" i="35"/>
  <c r="K780" i="35" s="1"/>
  <c r="J873" i="35"/>
  <c r="K873" i="35" s="1"/>
  <c r="J270" i="35"/>
  <c r="K270" i="35" s="1"/>
  <c r="J874" i="35"/>
  <c r="K874" i="35" s="1"/>
  <c r="J695" i="35"/>
  <c r="K695" i="35" s="1"/>
  <c r="Q567" i="35"/>
  <c r="O567" i="35"/>
  <c r="V1038" i="36" l="1"/>
  <c r="AB1038" i="36"/>
  <c r="V1090" i="36"/>
  <c r="V1093" i="36" s="1"/>
  <c r="V1094" i="36" s="1"/>
  <c r="T1067" i="36" s="1"/>
  <c r="V1067" i="36" s="1"/>
  <c r="AB1090" i="36"/>
  <c r="V1250" i="36"/>
  <c r="AB1250" i="36"/>
  <c r="V820" i="36"/>
  <c r="AB820" i="36"/>
  <c r="T1491" i="36"/>
  <c r="V1491" i="36" s="1"/>
  <c r="V1495" i="36" s="1"/>
  <c r="V1496" i="36" s="1"/>
  <c r="U1520" i="36"/>
  <c r="V873" i="36"/>
  <c r="AB873" i="36"/>
  <c r="V1356" i="36"/>
  <c r="AB1356" i="36"/>
  <c r="V1462" i="36"/>
  <c r="AB1462" i="36"/>
  <c r="V714" i="36"/>
  <c r="AB714" i="36"/>
  <c r="AB1143" i="36"/>
  <c r="V1143" i="36"/>
  <c r="V766" i="36"/>
  <c r="AB766" i="36"/>
  <c r="V767" i="36"/>
  <c r="AB767" i="36"/>
  <c r="AB872" i="36"/>
  <c r="V872" i="36"/>
  <c r="V1570" i="36"/>
  <c r="V1571" i="36" s="1"/>
  <c r="V554" i="36"/>
  <c r="AB554" i="36"/>
  <c r="V930" i="36"/>
  <c r="AB930" i="36"/>
  <c r="V1624" i="36"/>
  <c r="V1625" i="36" s="1"/>
  <c r="V931" i="36"/>
  <c r="AB931" i="36"/>
  <c r="V660" i="36"/>
  <c r="AB660" i="36"/>
  <c r="V448" i="36"/>
  <c r="V451" i="36" s="1"/>
  <c r="V452" i="36" s="1"/>
  <c r="AB448" i="36"/>
  <c r="V1037" i="36"/>
  <c r="AB1037" i="36"/>
  <c r="V607" i="36"/>
  <c r="V610" i="36" s="1"/>
  <c r="V611" i="36" s="1"/>
  <c r="AB611" i="36" s="1"/>
  <c r="AB607" i="36"/>
  <c r="V1355" i="36"/>
  <c r="AB1355" i="36"/>
  <c r="V1408" i="36"/>
  <c r="AB1408" i="36"/>
  <c r="V1196" i="36"/>
  <c r="AB1196" i="36"/>
  <c r="V819" i="36"/>
  <c r="AB819" i="36"/>
  <c r="V985" i="36"/>
  <c r="AB985" i="36"/>
  <c r="V1409" i="36"/>
  <c r="AB1409" i="36"/>
  <c r="V713" i="36"/>
  <c r="AB713" i="36"/>
  <c r="V1461" i="36"/>
  <c r="AB1461" i="36"/>
  <c r="V661" i="36"/>
  <c r="AB661" i="36"/>
  <c r="V984" i="36"/>
  <c r="AB984" i="36"/>
  <c r="V501" i="36"/>
  <c r="AB501" i="36"/>
  <c r="V1249" i="36"/>
  <c r="AB1249" i="36"/>
  <c r="Z1144" i="36"/>
  <c r="Z497" i="36"/>
  <c r="Z498" i="36" s="1"/>
  <c r="AE1144" i="36"/>
  <c r="Z1245" i="36"/>
  <c r="Z1246" i="36" s="1"/>
  <c r="AC495" i="36"/>
  <c r="Z1091" i="36"/>
  <c r="Z1351" i="36"/>
  <c r="Z1352" i="36" s="1"/>
  <c r="AC1190" i="36"/>
  <c r="AC555" i="36"/>
  <c r="Z608" i="36"/>
  <c r="Z1404" i="36"/>
  <c r="Z1405" i="36" s="1"/>
  <c r="Q60" i="1" s="1"/>
  <c r="AC502" i="36"/>
  <c r="Z1033" i="36"/>
  <c r="Z1034" i="36" s="1"/>
  <c r="Q24" i="1" s="1"/>
  <c r="Z656" i="36"/>
  <c r="Z657" i="36" s="1"/>
  <c r="Z436" i="36"/>
  <c r="Z437" i="36" s="1"/>
  <c r="AC797" i="36"/>
  <c r="Z648" i="36"/>
  <c r="Z649" i="36" s="1"/>
  <c r="AC649" i="36" s="1"/>
  <c r="Z815" i="36"/>
  <c r="Z816" i="36" s="1"/>
  <c r="Q20" i="1" s="1"/>
  <c r="Z701" i="36"/>
  <c r="Z702" i="36" s="1"/>
  <c r="AC702" i="36" s="1"/>
  <c r="Z1025" i="36"/>
  <c r="Z1026" i="36" s="1"/>
  <c r="AC1227" i="36"/>
  <c r="AC640" i="36"/>
  <c r="Z754" i="36"/>
  <c r="Z755" i="36" s="1"/>
  <c r="AC755" i="36" s="1"/>
  <c r="AC441" i="36"/>
  <c r="Z444" i="36"/>
  <c r="Z445" i="36" s="1"/>
  <c r="Z1184" i="36"/>
  <c r="Z1185" i="36" s="1"/>
  <c r="AC1185" i="36" s="1"/>
  <c r="AC865" i="36"/>
  <c r="Z868" i="36"/>
  <c r="Z869" i="36" s="1"/>
  <c r="Z603" i="36"/>
  <c r="Z604" i="36" s="1"/>
  <c r="AC600" i="36"/>
  <c r="Z1131" i="36"/>
  <c r="Z1132" i="36" s="1"/>
  <c r="AC1132" i="36" s="1"/>
  <c r="Z709" i="36"/>
  <c r="Z710" i="36" s="1"/>
  <c r="AC706" i="36"/>
  <c r="Z1139" i="36"/>
  <c r="Z1140" i="36" s="1"/>
  <c r="AC1135" i="36"/>
  <c r="AB710" i="36"/>
  <c r="Z489" i="36"/>
  <c r="Z490" i="36" s="1"/>
  <c r="AC490" i="36" s="1"/>
  <c r="AC850" i="36"/>
  <c r="Z1457" i="36"/>
  <c r="Z1458" i="36" s="1"/>
  <c r="Z595" i="36"/>
  <c r="Z596" i="36" s="1"/>
  <c r="AC596" i="36" s="1"/>
  <c r="AC433" i="36"/>
  <c r="Z1078" i="36"/>
  <c r="Z1079" i="36" s="1"/>
  <c r="AC1079" i="36" s="1"/>
  <c r="AE449" i="36"/>
  <c r="Z449" i="36"/>
  <c r="AC1333" i="36"/>
  <c r="AB657" i="36"/>
  <c r="AC961" i="36"/>
  <c r="AC645" i="36"/>
  <c r="AC1386" i="36"/>
  <c r="AC1181" i="36"/>
  <c r="Z550" i="36"/>
  <c r="Z551" i="36" s="1"/>
  <c r="Z542" i="36"/>
  <c r="Z543" i="36" s="1"/>
  <c r="AC543" i="36" s="1"/>
  <c r="AB763" i="36"/>
  <c r="Z972" i="36"/>
  <c r="Z973" i="36" s="1"/>
  <c r="AC973" i="36" s="1"/>
  <c r="AE1197" i="36"/>
  <c r="Z1197" i="36"/>
  <c r="AC759" i="36"/>
  <c r="Z762" i="36"/>
  <c r="Z763" i="36" s="1"/>
  <c r="Z926" i="36"/>
  <c r="Z927" i="36" s="1"/>
  <c r="Q22" i="1" s="1"/>
  <c r="AC923" i="36"/>
  <c r="AC744" i="36"/>
  <c r="Z980" i="36"/>
  <c r="Z981" i="36" s="1"/>
  <c r="AB981" i="36"/>
  <c r="Q58" i="1"/>
  <c r="V1303" i="36"/>
  <c r="AB1303" i="36"/>
  <c r="V1302" i="36"/>
  <c r="AB1302" i="36"/>
  <c r="Z1298" i="36"/>
  <c r="Z1299" i="36" s="1"/>
  <c r="AC1294" i="36"/>
  <c r="H101" i="36"/>
  <c r="Q42" i="35"/>
  <c r="O42" i="35"/>
  <c r="Q846" i="35"/>
  <c r="O846" i="35"/>
  <c r="Q784" i="35"/>
  <c r="O784" i="35"/>
  <c r="Q852" i="35"/>
  <c r="O852" i="35"/>
  <c r="Q771" i="35"/>
  <c r="O771" i="35"/>
  <c r="Q851" i="35"/>
  <c r="O851" i="35"/>
  <c r="Q848" i="35"/>
  <c r="O848" i="35"/>
  <c r="Q592" i="35"/>
  <c r="O592" i="35"/>
  <c r="Q590" i="35"/>
  <c r="O590" i="35"/>
  <c r="Q593" i="35"/>
  <c r="O593" i="35"/>
  <c r="Q844" i="35"/>
  <c r="O844" i="35"/>
  <c r="Q365" i="35"/>
  <c r="O365" i="35"/>
  <c r="Q390" i="35"/>
  <c r="O390" i="35"/>
  <c r="Q847" i="35"/>
  <c r="O847" i="35"/>
  <c r="Q340" i="35"/>
  <c r="O340" i="35"/>
  <c r="Q845" i="35"/>
  <c r="O845" i="35"/>
  <c r="Q43" i="35"/>
  <c r="O43" i="35"/>
  <c r="O849" i="35"/>
  <c r="Q849" i="35"/>
  <c r="Q843" i="35"/>
  <c r="O843" i="35"/>
  <c r="Q853" i="35"/>
  <c r="O853" i="35"/>
  <c r="Q840" i="35"/>
  <c r="O840" i="35"/>
  <c r="Q841" i="35"/>
  <c r="O841" i="35"/>
  <c r="Q591" i="35"/>
  <c r="O591" i="35"/>
  <c r="Q842" i="35"/>
  <c r="O842" i="35"/>
  <c r="Q787" i="35"/>
  <c r="O787" i="35"/>
  <c r="Q850" i="35"/>
  <c r="O850" i="35"/>
  <c r="V298" i="36"/>
  <c r="V299" i="36" s="1"/>
  <c r="T266" i="36" s="1"/>
  <c r="V266" i="36" s="1"/>
  <c r="V248" i="36"/>
  <c r="V249" i="36" s="1"/>
  <c r="T216" i="36" s="1"/>
  <c r="V216" i="36" s="1"/>
  <c r="Z216" i="36" s="1"/>
  <c r="H51" i="36"/>
  <c r="F9" i="42"/>
  <c r="Q647" i="35"/>
  <c r="O647" i="35"/>
  <c r="Q648" i="35"/>
  <c r="O648" i="35"/>
  <c r="V398" i="36"/>
  <c r="V399" i="36" s="1"/>
  <c r="R70" i="34"/>
  <c r="F18" i="42"/>
  <c r="F11" i="42"/>
  <c r="F8" i="42"/>
  <c r="AE342" i="36"/>
  <c r="V345" i="36"/>
  <c r="V346" i="36" s="1"/>
  <c r="AE295" i="36"/>
  <c r="V48" i="36"/>
  <c r="V49" i="36" s="1"/>
  <c r="T16" i="36" s="1"/>
  <c r="V16" i="36" s="1"/>
  <c r="AE16" i="36" s="1"/>
  <c r="AE395" i="36"/>
  <c r="AE245" i="36"/>
  <c r="J21" i="40"/>
  <c r="H22" i="40"/>
  <c r="AE145" i="36"/>
  <c r="V148" i="36"/>
  <c r="V149" i="36" s="1"/>
  <c r="V98" i="36"/>
  <c r="V99" i="36" s="1"/>
  <c r="T66" i="36" s="1"/>
  <c r="V66" i="36" s="1"/>
  <c r="V198" i="36"/>
  <c r="V199" i="36" s="1"/>
  <c r="T166" i="36" s="1"/>
  <c r="V166" i="36" s="1"/>
  <c r="V171" i="36" s="1"/>
  <c r="V172" i="36" s="1"/>
  <c r="AE195" i="36"/>
  <c r="F10" i="42"/>
  <c r="AB242" i="36"/>
  <c r="Q41" i="35"/>
  <c r="O41" i="35"/>
  <c r="Q354" i="35"/>
  <c r="O354" i="35"/>
  <c r="Q120" i="35"/>
  <c r="O120" i="35"/>
  <c r="Q345" i="35"/>
  <c r="O345" i="35"/>
  <c r="O225" i="35"/>
  <c r="Z220" i="36"/>
  <c r="Y239" i="36"/>
  <c r="AB239" i="36" s="1"/>
  <c r="Z231" i="36"/>
  <c r="Y225" i="36"/>
  <c r="AB225" i="36" s="1"/>
  <c r="Z226" i="36"/>
  <c r="Y217" i="36"/>
  <c r="AB217" i="36" s="1"/>
  <c r="Y247" i="36"/>
  <c r="AB247" i="36" s="1"/>
  <c r="Z246" i="36"/>
  <c r="Y229" i="36"/>
  <c r="AB229" i="36" s="1"/>
  <c r="Y230" i="36"/>
  <c r="AB230" i="36" s="1"/>
  <c r="Z247" i="36"/>
  <c r="Y236" i="36"/>
  <c r="AB236" i="36" s="1"/>
  <c r="Z227" i="36"/>
  <c r="Z225" i="36"/>
  <c r="Z218" i="36"/>
  <c r="Y245" i="36"/>
  <c r="AB245" i="36" s="1"/>
  <c r="Y231" i="36"/>
  <c r="AB231" i="36" s="1"/>
  <c r="Z229" i="36"/>
  <c r="Z217" i="36"/>
  <c r="Y227" i="36"/>
  <c r="AB227" i="36" s="1"/>
  <c r="Y240" i="36"/>
  <c r="AB240" i="36" s="1"/>
  <c r="Z240" i="36"/>
  <c r="Z228" i="36"/>
  <c r="Z239" i="36"/>
  <c r="Y219" i="36"/>
  <c r="AB219" i="36" s="1"/>
  <c r="Y218" i="36"/>
  <c r="AB218" i="36" s="1"/>
  <c r="Y246" i="36"/>
  <c r="AB246" i="36" s="1"/>
  <c r="Y228" i="36"/>
  <c r="AB228" i="36" s="1"/>
  <c r="Y226" i="36"/>
  <c r="AB226" i="36" s="1"/>
  <c r="Z219" i="36"/>
  <c r="Y238" i="36"/>
  <c r="AB238" i="36" s="1"/>
  <c r="Z230" i="36"/>
  <c r="Y237" i="36"/>
  <c r="AB237" i="36" s="1"/>
  <c r="Y220" i="36"/>
  <c r="AB220" i="36" s="1"/>
  <c r="AB233" i="36"/>
  <c r="Z236" i="36"/>
  <c r="Z237" i="36"/>
  <c r="Z245" i="36"/>
  <c r="Z238" i="36"/>
  <c r="O870" i="35"/>
  <c r="Q226" i="35"/>
  <c r="O226" i="35"/>
  <c r="R44" i="34"/>
  <c r="R18" i="34"/>
  <c r="R85" i="34"/>
  <c r="R83" i="34"/>
  <c r="R43" i="34"/>
  <c r="R41" i="34"/>
  <c r="R79" i="34"/>
  <c r="R17" i="34"/>
  <c r="R14" i="34"/>
  <c r="R71" i="34"/>
  <c r="R74" i="34"/>
  <c r="R82" i="34"/>
  <c r="R80" i="34"/>
  <c r="R76" i="34"/>
  <c r="R16" i="34"/>
  <c r="R77" i="34"/>
  <c r="R87" i="34"/>
  <c r="R42" i="34"/>
  <c r="R84" i="34"/>
  <c r="R88" i="34"/>
  <c r="R72" i="34"/>
  <c r="R15" i="34"/>
  <c r="R75" i="34"/>
  <c r="R81" i="34"/>
  <c r="R78" i="34"/>
  <c r="R73" i="34"/>
  <c r="F47" i="42"/>
  <c r="F63" i="42"/>
  <c r="H63" i="42" s="1"/>
  <c r="I63" i="42" s="1"/>
  <c r="F60" i="42"/>
  <c r="H60" i="42" s="1"/>
  <c r="I60" i="42" s="1"/>
  <c r="F57" i="42"/>
  <c r="H57" i="42" s="1"/>
  <c r="I57" i="42" s="1"/>
  <c r="F12" i="42"/>
  <c r="H12" i="42" s="1"/>
  <c r="I12" i="42" s="1"/>
  <c r="F54" i="42"/>
  <c r="H54" i="42" s="1"/>
  <c r="I54" i="42" s="1"/>
  <c r="F51" i="42"/>
  <c r="F48" i="42"/>
  <c r="F69" i="42"/>
  <c r="H69" i="42" s="1"/>
  <c r="I69" i="42" s="1"/>
  <c r="F45" i="42"/>
  <c r="F42" i="42"/>
  <c r="F38" i="42"/>
  <c r="H38" i="42" s="1"/>
  <c r="I38" i="42" s="1"/>
  <c r="F61" i="42"/>
  <c r="H61" i="42" s="1"/>
  <c r="I61" i="42" s="1"/>
  <c r="F36" i="42"/>
  <c r="H36" i="42" s="1"/>
  <c r="I36" i="42" s="1"/>
  <c r="F33" i="42"/>
  <c r="H33" i="42" s="1"/>
  <c r="I33" i="42" s="1"/>
  <c r="F30" i="42"/>
  <c r="F52" i="42"/>
  <c r="F28" i="42"/>
  <c r="F25" i="42"/>
  <c r="F21" i="42"/>
  <c r="F34" i="42"/>
  <c r="H34" i="42" s="1"/>
  <c r="I34" i="42" s="1"/>
  <c r="F19" i="42"/>
  <c r="F15" i="42"/>
  <c r="H15" i="42" s="1"/>
  <c r="I15" i="42" s="1"/>
  <c r="F58" i="42"/>
  <c r="H58" i="42" s="1"/>
  <c r="I58" i="42" s="1"/>
  <c r="F14" i="42"/>
  <c r="H14" i="42" s="1"/>
  <c r="I14" i="42" s="1"/>
  <c r="F73" i="42"/>
  <c r="H73" i="42" s="1"/>
  <c r="I73" i="42" s="1"/>
  <c r="F31" i="42"/>
  <c r="F71" i="42"/>
  <c r="H71" i="42" s="1"/>
  <c r="I71" i="42" s="1"/>
  <c r="F68" i="42"/>
  <c r="H68" i="42" s="1"/>
  <c r="I68" i="42" s="1"/>
  <c r="F65" i="42"/>
  <c r="H65" i="42" s="1"/>
  <c r="I65" i="42" s="1"/>
  <c r="P64" i="34"/>
  <c r="Q694" i="35"/>
  <c r="Q691" i="35"/>
  <c r="Q28" i="35"/>
  <c r="O550" i="35"/>
  <c r="O70" i="34"/>
  <c r="Q70" i="34"/>
  <c r="P70" i="34"/>
  <c r="Q780" i="35"/>
  <c r="O780" i="35"/>
  <c r="Q270" i="35"/>
  <c r="O270" i="35"/>
  <c r="Q873" i="35"/>
  <c r="O873" i="35"/>
  <c r="Q875" i="35"/>
  <c r="O875" i="35"/>
  <c r="Q695" i="35"/>
  <c r="O695" i="35"/>
  <c r="Q872" i="35"/>
  <c r="O872" i="35"/>
  <c r="Q779" i="35"/>
  <c r="O779" i="35"/>
  <c r="Q777" i="35"/>
  <c r="O777" i="35"/>
  <c r="O348" i="35"/>
  <c r="Q348" i="35"/>
  <c r="Q874" i="35"/>
  <c r="O874" i="35"/>
  <c r="Q22" i="35"/>
  <c r="O22" i="35"/>
  <c r="Q123" i="35"/>
  <c r="O123" i="35"/>
  <c r="Q565" i="35"/>
  <c r="O565" i="35"/>
  <c r="Q773" i="35"/>
  <c r="O773" i="35"/>
  <c r="Q342" i="35"/>
  <c r="O342" i="35"/>
  <c r="R64" i="34"/>
  <c r="Q64" i="34"/>
  <c r="Z660" i="36" l="1"/>
  <c r="AC660" i="36" s="1"/>
  <c r="V663" i="36"/>
  <c r="V664" i="36" s="1"/>
  <c r="AE660" i="36"/>
  <c r="Z873" i="36"/>
  <c r="AC873" i="36" s="1"/>
  <c r="AE873" i="36"/>
  <c r="G35" i="1"/>
  <c r="H35" i="1" s="1"/>
  <c r="U1526" i="36"/>
  <c r="U1523" i="36"/>
  <c r="U1524" i="36"/>
  <c r="U1525" i="36"/>
  <c r="Z1143" i="36"/>
  <c r="AC1143" i="36" s="1"/>
  <c r="AE1143" i="36"/>
  <c r="AE501" i="36"/>
  <c r="Z501" i="36"/>
  <c r="Z504" i="36" s="1"/>
  <c r="Z505" i="36" s="1"/>
  <c r="V504" i="36"/>
  <c r="V505" i="36" s="1"/>
  <c r="Z1355" i="36"/>
  <c r="AC1355" i="36" s="1"/>
  <c r="V1358" i="36"/>
  <c r="V1359" i="36" s="1"/>
  <c r="AE1355" i="36"/>
  <c r="AE820" i="36"/>
  <c r="Z820" i="36"/>
  <c r="AC820" i="36" s="1"/>
  <c r="AE1196" i="36"/>
  <c r="Z1196" i="36"/>
  <c r="Z1199" i="36" s="1"/>
  <c r="Z1200" i="36" s="1"/>
  <c r="Z1249" i="36"/>
  <c r="AC1249" i="36" s="1"/>
  <c r="AE1249" i="36"/>
  <c r="V1252" i="36"/>
  <c r="V1253" i="36" s="1"/>
  <c r="AE931" i="36"/>
  <c r="Z931" i="36"/>
  <c r="AC931" i="36" s="1"/>
  <c r="Z930" i="36"/>
  <c r="V933" i="36"/>
  <c r="V934" i="36" s="1"/>
  <c r="AE930" i="36"/>
  <c r="V1199" i="36"/>
  <c r="V1200" i="36" s="1"/>
  <c r="AB1200" i="36" s="1"/>
  <c r="AE984" i="36"/>
  <c r="V987" i="36"/>
  <c r="V988" i="36" s="1"/>
  <c r="Z984" i="36"/>
  <c r="Z985" i="36"/>
  <c r="AC985" i="36" s="1"/>
  <c r="AE985" i="36"/>
  <c r="AE607" i="36"/>
  <c r="Z607" i="36"/>
  <c r="Z610" i="36" s="1"/>
  <c r="Z611" i="36" s="1"/>
  <c r="AC611" i="36" s="1"/>
  <c r="AE714" i="36"/>
  <c r="Z714" i="36"/>
  <c r="AC714" i="36" s="1"/>
  <c r="AE1250" i="36"/>
  <c r="Z1250" i="36"/>
  <c r="Z766" i="36"/>
  <c r="V769" i="36"/>
  <c r="V770" i="36" s="1"/>
  <c r="AE766" i="36"/>
  <c r="Z1409" i="36"/>
  <c r="AC1409" i="36" s="1"/>
  <c r="AE1409" i="36"/>
  <c r="Z554" i="36"/>
  <c r="Z557" i="36" s="1"/>
  <c r="Z558" i="36" s="1"/>
  <c r="AE554" i="36"/>
  <c r="V557" i="36"/>
  <c r="V558" i="36" s="1"/>
  <c r="T1596" i="36"/>
  <c r="V1596" i="36" s="1"/>
  <c r="V1600" i="36" s="1"/>
  <c r="V1601" i="36" s="1"/>
  <c r="U1627" i="36" s="1"/>
  <c r="AE661" i="36"/>
  <c r="Z661" i="36"/>
  <c r="AC661" i="36" s="1"/>
  <c r="V822" i="36"/>
  <c r="V823" i="36" s="1"/>
  <c r="AE819" i="36"/>
  <c r="Z819" i="36"/>
  <c r="Z1037" i="36"/>
  <c r="AC1037" i="36" s="1"/>
  <c r="V1040" i="36"/>
  <c r="V1041" i="36" s="1"/>
  <c r="AE1037" i="36"/>
  <c r="T1544" i="36"/>
  <c r="V1544" i="36" s="1"/>
  <c r="V1548" i="36" s="1"/>
  <c r="V1549" i="36" s="1"/>
  <c r="U1573" i="36" s="1"/>
  <c r="AE1462" i="36"/>
  <c r="Z1462" i="36"/>
  <c r="AC1462" i="36" s="1"/>
  <c r="AE1090" i="36"/>
  <c r="Z1090" i="36"/>
  <c r="Z1093" i="36" s="1"/>
  <c r="Z1094" i="36" s="1"/>
  <c r="Z713" i="36"/>
  <c r="AC713" i="36" s="1"/>
  <c r="V716" i="36"/>
  <c r="V717" i="36" s="1"/>
  <c r="AE713" i="36"/>
  <c r="V1146" i="36"/>
  <c r="V1147" i="36" s="1"/>
  <c r="V875" i="36"/>
  <c r="V876" i="36" s="1"/>
  <c r="Z872" i="36"/>
  <c r="AE872" i="36"/>
  <c r="AE767" i="36"/>
  <c r="Z767" i="36"/>
  <c r="AC767" i="36" s="1"/>
  <c r="Z1408" i="36"/>
  <c r="AC1408" i="36" s="1"/>
  <c r="V1411" i="36"/>
  <c r="V1412" i="36" s="1"/>
  <c r="AE1408" i="36"/>
  <c r="V1464" i="36"/>
  <c r="V1465" i="36" s="1"/>
  <c r="AE1461" i="36"/>
  <c r="Z1461" i="36"/>
  <c r="Z448" i="36"/>
  <c r="Z451" i="36" s="1"/>
  <c r="Z452" i="36" s="1"/>
  <c r="AE448" i="36"/>
  <c r="Z1356" i="36"/>
  <c r="AC1356" i="36" s="1"/>
  <c r="AE1356" i="36"/>
  <c r="Z1038" i="36"/>
  <c r="AC1038" i="36" s="1"/>
  <c r="AE1038" i="36"/>
  <c r="AC437" i="36"/>
  <c r="AC1144" i="36"/>
  <c r="AB1094" i="36"/>
  <c r="T372" i="36"/>
  <c r="V372" i="36" s="1"/>
  <c r="V376" i="36" s="1"/>
  <c r="V377" i="36" s="1"/>
  <c r="U401" i="36" s="1"/>
  <c r="AC608" i="36"/>
  <c r="AC1091" i="36"/>
  <c r="T584" i="36"/>
  <c r="V584" i="36" s="1"/>
  <c r="AE584" i="36" s="1"/>
  <c r="Q23" i="1"/>
  <c r="AC1026" i="36"/>
  <c r="P24" i="1"/>
  <c r="AB452" i="36"/>
  <c r="T425" i="36"/>
  <c r="V425" i="36" s="1"/>
  <c r="AC1197" i="36"/>
  <c r="Z1067" i="36"/>
  <c r="Z1071" i="36" s="1"/>
  <c r="Z1072" i="36" s="1"/>
  <c r="AE1067" i="36"/>
  <c r="V1071" i="36"/>
  <c r="V1072" i="36" s="1"/>
  <c r="AC449" i="36"/>
  <c r="R39" i="34"/>
  <c r="V1305" i="36"/>
  <c r="V1306" i="36" s="1"/>
  <c r="T1279" i="36" s="1"/>
  <c r="V1279" i="36" s="1"/>
  <c r="AE1302" i="36"/>
  <c r="Z1302" i="36"/>
  <c r="AE1303" i="36"/>
  <c r="Z1303" i="36"/>
  <c r="AC1303" i="36" s="1"/>
  <c r="AE216" i="36"/>
  <c r="V221" i="36"/>
  <c r="V222" i="36" s="1"/>
  <c r="AB222" i="36" s="1"/>
  <c r="AB249" i="36"/>
  <c r="T316" i="36"/>
  <c r="V316" i="36" s="1"/>
  <c r="V321" i="36" s="1"/>
  <c r="V322" i="36" s="1"/>
  <c r="U348" i="36" s="1"/>
  <c r="V21" i="36"/>
  <c r="V22" i="36" s="1"/>
  <c r="U51" i="36" s="1"/>
  <c r="J22" i="40"/>
  <c r="H23" i="40"/>
  <c r="J23" i="40" s="1"/>
  <c r="T116" i="36"/>
  <c r="V116" i="36" s="1"/>
  <c r="AE166" i="36"/>
  <c r="Q63" i="34"/>
  <c r="AC226" i="36"/>
  <c r="M70" i="34"/>
  <c r="K70" i="34" s="1"/>
  <c r="AC220" i="36"/>
  <c r="AC217" i="36"/>
  <c r="AC237" i="36"/>
  <c r="AC247" i="36"/>
  <c r="AC238" i="36"/>
  <c r="Z221" i="36"/>
  <c r="Z222" i="36" s="1"/>
  <c r="AC231" i="36"/>
  <c r="AC245" i="36"/>
  <c r="AC228" i="36"/>
  <c r="AC227" i="36"/>
  <c r="Z248" i="36"/>
  <c r="Z249" i="36" s="1"/>
  <c r="Z232" i="36"/>
  <c r="Z233" i="36" s="1"/>
  <c r="AC233" i="36" s="1"/>
  <c r="AC240" i="36"/>
  <c r="AC236" i="36"/>
  <c r="Z241" i="36"/>
  <c r="Z242" i="36" s="1"/>
  <c r="AC225" i="36"/>
  <c r="AC246" i="36"/>
  <c r="AC218" i="36"/>
  <c r="AC230" i="36"/>
  <c r="AC239" i="36"/>
  <c r="AC219" i="36"/>
  <c r="AC229" i="36"/>
  <c r="F74" i="42"/>
  <c r="H74" i="42" s="1"/>
  <c r="I74" i="42" s="1"/>
  <c r="F44" i="42"/>
  <c r="F62" i="42"/>
  <c r="H62" i="42" s="1"/>
  <c r="I62" i="42" s="1"/>
  <c r="F49" i="42"/>
  <c r="F66" i="42"/>
  <c r="H66" i="42" s="1"/>
  <c r="I66" i="42" s="1"/>
  <c r="F37" i="42"/>
  <c r="H37" i="42" s="1"/>
  <c r="I37" i="42" s="1"/>
  <c r="F64" i="42"/>
  <c r="H64" i="42" s="1"/>
  <c r="I64" i="42" s="1"/>
  <c r="F29" i="42"/>
  <c r="F32" i="42"/>
  <c r="F50" i="42"/>
  <c r="F26" i="42"/>
  <c r="F41" i="42"/>
  <c r="F43" i="42"/>
  <c r="F13" i="42"/>
  <c r="H13" i="42" s="1"/>
  <c r="I13" i="42" s="1"/>
  <c r="F22" i="42"/>
  <c r="F35" i="42"/>
  <c r="H35" i="42" s="1"/>
  <c r="I35" i="42" s="1"/>
  <c r="F40" i="42"/>
  <c r="F53" i="42"/>
  <c r="F75" i="42"/>
  <c r="H75" i="42" s="1"/>
  <c r="I75" i="42" s="1"/>
  <c r="F76" i="42"/>
  <c r="F72" i="42"/>
  <c r="H72" i="42" s="1"/>
  <c r="I72" i="42" s="1"/>
  <c r="F20" i="42"/>
  <c r="F70" i="42"/>
  <c r="H70" i="42" s="1"/>
  <c r="I70" i="42" s="1"/>
  <c r="F56" i="42"/>
  <c r="F23" i="42"/>
  <c r="F16" i="42"/>
  <c r="H16" i="42" s="1"/>
  <c r="I16" i="42" s="1"/>
  <c r="F67" i="42"/>
  <c r="H67" i="42" s="1"/>
  <c r="I67" i="42" s="1"/>
  <c r="F59" i="42"/>
  <c r="H59" i="42" s="1"/>
  <c r="I59" i="42" s="1"/>
  <c r="F27" i="42"/>
  <c r="M72" i="34"/>
  <c r="K72" i="34" s="1"/>
  <c r="M87" i="34"/>
  <c r="K87" i="34" s="1"/>
  <c r="M71" i="34"/>
  <c r="K71" i="34" s="1"/>
  <c r="M74" i="34"/>
  <c r="K74" i="34" s="1"/>
  <c r="M81" i="34"/>
  <c r="K81" i="34" s="1"/>
  <c r="M79" i="34"/>
  <c r="K79" i="34" s="1"/>
  <c r="M77" i="34"/>
  <c r="K77" i="34" s="1"/>
  <c r="M14" i="34"/>
  <c r="K14" i="34" s="1"/>
  <c r="M82" i="34"/>
  <c r="K82" i="34" s="1"/>
  <c r="M15" i="34"/>
  <c r="K15" i="34" s="1"/>
  <c r="M73" i="34"/>
  <c r="K73" i="34" s="1"/>
  <c r="M42" i="34"/>
  <c r="K42" i="34" s="1"/>
  <c r="M88" i="34"/>
  <c r="K88" i="34" s="1"/>
  <c r="M75" i="34"/>
  <c r="K75" i="34" s="1"/>
  <c r="M78" i="34"/>
  <c r="K78" i="34" s="1"/>
  <c r="M76" i="34"/>
  <c r="K76" i="34" s="1"/>
  <c r="M84" i="34"/>
  <c r="K84" i="34" s="1"/>
  <c r="M17" i="34"/>
  <c r="K17" i="34" s="1"/>
  <c r="M16" i="34"/>
  <c r="K16" i="34" s="1"/>
  <c r="M85" i="34"/>
  <c r="K85" i="34" s="1"/>
  <c r="M44" i="34"/>
  <c r="K44" i="34" s="1"/>
  <c r="M83" i="34"/>
  <c r="K83" i="34" s="1"/>
  <c r="M41" i="34"/>
  <c r="K41" i="34" s="1"/>
  <c r="M43" i="34"/>
  <c r="K43" i="34" s="1"/>
  <c r="M80" i="34"/>
  <c r="K80" i="34" s="1"/>
  <c r="M18" i="34"/>
  <c r="K18" i="34" s="1"/>
  <c r="S70" i="34"/>
  <c r="U201" i="36"/>
  <c r="I326" i="35" s="1"/>
  <c r="U1236" i="36" s="1"/>
  <c r="R63" i="34"/>
  <c r="V271" i="36"/>
  <c r="V272" i="36" s="1"/>
  <c r="AE266" i="36"/>
  <c r="V71" i="36"/>
  <c r="V72" i="36" s="1"/>
  <c r="AE66" i="36"/>
  <c r="AC501" i="36" l="1"/>
  <c r="AC1090" i="36"/>
  <c r="Z987" i="36"/>
  <c r="Z988" i="36" s="1"/>
  <c r="R23" i="1" s="1"/>
  <c r="Z1252" i="36"/>
  <c r="Z1253" i="36" s="1"/>
  <c r="Z1464" i="36"/>
  <c r="Z1465" i="36" s="1"/>
  <c r="AC1196" i="36"/>
  <c r="Z1146" i="36"/>
  <c r="Z1147" i="36" s="1"/>
  <c r="AE372" i="36"/>
  <c r="AC448" i="36"/>
  <c r="Z933" i="36"/>
  <c r="Z934" i="36" s="1"/>
  <c r="T1173" i="36"/>
  <c r="V1173" i="36" s="1"/>
  <c r="AE1173" i="36" s="1"/>
  <c r="Z663" i="36"/>
  <c r="Z664" i="36" s="1"/>
  <c r="G43" i="1"/>
  <c r="H43" i="1" s="1"/>
  <c r="U1633" i="36"/>
  <c r="U1630" i="36"/>
  <c r="U1631" i="36"/>
  <c r="U1632" i="36"/>
  <c r="G42" i="1"/>
  <c r="H42" i="1" s="1"/>
  <c r="U1577" i="36"/>
  <c r="U1579" i="36"/>
  <c r="U1576" i="36"/>
  <c r="U1578" i="36"/>
  <c r="T690" i="36"/>
  <c r="V690" i="36" s="1"/>
  <c r="AB717" i="36"/>
  <c r="Z822" i="36"/>
  <c r="Z823" i="36" s="1"/>
  <c r="R20" i="1" s="1"/>
  <c r="AC607" i="36"/>
  <c r="T531" i="36"/>
  <c r="V531" i="36" s="1"/>
  <c r="AB558" i="36"/>
  <c r="AC558" i="36" s="1"/>
  <c r="T743" i="36"/>
  <c r="V743" i="36" s="1"/>
  <c r="AB770" i="36"/>
  <c r="U1527" i="36"/>
  <c r="U1529" i="36" s="1"/>
  <c r="AC1094" i="36"/>
  <c r="T1438" i="36"/>
  <c r="V1438" i="36" s="1"/>
  <c r="AB1465" i="36"/>
  <c r="T796" i="36"/>
  <c r="V796" i="36" s="1"/>
  <c r="AB823" i="36"/>
  <c r="Z769" i="36"/>
  <c r="Z770" i="36" s="1"/>
  <c r="AC984" i="36"/>
  <c r="AC930" i="36"/>
  <c r="AB1147" i="36"/>
  <c r="T1120" i="36"/>
  <c r="V1120" i="36" s="1"/>
  <c r="T637" i="36"/>
  <c r="V637" i="36" s="1"/>
  <c r="AB664" i="36"/>
  <c r="Z1358" i="36"/>
  <c r="Z1359" i="36" s="1"/>
  <c r="AC1461" i="36"/>
  <c r="Z716" i="36"/>
  <c r="Z717" i="36" s="1"/>
  <c r="AC1250" i="36"/>
  <c r="AC872" i="36"/>
  <c r="Z875" i="36"/>
  <c r="Z876" i="36" s="1"/>
  <c r="AB1359" i="36"/>
  <c r="T1332" i="36"/>
  <c r="V1332" i="36" s="1"/>
  <c r="AB505" i="36"/>
  <c r="AC505" i="36" s="1"/>
  <c r="T478" i="36"/>
  <c r="V478" i="36" s="1"/>
  <c r="Z1096" i="36"/>
  <c r="Z1099" i="36" s="1"/>
  <c r="T960" i="36"/>
  <c r="V960" i="36" s="1"/>
  <c r="AB988" i="36"/>
  <c r="AB876" i="36"/>
  <c r="T849" i="36"/>
  <c r="V849" i="36" s="1"/>
  <c r="AC819" i="36"/>
  <c r="AB1253" i="36"/>
  <c r="T1226" i="36"/>
  <c r="V1226" i="36" s="1"/>
  <c r="Z1040" i="36"/>
  <c r="Z1041" i="36" s="1"/>
  <c r="AB1412" i="36"/>
  <c r="T1385" i="36"/>
  <c r="V1385" i="36" s="1"/>
  <c r="AC766" i="36"/>
  <c r="T1014" i="36"/>
  <c r="V1014" i="36" s="1"/>
  <c r="AB1041" i="36"/>
  <c r="Z1411" i="36"/>
  <c r="Z1412" i="36" s="1"/>
  <c r="AC554" i="36"/>
  <c r="T902" i="36"/>
  <c r="V902" i="36" s="1"/>
  <c r="AB934" i="36"/>
  <c r="G11" i="1"/>
  <c r="G12" i="1"/>
  <c r="G55" i="1"/>
  <c r="H55" i="1" s="1"/>
  <c r="V1236" i="36"/>
  <c r="AB1236" i="36"/>
  <c r="G54" i="1"/>
  <c r="H54" i="1" s="1"/>
  <c r="Z584" i="36"/>
  <c r="Z588" i="36" s="1"/>
  <c r="Z589" i="36" s="1"/>
  <c r="Z613" i="36" s="1"/>
  <c r="Z617" i="36" s="1"/>
  <c r="V588" i="36"/>
  <c r="V589" i="36" s="1"/>
  <c r="AB589" i="36" s="1"/>
  <c r="AB1072" i="36"/>
  <c r="U1096" i="36"/>
  <c r="M56" i="1" s="1"/>
  <c r="K56" i="1" s="1"/>
  <c r="AC1200" i="36"/>
  <c r="V429" i="36"/>
  <c r="V430" i="36" s="1"/>
  <c r="AE425" i="36"/>
  <c r="Z425" i="36"/>
  <c r="Z429" i="36" s="1"/>
  <c r="Z430" i="36" s="1"/>
  <c r="AC452" i="36"/>
  <c r="U1394" i="36"/>
  <c r="V1394" i="36" s="1"/>
  <c r="U1447" i="36"/>
  <c r="AE1279" i="36"/>
  <c r="Z1279" i="36"/>
  <c r="Z1305" i="36"/>
  <c r="Z1306" i="36" s="1"/>
  <c r="R40" i="34"/>
  <c r="AB1306" i="36"/>
  <c r="AC1302" i="36"/>
  <c r="U251" i="36"/>
  <c r="I327" i="35" s="1"/>
  <c r="K327" i="35" s="1"/>
  <c r="O327" i="35" s="1"/>
  <c r="AC249" i="36"/>
  <c r="M11" i="45"/>
  <c r="AE316" i="36"/>
  <c r="I320" i="35"/>
  <c r="U1235" i="36" s="1"/>
  <c r="J25" i="40"/>
  <c r="J27" i="40" s="1"/>
  <c r="J36" i="40" s="1"/>
  <c r="AE116" i="36"/>
  <c r="V121" i="36"/>
  <c r="V122" i="36" s="1"/>
  <c r="Z251" i="36"/>
  <c r="N76" i="34"/>
  <c r="L76" i="34" s="1"/>
  <c r="N84" i="34"/>
  <c r="L84" i="34" s="1"/>
  <c r="N82" i="34"/>
  <c r="L82" i="34" s="1"/>
  <c r="N44" i="34"/>
  <c r="L44" i="34" s="1"/>
  <c r="N77" i="34"/>
  <c r="L77" i="34" s="1"/>
  <c r="N17" i="34"/>
  <c r="L17" i="34" s="1"/>
  <c r="N15" i="34"/>
  <c r="L15" i="34" s="1"/>
  <c r="N43" i="34"/>
  <c r="L43" i="34" s="1"/>
  <c r="N75" i="34"/>
  <c r="L75" i="34" s="1"/>
  <c r="N73" i="34"/>
  <c r="L73" i="34" s="1"/>
  <c r="N72" i="34"/>
  <c r="L72" i="34" s="1"/>
  <c r="N80" i="34"/>
  <c r="L80" i="34" s="1"/>
  <c r="N18" i="34"/>
  <c r="L18" i="34" s="1"/>
  <c r="N42" i="34"/>
  <c r="L42" i="34" s="1"/>
  <c r="N71" i="34"/>
  <c r="L71" i="34" s="1"/>
  <c r="N83" i="34"/>
  <c r="L83" i="34" s="1"/>
  <c r="N78" i="34"/>
  <c r="L78" i="34" s="1"/>
  <c r="N79" i="34"/>
  <c r="L79" i="34" s="1"/>
  <c r="N81" i="34"/>
  <c r="L81" i="34" s="1"/>
  <c r="N88" i="34"/>
  <c r="L88" i="34" s="1"/>
  <c r="N85" i="34"/>
  <c r="L85" i="34" s="1"/>
  <c r="N16" i="34"/>
  <c r="L16" i="34" s="1"/>
  <c r="N14" i="34"/>
  <c r="L14" i="34" s="1"/>
  <c r="N41" i="34"/>
  <c r="L41" i="34" s="1"/>
  <c r="N74" i="34"/>
  <c r="L74" i="34" s="1"/>
  <c r="N87" i="34"/>
  <c r="L87" i="34" s="1"/>
  <c r="N70" i="34"/>
  <c r="L70" i="34" s="1"/>
  <c r="AC222" i="36"/>
  <c r="AB251" i="36"/>
  <c r="U301" i="36"/>
  <c r="I328" i="35" s="1"/>
  <c r="O64" i="34"/>
  <c r="S64" i="34" s="1"/>
  <c r="M13" i="34"/>
  <c r="O63" i="34"/>
  <c r="U101" i="36"/>
  <c r="I323" i="35" s="1"/>
  <c r="AC934" i="36" l="1"/>
  <c r="AC1253" i="36"/>
  <c r="AC1465" i="36"/>
  <c r="AC876" i="36"/>
  <c r="Z1173" i="36"/>
  <c r="Z1177" i="36" s="1"/>
  <c r="Z1178" i="36" s="1"/>
  <c r="Z1202" i="36" s="1"/>
  <c r="Z1207" i="36" s="1"/>
  <c r="Z1208" i="36" s="1"/>
  <c r="V1177" i="36"/>
  <c r="V1178" i="36" s="1"/>
  <c r="AB1178" i="36" s="1"/>
  <c r="AC1147" i="36"/>
  <c r="AC1412" i="36"/>
  <c r="AC1359" i="36"/>
  <c r="AC823" i="36"/>
  <c r="Z1100" i="36"/>
  <c r="AE1332" i="36"/>
  <c r="Z1332" i="36"/>
  <c r="Z1336" i="36" s="1"/>
  <c r="Z1337" i="36" s="1"/>
  <c r="V1336" i="36"/>
  <c r="V1337" i="36" s="1"/>
  <c r="AB1337" i="36" s="1"/>
  <c r="AE743" i="36"/>
  <c r="Z743" i="36"/>
  <c r="Z747" i="36" s="1"/>
  <c r="Z748" i="36" s="1"/>
  <c r="Z772" i="36" s="1"/>
  <c r="V747" i="36"/>
  <c r="V748" i="36" s="1"/>
  <c r="AC664" i="36"/>
  <c r="Z902" i="36"/>
  <c r="Z906" i="36" s="1"/>
  <c r="Z907" i="36" s="1"/>
  <c r="AE902" i="36"/>
  <c r="V906" i="36"/>
  <c r="V907" i="36" s="1"/>
  <c r="AB907" i="36" s="1"/>
  <c r="Z1385" i="36"/>
  <c r="Z1389" i="36" s="1"/>
  <c r="Z1390" i="36" s="1"/>
  <c r="AE1385" i="36"/>
  <c r="V1389" i="36"/>
  <c r="V1390" i="36" s="1"/>
  <c r="AB1390" i="36" s="1"/>
  <c r="AE531" i="36"/>
  <c r="Z531" i="36"/>
  <c r="Z535" i="36" s="1"/>
  <c r="Z536" i="36" s="1"/>
  <c r="Z560" i="36" s="1"/>
  <c r="V535" i="36"/>
  <c r="V536" i="36" s="1"/>
  <c r="Z849" i="36"/>
  <c r="Z853" i="36" s="1"/>
  <c r="Z854" i="36" s="1"/>
  <c r="AE849" i="36"/>
  <c r="V853" i="36"/>
  <c r="V854" i="36" s="1"/>
  <c r="AB854" i="36" s="1"/>
  <c r="U1634" i="36"/>
  <c r="U1636" i="36" s="1"/>
  <c r="AE478" i="36"/>
  <c r="V482" i="36"/>
  <c r="V483" i="36" s="1"/>
  <c r="Z478" i="36"/>
  <c r="Z482" i="36" s="1"/>
  <c r="Z483" i="36" s="1"/>
  <c r="Z507" i="36" s="1"/>
  <c r="AE637" i="36"/>
  <c r="Z637" i="36"/>
  <c r="Z641" i="36" s="1"/>
  <c r="Z642" i="36" s="1"/>
  <c r="Z666" i="36" s="1"/>
  <c r="V641" i="36"/>
  <c r="V642" i="36" s="1"/>
  <c r="U1580" i="36"/>
  <c r="U1582" i="36" s="1"/>
  <c r="Z1101" i="36"/>
  <c r="Z1102" i="36" s="1"/>
  <c r="V1124" i="36"/>
  <c r="V1125" i="36" s="1"/>
  <c r="Z1120" i="36"/>
  <c r="Z1124" i="36" s="1"/>
  <c r="Z1125" i="36" s="1"/>
  <c r="Z1149" i="36" s="1"/>
  <c r="AE1120" i="36"/>
  <c r="AC770" i="36"/>
  <c r="Z1226" i="36"/>
  <c r="Z1230" i="36" s="1"/>
  <c r="Z1231" i="36" s="1"/>
  <c r="AE1226" i="36"/>
  <c r="V1230" i="36"/>
  <c r="V1231" i="36" s="1"/>
  <c r="AB1231" i="36" s="1"/>
  <c r="AE796" i="36"/>
  <c r="Z796" i="36"/>
  <c r="Z800" i="36" s="1"/>
  <c r="Z801" i="36" s="1"/>
  <c r="O20" i="1" s="1"/>
  <c r="V800" i="36"/>
  <c r="V801" i="36" s="1"/>
  <c r="AB801" i="36" s="1"/>
  <c r="Z960" i="36"/>
  <c r="Z964" i="36" s="1"/>
  <c r="Z965" i="36" s="1"/>
  <c r="AE960" i="36"/>
  <c r="V964" i="36"/>
  <c r="V965" i="36" s="1"/>
  <c r="AC717" i="36"/>
  <c r="Z1014" i="36"/>
  <c r="Z1018" i="36" s="1"/>
  <c r="Z1019" i="36" s="1"/>
  <c r="Z1043" i="36" s="1"/>
  <c r="AE1014" i="36"/>
  <c r="V1018" i="36"/>
  <c r="V1019" i="36" s="1"/>
  <c r="AC1041" i="36"/>
  <c r="AC988" i="36"/>
  <c r="AE1438" i="36"/>
  <c r="Z1438" i="36"/>
  <c r="Z1442" i="36" s="1"/>
  <c r="Z1443" i="36" s="1"/>
  <c r="V1442" i="36"/>
  <c r="V1443" i="36" s="1"/>
  <c r="AB1443" i="36" s="1"/>
  <c r="Z690" i="36"/>
  <c r="Z694" i="36" s="1"/>
  <c r="Z695" i="36" s="1"/>
  <c r="AE690" i="36"/>
  <c r="V694" i="36"/>
  <c r="V695" i="36" s="1"/>
  <c r="Z454" i="36"/>
  <c r="Z457" i="36" s="1"/>
  <c r="H11" i="1"/>
  <c r="G33" i="1"/>
  <c r="H33" i="1" s="1"/>
  <c r="AE1236" i="36"/>
  <c r="Z1236" i="36"/>
  <c r="AC1236" i="36" s="1"/>
  <c r="V1235" i="36"/>
  <c r="AB1235" i="36"/>
  <c r="U910" i="36"/>
  <c r="AB910" i="36" s="1"/>
  <c r="U805" i="36"/>
  <c r="Z616" i="36"/>
  <c r="Z618" i="36"/>
  <c r="Z619" i="36" s="1"/>
  <c r="U613" i="36"/>
  <c r="U617" i="36" s="1"/>
  <c r="AC589" i="36"/>
  <c r="AB613" i="36"/>
  <c r="AC613" i="36" s="1"/>
  <c r="U1101" i="36"/>
  <c r="U1102" i="36"/>
  <c r="U1099" i="36"/>
  <c r="U1100" i="36"/>
  <c r="AC1072" i="36"/>
  <c r="AB1096" i="36"/>
  <c r="AC1096" i="36" s="1"/>
  <c r="AB430" i="36"/>
  <c r="U454" i="36"/>
  <c r="AB1394" i="36"/>
  <c r="U1393" i="36"/>
  <c r="V1393" i="36" s="1"/>
  <c r="U1446" i="36"/>
  <c r="V1447" i="36"/>
  <c r="AB1447" i="36"/>
  <c r="AE1394" i="36"/>
  <c r="Z1394" i="36"/>
  <c r="U1234" i="36"/>
  <c r="V1234" i="36" s="1"/>
  <c r="U1340" i="36"/>
  <c r="R60" i="1"/>
  <c r="R22" i="1"/>
  <c r="R58" i="1"/>
  <c r="U857" i="36"/>
  <c r="V857" i="36" s="1"/>
  <c r="U911" i="36"/>
  <c r="U804" i="36"/>
  <c r="AC1306" i="36"/>
  <c r="R24" i="1"/>
  <c r="V1283" i="36"/>
  <c r="V1284" i="36" s="1"/>
  <c r="AB1284" i="36" s="1"/>
  <c r="Z1283" i="36"/>
  <c r="Z1284" i="36" s="1"/>
  <c r="P58" i="1"/>
  <c r="U1287" i="36"/>
  <c r="M26" i="45"/>
  <c r="M21" i="45"/>
  <c r="M50" i="45"/>
  <c r="M12" i="45"/>
  <c r="J37" i="40"/>
  <c r="J38" i="40" s="1"/>
  <c r="U151" i="36"/>
  <c r="I324" i="35" s="1"/>
  <c r="AC251" i="36"/>
  <c r="Q327" i="35"/>
  <c r="U353" i="36"/>
  <c r="U354" i="36"/>
  <c r="U351" i="36"/>
  <c r="U352" i="36"/>
  <c r="M10" i="34"/>
  <c r="M64" i="34"/>
  <c r="K64" i="34" s="1"/>
  <c r="P63" i="34"/>
  <c r="S63" i="34" s="1"/>
  <c r="U404" i="36"/>
  <c r="U405" i="36"/>
  <c r="U407" i="36"/>
  <c r="U406" i="36"/>
  <c r="M11" i="34"/>
  <c r="M26" i="34"/>
  <c r="O58" i="1" l="1"/>
  <c r="S58" i="1" s="1"/>
  <c r="Z1206" i="36"/>
  <c r="Z1103" i="36"/>
  <c r="Z1105" i="36" s="1"/>
  <c r="U1202" i="36"/>
  <c r="U1206" i="36" s="1"/>
  <c r="Z1205" i="36"/>
  <c r="AC907" i="36"/>
  <c r="O24" i="1"/>
  <c r="S24" i="1" s="1"/>
  <c r="AC801" i="36"/>
  <c r="Z1046" i="36"/>
  <c r="Z1047" i="36"/>
  <c r="Z1048" i="36"/>
  <c r="Z1049" i="36" s="1"/>
  <c r="Z777" i="36"/>
  <c r="Z778" i="36" s="1"/>
  <c r="Z776" i="36"/>
  <c r="Z775" i="36"/>
  <c r="AB965" i="36"/>
  <c r="AB990" i="36" s="1"/>
  <c r="U990" i="36"/>
  <c r="U560" i="36"/>
  <c r="AB536" i="36"/>
  <c r="AB748" i="36"/>
  <c r="U772" i="36"/>
  <c r="Z564" i="36"/>
  <c r="Z565" i="36"/>
  <c r="Z566" i="36" s="1"/>
  <c r="Z563" i="36"/>
  <c r="AB1019" i="36"/>
  <c r="U1043" i="36"/>
  <c r="AC1337" i="36"/>
  <c r="Z1154" i="36"/>
  <c r="Z1155" i="36" s="1"/>
  <c r="Z1152" i="36"/>
  <c r="Z1153" i="36"/>
  <c r="AC854" i="36"/>
  <c r="Z511" i="36"/>
  <c r="Z510" i="36"/>
  <c r="Z512" i="36"/>
  <c r="Z513" i="36" s="1"/>
  <c r="AC1390" i="36"/>
  <c r="AB695" i="36"/>
  <c r="AB719" i="36" s="1"/>
  <c r="U719" i="36"/>
  <c r="AC1231" i="36"/>
  <c r="AB483" i="36"/>
  <c r="U507" i="36"/>
  <c r="AC1443" i="36"/>
  <c r="Z990" i="36"/>
  <c r="AB1125" i="36"/>
  <c r="U1149" i="36"/>
  <c r="AB642" i="36"/>
  <c r="U666" i="36"/>
  <c r="Z719" i="36"/>
  <c r="Z671" i="36"/>
  <c r="Z672" i="36" s="1"/>
  <c r="Z669" i="36"/>
  <c r="Z670" i="36"/>
  <c r="G13" i="1"/>
  <c r="Z459" i="36"/>
  <c r="Z460" i="36" s="1"/>
  <c r="Z458" i="36"/>
  <c r="M12" i="34"/>
  <c r="M20" i="34" s="1"/>
  <c r="H12" i="1"/>
  <c r="G34" i="1"/>
  <c r="H34" i="1" s="1"/>
  <c r="V1237" i="36"/>
  <c r="V1238" i="36" s="1"/>
  <c r="Z1235" i="36"/>
  <c r="AC1235" i="36" s="1"/>
  <c r="AE1235" i="36"/>
  <c r="V910" i="36"/>
  <c r="AE910" i="36" s="1"/>
  <c r="V805" i="36"/>
  <c r="AB805" i="36"/>
  <c r="Z620" i="36"/>
  <c r="Z622" i="36" s="1"/>
  <c r="G17" i="34"/>
  <c r="H17" i="34" s="1"/>
  <c r="U616" i="36"/>
  <c r="U619" i="36"/>
  <c r="U618" i="36"/>
  <c r="M13" i="45"/>
  <c r="M15" i="45" s="1"/>
  <c r="U458" i="36"/>
  <c r="U457" i="36"/>
  <c r="U460" i="36"/>
  <c r="U459" i="36"/>
  <c r="AC430" i="36"/>
  <c r="AB454" i="36"/>
  <c r="AC454" i="36" s="1"/>
  <c r="U1103" i="36"/>
  <c r="U1105" i="36" s="1"/>
  <c r="U1207" i="36"/>
  <c r="AC1178" i="36"/>
  <c r="AB1202" i="36"/>
  <c r="AC1202" i="36" s="1"/>
  <c r="AB1393" i="36"/>
  <c r="AC1394" i="36"/>
  <c r="AE1447" i="36"/>
  <c r="Z1447" i="36"/>
  <c r="AC1447" i="36" s="1"/>
  <c r="V1446" i="36"/>
  <c r="AB1446" i="36"/>
  <c r="AE1393" i="36"/>
  <c r="Z1393" i="36"/>
  <c r="Z1396" i="36" s="1"/>
  <c r="Z1397" i="36" s="1"/>
  <c r="V1396" i="36"/>
  <c r="V1397" i="36" s="1"/>
  <c r="AB1234" i="36"/>
  <c r="V1340" i="36"/>
  <c r="AB1340" i="36"/>
  <c r="AE1234" i="36"/>
  <c r="Z1234" i="36"/>
  <c r="AB857" i="36"/>
  <c r="V911" i="36"/>
  <c r="AB911" i="36"/>
  <c r="V860" i="36"/>
  <c r="V861" i="36" s="1"/>
  <c r="AE857" i="36"/>
  <c r="Z857" i="36"/>
  <c r="Z860" i="36" s="1"/>
  <c r="Z861" i="36" s="1"/>
  <c r="Z878" i="36" s="1"/>
  <c r="V804" i="36"/>
  <c r="AB804" i="36"/>
  <c r="AC1284" i="36"/>
  <c r="O23" i="1"/>
  <c r="O40" i="34"/>
  <c r="S40" i="34" s="1"/>
  <c r="O39" i="34"/>
  <c r="S39" i="34" s="1"/>
  <c r="O22" i="1"/>
  <c r="M19" i="45"/>
  <c r="V1287" i="36"/>
  <c r="AB1287" i="36"/>
  <c r="O60" i="1"/>
  <c r="M58" i="1"/>
  <c r="K58" i="1" s="1"/>
  <c r="P23" i="1"/>
  <c r="U408" i="36"/>
  <c r="U410" i="36" s="1"/>
  <c r="N50" i="45"/>
  <c r="G50" i="45" s="1"/>
  <c r="H63" i="45"/>
  <c r="M20" i="45"/>
  <c r="U355" i="36"/>
  <c r="U357" i="36" s="1"/>
  <c r="M25" i="34"/>
  <c r="M47" i="45"/>
  <c r="G68" i="34"/>
  <c r="K312" i="35"/>
  <c r="N13" i="34"/>
  <c r="M63" i="34"/>
  <c r="M62" i="34"/>
  <c r="Z1209" i="36" l="1"/>
  <c r="Z1211" i="36" s="1"/>
  <c r="U1208" i="36"/>
  <c r="U1205" i="36"/>
  <c r="Z567" i="36"/>
  <c r="Z569" i="36" s="1"/>
  <c r="AC965" i="36"/>
  <c r="Z779" i="36"/>
  <c r="Z781" i="36" s="1"/>
  <c r="AC536" i="36"/>
  <c r="AB560" i="36"/>
  <c r="AC560" i="36" s="1"/>
  <c r="AC695" i="36"/>
  <c r="Z1156" i="36"/>
  <c r="Z1158" i="36" s="1"/>
  <c r="U996" i="36"/>
  <c r="U994" i="36"/>
  <c r="U993" i="36"/>
  <c r="U995" i="36"/>
  <c r="AC990" i="36"/>
  <c r="Z995" i="36"/>
  <c r="Z996" i="36" s="1"/>
  <c r="Z993" i="36"/>
  <c r="Z994" i="36"/>
  <c r="AC748" i="36"/>
  <c r="AB772" i="36"/>
  <c r="AC772" i="36" s="1"/>
  <c r="Z673" i="36"/>
  <c r="Z675" i="36" s="1"/>
  <c r="U511" i="36"/>
  <c r="U510" i="36"/>
  <c r="U513" i="36"/>
  <c r="U512" i="36"/>
  <c r="M15" i="1"/>
  <c r="K15" i="1" s="1"/>
  <c r="U565" i="36"/>
  <c r="U566" i="36"/>
  <c r="U564" i="36"/>
  <c r="U563" i="36"/>
  <c r="U671" i="36"/>
  <c r="U669" i="36"/>
  <c r="U670" i="36"/>
  <c r="U672" i="36"/>
  <c r="AC483" i="36"/>
  <c r="AB507" i="36"/>
  <c r="AC507" i="36" s="1"/>
  <c r="U1048" i="36"/>
  <c r="U1049" i="36"/>
  <c r="U1047" i="36"/>
  <c r="U1046" i="36"/>
  <c r="AC642" i="36"/>
  <c r="AB666" i="36"/>
  <c r="AC666" i="36" s="1"/>
  <c r="U1152" i="36"/>
  <c r="U1154" i="36"/>
  <c r="U1155" i="36"/>
  <c r="U1153" i="36"/>
  <c r="Z1050" i="36"/>
  <c r="Z1052" i="36" s="1"/>
  <c r="AC719" i="36"/>
  <c r="Z724" i="36"/>
  <c r="Z725" i="36" s="1"/>
  <c r="Z723" i="36"/>
  <c r="Z722" i="36"/>
  <c r="U723" i="36"/>
  <c r="U722" i="36"/>
  <c r="U725" i="36"/>
  <c r="U724" i="36"/>
  <c r="M18" i="1"/>
  <c r="AC1019" i="36"/>
  <c r="AB1043" i="36"/>
  <c r="AC1043" i="36" s="1"/>
  <c r="AB1149" i="36"/>
  <c r="AC1149" i="36" s="1"/>
  <c r="AC1125" i="36"/>
  <c r="Z514" i="36"/>
  <c r="Z516" i="36" s="1"/>
  <c r="U778" i="36"/>
  <c r="U775" i="36"/>
  <c r="U777" i="36"/>
  <c r="U776" i="36"/>
  <c r="Z461" i="36"/>
  <c r="Z463" i="36" s="1"/>
  <c r="Z1237" i="36"/>
  <c r="Z1238" i="36" s="1"/>
  <c r="Z1255" i="36" s="1"/>
  <c r="Z1259" i="36" s="1"/>
  <c r="Z910" i="36"/>
  <c r="AC910" i="36" s="1"/>
  <c r="V918" i="36"/>
  <c r="V919" i="36" s="1"/>
  <c r="V807" i="36"/>
  <c r="V808" i="36" s="1"/>
  <c r="Z805" i="36"/>
  <c r="AC805" i="36" s="1"/>
  <c r="AE805" i="36"/>
  <c r="H13" i="1"/>
  <c r="U620" i="36"/>
  <c r="U622" i="36" s="1"/>
  <c r="U461" i="36"/>
  <c r="U463" i="36" s="1"/>
  <c r="Z1446" i="36"/>
  <c r="Z1449" i="36" s="1"/>
  <c r="Z1450" i="36" s="1"/>
  <c r="V1449" i="36"/>
  <c r="V1450" i="36" s="1"/>
  <c r="AE1446" i="36"/>
  <c r="AB1397" i="36"/>
  <c r="AB1414" i="36" s="1"/>
  <c r="U1414" i="36"/>
  <c r="M32" i="45" s="1"/>
  <c r="Z1414" i="36"/>
  <c r="AC1393" i="36"/>
  <c r="V1343" i="36"/>
  <c r="V1344" i="36" s="1"/>
  <c r="AE1340" i="36"/>
  <c r="Z1340" i="36"/>
  <c r="Z1343" i="36" s="1"/>
  <c r="Z1344" i="36" s="1"/>
  <c r="AB1238" i="36"/>
  <c r="U1255" i="36"/>
  <c r="AC1234" i="36"/>
  <c r="AE911" i="36"/>
  <c r="Z911" i="36"/>
  <c r="AC911" i="36" s="1"/>
  <c r="AC857" i="36"/>
  <c r="Z882" i="36"/>
  <c r="Z881" i="36"/>
  <c r="Z883" i="36"/>
  <c r="Z884" i="36" s="1"/>
  <c r="AB861" i="36"/>
  <c r="U878" i="36"/>
  <c r="Z804" i="36"/>
  <c r="AE804" i="36"/>
  <c r="M57" i="1"/>
  <c r="G58" i="1" s="1"/>
  <c r="H58" i="1" s="1"/>
  <c r="M37" i="45"/>
  <c r="M27" i="45"/>
  <c r="S23" i="1"/>
  <c r="M40" i="34"/>
  <c r="K40" i="34" s="1"/>
  <c r="M24" i="1"/>
  <c r="K24" i="1" s="1"/>
  <c r="M39" i="34"/>
  <c r="K39" i="34" s="1"/>
  <c r="M24" i="34"/>
  <c r="M28" i="45"/>
  <c r="M17" i="1"/>
  <c r="K17" i="1" s="1"/>
  <c r="V1290" i="36"/>
  <c r="V1291" i="36" s="1"/>
  <c r="AE1287" i="36"/>
  <c r="Z1287" i="36"/>
  <c r="Z1290" i="36" s="1"/>
  <c r="Z1291" i="36" s="1"/>
  <c r="N11" i="45"/>
  <c r="G11" i="45" s="1"/>
  <c r="M16" i="1"/>
  <c r="M23" i="1"/>
  <c r="K23" i="1" s="1"/>
  <c r="M23" i="34"/>
  <c r="M18" i="45"/>
  <c r="N12" i="45"/>
  <c r="G12" i="45" s="1"/>
  <c r="M45" i="45"/>
  <c r="N56" i="1"/>
  <c r="L56" i="1" s="1"/>
  <c r="O312" i="35"/>
  <c r="Q312" i="35"/>
  <c r="M48" i="45"/>
  <c r="N10" i="34"/>
  <c r="G10" i="34"/>
  <c r="G64" i="34"/>
  <c r="H64" i="34" s="1"/>
  <c r="N64" i="34"/>
  <c r="L64" i="34" s="1"/>
  <c r="G11" i="34"/>
  <c r="N11" i="34"/>
  <c r="U1209" i="36" l="1"/>
  <c r="U1211" i="36" s="1"/>
  <c r="U997" i="36"/>
  <c r="U999" i="36" s="1"/>
  <c r="U567" i="36"/>
  <c r="U569" i="36" s="1"/>
  <c r="N15" i="1" s="1"/>
  <c r="L15" i="1" s="1"/>
  <c r="U1050" i="36"/>
  <c r="U1052" i="36" s="1"/>
  <c r="U779" i="36"/>
  <c r="U781" i="36" s="1"/>
  <c r="Z726" i="36"/>
  <c r="Z728" i="36" s="1"/>
  <c r="U514" i="36"/>
  <c r="U516" i="36" s="1"/>
  <c r="G18" i="1"/>
  <c r="K18" i="1"/>
  <c r="U673" i="36"/>
  <c r="U675" i="36" s="1"/>
  <c r="U726" i="36"/>
  <c r="U728" i="36" s="1"/>
  <c r="N18" i="1" s="1"/>
  <c r="L18" i="1" s="1"/>
  <c r="Z997" i="36"/>
  <c r="Z999" i="36" s="1"/>
  <c r="U1156" i="36"/>
  <c r="U1158" i="36" s="1"/>
  <c r="N13" i="45"/>
  <c r="G13" i="45" s="1"/>
  <c r="Z1260" i="36"/>
  <c r="Z1261" i="36" s="1"/>
  <c r="Z1258" i="36"/>
  <c r="Z807" i="36"/>
  <c r="Z808" i="36" s="1"/>
  <c r="P20" i="1" s="1"/>
  <c r="S20" i="1" s="1"/>
  <c r="AB919" i="36"/>
  <c r="AB936" i="36" s="1"/>
  <c r="U936" i="36"/>
  <c r="M22" i="1" s="1"/>
  <c r="K22" i="1" s="1"/>
  <c r="N12" i="34"/>
  <c r="N20" i="34" s="1"/>
  <c r="G12" i="34"/>
  <c r="M21" i="1"/>
  <c r="K21" i="1" s="1"/>
  <c r="AB1450" i="36"/>
  <c r="AB1467" i="36" s="1"/>
  <c r="U1467" i="36"/>
  <c r="M61" i="1" s="1"/>
  <c r="K61" i="1" s="1"/>
  <c r="Z1467" i="36"/>
  <c r="AC1446" i="36"/>
  <c r="AC1414" i="36"/>
  <c r="Z1418" i="36"/>
  <c r="Z1417" i="36"/>
  <c r="Z1419" i="36"/>
  <c r="Z1420" i="36" s="1"/>
  <c r="AC1397" i="36"/>
  <c r="U1418" i="36"/>
  <c r="U1417" i="36"/>
  <c r="U1420" i="36"/>
  <c r="U1419" i="36"/>
  <c r="AC1340" i="36"/>
  <c r="Z1361" i="36"/>
  <c r="Z1365" i="36" s="1"/>
  <c r="AB1344" i="36"/>
  <c r="U1361" i="36"/>
  <c r="U1259" i="36"/>
  <c r="U1258" i="36"/>
  <c r="U1261" i="36"/>
  <c r="U1260" i="36"/>
  <c r="AC1238" i="36"/>
  <c r="AB1255" i="36"/>
  <c r="AC1255" i="36" s="1"/>
  <c r="Z918" i="36"/>
  <c r="Z919" i="36" s="1"/>
  <c r="U882" i="36"/>
  <c r="U884" i="36"/>
  <c r="U881" i="36"/>
  <c r="U883" i="36"/>
  <c r="AC861" i="36"/>
  <c r="AB878" i="36"/>
  <c r="AC878" i="36" s="1"/>
  <c r="Z885" i="36"/>
  <c r="Z887" i="36" s="1"/>
  <c r="AB808" i="36"/>
  <c r="AB825" i="36" s="1"/>
  <c r="U825" i="36"/>
  <c r="M20" i="1" s="1"/>
  <c r="K20" i="1" s="1"/>
  <c r="AC804" i="36"/>
  <c r="K57" i="1"/>
  <c r="G57" i="1"/>
  <c r="H57" i="1" s="1"/>
  <c r="M41" i="45"/>
  <c r="K16" i="1"/>
  <c r="N27" i="45"/>
  <c r="G27" i="45" s="1"/>
  <c r="N39" i="34"/>
  <c r="L39" i="34" s="1"/>
  <c r="P60" i="1"/>
  <c r="S60" i="1" s="1"/>
  <c r="N24" i="1"/>
  <c r="L24" i="1" s="1"/>
  <c r="N40" i="34"/>
  <c r="L40" i="34" s="1"/>
  <c r="N26" i="45"/>
  <c r="G26" i="45" s="1"/>
  <c r="G17" i="1"/>
  <c r="N21" i="45"/>
  <c r="G21" i="45" s="1"/>
  <c r="N26" i="34"/>
  <c r="AC1287" i="36"/>
  <c r="Z1308" i="36"/>
  <c r="AB1291" i="36"/>
  <c r="AB1308" i="36" s="1"/>
  <c r="U1308" i="36"/>
  <c r="G23" i="1"/>
  <c r="H23" i="1" s="1"/>
  <c r="G24" i="1"/>
  <c r="H24" i="1" s="1"/>
  <c r="G16" i="1"/>
  <c r="G38" i="1" s="1"/>
  <c r="H38" i="1" s="1"/>
  <c r="N58" i="1"/>
  <c r="L58" i="1" s="1"/>
  <c r="M46" i="45"/>
  <c r="M49" i="34"/>
  <c r="M38" i="45"/>
  <c r="N20" i="45"/>
  <c r="G20" i="45" s="1"/>
  <c r="M68" i="34"/>
  <c r="M54" i="45"/>
  <c r="N19" i="45"/>
  <c r="G19" i="45" s="1"/>
  <c r="N47" i="45"/>
  <c r="G47" i="45" s="1"/>
  <c r="M37" i="34"/>
  <c r="N25" i="34"/>
  <c r="M48" i="34"/>
  <c r="M59" i="34"/>
  <c r="M57" i="34"/>
  <c r="K317" i="35"/>
  <c r="M59" i="1"/>
  <c r="N63" i="34"/>
  <c r="M52" i="34"/>
  <c r="N62" i="34"/>
  <c r="G40" i="1" l="1"/>
  <c r="H40" i="1" s="1"/>
  <c r="H18" i="1"/>
  <c r="Z1262" i="36"/>
  <c r="Z1264" i="36" s="1"/>
  <c r="N15" i="45"/>
  <c r="G16" i="34"/>
  <c r="H16" i="34" s="1"/>
  <c r="G39" i="1"/>
  <c r="H39" i="1" s="1"/>
  <c r="Z825" i="36"/>
  <c r="AC825" i="36" s="1"/>
  <c r="U942" i="36"/>
  <c r="U939" i="36"/>
  <c r="U940" i="36"/>
  <c r="U941" i="36"/>
  <c r="G22" i="1"/>
  <c r="H22" i="1" s="1"/>
  <c r="H16" i="1"/>
  <c r="G15" i="34"/>
  <c r="H15" i="34" s="1"/>
  <c r="G21" i="1"/>
  <c r="H21" i="1" s="1"/>
  <c r="AC1450" i="36"/>
  <c r="Z1470" i="36"/>
  <c r="Z1472" i="36"/>
  <c r="Z1473" i="36" s="1"/>
  <c r="Z1471" i="36"/>
  <c r="U1471" i="36"/>
  <c r="U1470" i="36"/>
  <c r="U1473" i="36"/>
  <c r="U1472" i="36"/>
  <c r="M38" i="34"/>
  <c r="M33" i="45"/>
  <c r="AC1467" i="36"/>
  <c r="U1421" i="36"/>
  <c r="U1423" i="36" s="1"/>
  <c r="N32" i="45" s="1"/>
  <c r="Z1421" i="36"/>
  <c r="Z1423" i="36" s="1"/>
  <c r="Z1366" i="36"/>
  <c r="Z1367" i="36" s="1"/>
  <c r="Z1364" i="36"/>
  <c r="U1365" i="36"/>
  <c r="U1364" i="36"/>
  <c r="U1367" i="36"/>
  <c r="U1366" i="36"/>
  <c r="AC1344" i="36"/>
  <c r="AB1361" i="36"/>
  <c r="AC1361" i="36" s="1"/>
  <c r="U1262" i="36"/>
  <c r="U1264" i="36" s="1"/>
  <c r="P22" i="1"/>
  <c r="S22" i="1" s="1"/>
  <c r="Z936" i="36"/>
  <c r="AC919" i="36"/>
  <c r="U885" i="36"/>
  <c r="U887" i="36" s="1"/>
  <c r="AC808" i="36"/>
  <c r="U831" i="36"/>
  <c r="U829" i="36"/>
  <c r="U830" i="36"/>
  <c r="U828" i="36"/>
  <c r="M27" i="34"/>
  <c r="M22" i="45"/>
  <c r="M19" i="1"/>
  <c r="G20" i="1" s="1"/>
  <c r="H20" i="1" s="1"/>
  <c r="H17" i="1"/>
  <c r="G25" i="34"/>
  <c r="N57" i="1"/>
  <c r="L57" i="1" s="1"/>
  <c r="G61" i="1"/>
  <c r="H61" i="1" s="1"/>
  <c r="N37" i="45"/>
  <c r="G37" i="45" s="1"/>
  <c r="M60" i="1"/>
  <c r="M51" i="34"/>
  <c r="M40" i="45"/>
  <c r="N28" i="45"/>
  <c r="G28" i="45" s="1"/>
  <c r="N24" i="34"/>
  <c r="G24" i="34"/>
  <c r="N17" i="1"/>
  <c r="L17" i="1" s="1"/>
  <c r="AC1308" i="36"/>
  <c r="AC1291" i="36"/>
  <c r="U1312" i="36"/>
  <c r="U1311" i="36"/>
  <c r="U1314" i="36"/>
  <c r="U1313" i="36"/>
  <c r="M17" i="45"/>
  <c r="M14" i="1"/>
  <c r="M22" i="34"/>
  <c r="Z1311" i="36"/>
  <c r="Z1313" i="36"/>
  <c r="Z1314" i="36" s="1"/>
  <c r="Z1312" i="36"/>
  <c r="N16" i="1"/>
  <c r="L16" i="1" s="1"/>
  <c r="N23" i="1"/>
  <c r="L23" i="1" s="1"/>
  <c r="G26" i="34"/>
  <c r="M30" i="45"/>
  <c r="N18" i="45"/>
  <c r="M50" i="34"/>
  <c r="M39" i="45"/>
  <c r="M55" i="45"/>
  <c r="M57" i="45" s="1"/>
  <c r="M60" i="34"/>
  <c r="M49" i="45"/>
  <c r="K49" i="45" s="1"/>
  <c r="G59" i="1"/>
  <c r="N23" i="34"/>
  <c r="M61" i="34"/>
  <c r="M35" i="34"/>
  <c r="M58" i="34"/>
  <c r="N45" i="45"/>
  <c r="M31" i="34"/>
  <c r="N48" i="45"/>
  <c r="G48" i="45" s="1"/>
  <c r="M69" i="34"/>
  <c r="M33" i="34"/>
  <c r="Z828" i="36" l="1"/>
  <c r="Z829" i="36"/>
  <c r="Z830" i="36"/>
  <c r="Z831" i="36" s="1"/>
  <c r="U943" i="36"/>
  <c r="U945" i="36" s="1"/>
  <c r="N22" i="1" s="1"/>
  <c r="L22" i="1" s="1"/>
  <c r="N21" i="1"/>
  <c r="L21" i="1" s="1"/>
  <c r="U1474" i="36"/>
  <c r="U1476" i="36" s="1"/>
  <c r="N61" i="1" s="1"/>
  <c r="L61" i="1" s="1"/>
  <c r="Z1474" i="36"/>
  <c r="Z1476" i="36" s="1"/>
  <c r="Z1368" i="36"/>
  <c r="Z1370" i="36" s="1"/>
  <c r="U1368" i="36"/>
  <c r="U1370" i="36" s="1"/>
  <c r="G56" i="1"/>
  <c r="H56" i="1" s="1"/>
  <c r="M63" i="1"/>
  <c r="AC936" i="36"/>
  <c r="Z940" i="36"/>
  <c r="Z939" i="36"/>
  <c r="Z941" i="36"/>
  <c r="Z942" i="36" s="1"/>
  <c r="M29" i="34"/>
  <c r="U832" i="36"/>
  <c r="U834" i="36" s="1"/>
  <c r="M24" i="45"/>
  <c r="K19" i="1"/>
  <c r="G19" i="1"/>
  <c r="G41" i="1" s="1"/>
  <c r="H41" i="1" s="1"/>
  <c r="G14" i="1"/>
  <c r="G36" i="1" s="1"/>
  <c r="H36" i="1" s="1"/>
  <c r="G15" i="1"/>
  <c r="N41" i="45"/>
  <c r="G41" i="45" s="1"/>
  <c r="M43" i="45"/>
  <c r="K60" i="1"/>
  <c r="G60" i="1"/>
  <c r="H60" i="1" s="1"/>
  <c r="U1315" i="36"/>
  <c r="U1317" i="36" s="1"/>
  <c r="Z1315" i="36"/>
  <c r="Z1317" i="36" s="1"/>
  <c r="G43" i="34"/>
  <c r="H43" i="34" s="1"/>
  <c r="G44" i="34"/>
  <c r="H44" i="34" s="1"/>
  <c r="G41" i="34"/>
  <c r="H41" i="34" s="1"/>
  <c r="G57" i="34"/>
  <c r="H59" i="1"/>
  <c r="M52" i="45"/>
  <c r="N49" i="34"/>
  <c r="N38" i="45"/>
  <c r="M29" i="45"/>
  <c r="G45" i="45"/>
  <c r="N68" i="34"/>
  <c r="N54" i="45"/>
  <c r="M36" i="34"/>
  <c r="M31" i="45"/>
  <c r="N46" i="45"/>
  <c r="G46" i="45" s="1"/>
  <c r="G18" i="45"/>
  <c r="G32" i="45"/>
  <c r="N60" i="34"/>
  <c r="N37" i="34"/>
  <c r="M66" i="34"/>
  <c r="N49" i="45"/>
  <c r="N59" i="34"/>
  <c r="N57" i="34"/>
  <c r="G63" i="34"/>
  <c r="M34" i="34"/>
  <c r="M32" i="34"/>
  <c r="N52" i="34"/>
  <c r="N31" i="34"/>
  <c r="K69" i="34"/>
  <c r="M90" i="34"/>
  <c r="H45" i="1" l="1"/>
  <c r="H63" i="1"/>
  <c r="H66" i="1" s="1"/>
  <c r="G14" i="34"/>
  <c r="H14" i="34" s="1"/>
  <c r="G37" i="1"/>
  <c r="H37" i="1" s="1"/>
  <c r="Z832" i="36"/>
  <c r="Z834" i="36" s="1"/>
  <c r="G22" i="34"/>
  <c r="G13" i="34"/>
  <c r="H19" i="1"/>
  <c r="G18" i="34"/>
  <c r="H18" i="34" s="1"/>
  <c r="N19" i="1"/>
  <c r="L19" i="1" s="1"/>
  <c r="N20" i="1"/>
  <c r="L20" i="1" s="1"/>
  <c r="N38" i="34"/>
  <c r="N33" i="45"/>
  <c r="G33" i="45" s="1"/>
  <c r="N59" i="1"/>
  <c r="G31" i="34"/>
  <c r="Z943" i="36"/>
  <c r="Z945" i="36" s="1"/>
  <c r="N22" i="45"/>
  <c r="G22" i="45" s="1"/>
  <c r="N27" i="34"/>
  <c r="H14" i="1"/>
  <c r="H15" i="1"/>
  <c r="G23" i="34"/>
  <c r="N17" i="45"/>
  <c r="G17" i="45" s="1"/>
  <c r="N40" i="45"/>
  <c r="G40" i="45" s="1"/>
  <c r="N60" i="1"/>
  <c r="L60" i="1" s="1"/>
  <c r="N51" i="34"/>
  <c r="N14" i="1"/>
  <c r="N22" i="34"/>
  <c r="G42" i="34"/>
  <c r="H42" i="34" s="1"/>
  <c r="G39" i="34"/>
  <c r="H39" i="34" s="1"/>
  <c r="M35" i="45"/>
  <c r="M59" i="45" s="1"/>
  <c r="N30" i="45"/>
  <c r="G30" i="45" s="1"/>
  <c r="N50" i="34"/>
  <c r="N39" i="45"/>
  <c r="G39" i="45" s="1"/>
  <c r="L49" i="45"/>
  <c r="G49" i="45"/>
  <c r="H49" i="45" s="1"/>
  <c r="N55" i="45"/>
  <c r="G55" i="45" s="1"/>
  <c r="G54" i="45"/>
  <c r="N52" i="45"/>
  <c r="G38" i="45"/>
  <c r="N35" i="34"/>
  <c r="N61" i="34"/>
  <c r="N58" i="34"/>
  <c r="N48" i="34"/>
  <c r="G48" i="34"/>
  <c r="G58" i="34"/>
  <c r="G59" i="34"/>
  <c r="G60" i="34"/>
  <c r="G51" i="34"/>
  <c r="G50" i="34"/>
  <c r="G52" i="34"/>
  <c r="G32" i="34"/>
  <c r="M53" i="34"/>
  <c r="M46" i="34"/>
  <c r="N33" i="34"/>
  <c r="N69" i="34"/>
  <c r="H25" i="1" l="1"/>
  <c r="H27" i="1"/>
  <c r="H64" i="1"/>
  <c r="H65" i="1"/>
  <c r="N63" i="1"/>
  <c r="N29" i="34"/>
  <c r="N24" i="45"/>
  <c r="G40" i="34"/>
  <c r="H40" i="34" s="1"/>
  <c r="G27" i="34"/>
  <c r="N43" i="45"/>
  <c r="N29" i="45"/>
  <c r="N57" i="45"/>
  <c r="N36" i="34"/>
  <c r="N31" i="45"/>
  <c r="G31" i="45" s="1"/>
  <c r="G34" i="34"/>
  <c r="G35" i="34"/>
  <c r="G38" i="34"/>
  <c r="N66" i="34"/>
  <c r="G49" i="34"/>
  <c r="G37" i="34"/>
  <c r="G36" i="34"/>
  <c r="N32" i="34"/>
  <c r="M55" i="34"/>
  <c r="M92" i="34" s="1"/>
  <c r="G33" i="34"/>
  <c r="N34" i="34"/>
  <c r="L69" i="34"/>
  <c r="N90" i="34"/>
  <c r="H26" i="1" l="1"/>
  <c r="H28" i="1"/>
  <c r="H48" i="1"/>
  <c r="I11" i="38" s="1"/>
  <c r="I8" i="38"/>
  <c r="I22" i="38" s="1"/>
  <c r="H46" i="1"/>
  <c r="I9" i="38" s="1"/>
  <c r="H47" i="1"/>
  <c r="I10" i="38" s="1"/>
  <c r="G29" i="45"/>
  <c r="N35" i="45"/>
  <c r="N59" i="45" s="1"/>
  <c r="G62" i="34"/>
  <c r="G61" i="34"/>
  <c r="N46" i="34"/>
  <c r="G53" i="34"/>
  <c r="N53" i="34"/>
  <c r="H29" i="1" l="1"/>
  <c r="H30" i="1" s="1"/>
  <c r="H49" i="1"/>
  <c r="H51" i="1" s="1"/>
  <c r="N55" i="34"/>
  <c r="N92" i="34" s="1"/>
  <c r="Y112" i="36" l="1"/>
  <c r="J324" i="35"/>
  <c r="K324" i="35" s="1"/>
  <c r="J32" i="35" l="1"/>
  <c r="K32" i="35" s="1"/>
  <c r="Y140" i="36"/>
  <c r="AB140" i="36" s="1"/>
  <c r="Z146" i="36"/>
  <c r="Z131" i="36"/>
  <c r="Z138" i="36"/>
  <c r="Y120" i="36"/>
  <c r="AB120" i="36" s="1"/>
  <c r="Y127" i="36"/>
  <c r="Y136" i="36"/>
  <c r="Y125" i="36"/>
  <c r="Z119" i="36"/>
  <c r="Z125" i="36"/>
  <c r="Z126" i="36"/>
  <c r="Z128" i="36"/>
  <c r="Z118" i="36"/>
  <c r="Z140" i="36"/>
  <c r="AB133" i="36"/>
  <c r="Z127" i="36"/>
  <c r="Y147" i="36"/>
  <c r="AB147" i="36" s="1"/>
  <c r="Y129" i="36"/>
  <c r="AB129" i="36" s="1"/>
  <c r="Z137" i="36"/>
  <c r="Z129" i="36"/>
  <c r="Y117" i="36"/>
  <c r="Z117" i="36"/>
  <c r="Y146" i="36"/>
  <c r="AB146" i="36" s="1"/>
  <c r="Y119" i="36"/>
  <c r="AB119" i="36" s="1"/>
  <c r="Z130" i="36"/>
  <c r="Z145" i="36"/>
  <c r="Z120" i="36"/>
  <c r="Y126" i="36"/>
  <c r="Y137" i="36"/>
  <c r="Z136" i="36"/>
  <c r="Y118" i="36"/>
  <c r="AB118" i="36" s="1"/>
  <c r="AB142" i="36"/>
  <c r="Y128" i="36"/>
  <c r="Y139" i="36"/>
  <c r="AB139" i="36" s="1"/>
  <c r="Y145" i="36"/>
  <c r="AB145" i="36" s="1"/>
  <c r="Z139" i="36"/>
  <c r="Y131" i="36"/>
  <c r="AB131" i="36" s="1"/>
  <c r="Y130" i="36"/>
  <c r="AB130" i="36" s="1"/>
  <c r="Z147" i="36"/>
  <c r="Y138" i="36"/>
  <c r="AB149" i="36"/>
  <c r="Z116" i="36"/>
  <c r="AB122" i="36"/>
  <c r="Q32" i="35" l="1"/>
  <c r="O32" i="35"/>
  <c r="AC131" i="36"/>
  <c r="Z121" i="36"/>
  <c r="Z122" i="36" s="1"/>
  <c r="AC122" i="36" s="1"/>
  <c r="Z148" i="36"/>
  <c r="Z149" i="36" s="1"/>
  <c r="AC149" i="36" s="1"/>
  <c r="AC145" i="36"/>
  <c r="AC119" i="36"/>
  <c r="AC146" i="36"/>
  <c r="AC130" i="36"/>
  <c r="AC140" i="36"/>
  <c r="AB137" i="36"/>
  <c r="AC137" i="36" s="1"/>
  <c r="AB117" i="36"/>
  <c r="AC117" i="36" s="1"/>
  <c r="AC120" i="36"/>
  <c r="AC139" i="36"/>
  <c r="AC129" i="36"/>
  <c r="Z132" i="36"/>
  <c r="Z133" i="36" s="1"/>
  <c r="AC133" i="36" s="1"/>
  <c r="AB151" i="36"/>
  <c r="AB128" i="36"/>
  <c r="AC128" i="36" s="1"/>
  <c r="AC147" i="36"/>
  <c r="AB126" i="36"/>
  <c r="AC126" i="36" s="1"/>
  <c r="AB138" i="36"/>
  <c r="AC138" i="36" s="1"/>
  <c r="AB125" i="36"/>
  <c r="AC125" i="36" s="1"/>
  <c r="AC118" i="36"/>
  <c r="AB136" i="36"/>
  <c r="AC136" i="36" s="1"/>
  <c r="Z141" i="36"/>
  <c r="Z142" i="36" s="1"/>
  <c r="AB127" i="36"/>
  <c r="AC127" i="36" s="1"/>
  <c r="Z151" i="36" l="1"/>
  <c r="AC151" i="36" s="1"/>
  <c r="I13" i="38" l="1"/>
  <c r="I14" i="38" l="1"/>
  <c r="H102" i="34"/>
  <c r="E53" i="42" l="1"/>
  <c r="H53" i="42" s="1"/>
  <c r="I53" i="42" s="1"/>
  <c r="F63" i="34"/>
  <c r="F53" i="34"/>
  <c r="E45" i="42"/>
  <c r="H45" i="42" s="1"/>
  <c r="I45" i="42" s="1"/>
  <c r="F68" i="34"/>
  <c r="E56" i="42"/>
  <c r="H56" i="42" s="1"/>
  <c r="I56" i="42" s="1"/>
  <c r="K63" i="34" l="1"/>
  <c r="L63" i="34"/>
  <c r="H63" i="34"/>
  <c r="K68" i="34"/>
  <c r="K90" i="34" s="1"/>
  <c r="H68" i="34"/>
  <c r="H90" i="34" s="1"/>
  <c r="L68" i="34"/>
  <c r="L90" i="34" s="1"/>
  <c r="J726" i="35"/>
  <c r="K726" i="35" s="1"/>
  <c r="K53" i="34"/>
  <c r="H53" i="34"/>
  <c r="L53" i="34"/>
  <c r="E11" i="42"/>
  <c r="H11" i="42" s="1"/>
  <c r="I11" i="42" s="1"/>
  <c r="F13" i="34"/>
  <c r="J743" i="35"/>
  <c r="K743" i="35" s="1"/>
  <c r="Q743" i="35" l="1"/>
  <c r="O743" i="35"/>
  <c r="J556" i="35"/>
  <c r="K556" i="35" s="1"/>
  <c r="J20" i="35"/>
  <c r="K20" i="35" s="1"/>
  <c r="J29" i="35"/>
  <c r="K29" i="35" s="1"/>
  <c r="J557" i="35"/>
  <c r="K557" i="35" s="1"/>
  <c r="J515" i="35"/>
  <c r="K515" i="35" s="1"/>
  <c r="J555" i="35"/>
  <c r="K555" i="35" s="1"/>
  <c r="J175" i="35"/>
  <c r="K175" i="35" s="1"/>
  <c r="J559" i="35"/>
  <c r="K559" i="35" s="1"/>
  <c r="Y262" i="36"/>
  <c r="J328" i="35"/>
  <c r="K328" i="35" s="1"/>
  <c r="J553" i="35"/>
  <c r="K553" i="35" s="1"/>
  <c r="J731" i="35"/>
  <c r="K731" i="35" s="1"/>
  <c r="J778" i="35"/>
  <c r="K778" i="35" s="1"/>
  <c r="J554" i="35"/>
  <c r="K554" i="35" s="1"/>
  <c r="J736" i="35"/>
  <c r="K736" i="35" s="1"/>
  <c r="J35" i="35"/>
  <c r="K35" i="35" s="1"/>
  <c r="J37" i="35"/>
  <c r="K37" i="35" s="1"/>
  <c r="J727" i="35"/>
  <c r="K727" i="35" s="1"/>
  <c r="J24" i="35"/>
  <c r="K24" i="35" s="1"/>
  <c r="Q726" i="35"/>
  <c r="O726" i="35"/>
  <c r="J514" i="35"/>
  <c r="K514" i="35" s="1"/>
  <c r="J776" i="35"/>
  <c r="K776" i="35" s="1"/>
  <c r="K13" i="34"/>
  <c r="L13" i="34"/>
  <c r="H13" i="34"/>
  <c r="J781" i="35"/>
  <c r="K781" i="35" s="1"/>
  <c r="J512" i="35"/>
  <c r="K512" i="35" s="1"/>
  <c r="J33" i="35"/>
  <c r="K33" i="35" s="1"/>
  <c r="J322" i="35"/>
  <c r="K322" i="35" s="1"/>
  <c r="Q53" i="34" l="1"/>
  <c r="O37" i="35"/>
  <c r="Q37" i="35"/>
  <c r="P53" i="34"/>
  <c r="Q24" i="35"/>
  <c r="O24" i="35"/>
  <c r="O322" i="35"/>
  <c r="Q322" i="35"/>
  <c r="AB292" i="36"/>
  <c r="Z270" i="36"/>
  <c r="Y297" i="36"/>
  <c r="AB297" i="36" s="1"/>
  <c r="Z278" i="36"/>
  <c r="Y286" i="36"/>
  <c r="AB286" i="36" s="1"/>
  <c r="Z286" i="36"/>
  <c r="Y267" i="36"/>
  <c r="AB267" i="36" s="1"/>
  <c r="Y278" i="36"/>
  <c r="Z296" i="36"/>
  <c r="Z290" i="36"/>
  <c r="AB283" i="36"/>
  <c r="Y275" i="36"/>
  <c r="AB275" i="36" s="1"/>
  <c r="Z276" i="36"/>
  <c r="AB299" i="36"/>
  <c r="Z275" i="36"/>
  <c r="Y289" i="36"/>
  <c r="AB289" i="36" s="1"/>
  <c r="Y288" i="36"/>
  <c r="Z268" i="36"/>
  <c r="Y268" i="36"/>
  <c r="AB268" i="36" s="1"/>
  <c r="Y287" i="36"/>
  <c r="AB287" i="36" s="1"/>
  <c r="Z267" i="36"/>
  <c r="Y280" i="36"/>
  <c r="AB280" i="36" s="1"/>
  <c r="Z281" i="36"/>
  <c r="Z297" i="36"/>
  <c r="Z287" i="36"/>
  <c r="Z279" i="36"/>
  <c r="Z280" i="36"/>
  <c r="Z277" i="36"/>
  <c r="Y270" i="36"/>
  <c r="AB270" i="36" s="1"/>
  <c r="Z269" i="36"/>
  <c r="Z288" i="36"/>
  <c r="Y277" i="36"/>
  <c r="AB277" i="36" s="1"/>
  <c r="Y281" i="36"/>
  <c r="AB281" i="36" s="1"/>
  <c r="Y269" i="36"/>
  <c r="AB269" i="36" s="1"/>
  <c r="Z289" i="36"/>
  <c r="Y279" i="36"/>
  <c r="AB279" i="36" s="1"/>
  <c r="Y295" i="36"/>
  <c r="AB295" i="36" s="1"/>
  <c r="Y290" i="36"/>
  <c r="AB290" i="36" s="1"/>
  <c r="Y296" i="36"/>
  <c r="AB296" i="36" s="1"/>
  <c r="Z295" i="36"/>
  <c r="Y276" i="36"/>
  <c r="AB276" i="36" s="1"/>
  <c r="Z266" i="36"/>
  <c r="AB272" i="36"/>
  <c r="Q736" i="35"/>
  <c r="O736" i="35"/>
  <c r="O29" i="35"/>
  <c r="Q29" i="35"/>
  <c r="R53" i="34"/>
  <c r="O553" i="35"/>
  <c r="Q553" i="35"/>
  <c r="Q515" i="35"/>
  <c r="O515" i="35"/>
  <c r="Q731" i="35"/>
  <c r="O731" i="35"/>
  <c r="Q554" i="35"/>
  <c r="O554" i="35"/>
  <c r="O778" i="35"/>
  <c r="Q778" i="35"/>
  <c r="Q20" i="35"/>
  <c r="O20" i="35"/>
  <c r="Q727" i="35"/>
  <c r="O727" i="35"/>
  <c r="Q512" i="35"/>
  <c r="O512" i="35"/>
  <c r="O35" i="35"/>
  <c r="Q35" i="35"/>
  <c r="Q781" i="35"/>
  <c r="O781" i="35"/>
  <c r="Q557" i="35"/>
  <c r="O557" i="35"/>
  <c r="O514" i="35"/>
  <c r="Q514" i="35"/>
  <c r="Q555" i="35"/>
  <c r="O555" i="35"/>
  <c r="O559" i="35"/>
  <c r="Q559" i="35"/>
  <c r="Q175" i="35"/>
  <c r="O175" i="35"/>
  <c r="Q556" i="35"/>
  <c r="O556" i="35"/>
  <c r="Q33" i="35"/>
  <c r="O33" i="35"/>
  <c r="Q776" i="35"/>
  <c r="O776" i="35"/>
  <c r="Q328" i="35"/>
  <c r="O328" i="35"/>
  <c r="O53" i="34"/>
  <c r="AC270" i="36" l="1"/>
  <c r="Z282" i="36"/>
  <c r="Z283" i="36" s="1"/>
  <c r="AC283" i="36" s="1"/>
  <c r="AC296" i="36"/>
  <c r="AC267" i="36"/>
  <c r="O13" i="34"/>
  <c r="AC290" i="36"/>
  <c r="Z298" i="36"/>
  <c r="Z299" i="36" s="1"/>
  <c r="AC299" i="36" s="1"/>
  <c r="AC268" i="36"/>
  <c r="Z271" i="36"/>
  <c r="Z272" i="36" s="1"/>
  <c r="AC272" i="36" s="1"/>
  <c r="AC276" i="36"/>
  <c r="AC286" i="36"/>
  <c r="P13" i="34"/>
  <c r="AC275" i="36"/>
  <c r="Q13" i="34"/>
  <c r="AB301" i="36"/>
  <c r="S53" i="34"/>
  <c r="AC280" i="36"/>
  <c r="Z291" i="36"/>
  <c r="Z292" i="36" s="1"/>
  <c r="AC295" i="36"/>
  <c r="AC279" i="36"/>
  <c r="AC287" i="36"/>
  <c r="AC269" i="36"/>
  <c r="AC297" i="36"/>
  <c r="AC281" i="36"/>
  <c r="AB288" i="36"/>
  <c r="AC288" i="36" s="1"/>
  <c r="R13" i="34"/>
  <c r="J774" i="35"/>
  <c r="K774" i="35" s="1"/>
  <c r="AB278" i="36"/>
  <c r="AC278" i="36" s="1"/>
  <c r="AC277" i="36"/>
  <c r="AC289" i="36"/>
  <c r="S13" i="34" l="1"/>
  <c r="Z301" i="36"/>
  <c r="AC301" i="36" s="1"/>
  <c r="Q774" i="35"/>
  <c r="O774" i="35"/>
  <c r="F27" i="45" l="1"/>
  <c r="F48" i="45"/>
  <c r="F50" i="45"/>
  <c r="F37" i="45"/>
  <c r="E44" i="42"/>
  <c r="H44" i="42" s="1"/>
  <c r="I44" i="42" s="1"/>
  <c r="F41" i="45"/>
  <c r="F37" i="34"/>
  <c r="F32" i="45"/>
  <c r="E27" i="42"/>
  <c r="H27" i="42" s="1"/>
  <c r="I27" i="42" s="1"/>
  <c r="F28" i="45"/>
  <c r="F26" i="45"/>
  <c r="E28" i="42"/>
  <c r="H28" i="42" s="1"/>
  <c r="I28" i="42" s="1"/>
  <c r="F29" i="45"/>
  <c r="F38" i="45"/>
  <c r="F21" i="45"/>
  <c r="F54" i="45"/>
  <c r="F27" i="34"/>
  <c r="F22" i="45"/>
  <c r="F47" i="45"/>
  <c r="F40" i="45"/>
  <c r="F55" i="45"/>
  <c r="F31" i="45"/>
  <c r="F30" i="45"/>
  <c r="F33" i="45"/>
  <c r="K59" i="1"/>
  <c r="F45" i="45"/>
  <c r="F39" i="45"/>
  <c r="F46" i="45"/>
  <c r="E51" i="42"/>
  <c r="H51" i="42" s="1"/>
  <c r="I51" i="42" s="1"/>
  <c r="F61" i="34"/>
  <c r="E43" i="42" l="1"/>
  <c r="H43" i="42" s="1"/>
  <c r="I43" i="42" s="1"/>
  <c r="E25" i="42"/>
  <c r="H25" i="42" s="1"/>
  <c r="I25" i="42" s="1"/>
  <c r="F52" i="34"/>
  <c r="L52" i="34" s="1"/>
  <c r="J679" i="35"/>
  <c r="K679" i="35" s="1"/>
  <c r="F62" i="34"/>
  <c r="K62" i="34" s="1"/>
  <c r="F60" i="34"/>
  <c r="H60" i="34" s="1"/>
  <c r="E30" i="42"/>
  <c r="H30" i="42" s="1"/>
  <c r="I30" i="42" s="1"/>
  <c r="F32" i="34"/>
  <c r="H32" i="34" s="1"/>
  <c r="F51" i="34"/>
  <c r="L51" i="34" s="1"/>
  <c r="E52" i="42"/>
  <c r="H52" i="42" s="1"/>
  <c r="I52" i="42" s="1"/>
  <c r="F49" i="34"/>
  <c r="K49" i="34" s="1"/>
  <c r="F33" i="34"/>
  <c r="H33" i="34" s="1"/>
  <c r="F50" i="34"/>
  <c r="L50" i="34" s="1"/>
  <c r="F57" i="34"/>
  <c r="L57" i="34" s="1"/>
  <c r="F31" i="34"/>
  <c r="L31" i="34" s="1"/>
  <c r="E29" i="42"/>
  <c r="H29" i="42" s="1"/>
  <c r="I29" i="42" s="1"/>
  <c r="F26" i="34"/>
  <c r="K26" i="34" s="1"/>
  <c r="E49" i="42"/>
  <c r="H49" i="42" s="1"/>
  <c r="I49" i="42" s="1"/>
  <c r="F35" i="34"/>
  <c r="L35" i="34" s="1"/>
  <c r="L59" i="1"/>
  <c r="E48" i="42"/>
  <c r="H48" i="42" s="1"/>
  <c r="I48" i="42" s="1"/>
  <c r="F58" i="34"/>
  <c r="L58" i="34" s="1"/>
  <c r="F36" i="34"/>
  <c r="L36" i="34" s="1"/>
  <c r="E47" i="42"/>
  <c r="H47" i="42" s="1"/>
  <c r="I47" i="42" s="1"/>
  <c r="E50" i="42"/>
  <c r="H50" i="42" s="1"/>
  <c r="I50" i="42" s="1"/>
  <c r="E41" i="42"/>
  <c r="H41" i="42" s="1"/>
  <c r="I41" i="42" s="1"/>
  <c r="E31" i="42"/>
  <c r="H31" i="42" s="1"/>
  <c r="I31" i="42" s="1"/>
  <c r="E40" i="42"/>
  <c r="H40" i="42" s="1"/>
  <c r="I40" i="42" s="1"/>
  <c r="E26" i="42"/>
  <c r="H26" i="42" s="1"/>
  <c r="I26" i="42" s="1"/>
  <c r="H55" i="45"/>
  <c r="K55" i="45"/>
  <c r="L55" i="45"/>
  <c r="K26" i="45"/>
  <c r="H26" i="45"/>
  <c r="L26" i="45"/>
  <c r="F34" i="34"/>
  <c r="K34" i="34" s="1"/>
  <c r="F38" i="34"/>
  <c r="H38" i="34" s="1"/>
  <c r="F48" i="34"/>
  <c r="L48" i="34" s="1"/>
  <c r="K28" i="45"/>
  <c r="L28" i="45"/>
  <c r="H28" i="45"/>
  <c r="E9" i="42"/>
  <c r="H9" i="42" s="1"/>
  <c r="I9" i="42" s="1"/>
  <c r="F12" i="45"/>
  <c r="F13" i="45"/>
  <c r="K30" i="45"/>
  <c r="L30" i="45"/>
  <c r="H30" i="45"/>
  <c r="F11" i="45"/>
  <c r="E32" i="42"/>
  <c r="H32" i="42" s="1"/>
  <c r="I32" i="42" s="1"/>
  <c r="E22" i="42"/>
  <c r="H22" i="42" s="1"/>
  <c r="I22" i="42" s="1"/>
  <c r="F59" i="34"/>
  <c r="H59" i="34" s="1"/>
  <c r="L46" i="45"/>
  <c r="K46" i="45"/>
  <c r="H46" i="45"/>
  <c r="K47" i="45"/>
  <c r="L47" i="45"/>
  <c r="H47" i="45"/>
  <c r="K32" i="45"/>
  <c r="L32" i="45"/>
  <c r="H32" i="45"/>
  <c r="E42" i="42"/>
  <c r="H42" i="42" s="1"/>
  <c r="I42" i="42" s="1"/>
  <c r="L40" i="45"/>
  <c r="K40" i="45"/>
  <c r="H40" i="45"/>
  <c r="E23" i="42"/>
  <c r="H23" i="42" s="1"/>
  <c r="I23" i="42" s="1"/>
  <c r="K39" i="45"/>
  <c r="L39" i="45"/>
  <c r="H39" i="45"/>
  <c r="L22" i="45"/>
  <c r="K22" i="45"/>
  <c r="H22" i="45"/>
  <c r="K41" i="45"/>
  <c r="L41" i="45"/>
  <c r="H41" i="45"/>
  <c r="K45" i="45"/>
  <c r="L45" i="45"/>
  <c r="H45" i="45"/>
  <c r="L54" i="45"/>
  <c r="K54" i="45"/>
  <c r="H54" i="45"/>
  <c r="L37" i="45"/>
  <c r="K37" i="45"/>
  <c r="H37" i="45"/>
  <c r="L33" i="45"/>
  <c r="K33" i="45"/>
  <c r="H33" i="45"/>
  <c r="K21" i="45"/>
  <c r="L21" i="45"/>
  <c r="H21" i="45"/>
  <c r="L50" i="45"/>
  <c r="K50" i="45"/>
  <c r="H50" i="45"/>
  <c r="F20" i="45"/>
  <c r="K38" i="45"/>
  <c r="L38" i="45"/>
  <c r="H38" i="45"/>
  <c r="L48" i="45"/>
  <c r="K48" i="45"/>
  <c r="H48" i="45"/>
  <c r="F17" i="45"/>
  <c r="L31" i="45"/>
  <c r="K31" i="45"/>
  <c r="H31" i="45"/>
  <c r="L29" i="45"/>
  <c r="K29" i="45"/>
  <c r="H29" i="45"/>
  <c r="L27" i="45"/>
  <c r="K27" i="45"/>
  <c r="H27" i="45"/>
  <c r="L61" i="34"/>
  <c r="H61" i="34"/>
  <c r="K61" i="34"/>
  <c r="L27" i="34"/>
  <c r="K27" i="34"/>
  <c r="H27" i="34"/>
  <c r="L37" i="34"/>
  <c r="K37" i="34"/>
  <c r="H37" i="34"/>
  <c r="K48" i="34" l="1"/>
  <c r="J655" i="35"/>
  <c r="K655" i="35" s="1"/>
  <c r="H58" i="34"/>
  <c r="H49" i="34"/>
  <c r="H36" i="34"/>
  <c r="J408" i="35"/>
  <c r="K408" i="35" s="1"/>
  <c r="O408" i="35" s="1"/>
  <c r="J401" i="35"/>
  <c r="K401" i="35" s="1"/>
  <c r="O401" i="35" s="1"/>
  <c r="K57" i="34"/>
  <c r="J404" i="35"/>
  <c r="K404" i="35" s="1"/>
  <c r="O404" i="35" s="1"/>
  <c r="K32" i="34"/>
  <c r="Q29" i="45"/>
  <c r="K35" i="34"/>
  <c r="J678" i="35"/>
  <c r="K678" i="35" s="1"/>
  <c r="K36" i="34"/>
  <c r="J399" i="35"/>
  <c r="K399" i="35" s="1"/>
  <c r="H51" i="34"/>
  <c r="L32" i="34"/>
  <c r="H57" i="34"/>
  <c r="Y312" i="36"/>
  <c r="Z334" i="36" s="1"/>
  <c r="K31" i="34"/>
  <c r="K50" i="34"/>
  <c r="H62" i="34"/>
  <c r="F22" i="34"/>
  <c r="H22" i="34" s="1"/>
  <c r="H26" i="34"/>
  <c r="H50" i="34"/>
  <c r="K14" i="1"/>
  <c r="H31" i="34"/>
  <c r="J705" i="35"/>
  <c r="K705" i="35" s="1"/>
  <c r="O705" i="35" s="1"/>
  <c r="Y368" i="36"/>
  <c r="Y382" i="36" s="1"/>
  <c r="AB382" i="36" s="1"/>
  <c r="H52" i="34"/>
  <c r="F12" i="34"/>
  <c r="H12" i="34" s="1"/>
  <c r="F11" i="34"/>
  <c r="L11" i="34" s="1"/>
  <c r="K52" i="34"/>
  <c r="F10" i="34"/>
  <c r="H10" i="34" s="1"/>
  <c r="L62" i="34"/>
  <c r="K58" i="34"/>
  <c r="H48" i="34"/>
  <c r="E8" i="42"/>
  <c r="H8" i="42" s="1"/>
  <c r="I8" i="42" s="1"/>
  <c r="J558" i="35"/>
  <c r="K558" i="35" s="1"/>
  <c r="O558" i="35" s="1"/>
  <c r="H35" i="34"/>
  <c r="K51" i="34"/>
  <c r="E18" i="42"/>
  <c r="H18" i="42" s="1"/>
  <c r="I18" i="42" s="1"/>
  <c r="J410" i="35"/>
  <c r="K410" i="35" s="1"/>
  <c r="K38" i="34"/>
  <c r="K60" i="34"/>
  <c r="L49" i="34"/>
  <c r="L55" i="34" s="1"/>
  <c r="L60" i="34"/>
  <c r="J360" i="35"/>
  <c r="K360" i="35" s="1"/>
  <c r="Q360" i="35" s="1"/>
  <c r="J403" i="35"/>
  <c r="K403" i="35" s="1"/>
  <c r="O403" i="35" s="1"/>
  <c r="J407" i="35"/>
  <c r="K407" i="35" s="1"/>
  <c r="Q407" i="35" s="1"/>
  <c r="J761" i="35"/>
  <c r="K761" i="35" s="1"/>
  <c r="J652" i="35"/>
  <c r="K652" i="35" s="1"/>
  <c r="J400" i="35"/>
  <c r="K400" i="35" s="1"/>
  <c r="J653" i="35"/>
  <c r="K653" i="35" s="1"/>
  <c r="L26" i="34"/>
  <c r="L59" i="34"/>
  <c r="L33" i="34"/>
  <c r="K33" i="34"/>
  <c r="J654" i="35"/>
  <c r="K654" i="35" s="1"/>
  <c r="E10" i="42"/>
  <c r="H10" i="42" s="1"/>
  <c r="I10" i="42" s="1"/>
  <c r="J343" i="35"/>
  <c r="K343" i="35" s="1"/>
  <c r="K57" i="45"/>
  <c r="Q28" i="45"/>
  <c r="L34" i="34"/>
  <c r="L14" i="1"/>
  <c r="L57" i="45"/>
  <c r="L52" i="45"/>
  <c r="J458" i="35"/>
  <c r="K458" i="35" s="1"/>
  <c r="J713" i="35"/>
  <c r="K713" i="35" s="1"/>
  <c r="Q713" i="35" s="1"/>
  <c r="L38" i="34"/>
  <c r="L43" i="45"/>
  <c r="E21" i="42"/>
  <c r="H21" i="42" s="1"/>
  <c r="I21" i="42" s="1"/>
  <c r="H52" i="45"/>
  <c r="K35" i="45"/>
  <c r="F25" i="34"/>
  <c r="L25" i="34" s="1"/>
  <c r="K59" i="34"/>
  <c r="K13" i="45"/>
  <c r="L13" i="45"/>
  <c r="H13" i="45"/>
  <c r="H57" i="45"/>
  <c r="H12" i="45"/>
  <c r="K12" i="45"/>
  <c r="L12" i="45"/>
  <c r="J681" i="35"/>
  <c r="K681" i="35" s="1"/>
  <c r="H34" i="34"/>
  <c r="J738" i="35"/>
  <c r="K738" i="35" s="1"/>
  <c r="L17" i="45"/>
  <c r="K17" i="45"/>
  <c r="H17" i="45"/>
  <c r="H43" i="45"/>
  <c r="K43" i="45"/>
  <c r="K52" i="45"/>
  <c r="J730" i="35"/>
  <c r="K730" i="35" s="1"/>
  <c r="K11" i="45"/>
  <c r="L11" i="45"/>
  <c r="H11" i="45"/>
  <c r="L35" i="45"/>
  <c r="F18" i="45"/>
  <c r="K20" i="45"/>
  <c r="L20" i="45"/>
  <c r="H20" i="45"/>
  <c r="H35" i="45"/>
  <c r="J402" i="35"/>
  <c r="K402" i="35" s="1"/>
  <c r="Q402" i="35" s="1"/>
  <c r="Q37" i="45"/>
  <c r="J405" i="35"/>
  <c r="K405" i="35" s="1"/>
  <c r="Q405" i="35" s="1"/>
  <c r="Q61" i="34"/>
  <c r="J406" i="35"/>
  <c r="K406" i="35" s="1"/>
  <c r="P49" i="45"/>
  <c r="J23" i="35"/>
  <c r="K23" i="35" s="1"/>
  <c r="Q679" i="35"/>
  <c r="O679" i="35"/>
  <c r="O49" i="45"/>
  <c r="J384" i="35"/>
  <c r="K384" i="35" s="1"/>
  <c r="O37" i="45"/>
  <c r="R49" i="45"/>
  <c r="L63" i="1" l="1"/>
  <c r="K63" i="1"/>
  <c r="J223" i="35"/>
  <c r="K223" i="35" s="1"/>
  <c r="O223" i="35" s="1"/>
  <c r="Q655" i="35"/>
  <c r="O655" i="35"/>
  <c r="Q654" i="35"/>
  <c r="O654" i="35"/>
  <c r="Q653" i="35"/>
  <c r="O653" i="35"/>
  <c r="Q652" i="35"/>
  <c r="O652" i="35"/>
  <c r="J651" i="35"/>
  <c r="K651" i="35" s="1"/>
  <c r="J650" i="35"/>
  <c r="K650" i="35" s="1"/>
  <c r="J224" i="35"/>
  <c r="K224" i="35" s="1"/>
  <c r="Q224" i="35" s="1"/>
  <c r="J649" i="35"/>
  <c r="K649" i="35" s="1"/>
  <c r="J646" i="35"/>
  <c r="K646" i="35" s="1"/>
  <c r="J643" i="35"/>
  <c r="K643" i="35" s="1"/>
  <c r="J645" i="35"/>
  <c r="K645" i="35" s="1"/>
  <c r="J644" i="35"/>
  <c r="K644" i="35" s="1"/>
  <c r="J31" i="35"/>
  <c r="K31" i="35" s="1"/>
  <c r="O31" i="35" s="1"/>
  <c r="J635" i="35"/>
  <c r="K635" i="35" s="1"/>
  <c r="J640" i="35"/>
  <c r="K640" i="35" s="1"/>
  <c r="J641" i="35"/>
  <c r="K641" i="35" s="1"/>
  <c r="J346" i="35"/>
  <c r="K346" i="35" s="1"/>
  <c r="J676" i="35"/>
  <c r="K676" i="35" s="1"/>
  <c r="Q676" i="35" s="1"/>
  <c r="Y335" i="36"/>
  <c r="AB335" i="36" s="1"/>
  <c r="J122" i="35"/>
  <c r="K122" i="35" s="1"/>
  <c r="O122" i="35" s="1"/>
  <c r="Q38" i="45"/>
  <c r="Q34" i="34"/>
  <c r="Q58" i="34"/>
  <c r="Y319" i="36"/>
  <c r="AB319" i="36" s="1"/>
  <c r="Y327" i="36"/>
  <c r="Z328" i="36"/>
  <c r="J455" i="35"/>
  <c r="K455" i="35" s="1"/>
  <c r="O455" i="35" s="1"/>
  <c r="Y334" i="36"/>
  <c r="Z327" i="36"/>
  <c r="Y318" i="36"/>
  <c r="AB318" i="36" s="1"/>
  <c r="AB377" i="36"/>
  <c r="L10" i="34"/>
  <c r="Y373" i="36"/>
  <c r="AB373" i="36" s="1"/>
  <c r="AB399" i="36"/>
  <c r="Z336" i="36"/>
  <c r="Y395" i="36"/>
  <c r="AB395" i="36" s="1"/>
  <c r="Z395" i="36"/>
  <c r="Z396" i="36"/>
  <c r="Z380" i="36"/>
  <c r="Y380" i="36"/>
  <c r="Y390" i="36"/>
  <c r="AB390" i="36" s="1"/>
  <c r="O32" i="45"/>
  <c r="R38" i="45"/>
  <c r="H66" i="34"/>
  <c r="J116" i="35"/>
  <c r="K116" i="35" s="1"/>
  <c r="O116" i="35" s="1"/>
  <c r="Q404" i="35"/>
  <c r="Q33" i="34"/>
  <c r="Q401" i="35"/>
  <c r="O55" i="45"/>
  <c r="Z326" i="36"/>
  <c r="Y326" i="36"/>
  <c r="J358" i="35" s="1"/>
  <c r="K358" i="35" s="1"/>
  <c r="J349" i="35"/>
  <c r="K349" i="35" s="1"/>
  <c r="Q349" i="35" s="1"/>
  <c r="Z337" i="36"/>
  <c r="Z318" i="36"/>
  <c r="Q408" i="35"/>
  <c r="Z344" i="36"/>
  <c r="Y344" i="36"/>
  <c r="AB344" i="36" s="1"/>
  <c r="Q54" i="45"/>
  <c r="Z319" i="36"/>
  <c r="J714" i="35"/>
  <c r="K714" i="35" s="1"/>
  <c r="O714" i="35" s="1"/>
  <c r="R46" i="45"/>
  <c r="J415" i="35"/>
  <c r="K415" i="35" s="1"/>
  <c r="O415" i="35" s="1"/>
  <c r="Z335" i="36"/>
  <c r="Z329" i="36"/>
  <c r="K10" i="34"/>
  <c r="K12" i="34"/>
  <c r="AB346" i="36"/>
  <c r="J677" i="35"/>
  <c r="K677" i="35" s="1"/>
  <c r="Q677" i="35" s="1"/>
  <c r="Z372" i="36"/>
  <c r="Y388" i="36"/>
  <c r="AB388" i="36" s="1"/>
  <c r="Y320" i="36"/>
  <c r="AB320" i="36" s="1"/>
  <c r="Y374" i="36"/>
  <c r="AB374" i="36" s="1"/>
  <c r="R48" i="45"/>
  <c r="AB331" i="36"/>
  <c r="Z390" i="36"/>
  <c r="Y375" i="36"/>
  <c r="AB375" i="36" s="1"/>
  <c r="Y396" i="36"/>
  <c r="AB396" i="36" s="1"/>
  <c r="Y389" i="36"/>
  <c r="AB389" i="36" s="1"/>
  <c r="Z374" i="36"/>
  <c r="Z320" i="36"/>
  <c r="Z343" i="36"/>
  <c r="Z388" i="36"/>
  <c r="Q705" i="35"/>
  <c r="J551" i="35"/>
  <c r="K551" i="35" s="1"/>
  <c r="O551" i="35" s="1"/>
  <c r="R55" i="45"/>
  <c r="P30" i="45"/>
  <c r="J326" i="35"/>
  <c r="K326" i="35" s="1"/>
  <c r="O326" i="35" s="1"/>
  <c r="R62" i="34"/>
  <c r="J174" i="35"/>
  <c r="K174" i="35" s="1"/>
  <c r="Q174" i="35" s="1"/>
  <c r="O29" i="45"/>
  <c r="Y387" i="36"/>
  <c r="Z389" i="36"/>
  <c r="Y162" i="36"/>
  <c r="Z196" i="36" s="1"/>
  <c r="L22" i="34"/>
  <c r="Y328" i="36"/>
  <c r="AB328" i="36" s="1"/>
  <c r="R45" i="45"/>
  <c r="K22" i="34"/>
  <c r="O28" i="45"/>
  <c r="R29" i="45"/>
  <c r="P28" i="45"/>
  <c r="H46" i="34"/>
  <c r="Z325" i="36"/>
  <c r="Y397" i="36"/>
  <c r="AB397" i="36" s="1"/>
  <c r="Z316" i="36"/>
  <c r="Y381" i="36"/>
  <c r="AB381" i="36" s="1"/>
  <c r="Q48" i="45"/>
  <c r="Q32" i="45"/>
  <c r="Y343" i="36"/>
  <c r="AB343" i="36" s="1"/>
  <c r="Z317" i="36"/>
  <c r="K25" i="34"/>
  <c r="J15" i="35"/>
  <c r="K15" i="35" s="1"/>
  <c r="O713" i="35"/>
  <c r="AB384" i="36"/>
  <c r="H25" i="34"/>
  <c r="Y342" i="36"/>
  <c r="AB342" i="36" s="1"/>
  <c r="Y329" i="36"/>
  <c r="AB329" i="36" s="1"/>
  <c r="Z382" i="36"/>
  <c r="K55" i="34"/>
  <c r="L46" i="34"/>
  <c r="K66" i="34"/>
  <c r="Q558" i="35"/>
  <c r="P48" i="45"/>
  <c r="P29" i="45"/>
  <c r="O48" i="45"/>
  <c r="K46" i="34"/>
  <c r="O31" i="45"/>
  <c r="AB322" i="36"/>
  <c r="Y317" i="36"/>
  <c r="J30" i="35" s="1"/>
  <c r="K30" i="35" s="1"/>
  <c r="Q27" i="34"/>
  <c r="O47" i="45"/>
  <c r="Y325" i="36"/>
  <c r="J352" i="35" s="1"/>
  <c r="K352" i="35" s="1"/>
  <c r="Y336" i="36"/>
  <c r="AB336" i="36" s="1"/>
  <c r="J314" i="35"/>
  <c r="K314" i="35" s="1"/>
  <c r="Q314" i="35" s="1"/>
  <c r="L12" i="34"/>
  <c r="O360" i="35"/>
  <c r="Z397" i="36"/>
  <c r="Z375" i="36"/>
  <c r="O45" i="45"/>
  <c r="Z342" i="36"/>
  <c r="AB339" i="36"/>
  <c r="J412" i="35"/>
  <c r="K412" i="35" s="1"/>
  <c r="O412" i="35" s="1"/>
  <c r="Z373" i="36"/>
  <c r="L66" i="34"/>
  <c r="O50" i="45"/>
  <c r="P33" i="45"/>
  <c r="J144" i="35"/>
  <c r="K144" i="35" s="1"/>
  <c r="O144" i="35" s="1"/>
  <c r="P45" i="45"/>
  <c r="O407" i="35"/>
  <c r="O46" i="45"/>
  <c r="Y337" i="36"/>
  <c r="AB337" i="36" s="1"/>
  <c r="E19" i="42"/>
  <c r="H19" i="42" s="1"/>
  <c r="I19" i="42" s="1"/>
  <c r="J552" i="35"/>
  <c r="K552" i="35" s="1"/>
  <c r="Q552" i="35" s="1"/>
  <c r="Z387" i="36"/>
  <c r="Z381" i="36"/>
  <c r="P46" i="45"/>
  <c r="Q35" i="34"/>
  <c r="AB392" i="36"/>
  <c r="Q48" i="34"/>
  <c r="J370" i="35"/>
  <c r="K370" i="35" s="1"/>
  <c r="Q370" i="35" s="1"/>
  <c r="O22" i="45"/>
  <c r="P41" i="45"/>
  <c r="H55" i="34"/>
  <c r="P38" i="45"/>
  <c r="P39" i="45"/>
  <c r="Q403" i="35"/>
  <c r="J672" i="35"/>
  <c r="K672" i="35" s="1"/>
  <c r="O672" i="35" s="1"/>
  <c r="K11" i="34"/>
  <c r="H11" i="34"/>
  <c r="H20" i="34" s="1"/>
  <c r="O33" i="45"/>
  <c r="J452" i="35"/>
  <c r="K452" i="35" s="1"/>
  <c r="Q452" i="35" s="1"/>
  <c r="O402" i="35"/>
  <c r="R30" i="45"/>
  <c r="F23" i="34"/>
  <c r="L23" i="34" s="1"/>
  <c r="Q40" i="45"/>
  <c r="P47" i="45"/>
  <c r="R28" i="45"/>
  <c r="H15" i="45"/>
  <c r="P31" i="45"/>
  <c r="P40" i="45"/>
  <c r="R39" i="45"/>
  <c r="R40" i="45"/>
  <c r="K15" i="45"/>
  <c r="L15" i="45"/>
  <c r="O39" i="45"/>
  <c r="R48" i="34"/>
  <c r="R37" i="45"/>
  <c r="F19" i="45"/>
  <c r="P37" i="45"/>
  <c r="Q49" i="45"/>
  <c r="S49" i="45" s="1"/>
  <c r="H18" i="45"/>
  <c r="L18" i="45"/>
  <c r="K18" i="45"/>
  <c r="O405" i="35"/>
  <c r="J21" i="35"/>
  <c r="K21" i="35" s="1"/>
  <c r="Y12" i="36"/>
  <c r="Z31" i="36" s="1"/>
  <c r="Q681" i="35"/>
  <c r="O681" i="35"/>
  <c r="O48" i="34"/>
  <c r="P48" i="34"/>
  <c r="Q678" i="35"/>
  <c r="O678" i="35"/>
  <c r="O406" i="35"/>
  <c r="Q406" i="35"/>
  <c r="O384" i="35"/>
  <c r="Q384" i="35"/>
  <c r="P61" i="34"/>
  <c r="Q343" i="35"/>
  <c r="O343" i="35"/>
  <c r="Q730" i="35"/>
  <c r="O730" i="35"/>
  <c r="Q458" i="35"/>
  <c r="O458" i="35"/>
  <c r="Q738" i="35"/>
  <c r="O738" i="35"/>
  <c r="O23" i="35"/>
  <c r="Q23" i="35"/>
  <c r="R61" i="34"/>
  <c r="O400" i="35"/>
  <c r="Q400" i="35"/>
  <c r="O61" i="34"/>
  <c r="Q410" i="35"/>
  <c r="O410" i="35"/>
  <c r="Q761" i="35"/>
  <c r="O761" i="35"/>
  <c r="O399" i="35"/>
  <c r="Q399" i="35"/>
  <c r="R27" i="45" l="1"/>
  <c r="O27" i="45"/>
  <c r="P27" i="45"/>
  <c r="Q32" i="34"/>
  <c r="Q21" i="35"/>
  <c r="O21" i="35"/>
  <c r="J118" i="35"/>
  <c r="K118" i="35" s="1"/>
  <c r="Q346" i="35"/>
  <c r="O346" i="35"/>
  <c r="J16" i="35"/>
  <c r="K16" i="35" s="1"/>
  <c r="Q16" i="35" s="1"/>
  <c r="J13" i="35"/>
  <c r="K13" i="35" s="1"/>
  <c r="Q13" i="35" s="1"/>
  <c r="P22" i="45"/>
  <c r="J320" i="35"/>
  <c r="K320" i="35" s="1"/>
  <c r="O320" i="35" s="1"/>
  <c r="R22" i="45"/>
  <c r="J34" i="35"/>
  <c r="K34" i="35" s="1"/>
  <c r="O34" i="35" s="1"/>
  <c r="J634" i="35"/>
  <c r="K634" i="35" s="1"/>
  <c r="O634" i="35" s="1"/>
  <c r="J830" i="35"/>
  <c r="K830" i="35" s="1"/>
  <c r="J368" i="35"/>
  <c r="K368" i="35" s="1"/>
  <c r="J135" i="35"/>
  <c r="K135" i="35" s="1"/>
  <c r="O135" i="35" s="1"/>
  <c r="Q352" i="35"/>
  <c r="O352" i="35"/>
  <c r="Q358" i="35"/>
  <c r="O358" i="35"/>
  <c r="Q31" i="35"/>
  <c r="Q223" i="35"/>
  <c r="O224" i="35"/>
  <c r="Q49" i="34"/>
  <c r="Q651" i="35"/>
  <c r="O651" i="35"/>
  <c r="Q650" i="35"/>
  <c r="O650" i="35"/>
  <c r="Q649" i="35"/>
  <c r="O649" i="35"/>
  <c r="Q646" i="35"/>
  <c r="O646" i="35"/>
  <c r="Q643" i="35"/>
  <c r="O643" i="35"/>
  <c r="Q645" i="35"/>
  <c r="O645" i="35"/>
  <c r="Q644" i="35"/>
  <c r="O644" i="35"/>
  <c r="Q455" i="35"/>
  <c r="J636" i="35"/>
  <c r="K636" i="35" s="1"/>
  <c r="J637" i="35"/>
  <c r="K637" i="35" s="1"/>
  <c r="J639" i="35"/>
  <c r="K639" i="35" s="1"/>
  <c r="Q641" i="35"/>
  <c r="O641" i="35"/>
  <c r="J638" i="35"/>
  <c r="K638" i="35" s="1"/>
  <c r="Q640" i="35"/>
  <c r="O640" i="35"/>
  <c r="Q635" i="35"/>
  <c r="O635" i="35"/>
  <c r="AC319" i="36"/>
  <c r="AC335" i="36"/>
  <c r="O676" i="35"/>
  <c r="J347" i="35"/>
  <c r="K347" i="35" s="1"/>
  <c r="J117" i="35"/>
  <c r="K117" i="35" s="1"/>
  <c r="J38" i="35"/>
  <c r="K38" i="35" s="1"/>
  <c r="AB387" i="36"/>
  <c r="AC387" i="36" s="1"/>
  <c r="J121" i="35"/>
  <c r="K121" i="35" s="1"/>
  <c r="AB380" i="36"/>
  <c r="AC380" i="36" s="1"/>
  <c r="J633" i="35"/>
  <c r="K633" i="35" s="1"/>
  <c r="O52" i="34"/>
  <c r="R68" i="34"/>
  <c r="AB334" i="36"/>
  <c r="AC334" i="36" s="1"/>
  <c r="J176" i="35"/>
  <c r="K176" i="35" s="1"/>
  <c r="AB325" i="36"/>
  <c r="AC325" i="36" s="1"/>
  <c r="J630" i="35"/>
  <c r="K630" i="35" s="1"/>
  <c r="AB326" i="36"/>
  <c r="AC326" i="36" s="1"/>
  <c r="J631" i="35"/>
  <c r="K631" i="35" s="1"/>
  <c r="AB327" i="36"/>
  <c r="AC327" i="36" s="1"/>
  <c r="J632" i="35"/>
  <c r="K632" i="35" s="1"/>
  <c r="Q122" i="35"/>
  <c r="AC328" i="36"/>
  <c r="Q46" i="45"/>
  <c r="S46" i="45" s="1"/>
  <c r="Q116" i="35"/>
  <c r="R57" i="34"/>
  <c r="R60" i="34"/>
  <c r="Q551" i="35"/>
  <c r="R34" i="34"/>
  <c r="AC375" i="36"/>
  <c r="J377" i="35"/>
  <c r="K377" i="35" s="1"/>
  <c r="O377" i="35" s="1"/>
  <c r="Z25" i="36"/>
  <c r="AB49" i="36"/>
  <c r="Z47" i="36"/>
  <c r="Y46" i="36"/>
  <c r="AB46" i="36" s="1"/>
  <c r="Y19" i="36"/>
  <c r="AB19" i="36" s="1"/>
  <c r="Z39" i="36"/>
  <c r="Y29" i="36"/>
  <c r="AB29" i="36" s="1"/>
  <c r="AB42" i="36"/>
  <c r="Z46" i="36"/>
  <c r="Y20" i="36"/>
  <c r="AB20" i="36" s="1"/>
  <c r="Y39" i="36"/>
  <c r="AB39" i="36" s="1"/>
  <c r="Z26" i="36"/>
  <c r="Y40" i="36"/>
  <c r="AB40" i="36" s="1"/>
  <c r="Z27" i="36"/>
  <c r="Z38" i="36"/>
  <c r="Z36" i="36"/>
  <c r="AC336" i="36"/>
  <c r="Z37" i="36"/>
  <c r="AB22" i="36"/>
  <c r="Y28" i="36"/>
  <c r="AB28" i="36" s="1"/>
  <c r="Y37" i="36"/>
  <c r="AB37" i="36" s="1"/>
  <c r="Z45" i="36"/>
  <c r="Y27" i="36"/>
  <c r="AB27" i="36" s="1"/>
  <c r="Y17" i="36"/>
  <c r="AB17" i="36" s="1"/>
  <c r="Z29" i="36"/>
  <c r="Y36" i="36"/>
  <c r="AB36" i="36" s="1"/>
  <c r="Z20" i="36"/>
  <c r="P55" i="45"/>
  <c r="Y18" i="36"/>
  <c r="AB18" i="36" s="1"/>
  <c r="AB33" i="36"/>
  <c r="Z18" i="36"/>
  <c r="Y47" i="36"/>
  <c r="AB47" i="36" s="1"/>
  <c r="Z40" i="36"/>
  <c r="Y26" i="36"/>
  <c r="AB26" i="36" s="1"/>
  <c r="O33" i="34"/>
  <c r="Q415" i="35"/>
  <c r="J119" i="35"/>
  <c r="K119" i="35" s="1"/>
  <c r="O119" i="35" s="1"/>
  <c r="Y25" i="36"/>
  <c r="AB25" i="36" s="1"/>
  <c r="Y30" i="36"/>
  <c r="AB30" i="36" s="1"/>
  <c r="Z17" i="36"/>
  <c r="O37" i="34"/>
  <c r="Z28" i="36"/>
  <c r="Y31" i="36"/>
  <c r="AB31" i="36" s="1"/>
  <c r="AC31" i="36" s="1"/>
  <c r="Z30" i="36"/>
  <c r="Q55" i="45"/>
  <c r="Q57" i="45" s="1"/>
  <c r="O41" i="45"/>
  <c r="Z16" i="36"/>
  <c r="Y38" i="36"/>
  <c r="AB38" i="36" s="1"/>
  <c r="P35" i="34"/>
  <c r="R58" i="34"/>
  <c r="J12" i="35"/>
  <c r="K12" i="35" s="1"/>
  <c r="Q12" i="35" s="1"/>
  <c r="AC320" i="36"/>
  <c r="R49" i="34"/>
  <c r="Q69" i="34"/>
  <c r="J108" i="35"/>
  <c r="K108" i="35" s="1"/>
  <c r="Q108" i="35" s="1"/>
  <c r="R27" i="34"/>
  <c r="P27" i="34"/>
  <c r="Q68" i="34"/>
  <c r="P69" i="34"/>
  <c r="P32" i="45"/>
  <c r="P37" i="34"/>
  <c r="Z19" i="36"/>
  <c r="Y45" i="36"/>
  <c r="AB45" i="36" s="1"/>
  <c r="Q59" i="34"/>
  <c r="Q326" i="35"/>
  <c r="Q47" i="45"/>
  <c r="O370" i="35"/>
  <c r="L20" i="34"/>
  <c r="Q714" i="35"/>
  <c r="J359" i="35"/>
  <c r="K359" i="35" s="1"/>
  <c r="Q359" i="35" s="1"/>
  <c r="AC395" i="36"/>
  <c r="O57" i="34"/>
  <c r="O349" i="35"/>
  <c r="AC318" i="36"/>
  <c r="P58" i="34"/>
  <c r="K23" i="34"/>
  <c r="H23" i="34"/>
  <c r="Z338" i="36"/>
  <c r="Z339" i="36" s="1"/>
  <c r="AC390" i="36"/>
  <c r="AC396" i="36"/>
  <c r="O677" i="35"/>
  <c r="P57" i="34"/>
  <c r="J232" i="35"/>
  <c r="K232" i="35" s="1"/>
  <c r="Q232" i="35" s="1"/>
  <c r="Z398" i="36"/>
  <c r="Z399" i="36" s="1"/>
  <c r="O552" i="35"/>
  <c r="AC337" i="36"/>
  <c r="O32" i="34"/>
  <c r="AB348" i="36"/>
  <c r="AB317" i="36"/>
  <c r="AC317" i="36" s="1"/>
  <c r="O62" i="34"/>
  <c r="R33" i="45"/>
  <c r="Q412" i="35"/>
  <c r="Q22" i="45"/>
  <c r="O35" i="34"/>
  <c r="R38" i="34"/>
  <c r="O174" i="35"/>
  <c r="R31" i="45"/>
  <c r="R36" i="34"/>
  <c r="R54" i="45"/>
  <c r="R57" i="45" s="1"/>
  <c r="P50" i="34"/>
  <c r="O58" i="34"/>
  <c r="P68" i="34"/>
  <c r="O314" i="35"/>
  <c r="O36" i="34"/>
  <c r="O69" i="34"/>
  <c r="Q30" i="45"/>
  <c r="AB401" i="36"/>
  <c r="R32" i="34"/>
  <c r="R32" i="45"/>
  <c r="Q672" i="35"/>
  <c r="O60" i="34"/>
  <c r="R37" i="34"/>
  <c r="Z345" i="36"/>
  <c r="Z346" i="36" s="1"/>
  <c r="O30" i="45"/>
  <c r="O27" i="34"/>
  <c r="R56" i="1"/>
  <c r="AC344" i="36"/>
  <c r="O59" i="34"/>
  <c r="AC373" i="36"/>
  <c r="P38" i="34"/>
  <c r="Z330" i="36"/>
  <c r="Z331" i="36" s="1"/>
  <c r="AC343" i="36"/>
  <c r="AC329" i="36"/>
  <c r="AC388" i="36"/>
  <c r="Q15" i="1"/>
  <c r="P32" i="34"/>
  <c r="AC381" i="36"/>
  <c r="AC389" i="36"/>
  <c r="Q27" i="45"/>
  <c r="K20" i="34"/>
  <c r="R33" i="34"/>
  <c r="O50" i="34"/>
  <c r="Q45" i="45"/>
  <c r="S45" i="45" s="1"/>
  <c r="Q36" i="34"/>
  <c r="AC374" i="36"/>
  <c r="R47" i="45"/>
  <c r="Q31" i="45"/>
  <c r="P33" i="34"/>
  <c r="P60" i="34"/>
  <c r="P56" i="1"/>
  <c r="J231" i="35"/>
  <c r="K231" i="35" s="1"/>
  <c r="Q231" i="35" s="1"/>
  <c r="S28" i="45"/>
  <c r="S48" i="45"/>
  <c r="O68" i="34"/>
  <c r="Q33" i="45"/>
  <c r="Q39" i="45"/>
  <c r="S39" i="45" s="1"/>
  <c r="R59" i="34"/>
  <c r="R13" i="45"/>
  <c r="Z383" i="36"/>
  <c r="Z384" i="36" s="1"/>
  <c r="R59" i="1"/>
  <c r="Y167" i="36"/>
  <c r="AB167" i="36" s="1"/>
  <c r="Z188" i="36"/>
  <c r="Y195" i="36"/>
  <c r="AB195" i="36" s="1"/>
  <c r="O54" i="45"/>
  <c r="O57" i="45" s="1"/>
  <c r="Q38" i="34"/>
  <c r="R51" i="34"/>
  <c r="Z376" i="36"/>
  <c r="Z377" i="36" s="1"/>
  <c r="Z187" i="36"/>
  <c r="Z167" i="36"/>
  <c r="P50" i="45"/>
  <c r="P52" i="45" s="1"/>
  <c r="Z166" i="36"/>
  <c r="Z177" i="36"/>
  <c r="Z175" i="36"/>
  <c r="Q56" i="1"/>
  <c r="Z391" i="36"/>
  <c r="Z392" i="36" s="1"/>
  <c r="Y170" i="36"/>
  <c r="AB170" i="36" s="1"/>
  <c r="Y187" i="36"/>
  <c r="AB187" i="36" s="1"/>
  <c r="Y180" i="36"/>
  <c r="AB180" i="36" s="1"/>
  <c r="AB192" i="36"/>
  <c r="Y190" i="36"/>
  <c r="AB190" i="36" s="1"/>
  <c r="Y181" i="36"/>
  <c r="AB181" i="36" s="1"/>
  <c r="Y179" i="36"/>
  <c r="AB179" i="36" s="1"/>
  <c r="Y197" i="36"/>
  <c r="AB197" i="36" s="1"/>
  <c r="Y196" i="36"/>
  <c r="AB196" i="36" s="1"/>
  <c r="AC196" i="36" s="1"/>
  <c r="Q50" i="34"/>
  <c r="Y177" i="36"/>
  <c r="AB177" i="36" s="1"/>
  <c r="Z181" i="36"/>
  <c r="J39" i="35"/>
  <c r="K39" i="35" s="1"/>
  <c r="Q39" i="35" s="1"/>
  <c r="P49" i="34"/>
  <c r="Z179" i="36"/>
  <c r="AB199" i="36"/>
  <c r="Y189" i="36"/>
  <c r="AB189" i="36" s="1"/>
  <c r="P54" i="45"/>
  <c r="Z321" i="36"/>
  <c r="Z322" i="36" s="1"/>
  <c r="R50" i="45"/>
  <c r="S29" i="45"/>
  <c r="Z176" i="36"/>
  <c r="Y168" i="36"/>
  <c r="AB168" i="36" s="1"/>
  <c r="Y169" i="36"/>
  <c r="AB169" i="36" s="1"/>
  <c r="Z189" i="36"/>
  <c r="Y186" i="36"/>
  <c r="AB186" i="36" s="1"/>
  <c r="Z180" i="36"/>
  <c r="Z170" i="36"/>
  <c r="Z169" i="36"/>
  <c r="O452" i="35"/>
  <c r="P34" i="34"/>
  <c r="Z186" i="36"/>
  <c r="R41" i="45"/>
  <c r="R43" i="45" s="1"/>
  <c r="Z195" i="36"/>
  <c r="Y175" i="36"/>
  <c r="AB175" i="36" s="1"/>
  <c r="Z197" i="36"/>
  <c r="Z178" i="36"/>
  <c r="AC382" i="36"/>
  <c r="Y176" i="36"/>
  <c r="AB176" i="36" s="1"/>
  <c r="AB183" i="36"/>
  <c r="R69" i="34"/>
  <c r="Y178" i="36"/>
  <c r="AB178" i="36" s="1"/>
  <c r="AB172" i="36"/>
  <c r="Z168" i="36"/>
  <c r="Y188" i="36"/>
  <c r="AB188" i="36" s="1"/>
  <c r="Z190" i="36"/>
  <c r="Q60" i="34"/>
  <c r="O56" i="1"/>
  <c r="O15" i="1"/>
  <c r="O34" i="34"/>
  <c r="AC397" i="36"/>
  <c r="J353" i="35"/>
  <c r="K353" i="35" s="1"/>
  <c r="Q353" i="35" s="1"/>
  <c r="R35" i="34"/>
  <c r="AC342" i="36"/>
  <c r="O38" i="45"/>
  <c r="S38" i="45" s="1"/>
  <c r="Q37" i="34"/>
  <c r="O49" i="34"/>
  <c r="R52" i="34"/>
  <c r="Q144" i="35"/>
  <c r="Q13" i="45"/>
  <c r="Q57" i="34"/>
  <c r="Q62" i="34"/>
  <c r="Q50" i="45"/>
  <c r="P62" i="34"/>
  <c r="Q52" i="34"/>
  <c r="E20" i="42"/>
  <c r="H20" i="42" s="1"/>
  <c r="I20" i="42" s="1"/>
  <c r="F24" i="34"/>
  <c r="L24" i="34" s="1"/>
  <c r="L29" i="34" s="1"/>
  <c r="Q41" i="45"/>
  <c r="P52" i="34"/>
  <c r="O38" i="34"/>
  <c r="P26" i="34"/>
  <c r="R21" i="45"/>
  <c r="O12" i="34"/>
  <c r="R15" i="1"/>
  <c r="P59" i="34"/>
  <c r="Q59" i="1"/>
  <c r="Q51" i="34"/>
  <c r="O51" i="34"/>
  <c r="P43" i="45"/>
  <c r="R50" i="34"/>
  <c r="P51" i="34"/>
  <c r="P15" i="1"/>
  <c r="O40" i="45"/>
  <c r="S40" i="45" s="1"/>
  <c r="P36" i="34"/>
  <c r="S37" i="45"/>
  <c r="L19" i="45"/>
  <c r="L24" i="45" s="1"/>
  <c r="L59" i="45" s="1"/>
  <c r="K19" i="45"/>
  <c r="K24" i="45" s="1"/>
  <c r="K59" i="45" s="1"/>
  <c r="H19" i="45"/>
  <c r="H24" i="45" s="1"/>
  <c r="H59" i="45" s="1"/>
  <c r="O52" i="45"/>
  <c r="Q30" i="35"/>
  <c r="O30" i="35"/>
  <c r="S48" i="34"/>
  <c r="Q15" i="35"/>
  <c r="O15" i="35"/>
  <c r="S61" i="34"/>
  <c r="S27" i="45" l="1"/>
  <c r="S56" i="1"/>
  <c r="S15" i="1"/>
  <c r="O26" i="34"/>
  <c r="O57" i="1"/>
  <c r="Q21" i="45"/>
  <c r="Q57" i="1"/>
  <c r="R26" i="34"/>
  <c r="R57" i="1"/>
  <c r="P21" i="45"/>
  <c r="P57" i="1"/>
  <c r="P59" i="1"/>
  <c r="O59" i="1"/>
  <c r="O12" i="45"/>
  <c r="Q12" i="45"/>
  <c r="P12" i="45"/>
  <c r="R11" i="34"/>
  <c r="O17" i="45"/>
  <c r="O61" i="1"/>
  <c r="R61" i="1"/>
  <c r="P22" i="34"/>
  <c r="P61" i="1"/>
  <c r="Q17" i="45"/>
  <c r="Q61" i="1"/>
  <c r="O13" i="35"/>
  <c r="O118" i="35"/>
  <c r="Q118" i="35"/>
  <c r="O16" i="35"/>
  <c r="P31" i="34"/>
  <c r="P46" i="34" s="1"/>
  <c r="P26" i="45"/>
  <c r="P35" i="45" s="1"/>
  <c r="O31" i="34"/>
  <c r="O46" i="34" s="1"/>
  <c r="Q26" i="45"/>
  <c r="Q35" i="45" s="1"/>
  <c r="Q31" i="34"/>
  <c r="O26" i="45"/>
  <c r="O35" i="45" s="1"/>
  <c r="R26" i="45"/>
  <c r="R35" i="45" s="1"/>
  <c r="R31" i="34"/>
  <c r="R46" i="34" s="1"/>
  <c r="Q26" i="34"/>
  <c r="O21" i="45"/>
  <c r="Q11" i="45"/>
  <c r="AC346" i="36"/>
  <c r="O11" i="45"/>
  <c r="P11" i="45"/>
  <c r="Q19" i="1"/>
  <c r="Q21" i="1"/>
  <c r="P19" i="1"/>
  <c r="P21" i="1"/>
  <c r="R16" i="1"/>
  <c r="R21" i="1"/>
  <c r="R19" i="1"/>
  <c r="O16" i="1"/>
  <c r="O19" i="1"/>
  <c r="O21" i="1"/>
  <c r="P16" i="1"/>
  <c r="Q18" i="45"/>
  <c r="Q16" i="1"/>
  <c r="Q320" i="35"/>
  <c r="S22" i="45"/>
  <c r="J785" i="35"/>
  <c r="K785" i="35" s="1"/>
  <c r="Q34" i="35"/>
  <c r="Q634" i="35"/>
  <c r="Q830" i="35"/>
  <c r="O830" i="35"/>
  <c r="Q135" i="35"/>
  <c r="Q368" i="35"/>
  <c r="O368" i="35"/>
  <c r="Q638" i="35"/>
  <c r="O638" i="35"/>
  <c r="Q639" i="35"/>
  <c r="O639" i="35"/>
  <c r="Q637" i="35"/>
  <c r="O637" i="35"/>
  <c r="Q636" i="35"/>
  <c r="O636" i="35"/>
  <c r="R90" i="34"/>
  <c r="Q347" i="35"/>
  <c r="O347" i="35"/>
  <c r="Q117" i="35"/>
  <c r="O117" i="35"/>
  <c r="Q38" i="35"/>
  <c r="O38" i="35"/>
  <c r="Q121" i="35"/>
  <c r="O121" i="35"/>
  <c r="Q633" i="35"/>
  <c r="O633" i="35"/>
  <c r="Q176" i="35"/>
  <c r="O176" i="35"/>
  <c r="Q630" i="35"/>
  <c r="O630" i="35"/>
  <c r="Q631" i="35"/>
  <c r="O631" i="35"/>
  <c r="Q632" i="35"/>
  <c r="O632" i="35"/>
  <c r="AC25" i="36"/>
  <c r="Q377" i="35"/>
  <c r="R10" i="34"/>
  <c r="AC26" i="36"/>
  <c r="P10" i="34"/>
  <c r="R66" i="34"/>
  <c r="AC37" i="36"/>
  <c r="AC19" i="36"/>
  <c r="AC18" i="36"/>
  <c r="AC40" i="36"/>
  <c r="AC47" i="36"/>
  <c r="O108" i="35"/>
  <c r="AC17" i="36"/>
  <c r="AC20" i="36"/>
  <c r="AC27" i="36"/>
  <c r="O231" i="35"/>
  <c r="R11" i="45"/>
  <c r="AC28" i="36"/>
  <c r="AC175" i="36"/>
  <c r="AC38" i="36"/>
  <c r="AC45" i="36"/>
  <c r="O232" i="35"/>
  <c r="AC46" i="36"/>
  <c r="AB51" i="36"/>
  <c r="AC36" i="36"/>
  <c r="AC30" i="36"/>
  <c r="S55" i="45"/>
  <c r="AC399" i="36"/>
  <c r="Z32" i="36"/>
  <c r="Z33" i="36" s="1"/>
  <c r="AC33" i="36" s="1"/>
  <c r="AC39" i="36"/>
  <c r="P90" i="34"/>
  <c r="Q119" i="35"/>
  <c r="Z41" i="36"/>
  <c r="Z42" i="36" s="1"/>
  <c r="AC29" i="36"/>
  <c r="S58" i="34"/>
  <c r="Z48" i="36"/>
  <c r="Z49" i="36" s="1"/>
  <c r="AC49" i="36" s="1"/>
  <c r="S33" i="45"/>
  <c r="P57" i="45"/>
  <c r="Z21" i="36"/>
  <c r="Z22" i="36" s="1"/>
  <c r="AC22" i="36" s="1"/>
  <c r="Q90" i="34"/>
  <c r="L92" i="34"/>
  <c r="S32" i="45"/>
  <c r="O12" i="35"/>
  <c r="S31" i="45"/>
  <c r="AC179" i="36"/>
  <c r="S47" i="45"/>
  <c r="S57" i="34"/>
  <c r="S27" i="34"/>
  <c r="O359" i="35"/>
  <c r="S30" i="45"/>
  <c r="S37" i="34"/>
  <c r="S35" i="34"/>
  <c r="Q10" i="34"/>
  <c r="R12" i="45"/>
  <c r="AC186" i="36"/>
  <c r="AC377" i="36"/>
  <c r="O90" i="34"/>
  <c r="AC178" i="36"/>
  <c r="AC195" i="36"/>
  <c r="AC177" i="36"/>
  <c r="AC190" i="36"/>
  <c r="Q11" i="34"/>
  <c r="AC167" i="36"/>
  <c r="Q14" i="1"/>
  <c r="S33" i="34"/>
  <c r="Q22" i="34"/>
  <c r="O11" i="34"/>
  <c r="AC170" i="36"/>
  <c r="S32" i="34"/>
  <c r="O66" i="34"/>
  <c r="R12" i="34"/>
  <c r="AC180" i="36"/>
  <c r="O39" i="35"/>
  <c r="O14" i="1"/>
  <c r="Q52" i="45"/>
  <c r="AC331" i="36"/>
  <c r="S49" i="34"/>
  <c r="S68" i="34"/>
  <c r="Z401" i="36"/>
  <c r="AC401" i="36" s="1"/>
  <c r="AC168" i="36"/>
  <c r="R52" i="45"/>
  <c r="AC181" i="36"/>
  <c r="AC169" i="36"/>
  <c r="Z191" i="36"/>
  <c r="Z192" i="36" s="1"/>
  <c r="O10" i="34"/>
  <c r="AC322" i="36"/>
  <c r="AC188" i="36"/>
  <c r="AC189" i="36"/>
  <c r="Z198" i="36"/>
  <c r="Z199" i="36" s="1"/>
  <c r="AC199" i="36" s="1"/>
  <c r="K24" i="34"/>
  <c r="K29" i="34" s="1"/>
  <c r="K92" i="34" s="1"/>
  <c r="O353" i="35"/>
  <c r="H24" i="34"/>
  <c r="H29" i="34" s="1"/>
  <c r="H92" i="34" s="1"/>
  <c r="H94" i="34" s="1"/>
  <c r="AC187" i="36"/>
  <c r="S54" i="45"/>
  <c r="AB201" i="36"/>
  <c r="Z348" i="36"/>
  <c r="Z351" i="36" s="1"/>
  <c r="S34" i="34"/>
  <c r="Q12" i="34"/>
  <c r="O22" i="34"/>
  <c r="P11" i="34"/>
  <c r="AC176" i="36"/>
  <c r="S69" i="34"/>
  <c r="AC197" i="36"/>
  <c r="S60" i="34"/>
  <c r="Z182" i="36"/>
  <c r="Z183" i="36" s="1"/>
  <c r="AC183" i="36" s="1"/>
  <c r="R17" i="45"/>
  <c r="Z171" i="36"/>
  <c r="Z172" i="36" s="1"/>
  <c r="AC172" i="36" s="1"/>
  <c r="AC384" i="36"/>
  <c r="S41" i="45"/>
  <c r="S43" i="45" s="1"/>
  <c r="R55" i="34"/>
  <c r="J19" i="35"/>
  <c r="K19" i="35" s="1"/>
  <c r="Q19" i="35" s="1"/>
  <c r="S50" i="45"/>
  <c r="P13" i="45"/>
  <c r="P12" i="34"/>
  <c r="O55" i="34"/>
  <c r="P55" i="34"/>
  <c r="Q66" i="34"/>
  <c r="R14" i="1"/>
  <c r="R22" i="34"/>
  <c r="Q43" i="45"/>
  <c r="S38" i="34"/>
  <c r="S52" i="34"/>
  <c r="S62" i="34"/>
  <c r="P66" i="34"/>
  <c r="Q55" i="34"/>
  <c r="O13" i="45"/>
  <c r="S59" i="34"/>
  <c r="P17" i="45"/>
  <c r="S36" i="34"/>
  <c r="S51" i="34"/>
  <c r="S50" i="34"/>
  <c r="P14" i="1"/>
  <c r="O43" i="45"/>
  <c r="O18" i="45"/>
  <c r="P18" i="45"/>
  <c r="R18" i="45"/>
  <c r="H61" i="45"/>
  <c r="K63" i="45"/>
  <c r="K62" i="45"/>
  <c r="P23" i="34"/>
  <c r="R23" i="34"/>
  <c r="O23" i="34"/>
  <c r="Q23" i="34"/>
  <c r="S26" i="34" l="1"/>
  <c r="S21" i="45"/>
  <c r="S59" i="1"/>
  <c r="S57" i="1"/>
  <c r="Q15" i="45"/>
  <c r="S12" i="45"/>
  <c r="S61" i="1"/>
  <c r="J783" i="35"/>
  <c r="K783" i="35" s="1"/>
  <c r="Q783" i="35" s="1"/>
  <c r="J238" i="35"/>
  <c r="K238" i="35" s="1"/>
  <c r="S31" i="34"/>
  <c r="S46" i="34" s="1"/>
  <c r="S26" i="45"/>
  <c r="S35" i="45" s="1"/>
  <c r="Q46" i="34"/>
  <c r="P15" i="45"/>
  <c r="O15" i="45"/>
  <c r="S11" i="45"/>
  <c r="S19" i="1"/>
  <c r="S21" i="1"/>
  <c r="S16" i="1"/>
  <c r="J230" i="35"/>
  <c r="K230" i="35" s="1"/>
  <c r="Q230" i="35" s="1"/>
  <c r="J786" i="35"/>
  <c r="K786" i="35" s="1"/>
  <c r="Q785" i="35"/>
  <c r="O785" i="35"/>
  <c r="J143" i="35"/>
  <c r="K143" i="35" s="1"/>
  <c r="J229" i="35"/>
  <c r="K229" i="35" s="1"/>
  <c r="O19" i="35"/>
  <c r="J26" i="35"/>
  <c r="K26" i="35" s="1"/>
  <c r="J642" i="35"/>
  <c r="K642" i="35" s="1"/>
  <c r="J323" i="35"/>
  <c r="K323" i="35" s="1"/>
  <c r="Y62" i="36"/>
  <c r="J11" i="35"/>
  <c r="K11" i="35" s="1"/>
  <c r="R20" i="34"/>
  <c r="S57" i="45"/>
  <c r="R15" i="45"/>
  <c r="Z51" i="36"/>
  <c r="AC51" i="36" s="1"/>
  <c r="S52" i="45"/>
  <c r="J372" i="35"/>
  <c r="K372" i="35" s="1"/>
  <c r="Z405" i="36"/>
  <c r="Q20" i="34"/>
  <c r="S11" i="34"/>
  <c r="O20" i="34"/>
  <c r="Z404" i="36"/>
  <c r="S90" i="34"/>
  <c r="Z406" i="36"/>
  <c r="Z407" i="36" s="1"/>
  <c r="S10" i="34"/>
  <c r="H95" i="34"/>
  <c r="H96" i="34" s="1"/>
  <c r="S22" i="34"/>
  <c r="H93" i="34"/>
  <c r="H97" i="34" s="1"/>
  <c r="H99" i="34" s="1"/>
  <c r="H103" i="34" s="1"/>
  <c r="S17" i="45"/>
  <c r="AC348" i="36"/>
  <c r="Z352" i="36"/>
  <c r="Z353" i="36"/>
  <c r="Z354" i="36" s="1"/>
  <c r="Z201" i="36"/>
  <c r="AC201" i="36" s="1"/>
  <c r="S12" i="34"/>
  <c r="J14" i="35"/>
  <c r="K14" i="35" s="1"/>
  <c r="P20" i="34"/>
  <c r="S14" i="1"/>
  <c r="S13" i="45"/>
  <c r="S66" i="34"/>
  <c r="S55" i="34"/>
  <c r="S18" i="45"/>
  <c r="K64" i="45"/>
  <c r="H64" i="45"/>
  <c r="K67" i="45" s="1"/>
  <c r="S23" i="34"/>
  <c r="I30" i="38" l="1"/>
  <c r="O783" i="35"/>
  <c r="Q238" i="35"/>
  <c r="O238" i="35"/>
  <c r="K307" i="35"/>
  <c r="O307" i="35" s="1"/>
  <c r="Q20" i="45"/>
  <c r="Q18" i="1"/>
  <c r="Q25" i="34"/>
  <c r="O25" i="34"/>
  <c r="O20" i="45"/>
  <c r="O18" i="1"/>
  <c r="R25" i="34"/>
  <c r="R20" i="45"/>
  <c r="R18" i="1"/>
  <c r="P20" i="45"/>
  <c r="P25" i="34"/>
  <c r="P18" i="1"/>
  <c r="S15" i="45"/>
  <c r="P17" i="1"/>
  <c r="R17" i="1"/>
  <c r="O19" i="45"/>
  <c r="O17" i="1"/>
  <c r="Q24" i="34"/>
  <c r="Q17" i="1"/>
  <c r="O230" i="35"/>
  <c r="Q786" i="35"/>
  <c r="O786" i="35"/>
  <c r="Q143" i="35"/>
  <c r="O143" i="35"/>
  <c r="Q229" i="35"/>
  <c r="O229" i="35"/>
  <c r="K72" i="1"/>
  <c r="N934" i="35"/>
  <c r="K71" i="1"/>
  <c r="I39" i="38"/>
  <c r="H50" i="38"/>
  <c r="I50" i="38" s="1"/>
  <c r="H52" i="38"/>
  <c r="I52" i="38" s="1"/>
  <c r="H51" i="38"/>
  <c r="I51" i="38" s="1"/>
  <c r="I31" i="38"/>
  <c r="I35" i="38"/>
  <c r="I43" i="38"/>
  <c r="I28" i="38"/>
  <c r="I40" i="38"/>
  <c r="H49" i="38"/>
  <c r="I49" i="38" s="1"/>
  <c r="H48" i="38"/>
  <c r="I48" i="38" s="1"/>
  <c r="I37" i="38"/>
  <c r="H55" i="38"/>
  <c r="I55" i="38" s="1"/>
  <c r="I34" i="38"/>
  <c r="I42" i="38"/>
  <c r="H56" i="38"/>
  <c r="I56" i="38" s="1"/>
  <c r="H53" i="38"/>
  <c r="I53" i="38" s="1"/>
  <c r="I23" i="38"/>
  <c r="I26" i="38"/>
  <c r="I25" i="38"/>
  <c r="I24" i="38"/>
  <c r="I45" i="38"/>
  <c r="I38" i="38"/>
  <c r="I36" i="38"/>
  <c r="I27" i="38"/>
  <c r="I29" i="38"/>
  <c r="I44" i="38"/>
  <c r="H59" i="38"/>
  <c r="I59" i="38" s="1"/>
  <c r="I58" i="38" s="1"/>
  <c r="I33" i="38"/>
  <c r="H54" i="38"/>
  <c r="I54" i="38" s="1"/>
  <c r="Q26" i="35"/>
  <c r="O26" i="35"/>
  <c r="Q642" i="35"/>
  <c r="O642" i="35"/>
  <c r="Y87" i="36"/>
  <c r="AB83" i="36"/>
  <c r="Z95" i="36"/>
  <c r="Y86" i="36"/>
  <c r="Y81" i="36"/>
  <c r="AB81" i="36" s="1"/>
  <c r="Z76" i="36"/>
  <c r="Z80" i="36"/>
  <c r="Z67" i="36"/>
  <c r="Y89" i="36"/>
  <c r="AB89" i="36" s="1"/>
  <c r="Z79" i="36"/>
  <c r="Y88" i="36"/>
  <c r="Y78" i="36"/>
  <c r="Y77" i="36"/>
  <c r="Z78" i="36"/>
  <c r="Y97" i="36"/>
  <c r="AB97" i="36" s="1"/>
  <c r="Y79" i="36"/>
  <c r="AB79" i="36" s="1"/>
  <c r="Y95" i="36"/>
  <c r="Z77" i="36"/>
  <c r="Y96" i="36"/>
  <c r="Z97" i="36"/>
  <c r="Z90" i="36"/>
  <c r="Z87" i="36"/>
  <c r="AB92" i="36"/>
  <c r="Y90" i="36"/>
  <c r="AB90" i="36" s="1"/>
  <c r="Z68" i="36"/>
  <c r="Y69" i="36"/>
  <c r="AB69" i="36" s="1"/>
  <c r="Z75" i="36"/>
  <c r="Z69" i="36"/>
  <c r="Z81" i="36"/>
  <c r="Y70" i="36"/>
  <c r="AB70" i="36" s="1"/>
  <c r="Z70" i="36"/>
  <c r="Z86" i="36"/>
  <c r="Y68" i="36"/>
  <c r="AB68" i="36" s="1"/>
  <c r="Z96" i="36"/>
  <c r="Y67" i="36"/>
  <c r="Y75" i="36"/>
  <c r="Z88" i="36"/>
  <c r="Z89" i="36"/>
  <c r="Y80" i="36"/>
  <c r="AB80" i="36" s="1"/>
  <c r="Y76" i="36"/>
  <c r="Z66" i="36"/>
  <c r="AB99" i="36"/>
  <c r="AB72" i="36"/>
  <c r="Q323" i="35"/>
  <c r="O323" i="35"/>
  <c r="O11" i="35"/>
  <c r="Q11" i="35"/>
  <c r="O372" i="35"/>
  <c r="Q372" i="35"/>
  <c r="Z408" i="36"/>
  <c r="Z410" i="36" s="1"/>
  <c r="R24" i="34"/>
  <c r="S20" i="34"/>
  <c r="Z355" i="36"/>
  <c r="Z357" i="36" s="1"/>
  <c r="R19" i="45"/>
  <c r="P19" i="45"/>
  <c r="Q19" i="45"/>
  <c r="P24" i="34"/>
  <c r="Q14" i="35"/>
  <c r="O14" i="35"/>
  <c r="O24" i="34"/>
  <c r="I19" i="38" l="1"/>
  <c r="Q63" i="1"/>
  <c r="R63" i="1"/>
  <c r="O63" i="1"/>
  <c r="P63" i="1"/>
  <c r="O24" i="45"/>
  <c r="O59" i="45" s="1"/>
  <c r="P24" i="45"/>
  <c r="P59" i="45" s="1"/>
  <c r="O29" i="34"/>
  <c r="O92" i="34" s="1"/>
  <c r="P29" i="34"/>
  <c r="P92" i="34" s="1"/>
  <c r="Q29" i="34"/>
  <c r="Q92" i="34" s="1"/>
  <c r="R24" i="45"/>
  <c r="R59" i="45" s="1"/>
  <c r="Q24" i="45"/>
  <c r="Q59" i="45" s="1"/>
  <c r="R29" i="34"/>
  <c r="R92" i="34" s="1"/>
  <c r="S18" i="1"/>
  <c r="S20" i="45"/>
  <c r="S25" i="34"/>
  <c r="S17" i="1"/>
  <c r="H67" i="1"/>
  <c r="I47" i="38"/>
  <c r="AC80" i="36"/>
  <c r="AC90" i="36"/>
  <c r="AC97" i="36"/>
  <c r="AC68" i="36"/>
  <c r="Z91" i="36"/>
  <c r="Z92" i="36" s="1"/>
  <c r="AC79" i="36"/>
  <c r="AC81" i="36"/>
  <c r="AC70" i="36"/>
  <c r="AB77" i="36"/>
  <c r="AC77" i="36" s="1"/>
  <c r="J335" i="35"/>
  <c r="K335" i="35" s="1"/>
  <c r="AB78" i="36"/>
  <c r="AC78" i="36" s="1"/>
  <c r="J341" i="35"/>
  <c r="K341" i="35" s="1"/>
  <c r="Z82" i="36"/>
  <c r="Z83" i="36" s="1"/>
  <c r="AC83" i="36" s="1"/>
  <c r="AB88" i="36"/>
  <c r="AC88" i="36" s="1"/>
  <c r="J115" i="35"/>
  <c r="K115" i="35" s="1"/>
  <c r="AB101" i="36"/>
  <c r="AC69" i="36"/>
  <c r="Z71" i="36"/>
  <c r="Z72" i="36" s="1"/>
  <c r="AC72" i="36" s="1"/>
  <c r="K10" i="35"/>
  <c r="AC89" i="36"/>
  <c r="AB76" i="36"/>
  <c r="AC76" i="36" s="1"/>
  <c r="J331" i="35"/>
  <c r="K331" i="35" s="1"/>
  <c r="AB75" i="36"/>
  <c r="AC75" i="36" s="1"/>
  <c r="J330" i="35"/>
  <c r="K330" i="35" s="1"/>
  <c r="AB86" i="36"/>
  <c r="AC86" i="36" s="1"/>
  <c r="J134" i="35"/>
  <c r="K134" i="35" s="1"/>
  <c r="AB67" i="36"/>
  <c r="AC67" i="36" s="1"/>
  <c r="J17" i="35"/>
  <c r="K17" i="35" s="1"/>
  <c r="AB96" i="36"/>
  <c r="AC96" i="36" s="1"/>
  <c r="J220" i="35"/>
  <c r="K220" i="35" s="1"/>
  <c r="Z98" i="36"/>
  <c r="Z99" i="36" s="1"/>
  <c r="AB95" i="36"/>
  <c r="AC95" i="36" s="1"/>
  <c r="J219" i="35"/>
  <c r="K219" i="35" s="1"/>
  <c r="AB87" i="36"/>
  <c r="AC87" i="36" s="1"/>
  <c r="J114" i="35"/>
  <c r="K114" i="35" s="1"/>
  <c r="S19" i="45"/>
  <c r="S24" i="34"/>
  <c r="I61" i="38" l="1"/>
  <c r="D9" i="38" s="1"/>
  <c r="H68" i="1"/>
  <c r="S29" i="34"/>
  <c r="S92" i="34" s="1"/>
  <c r="S24" i="45"/>
  <c r="S59" i="45" s="1"/>
  <c r="Q331" i="35"/>
  <c r="O331" i="35"/>
  <c r="K215" i="35"/>
  <c r="O215" i="35" s="1"/>
  <c r="O114" i="35"/>
  <c r="Q114" i="35"/>
  <c r="O10" i="35"/>
  <c r="Q10" i="35"/>
  <c r="K110" i="35"/>
  <c r="O110" i="35" s="1"/>
  <c r="Q219" i="35"/>
  <c r="O219" i="35"/>
  <c r="K234" i="35"/>
  <c r="O234" i="35" s="1"/>
  <c r="Z101" i="36"/>
  <c r="AC101" i="36" s="1"/>
  <c r="AC99" i="36"/>
  <c r="O115" i="35"/>
  <c r="Q115" i="35"/>
  <c r="Q220" i="35"/>
  <c r="O220" i="35"/>
  <c r="Q134" i="35"/>
  <c r="O134" i="35"/>
  <c r="Q17" i="35"/>
  <c r="O17" i="35"/>
  <c r="O341" i="35"/>
  <c r="Q341" i="35"/>
  <c r="O330" i="35"/>
  <c r="Q330" i="35"/>
  <c r="K932" i="35"/>
  <c r="Q335" i="35"/>
  <c r="O335" i="35"/>
  <c r="K934" i="35" l="1"/>
  <c r="N935" i="35" s="1"/>
  <c r="I15" i="38" l="1"/>
  <c r="I12" i="38"/>
  <c r="K73" i="1"/>
  <c r="H73" i="1"/>
  <c r="K78" i="1" s="1"/>
</calcChain>
</file>

<file path=xl/sharedStrings.xml><?xml version="1.0" encoding="utf-8"?>
<sst xmlns="http://schemas.openxmlformats.org/spreadsheetml/2006/main" count="5758" uniqueCount="968">
  <si>
    <t>UNITARIOS O TOTALES</t>
  </si>
  <si>
    <t>UNITARIOS</t>
  </si>
  <si>
    <t>PRESUPUESTO GENERAL DE OBRA</t>
  </si>
  <si>
    <t>Decimales</t>
  </si>
  <si>
    <t>TOTALES</t>
  </si>
  <si>
    <t>ITEM</t>
  </si>
  <si>
    <t>UND</t>
  </si>
  <si>
    <t>CANTIDAD</t>
  </si>
  <si>
    <t>VR. UNIT.</t>
  </si>
  <si>
    <t>VR. TOTAL</t>
  </si>
  <si>
    <t>COSTO UNIT.</t>
  </si>
  <si>
    <t>COSTO TOTAL</t>
  </si>
  <si>
    <t>I. HERR</t>
  </si>
  <si>
    <t>II. MAT.</t>
  </si>
  <si>
    <t>III. TRANSP.</t>
  </si>
  <si>
    <t>IV. MO</t>
  </si>
  <si>
    <t>TOTAL</t>
  </si>
  <si>
    <t>COSTO TOTAL DIRECTO</t>
  </si>
  <si>
    <t>ADMINISTRACCION</t>
  </si>
  <si>
    <t>IMPREVISTOS</t>
  </si>
  <si>
    <t>UTILIDAD</t>
  </si>
  <si>
    <t>I.V.A. SOBRE LA UTILIDAD</t>
  </si>
  <si>
    <t>COSTO TOTAL INDIRECTO (A.I.U.)</t>
  </si>
  <si>
    <t>COSTO TOTAL OBRA</t>
  </si>
  <si>
    <t>COSTO TOTAL PROYECTO</t>
  </si>
  <si>
    <t>PROYECTO:</t>
  </si>
  <si>
    <t>DESCRIPCIÓN</t>
  </si>
  <si>
    <t>OBRA:</t>
  </si>
  <si>
    <t>CAP.1</t>
  </si>
  <si>
    <t>CAP.2</t>
  </si>
  <si>
    <t>CAP.3</t>
  </si>
  <si>
    <t>FECHA:</t>
  </si>
  <si>
    <t>PRELIMINARES</t>
  </si>
  <si>
    <t>MOVIMIENTO DE TIERRAS</t>
  </si>
  <si>
    <t>m3</t>
  </si>
  <si>
    <t>ml</t>
  </si>
  <si>
    <t>und</t>
  </si>
  <si>
    <t>PRESUPUESTO DE OBRA</t>
  </si>
  <si>
    <t>ING. EDWIN ANTONIO ORTIZ HIGUERA</t>
  </si>
  <si>
    <t>MP. 68202-096275 STD</t>
  </si>
  <si>
    <t>CAP.4</t>
  </si>
  <si>
    <t>LOCALIZACION:</t>
  </si>
  <si>
    <t>CLIENTE:</t>
  </si>
  <si>
    <t>m2</t>
  </si>
  <si>
    <t>CAP.5</t>
  </si>
  <si>
    <t>CAP.6</t>
  </si>
  <si>
    <t>PRESUPUESTO PLAN DE MANEJO AMBIENTAL</t>
  </si>
  <si>
    <t>INTERVENTORIA</t>
  </si>
  <si>
    <t>1.2</t>
  </si>
  <si>
    <t>2.1</t>
  </si>
  <si>
    <t>2.3</t>
  </si>
  <si>
    <t>2.2</t>
  </si>
  <si>
    <t>2.4</t>
  </si>
  <si>
    <t>1.1</t>
  </si>
  <si>
    <t>1.3</t>
  </si>
  <si>
    <t>1.4</t>
  </si>
  <si>
    <t>1.5</t>
  </si>
  <si>
    <t>2.5</t>
  </si>
  <si>
    <t>1.6</t>
  </si>
  <si>
    <t>1.7</t>
  </si>
  <si>
    <t>1.8</t>
  </si>
  <si>
    <t>1.9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</si>
  <si>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</si>
  <si>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</si>
  <si>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</si>
  <si>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</si>
  <si>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</si>
  <si>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</si>
  <si>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</si>
  <si>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</si>
  <si>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</si>
  <si>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</si>
  <si>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</si>
  <si>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</si>
  <si>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</si>
  <si>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</si>
  <si>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</t>
  </si>
  <si>
    <t>4.2</t>
  </si>
  <si>
    <t>4.3</t>
  </si>
  <si>
    <t>4.4</t>
  </si>
  <si>
    <t>4.5</t>
  </si>
  <si>
    <t>4.6</t>
  </si>
  <si>
    <t>5.1</t>
  </si>
  <si>
    <t>5.2</t>
  </si>
  <si>
    <t>5.3</t>
  </si>
  <si>
    <t>6.1</t>
  </si>
  <si>
    <t>6.2</t>
  </si>
  <si>
    <t>6.3</t>
  </si>
  <si>
    <t>COSTO DIRECTO</t>
  </si>
  <si>
    <t>COSTO INDIRECTO</t>
  </si>
  <si>
    <t>CAPITULO:</t>
  </si>
  <si>
    <t>CAP.B</t>
  </si>
  <si>
    <t>BASICOS</t>
  </si>
  <si>
    <t>UNIDAD</t>
  </si>
  <si>
    <t>ITEM:</t>
  </si>
  <si>
    <t>CONCRETO DE 4.000 PSI</t>
  </si>
  <si>
    <t>I. EQUIPOS/HERRAMIENTAS</t>
  </si>
  <si>
    <t>No. ART.</t>
  </si>
  <si>
    <t>DESCRIPCION</t>
  </si>
  <si>
    <t>UNID.</t>
  </si>
  <si>
    <t>REND.</t>
  </si>
  <si>
    <t>VR. PARCIAL</t>
  </si>
  <si>
    <t>HERRAMIENTA MENOR</t>
  </si>
  <si>
    <t>%</t>
  </si>
  <si>
    <t>SUBTOTAL EQUIPOS/HERRAMIENTAS</t>
  </si>
  <si>
    <t>VALOR REDONDEADO SUBTOTAL DE EQUIPOS/HERRAMIENTAS</t>
  </si>
  <si>
    <t>II. MATERIALES E INSUMOS</t>
  </si>
  <si>
    <t>CANT.</t>
  </si>
  <si>
    <t>DESP. (%)</t>
  </si>
  <si>
    <t>SUBTOTAL DE MATERIALES</t>
  </si>
  <si>
    <t>VALOR REDONDEADO SUBTOTAL DE MATERIALES E INSUMOS</t>
  </si>
  <si>
    <t>III. TRANSPORTE</t>
  </si>
  <si>
    <t>UND.</t>
  </si>
  <si>
    <t>CANT./ PESO/ VOL.</t>
  </si>
  <si>
    <t>KM.</t>
  </si>
  <si>
    <t>PRECIO/KM</t>
  </si>
  <si>
    <t>SUBTOTAL TRANSPORTE</t>
  </si>
  <si>
    <t>VALOR REDONDEADO SUBTOTAL TRANSPORTE</t>
  </si>
  <si>
    <t>IV. MANO DE OBRA</t>
  </si>
  <si>
    <t>RDTO.</t>
  </si>
  <si>
    <t>JORNAL</t>
  </si>
  <si>
    <t>I.D.P.D</t>
  </si>
  <si>
    <t>JORNAL+PS</t>
  </si>
  <si>
    <t>SUBTOTAL MANO DE OBRA</t>
  </si>
  <si>
    <t>VALOR REDONDEADO SUBTOTAL DE MANO DE OBRA</t>
  </si>
  <si>
    <t>TOTAL COSTO DIRECTO</t>
  </si>
  <si>
    <t>C4000</t>
  </si>
  <si>
    <t>ANALISÍS DE PRECIOS UNITARIOS</t>
  </si>
  <si>
    <t xml:space="preserve">ELABORÓ: </t>
  </si>
  <si>
    <t>APROBO:</t>
  </si>
  <si>
    <t>CONTRATANTE:</t>
  </si>
  <si>
    <t>ELABORO:</t>
  </si>
  <si>
    <t>I</t>
  </si>
  <si>
    <t>II</t>
  </si>
  <si>
    <t>III</t>
  </si>
  <si>
    <t>IV</t>
  </si>
  <si>
    <t>CD</t>
  </si>
  <si>
    <t>CT</t>
  </si>
  <si>
    <t>REND</t>
  </si>
  <si>
    <t>SUBTOTAL</t>
  </si>
  <si>
    <t>SUBTOTAL RED.</t>
  </si>
  <si>
    <t>IVA SOBRE LA UTILIDAD</t>
  </si>
  <si>
    <t>ADMINISTRACION</t>
  </si>
  <si>
    <t>UTILIDADES</t>
  </si>
  <si>
    <t>DISTANCIA CURITÍ - ESCOMBRERA</t>
  </si>
  <si>
    <t>LISTADO DE INSUMOS</t>
  </si>
  <si>
    <t>DISTANCIA DEPOSITO DE MATERIALES</t>
  </si>
  <si>
    <t>MAQUINARIA/EQUIPOS</t>
  </si>
  <si>
    <t>No.</t>
  </si>
  <si>
    <t>VR.UNIT.</t>
  </si>
  <si>
    <t>dia</t>
  </si>
  <si>
    <t>DIF.</t>
  </si>
  <si>
    <t>MANO DE OBRA</t>
  </si>
  <si>
    <t>JORNAL + AUX. TRANS</t>
  </si>
  <si>
    <t>I.D.P.D.</t>
  </si>
  <si>
    <t>P.S. (80%)</t>
  </si>
  <si>
    <t>JORNAL TOTAL</t>
  </si>
  <si>
    <t>TOPOGRAFO</t>
  </si>
  <si>
    <t>CADENERO</t>
  </si>
  <si>
    <t>DESGLOCE CUADRILLAS</t>
  </si>
  <si>
    <t>PORCENTAJE PRESTACIONES SOCIALES OBREROS</t>
  </si>
  <si>
    <t>PORCENTAJE PRESTACIONES SOCIALES PROFESIONALES</t>
  </si>
  <si>
    <t>Salud</t>
  </si>
  <si>
    <t>Pensión</t>
  </si>
  <si>
    <t>ARL (Riesgo 5)</t>
  </si>
  <si>
    <t>Vacaciones</t>
  </si>
  <si>
    <t>Prima de servicio</t>
  </si>
  <si>
    <t>Cesantías</t>
  </si>
  <si>
    <t>Intereses de cesantías</t>
  </si>
  <si>
    <t>Sena</t>
  </si>
  <si>
    <t>ICBF</t>
  </si>
  <si>
    <t>Caja de compensación familiar</t>
  </si>
  <si>
    <t>Dotacion y EPP (Camisa, pantalon, gafas, tapabocas N95 y botas de seguridad)</t>
  </si>
  <si>
    <t>Otros (horas extras,auxilios, ect.)</t>
  </si>
  <si>
    <t>UND/FACT</t>
  </si>
  <si>
    <t>AUXILIO DE TRANSPORTE</t>
  </si>
  <si>
    <t>INCREMENTO DIARIO POR DESPLAZAMIENTO</t>
  </si>
  <si>
    <t>JORNAL TOTAL O VR. UNIT.</t>
  </si>
  <si>
    <t>Ayudante Albañileria</t>
  </si>
  <si>
    <t>Oficial Albañileria</t>
  </si>
  <si>
    <t>Ayudante Acabados</t>
  </si>
  <si>
    <t>Oficial Acabados</t>
  </si>
  <si>
    <t>Ayudante PINTURA</t>
  </si>
  <si>
    <t>Oficial PINTURA</t>
  </si>
  <si>
    <t>M.O. ALBAÑILERIA</t>
  </si>
  <si>
    <t>M.O. ACABADOS</t>
  </si>
  <si>
    <t>M.O. HIDROSANITARIO</t>
  </si>
  <si>
    <t>FM</t>
  </si>
  <si>
    <t>M.O. ELECTRICOS</t>
  </si>
  <si>
    <t>M.O. TOPOGRAFIA</t>
  </si>
  <si>
    <t>M.O. PINTURA</t>
  </si>
  <si>
    <t>Oficial Hidrosanitario</t>
  </si>
  <si>
    <t>Ayudante Hidrosanitario</t>
  </si>
  <si>
    <t>Oficial Electrico</t>
  </si>
  <si>
    <t>Ayudante Electrico</t>
  </si>
  <si>
    <t>SUELDO BASICO</t>
  </si>
  <si>
    <t>PREST.</t>
  </si>
  <si>
    <t>V. APAGAR</t>
  </si>
  <si>
    <t>Director de Obra</t>
  </si>
  <si>
    <t>Residente de Obra (Ingeniero Civil)</t>
  </si>
  <si>
    <t>Auxiliar de ingenieria</t>
  </si>
  <si>
    <t>Ingeniero ambiental</t>
  </si>
  <si>
    <t>Apoyo ingeniería, gestión de calidad y SISO</t>
  </si>
  <si>
    <t xml:space="preserve">Secretaria </t>
  </si>
  <si>
    <t xml:space="preserve">Contadora </t>
  </si>
  <si>
    <t>Vigilancia de materiales y equipos</t>
  </si>
  <si>
    <t>Almacenista</t>
  </si>
  <si>
    <t>Conductor vehiculo</t>
  </si>
  <si>
    <t>Se asumen factores multiplicadores por cada una de las diferentes actividades de las cuadrilas, según el nivel de dificultad de la labor desarrollada y tomando en cuenta el conocimiento para la ejecucion de cada actividad.</t>
  </si>
  <si>
    <t>Pres. (80%)</t>
  </si>
  <si>
    <t>V. PREST.</t>
  </si>
  <si>
    <t>SUB-CONTRATOS</t>
  </si>
  <si>
    <t>kg</t>
  </si>
  <si>
    <t>TRANSPORTES</t>
  </si>
  <si>
    <t>DIST. (KM)</t>
  </si>
  <si>
    <t>m3/km</t>
  </si>
  <si>
    <t>kg/km</t>
  </si>
  <si>
    <t>ml/km</t>
  </si>
  <si>
    <t>und/km</t>
  </si>
  <si>
    <t>Sobreacarreo</t>
  </si>
  <si>
    <t>transporte quimicos y material filtros</t>
  </si>
  <si>
    <t>Transporte Accesorios hidraulicos</t>
  </si>
  <si>
    <t>transporte Accesorios electricos</t>
  </si>
  <si>
    <t>MATERIALES</t>
  </si>
  <si>
    <t>C2000</t>
  </si>
  <si>
    <t>CONCRETO DE 2.000 PSI</t>
  </si>
  <si>
    <t>C3000</t>
  </si>
  <si>
    <t>M 1:4</t>
  </si>
  <si>
    <t>CEMENTO GRIS</t>
  </si>
  <si>
    <t>ARENA GRUESA</t>
  </si>
  <si>
    <t>TRITURADO DE 3/4"</t>
  </si>
  <si>
    <t>lt</t>
  </si>
  <si>
    <t>PUNTILLA 2½"</t>
  </si>
  <si>
    <t>lb</t>
  </si>
  <si>
    <t>PIEDRA RAJON</t>
  </si>
  <si>
    <t>LADRILLO MACIZO</t>
  </si>
  <si>
    <t xml:space="preserve">MALLA ESLABONADA </t>
  </si>
  <si>
    <t>TUBO ESTRUCTURAL 2"</t>
  </si>
  <si>
    <t>ACERO DE REFUERZO PDR 60</t>
  </si>
  <si>
    <t>ALAMBRE DE AMARRE No 18</t>
  </si>
  <si>
    <t>Kg</t>
  </si>
  <si>
    <t>PERROS EN ANCLAJE</t>
  </si>
  <si>
    <t xml:space="preserve">LADRILLO EN ARCILLA h:12 </t>
  </si>
  <si>
    <t>TUBO RECTANGULAR 80x40</t>
  </si>
  <si>
    <t>TEJA UPVC</t>
  </si>
  <si>
    <t>PUERTA METALICA 1,00x2,00</t>
  </si>
  <si>
    <t>VENTANA METALICA 0,70x1,00</t>
  </si>
  <si>
    <t>TANQUE DE 250 LITROS</t>
  </si>
  <si>
    <t>ACCESORIOS PVC 4" - U.M.</t>
  </si>
  <si>
    <t>VALVULA MARIPOSA 3"</t>
  </si>
  <si>
    <t>ACCESORIOS PVC 1/2" - PRESION</t>
  </si>
  <si>
    <t>ACCESORIOS PVC 1" - PRESION</t>
  </si>
  <si>
    <t>ACCESORIOS PVC 2" - U.M.</t>
  </si>
  <si>
    <t>ACCESORIOS PVC 3" - U.M.</t>
  </si>
  <si>
    <t>ACCESORIOS PVC 6" - U.M.</t>
  </si>
  <si>
    <t>ACCESORIOS PVC 8" - U.M.</t>
  </si>
  <si>
    <t>LUBRICANTE PVC 500 gr</t>
  </si>
  <si>
    <t>LIMPIADOR PVC 760 - 1/4 GL</t>
  </si>
  <si>
    <t>gl</t>
  </si>
  <si>
    <t>SOLDADURA PVC - 1/4 GL</t>
  </si>
  <si>
    <t>VALVULA DE COMPUERTA ELASTICA BRIDADA 8"</t>
  </si>
  <si>
    <t>VALVULA DE COMPUERTA ELASTICA BRIDADA 3"</t>
  </si>
  <si>
    <t>VALVULA VENTOSA DOBLE CAMARA (TRIPLE EFECTO) DE 2"</t>
  </si>
  <si>
    <t>MACROMEDIDOR 8" EXTREMOS BRIDADOS</t>
  </si>
  <si>
    <t>LLAVE PARA OPERAR VALVULA</t>
  </si>
  <si>
    <t>REJILLA 1.00x0.30 EN HIERRO DE 1/2" INSPECCIONABLE</t>
  </si>
  <si>
    <t>REJILLA 1.00x0.40 EN HIERRO DE 1/2" INSPECCIONABLE</t>
  </si>
  <si>
    <t>REJILLA 2.80x0.40 EN HIERRO DE 1/2" CON MALLA</t>
  </si>
  <si>
    <t xml:space="preserve">TEE REDUCIDA 8"x3" EXTREMOS BRIDADOS </t>
  </si>
  <si>
    <t>CODO 90 EXTRMOS BRIDADOS 3"</t>
  </si>
  <si>
    <t>REDUCCION 3" a 2" EXTREMOS BRIDADOS</t>
  </si>
  <si>
    <t>ADAPTADOR 8" BRIDA x UNIVERSAL</t>
  </si>
  <si>
    <t>ADAPTADOR 3" BRIDA x UNIVERSAL</t>
  </si>
  <si>
    <t>TAPA INSPECCION VALVULAS EN HIERRO FUNDIDO</t>
  </si>
  <si>
    <t>TAPA BASCULANTE EN HIERRO FUNDIDO</t>
  </si>
  <si>
    <t>MARCO EN TUBO Y MALLA DE HIERRO DE 2,20x5,80</t>
  </si>
  <si>
    <t>VALVULA MARIPOSA 4"</t>
  </si>
  <si>
    <t>VALVULA MARIPOSA 6"</t>
  </si>
  <si>
    <t>MACROMEDIDOR 6" EXTREMOS BRIDADOS</t>
  </si>
  <si>
    <t>TUBO DE 1" EN HIERRO PARA PASO DE ESCALERA</t>
  </si>
  <si>
    <t>MODULO PARA BAJA TENSION</t>
  </si>
  <si>
    <t>SIKAFLEX 1A 300 mm</t>
  </si>
  <si>
    <t>CINTA SIKA PVC</t>
  </si>
  <si>
    <t>SIKA 1 MORTERO</t>
  </si>
  <si>
    <t>DESENCOFRANTE Separon N</t>
  </si>
  <si>
    <t>SIKAFLUID (Asentamiento de Concreto)</t>
  </si>
  <si>
    <t>PLASTOCRETE (Impermeabilizante Concreto)</t>
  </si>
  <si>
    <t>PINTURA EPOXICA</t>
  </si>
  <si>
    <t>TOTAL INSUMOS</t>
  </si>
  <si>
    <t>M 1:3 I.</t>
  </si>
  <si>
    <t>M 1:3</t>
  </si>
  <si>
    <t>PUNTILLA 1"</t>
  </si>
  <si>
    <t>PUNTILLA 1½"</t>
  </si>
  <si>
    <t>PIEDRA BOLO DE RIO</t>
  </si>
  <si>
    <t>LADRILLO EN ARCILLA h:15</t>
  </si>
  <si>
    <t>ACCESORIOS PVC 3/4" - PRESION</t>
  </si>
  <si>
    <t>ACCESORIOS PVC 1 1/2" - PRESION</t>
  </si>
  <si>
    <t>ACCESORIOS PVC 2" - PRESION</t>
  </si>
  <si>
    <t>ACCESORIOS PVC 2 1/2" - PRESION</t>
  </si>
  <si>
    <t>ACCESORIOS PVC 3" - PRESION</t>
  </si>
  <si>
    <t>ACCESORIOS PVC 4" - PRESION</t>
  </si>
  <si>
    <t>ACCESORIOS PVC 2 1/2" - U.M.</t>
  </si>
  <si>
    <t>ACCESORIOS PVC 1 1/4" - PRESION</t>
  </si>
  <si>
    <t>ACCESORIOS CPVC 1/2" - PRESION</t>
  </si>
  <si>
    <t>ACCESORIOS CPVC 3/4" - PRESION</t>
  </si>
  <si>
    <t>ACCESORIOS CPVC 1" - PRESION</t>
  </si>
  <si>
    <t>ACCESORIOS CPVC 1 1/4" - PRESION</t>
  </si>
  <si>
    <t>ACCESORIOS CPVC 1 1/2" - PRESION</t>
  </si>
  <si>
    <t>ACCESORIOS CPVC 2" - PRESION</t>
  </si>
  <si>
    <t>ACCESORIOS GRAN RADIO PVC 2" - U.M.</t>
  </si>
  <si>
    <t>ACCESORIOS GRAN RADIO PVC 2 1/2" - U.M.</t>
  </si>
  <si>
    <t>ACCESORIOS GRAN RADIO PVC 3" - U.M.</t>
  </si>
  <si>
    <t>ACCESORIOS GRAN RADIO PVC 4" - U.M.</t>
  </si>
  <si>
    <t>ACCESORIOS GRAN RADIO PVC 6" - U.M.</t>
  </si>
  <si>
    <t>ACCESORIOS GRAN RADIO PVC 8" - U.M.</t>
  </si>
  <si>
    <t>ACCESORIOS GRAN RADIO PVC 10" - U.M.</t>
  </si>
  <si>
    <t>ACCESORIOS GRAN RADIO PVC 12" - U.M.</t>
  </si>
  <si>
    <t>TUBERIA PVC 1/2" RDE 9 - PRESION</t>
  </si>
  <si>
    <t>TUBERIA PVC 3/4" RDE 11 - PRESION</t>
  </si>
  <si>
    <t>TUBERIA PVC 1/2" RDE 13.5 - PRESION</t>
  </si>
  <si>
    <t>TUBERIA PVC 1" RDE 13.5 - PRESION</t>
  </si>
  <si>
    <t>TUBERIA PVC 3/4" RDE 21 - PRESION</t>
  </si>
  <si>
    <t>TUBERIA PVC 1" RDE 21 - PRESION</t>
  </si>
  <si>
    <t>TUBERIA PVC 1 1/4" RDE 21 - PRESION</t>
  </si>
  <si>
    <t>TUBERIA PVC 1 1/2" RDE 21 - PRESION</t>
  </si>
  <si>
    <t>TUBERIA PVC 6" RDE 21 - PRESION</t>
  </si>
  <si>
    <t>TUBERIA PVC 4" RDE 21 - PRESION</t>
  </si>
  <si>
    <t>TUBERIA PVC 3" RDE 21 - PRESION</t>
  </si>
  <si>
    <t>TUBERIA PVC 2 1/2" RDE 21 - PRESION</t>
  </si>
  <si>
    <t>TUBERIA PVC 2" RDE 21 - PRESION</t>
  </si>
  <si>
    <t>TUBERIA PVC 2" RDE 26 - PRESION</t>
  </si>
  <si>
    <t>TUBERIA PVC 3" RDE 26 - PRESION</t>
  </si>
  <si>
    <t>TUBERIA PVC 2" RDE 21 - U.M.</t>
  </si>
  <si>
    <t>TUBERIA PVC 2 1/2" RDE 21 - U.M.</t>
  </si>
  <si>
    <t>TUBERIA PVC 3" RDE 21 - U.M.</t>
  </si>
  <si>
    <t>TUBERIA PVC 4" RDE 21 - U.M.</t>
  </si>
  <si>
    <t>TUBERIA PVC 6" RDE 21 - U.M.</t>
  </si>
  <si>
    <t>TUBERIA PVC 8" RDE 21 - U.M.</t>
  </si>
  <si>
    <t>TUBERIA PVC 10" RDE 21 - U.M.</t>
  </si>
  <si>
    <t>TUBERIA CPVC 1/2" 125 PSI - PRESION</t>
  </si>
  <si>
    <t>TUBERIA CPVC 3/4" 125 PSI - PRESION</t>
  </si>
  <si>
    <t>TUBERIA CPVC 1" 125 PSI - PRESION</t>
  </si>
  <si>
    <t>TUBERIA CPVC 1 1/4" 125 PSI - PRESION</t>
  </si>
  <si>
    <t>TUBERIA CPVC 1 1/2" 125 PSI - PRESION</t>
  </si>
  <si>
    <t>TUBERIA CPVC 2" 125 PSI - PRESION</t>
  </si>
  <si>
    <t>C1420</t>
  </si>
  <si>
    <t>C1700</t>
  </si>
  <si>
    <t>C2275</t>
  </si>
  <si>
    <t>C2400</t>
  </si>
  <si>
    <t>C2700</t>
  </si>
  <si>
    <t>C2850</t>
  </si>
  <si>
    <t>C3224</t>
  </si>
  <si>
    <t>M 1:2</t>
  </si>
  <si>
    <t>MORTERO 1:2</t>
  </si>
  <si>
    <t>M 1:4 I.</t>
  </si>
  <si>
    <t>MORTERO 1:4 IMPERMEABILIZADO</t>
  </si>
  <si>
    <t>CONCRETO DE 1.420 PSI</t>
  </si>
  <si>
    <t>CONCRETO DE 1.700 PSI</t>
  </si>
  <si>
    <t>CONCRETO DE 2.275 PSI</t>
  </si>
  <si>
    <t>CONCRETO DE 2.400 PSI</t>
  </si>
  <si>
    <t>CONCRETO DE 2.700 PSI</t>
  </si>
  <si>
    <t>CONCRETO DE 2.850 PSI</t>
  </si>
  <si>
    <t>CONCRETO DE 3.224 PSI</t>
  </si>
  <si>
    <t>PS (80%)</t>
  </si>
  <si>
    <t>COSTOS INDIRECTOS</t>
  </si>
  <si>
    <t>TOTAL COSTOS INDIRECTOS</t>
  </si>
  <si>
    <t>VALVULA DE COMPUERTA ELASTICA BRIDADA 6"</t>
  </si>
  <si>
    <t>VALVULA DE COMPUERTA ELASTICA BRIDADA 4"</t>
  </si>
  <si>
    <t>ADAPTADOR 4" BRIDA x UNIVERSAL</t>
  </si>
  <si>
    <t>ADAPTADOR 6" BRIDA x UNIVERSAL</t>
  </si>
  <si>
    <t>VALVULA DE COMPUERTA ELASTICA BRIDADA 2"</t>
  </si>
  <si>
    <t>ADAPTADOR 2" BRIDA x UNIVERSAL</t>
  </si>
  <si>
    <t xml:space="preserve">TEE REDUCIDA 6"x4" EXTREMOS BRIDADOS </t>
  </si>
  <si>
    <t xml:space="preserve">TEE REDUCIDA 6"x3" EXTREMOS BRIDADOS </t>
  </si>
  <si>
    <t>MACROMEDIDOR 4" EXTREMOS BRIDADOS</t>
  </si>
  <si>
    <t>MACROMEDIDOR 3" EXTREMOS BRIDADOS</t>
  </si>
  <si>
    <t>MACROMEDIDOR 2" EXTREMOS BRIDADOS</t>
  </si>
  <si>
    <t>HIDRANTE PARA TUBERIA DE 4"</t>
  </si>
  <si>
    <t>COMPRESOR DE AIRE</t>
  </si>
  <si>
    <t>PANTALLAS DEFLECTORAS CAJONERA</t>
  </si>
  <si>
    <t>PANTALLAS DEFLECTORAS FICALEÑA</t>
  </si>
  <si>
    <t>MANGUERA POLIETILENO PARA ACOMETIDA 1/2"</t>
  </si>
  <si>
    <t xml:space="preserve">ACCESORIOS POLIETILENO 1/2"PARA ACOMETIDAD </t>
  </si>
  <si>
    <t>MANGUERA POLIETILENO PARA ACOMETIDA 3/4"</t>
  </si>
  <si>
    <t xml:space="preserve">ACCESORIOS POLIETILENO 3/4"PARA ACOMETIDAD </t>
  </si>
  <si>
    <t>VALVULA CHECK 4"</t>
  </si>
  <si>
    <t>CAJA EN CONCRETO PARA VALVULA DE CORTE DOMICILIARIA</t>
  </si>
  <si>
    <t>CAJA EN CONCRETO PARA MEDIDOR DOMICILIARIO</t>
  </si>
  <si>
    <t>REGISTRO ANTIFRAUDE 1/2"</t>
  </si>
  <si>
    <t>VALVULA DE BOLA MANIJA MARIPOSA 1/2"</t>
  </si>
  <si>
    <t>ADMINISTRACION, IMPREVISTOS Y UTILIDAD (A.I.U.)</t>
  </si>
  <si>
    <t>OBJETO:</t>
  </si>
  <si>
    <t>DISCRIMINACION ADMINISTRACION</t>
  </si>
  <si>
    <t>VALOR DE LA ADMINISTRACION</t>
  </si>
  <si>
    <t>VALOR DE IMPREVISTOS</t>
  </si>
  <si>
    <t>VALOR DE UTILIDADES</t>
  </si>
  <si>
    <t>PPTO INTERVENTORIA</t>
  </si>
  <si>
    <t>COSTO TOTAL DEL PROYECTO</t>
  </si>
  <si>
    <t>ANALISIS DE GASTOS DE ADMINISTRACION</t>
  </si>
  <si>
    <t>A</t>
  </si>
  <si>
    <t>EJECUCION FISICA DEL CONTRATO</t>
  </si>
  <si>
    <t>ADMINISTRACIÓN</t>
  </si>
  <si>
    <t>GASTOS PERSONAL DE OBRA</t>
  </si>
  <si>
    <t>Residente de Obra (Ingeniero Civil o de Vías)</t>
  </si>
  <si>
    <t>Auxiliar de Ingeniero civil</t>
  </si>
  <si>
    <t>Gastos Administrativos</t>
  </si>
  <si>
    <t>Alquiler de oficina</t>
  </si>
  <si>
    <t>Papeleria, mensajeria, fotocopias, cd, etc)</t>
  </si>
  <si>
    <t>Edicion de Informes (mensuales y final, incluye ploteo de planchas o planos original en papel de seguridad y una copia en papel bond y archivos magneticos) conclusiones y recomendaciones.</t>
  </si>
  <si>
    <t>Servicio electrico para equipos de oficina</t>
  </si>
  <si>
    <t>Servicio de agua para personal de oficina</t>
  </si>
  <si>
    <t xml:space="preserve">Ensayos de laboratorio RESISTENCIA DEL CONCRETO, 3 muestras (7, 14 y 28 dias) por cada elemento en concreto </t>
  </si>
  <si>
    <t>Gastos de campamento</t>
  </si>
  <si>
    <t>Campamento y almacen para materiales (cemento, accesorios, valvulas)</t>
  </si>
  <si>
    <t>alquiler Baño portatil no incluye transporte</t>
  </si>
  <si>
    <t>Muebles (mesa y silla)</t>
  </si>
  <si>
    <t>B</t>
  </si>
  <si>
    <t>GASTOS DE LEGALIZACION</t>
  </si>
  <si>
    <t>Estampilla pro cultura</t>
  </si>
  <si>
    <t>Estampilla pro UIS</t>
  </si>
  <si>
    <t>Estampilla pro hospital</t>
  </si>
  <si>
    <t>Ordenanza 012</t>
  </si>
  <si>
    <t>C</t>
  </si>
  <si>
    <t>POLIZAS</t>
  </si>
  <si>
    <t>TOTAL ADMINISTRACION</t>
  </si>
  <si>
    <t>Ingenireo de apoyo(Especialista en estructura)</t>
  </si>
  <si>
    <t>FACTOR MULTIPLICADOR 
PARA COSTOS DIRECTOS</t>
  </si>
  <si>
    <t>FACTOR MULTIPLICADOR PARA COSTOS DIRECTOS</t>
  </si>
  <si>
    <t>(PERSONAL)</t>
  </si>
  <si>
    <t>1. COSTOS PERSONAL - SUELDO BÁSICO</t>
  </si>
  <si>
    <t>2. PRESTACIONES SOCIALES Y S.S.S.I.</t>
  </si>
  <si>
    <t>2,1 PRESTACIONES SOCIALES</t>
  </si>
  <si>
    <t>Polizas</t>
  </si>
  <si>
    <t>Gravamenes Ordenanzales Departamento de Santander</t>
  </si>
  <si>
    <t>FACTOR MULTIPLICADOR</t>
  </si>
  <si>
    <t>PRESUPUESTO INTERVENTORÍA</t>
  </si>
  <si>
    <t xml:space="preserve"> PLAZO TOTAL DE LA INTERVENTORIA :</t>
  </si>
  <si>
    <t xml:space="preserve"> MESES</t>
  </si>
  <si>
    <t xml:space="preserve"> CANT</t>
  </si>
  <si>
    <t xml:space="preserve"> CARGO</t>
  </si>
  <si>
    <t xml:space="preserve"> SUELDO Y/O </t>
  </si>
  <si>
    <t>MESES</t>
  </si>
  <si>
    <t>% DEDICACIÓN</t>
  </si>
  <si>
    <t xml:space="preserve"> VALOR PARCIAL </t>
  </si>
  <si>
    <t xml:space="preserve">JORNAL MENSUAL </t>
  </si>
  <si>
    <t xml:space="preserve"> COSTOS  DE PERSONAL </t>
  </si>
  <si>
    <t>*</t>
  </si>
  <si>
    <t xml:space="preserve">PERSONAL PROFESIONAL </t>
  </si>
  <si>
    <t>Director de Interventoría</t>
  </si>
  <si>
    <t>Residente de Interventoría</t>
  </si>
  <si>
    <t xml:space="preserve">PERSONAL TECNICO Y ADMINISTRATIVO </t>
  </si>
  <si>
    <t>Topografo</t>
  </si>
  <si>
    <t>Cadenero 1</t>
  </si>
  <si>
    <t>Secretaria</t>
  </si>
  <si>
    <t>Contadora</t>
  </si>
  <si>
    <t xml:space="preserve">SUB TOTAL COSTO DE PERSONAL </t>
  </si>
  <si>
    <t xml:space="preserve">FACTOR MULTIPLICADOR </t>
  </si>
  <si>
    <t xml:space="preserve">TOTAL COSTOS PERSONAL </t>
  </si>
  <si>
    <t>GASTOS REMMBOLSABLES APOYO A LA GESTION DE VIGILANCIA</t>
  </si>
  <si>
    <t xml:space="preserve"> CANT </t>
  </si>
  <si>
    <t xml:space="preserve"> CONCEPTO </t>
  </si>
  <si>
    <t xml:space="preserve"> UNIDAD </t>
  </si>
  <si>
    <t xml:space="preserve"> COSTO ($)</t>
  </si>
  <si>
    <t>% DISPOSICION</t>
  </si>
  <si>
    <t xml:space="preserve"> TIEMPO DE UTILIZACION MES</t>
  </si>
  <si>
    <t>Edición de Informes ( fotografías; papelería, cds, fotocopias),</t>
  </si>
  <si>
    <t xml:space="preserve"> Mes </t>
  </si>
  <si>
    <t xml:space="preserve">comunicaciones (teléfono, fax correo, celular, socializaciones, videos) </t>
  </si>
  <si>
    <t>Alquiler de equipos de topografia</t>
  </si>
  <si>
    <t xml:space="preserve">TOTAL OTROS COSTOS DIRECTOS </t>
  </si>
  <si>
    <t xml:space="preserve">SUBTOTAL COSTOS BASICOS </t>
  </si>
  <si>
    <t xml:space="preserve">IVA (19%) </t>
  </si>
  <si>
    <t xml:space="preserve">COSTO TOTAL </t>
  </si>
  <si>
    <t>LOCALIZACIÓN: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</si>
  <si>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</si>
  <si>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</si>
  <si>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</si>
  <si>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</si>
  <si>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</si>
  <si>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</si>
  <si>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</si>
  <si>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</si>
  <si>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</si>
  <si>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</si>
  <si>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</si>
  <si>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</si>
  <si>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</si>
  <si>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</si>
  <si>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VALVULA CHECK 3"</t>
  </si>
  <si>
    <t>VALVULA CHECK 2"</t>
  </si>
  <si>
    <t>VALVULA CHECK HORIZONTAL 1/2"</t>
  </si>
  <si>
    <t>VALVULA MARIPOSA 2"</t>
  </si>
  <si>
    <t>DURACION:</t>
  </si>
  <si>
    <t>RENDIMIENTO</t>
  </si>
  <si>
    <t>DIAS</t>
  </si>
  <si>
    <t># CUARILLAS</t>
  </si>
  <si>
    <t>X CUADRILLA</t>
  </si>
  <si>
    <t>MEDIDOR DE AGUA DE VELOCIDAD 1/2"</t>
  </si>
  <si>
    <t>Servicio de de internet y comunicación de oficina</t>
  </si>
  <si>
    <t>PLAN DE MANEJO AMBIENTAL</t>
  </si>
  <si>
    <t>COMPONENTE</t>
  </si>
  <si>
    <t>PROGRAMA</t>
  </si>
  <si>
    <t>VR. UNIT</t>
  </si>
  <si>
    <t>VR.TOTAL</t>
  </si>
  <si>
    <t xml:space="preserve">PLAN DE GESTION AMBIENTAL EN LAS ACTIVIDADES DE LA CONSTRUCCION </t>
  </si>
  <si>
    <t>rollo</t>
  </si>
  <si>
    <t>mes</t>
  </si>
  <si>
    <t>PLAN DE SEGURIDAD Y SALUD EN EL TRABAJO</t>
  </si>
  <si>
    <t>Rollo</t>
  </si>
  <si>
    <t>m</t>
  </si>
  <si>
    <t>TOTAL PLAN DE MANEJO DE AMBIENTAL</t>
  </si>
  <si>
    <t>PRESUPUESTO PMA</t>
  </si>
  <si>
    <t xml:space="preserve"> PLAZO TOTAL DEL PLAN DE MANEJO AMBIENTAL :</t>
  </si>
  <si>
    <t>2.6</t>
  </si>
  <si>
    <t>5.4</t>
  </si>
  <si>
    <t>5.5</t>
  </si>
  <si>
    <t>5.6</t>
  </si>
  <si>
    <t>5.7</t>
  </si>
  <si>
    <t>5.8</t>
  </si>
  <si>
    <t>PIEDRA BARICHARA PARA ENCHAPE</t>
  </si>
  <si>
    <t>Transporte Piedra Barichara</t>
  </si>
  <si>
    <t>Transporte Piedra bolo de rio</t>
  </si>
  <si>
    <t>ADOQUIN EN GRES</t>
  </si>
  <si>
    <t>GRAMA NATURAL</t>
  </si>
  <si>
    <t>PEGANTE CERAMICO</t>
  </si>
  <si>
    <t>TUBERIA ALCANTARRILLADO 110 mm (4")</t>
  </si>
  <si>
    <t>GEOTEXTIL FIBERTEX F30G</t>
  </si>
  <si>
    <t>TUBERIA HDPE Ø4" - CORRUGADA PERFORADA</t>
  </si>
  <si>
    <t>REJILLA PARA SUMIDERO 50X100 EN HIERRO</t>
  </si>
  <si>
    <t>TUBERIA ALCANTARRLLADO 250 mm (10")</t>
  </si>
  <si>
    <t>TUBERIA ALCANTARILLADO 315 mm (12")</t>
  </si>
  <si>
    <t>TUBERIA ALCANTARILLADO 355 mm (14")</t>
  </si>
  <si>
    <t>TUBERIA ALCANTARILLADO 400 mm (16")</t>
  </si>
  <si>
    <t>TUBERIA ALCANTARILLADO 450 mm (18")</t>
  </si>
  <si>
    <t>TUBERIA ALCANTARILLADO 500 mm (20")</t>
  </si>
  <si>
    <t>TUBERIA ALCANTARILLADO (24")</t>
  </si>
  <si>
    <t>TUBERIA ALCANTARILLADO (27")</t>
  </si>
  <si>
    <t>TUBERIA ALCANTARILLADO (30")</t>
  </si>
  <si>
    <t>TUBERIA ALCANTARILLADO (33")</t>
  </si>
  <si>
    <t>TUBERIA ALCANTARILLADO (36")</t>
  </si>
  <si>
    <t>TUBERIA ALCANTARILLADO (39")</t>
  </si>
  <si>
    <t>TUBERIA ALCANTARILLADO (42")</t>
  </si>
  <si>
    <t>6.18</t>
  </si>
  <si>
    <t>6.19</t>
  </si>
  <si>
    <t>6.20</t>
  </si>
  <si>
    <t>6.21</t>
  </si>
  <si>
    <t>Ingeniero de apoyo(Especialista estructural)</t>
  </si>
  <si>
    <t>Ingeniero de apoyo(Especialista en hidraulica)</t>
  </si>
  <si>
    <t>Ingenireo de apoyo(Especialista electrico)</t>
  </si>
  <si>
    <t>MATERIAL DE RECEBO</t>
  </si>
  <si>
    <t>MATERIAL DE RELLENO PRODUCTO DE EXCAVACION</t>
  </si>
  <si>
    <t>MOTONIVELADORA 120 HP</t>
  </si>
  <si>
    <t>Hora</t>
  </si>
  <si>
    <t>Transporte Material de excavacion</t>
  </si>
  <si>
    <t>Transporte Retiro de material sobrante</t>
  </si>
  <si>
    <t>CONCRETO DE 1.500 PSI</t>
  </si>
  <si>
    <t>C1500</t>
  </si>
  <si>
    <t>C3500</t>
  </si>
  <si>
    <t>EQUIPO PARA MICROPILOTES DE DIAMETRO 30 CM</t>
  </si>
  <si>
    <t>CONCRETO DE 3.500 PSI</t>
  </si>
  <si>
    <t>TUBO ESTRUCTURAL 4" Calibre 2,5mm ASTM A 500gra, GALVANIZADO</t>
  </si>
  <si>
    <t>C2500</t>
  </si>
  <si>
    <t>CONCRETO DE 2.500 PSI</t>
  </si>
  <si>
    <t>MORTERO PLASTICO</t>
  </si>
  <si>
    <t>FORMALETA PARA CAÑUELAS</t>
  </si>
  <si>
    <t>Oficial Soldador</t>
  </si>
  <si>
    <t>Ayudante Soldador</t>
  </si>
  <si>
    <t>M.O. SOLDADOR</t>
  </si>
  <si>
    <t>TUBERIA PVC VENTILACION 4"</t>
  </si>
  <si>
    <t>TUBERIA PVC VENTILACION 2"</t>
  </si>
  <si>
    <t>TUBERIA PVC VENTILACION 3"</t>
  </si>
  <si>
    <t>TUBERIA PVC SANITARIA 1-1/2"</t>
  </si>
  <si>
    <t>TUBERIA PVC VENTILACION 1-1/2"</t>
  </si>
  <si>
    <t>TUBERIA PVC SANITARIA 2"</t>
  </si>
  <si>
    <t>TUBERIA PVC SANITARIA 3"</t>
  </si>
  <si>
    <t>TUBERIA PVC SANITARIA 4"</t>
  </si>
  <si>
    <t>TUBERIA PVC SANITARIA 6"</t>
  </si>
  <si>
    <t>TUBERIA PVC SANITARIA 8"</t>
  </si>
  <si>
    <t>TUBERIA PVC SANITARIA 10"</t>
  </si>
  <si>
    <t>ACCESORIOS PVC 1-1/2" - SANITARIO</t>
  </si>
  <si>
    <t>ACCESORIOS PVC 2" - SANITARIO</t>
  </si>
  <si>
    <t>ACCESORIOS PVC 3" - SANITARIO</t>
  </si>
  <si>
    <t>ACCESORIOS PVC 4" - SANITARIO</t>
  </si>
  <si>
    <t>ACCESORIOS PVC 6" - SANITARIO</t>
  </si>
  <si>
    <t>ACCESORIOS PVC 8" - SANITARIO</t>
  </si>
  <si>
    <t>ACCESORIOS PVC 10" - SANITARIO</t>
  </si>
  <si>
    <t>ABRAZADERAS PARA TUBERIA 6" A 10"</t>
  </si>
  <si>
    <t>ABRAZADERAS PARA TUBERIA 1-1/2" A 4"</t>
  </si>
  <si>
    <t>CUPULA TRAGANTE C 5X4</t>
  </si>
  <si>
    <t>CONEXIONES ALCANTARILLADO 200mm</t>
  </si>
  <si>
    <t>CONEXIONES ALCANTARILLADO 110mm (4")</t>
  </si>
  <si>
    <t>CONEXIONES ALCANTARILLADO 160mm (6")</t>
  </si>
  <si>
    <t>FORMALETA PARA LOSA</t>
  </si>
  <si>
    <t>glb</t>
  </si>
  <si>
    <t>CANAL EN LAMINA GALVANIZADA CAL. 20 DESARROLLO &gt;200&lt;=250 mm INCLUYE SOPORTES Y/O ANCLAJES</t>
  </si>
  <si>
    <t>WASH PRIMER COMPONENTE A 1/4 GL REF. 509a O SIMILAR</t>
  </si>
  <si>
    <t>WASH PRIMER COMPONENTE A 1/4 GL REF. 509b O SIMILAR</t>
  </si>
  <si>
    <t>PLATINA SOPORTE 3mm</t>
  </si>
  <si>
    <t>SOLDADURA DE ESTAÑO 60-40 250gr 1/16" (1,6mm)</t>
  </si>
  <si>
    <t>GRAFIL 4 mm</t>
  </si>
  <si>
    <t>BOCEL MEDIA LUNA 15mm C/MACHO</t>
  </si>
  <si>
    <t>FORMALETA GRADERIA</t>
  </si>
  <si>
    <t>Ensayo de campo, DENSIDADES EN SITIU</t>
  </si>
  <si>
    <t>Salarios</t>
  </si>
  <si>
    <t>Prima anual (legal)</t>
  </si>
  <si>
    <t>Cesantia</t>
  </si>
  <si>
    <t>Intereses de cesantia</t>
  </si>
  <si>
    <t>Seguridad Social (Salud + Pensión)</t>
  </si>
  <si>
    <t>Caja de compensación Familiar</t>
  </si>
  <si>
    <t>ARL</t>
  </si>
  <si>
    <t>Aseguradora de riesgos laborales (ARL)</t>
  </si>
  <si>
    <t>Gastos generales</t>
  </si>
  <si>
    <t>Preparación de Propuesta</t>
  </si>
  <si>
    <t xml:space="preserve">Asesoria Contable Tributaria  y Juridica </t>
  </si>
  <si>
    <t>Equipos y mantenimiento Oficina (Aseo)</t>
  </si>
  <si>
    <t>Seguros</t>
  </si>
  <si>
    <t>Documentación Técnica</t>
  </si>
  <si>
    <t>Papelería y útiles de oficina</t>
  </si>
  <si>
    <t>Personal Administrativo no facturado</t>
  </si>
  <si>
    <t>Personal Profesional no facturado</t>
  </si>
  <si>
    <t>Correo y otros</t>
  </si>
  <si>
    <t xml:space="preserve">Examenes médicos ocupacional </t>
  </si>
  <si>
    <t>Honorarios (Utilidad del consultor y costos no previstos)</t>
  </si>
  <si>
    <t>FACTOR MULTIPLICADOR DEFINITIVO</t>
  </si>
  <si>
    <t>Dotación</t>
  </si>
  <si>
    <t>INTERVENTORIA TECNICA ADMINISTRATIVA FINANCIERA Y AMBIENTAL PARA LA</t>
  </si>
  <si>
    <t>GRUA PH</t>
  </si>
  <si>
    <t>CUBIERTA AUTOPORTANTE EN LAMINA GALVANIZADA CAL. 20 SISTEMA CONALTECH</t>
  </si>
  <si>
    <t>ACECESORIOS PARA CUBIERTA AUTOPORTANTE</t>
  </si>
  <si>
    <t>TEJA TRANSLUCIDA</t>
  </si>
  <si>
    <t>PPTO PMA</t>
  </si>
  <si>
    <t>FORMALETA DE PAVIMENTO RIGIDO</t>
  </si>
  <si>
    <t>SELLO DE SILICONA O POLIUBRETANO</t>
  </si>
  <si>
    <t>CORDON DE POLIPROPILENO</t>
  </si>
  <si>
    <t>CARROTANQUE DE AGUA DE 1000 LTS</t>
  </si>
  <si>
    <t>ACCESORIOS Y ANCLAJES PARA ELEMENTOS METALICOS</t>
  </si>
  <si>
    <t>CAMISA PARA PILOTES DE Ø:0,85M</t>
  </si>
  <si>
    <t>TAPA EN HIERRO FUNDIDO PARA POZO Ø 5cm</t>
  </si>
  <si>
    <t xml:space="preserve">CAUCHO KIT SILLA YEE </t>
  </si>
  <si>
    <t>VEHICULO DELINEADOR</t>
  </si>
  <si>
    <t>FUMIGADORA CON MOTOR</t>
  </si>
  <si>
    <t>C4500</t>
  </si>
  <si>
    <t>CONCRETO DE 4.500 PSI</t>
  </si>
  <si>
    <t>PRESUPUESTO 
PLAN DE MANEJO DE TRANSTO (P.M.T.)</t>
  </si>
  <si>
    <t>Obra:</t>
  </si>
  <si>
    <t>PT</t>
  </si>
  <si>
    <t>PLAN DE MANEJO DE TRAFICO</t>
  </si>
  <si>
    <t>PT.1</t>
  </si>
  <si>
    <t>CUADRILLA PERSONAL TRANSITO Y BRIGADA (2 AUXILIARES)</t>
  </si>
  <si>
    <t>MES</t>
  </si>
  <si>
    <t>CANT</t>
  </si>
  <si>
    <t>PT.2</t>
  </si>
  <si>
    <t>PT.3</t>
  </si>
  <si>
    <t>BALIZA DE SEÑALIZACION VIAL EN PVC H=140M RANURA PARA CINTA DE PREVENCION (PAG. 512 - MANUAL DE SEÑALIZACION VIAL MINITRANSPORTE 2015)</t>
  </si>
  <si>
    <t>PT.4</t>
  </si>
  <si>
    <t>BARRERAS PLASTICAS TIPO MALETIN (2.00MX1.00MX0.50M (PAG. 520 - MANUAL DE SEÑALIZACION VIAL MINITRANSPORTE 2015)</t>
  </si>
  <si>
    <t>PT.5</t>
  </si>
  <si>
    <t>PALETA DE CONTROL PARE - SIGA h=0.45 (PAG. 533 - MANUAL DE SEÑALIZACION VIAL MINITRANSPORTE 2015)</t>
  </si>
  <si>
    <t>PT.6</t>
  </si>
  <si>
    <t>SEÑAL PREVENTIVA TIPO ROMBO MOVILES (0.60X0.60M) (PAG. 461 - MANUAL DE SEÑALIZACION VIAL MINITRANSPORTE 2015)</t>
  </si>
  <si>
    <t>SEÑAL INFORMATIVA CIRCULAR MÓVILES (H=0,60) (PÁG. 464 - MANUAL DE SEÑALIZACION VIAL MINITRANSPORTE 2015)</t>
  </si>
  <si>
    <t>PT.8</t>
  </si>
  <si>
    <t>SEÑAL INFORMATIVA DE OBRA MOVILES (1.20X60) (PAG. 487-490 - MANUAL DE SEÑALIZACION VIAL MINITRANSPORTE 2015)</t>
  </si>
  <si>
    <t>ALQUILER DE RADIO TELEFONO BANDA VHF (FRECUENCIA 151 161 MHZ) BANDA UHF (FRECUENCIA 462-469 161 MHZ) 8 CANALES</t>
  </si>
  <si>
    <t>TOTAL PLAN DE MANEJO DE TRANSITO</t>
  </si>
  <si>
    <t>PT.7</t>
  </si>
  <si>
    <t>EMULSION ASFALTICA</t>
  </si>
  <si>
    <t>Otros (Auxilios varios, prestaciones extralegales, Incapacidades no cubiertas)</t>
  </si>
  <si>
    <t>Localización y replanteo con equipo topográfico</t>
  </si>
  <si>
    <t>MALLA ELECTROSOLDADA 5mm</t>
  </si>
  <si>
    <t>B-1.2 Equipos contra incendios (extintor)</t>
  </si>
  <si>
    <t>C-1.2 Cinta de señalización 500 mts</t>
  </si>
  <si>
    <t>SILLA YEE 315X160</t>
  </si>
  <si>
    <t>ABRAZADERA 315 mm</t>
  </si>
  <si>
    <t>REJILLA PARA SUMIDERO 80X150 EN HIERRO</t>
  </si>
  <si>
    <t>MP. 68202-416348 STD</t>
  </si>
  <si>
    <t>ACUEDUCTO - DISTRIBUCION</t>
  </si>
  <si>
    <t>Demolición de losa maciza (Incluye retiro y disposición final)</t>
  </si>
  <si>
    <t>Conformación de la zanja con cama de arena o material granular fino</t>
  </si>
  <si>
    <t>Relleno para zanja con material seleccionado de la excavación compactado al 90% por capas no mayor a 10 cm</t>
  </si>
  <si>
    <t>Relleno para zanja con material de préstamo (recebo) compactado 90% por capas no mayor a 10 cm</t>
  </si>
  <si>
    <t>RED DE DISTRIBUCION</t>
  </si>
  <si>
    <t>DOMICILIARIAS</t>
  </si>
  <si>
    <t>Caja para medidor en concreto mas tapa en hierro</t>
  </si>
  <si>
    <t>ESTRUCTURAS DE PASOS AEREOS</t>
  </si>
  <si>
    <t>Acero de refuerzo de 60000 PSI - 420 Mpa</t>
  </si>
  <si>
    <t>Transporte tuberia alcantarrillado</t>
  </si>
  <si>
    <t>VALVULA DE CIERRE METALICO 2"</t>
  </si>
  <si>
    <t>VALVULA DE COMPUERTA JUNTA RAPIDA 2"</t>
  </si>
  <si>
    <t>VALVULA VENTOSA (DOBLE EFECTO) DE 1/2"</t>
  </si>
  <si>
    <t>MACROMEDIDOR 2" JUNTA RAPIDA</t>
  </si>
  <si>
    <t>REDUCTORA DE PRESION 2"</t>
  </si>
  <si>
    <t>COLLARIN DE 2" - 1/2"</t>
  </si>
  <si>
    <t>CHECK ANTI RETORNO</t>
  </si>
  <si>
    <t>REGISTRO DE CONTROL 1/2"</t>
  </si>
  <si>
    <t>CABLE DE GUAYA Y ALMA DE ACERO 3/4"</t>
  </si>
  <si>
    <t>TUBO ESTRUCTURAL DE 3" - 2.5 mm</t>
  </si>
  <si>
    <t>SOLDADURA</t>
  </si>
  <si>
    <t>DISCO ABRASIVO DE CORTE METAL 7"X1/8"</t>
  </si>
  <si>
    <t>DISCO DE PULIR METAL</t>
  </si>
  <si>
    <t>PINTURA BASE ANTICORROSIVA EXPOXICA</t>
  </si>
  <si>
    <t>Gln</t>
  </si>
  <si>
    <t>Válvulas para medidores 1/2" (Incluye registro de corte antifraude, check anti retorno y válvula de corte)</t>
  </si>
  <si>
    <t>Concreto clase F para solado de limpieza espesor 0,05 cm</t>
  </si>
  <si>
    <t>Concreto clase D para cimentación, pedestal y macizo</t>
  </si>
  <si>
    <t>Guaya de acero para paso aéreo</t>
  </si>
  <si>
    <t>Suministro e instalación de tubería de PVC Presión de 2" RDE 21</t>
  </si>
  <si>
    <t>Suministro e instalación de tubería de PVC Presión de 1" RDE 21</t>
  </si>
  <si>
    <t>Suministro e instalación de tubería de PVC Presión de 1/2" RDE 13,5</t>
  </si>
  <si>
    <t>Válvula de cierre metálico 2"</t>
  </si>
  <si>
    <t>Válvula ventosa para tubería de 2" doble efecto</t>
  </si>
  <si>
    <t>Macromedidor de agua 2" chorro único</t>
  </si>
  <si>
    <t>Estación reguladora de presión Tipo 2</t>
  </si>
  <si>
    <t>Collarín Derivación PVC 2" A 1/2"</t>
  </si>
  <si>
    <t>Medidor de agua volumétrico JSM 1/2"</t>
  </si>
  <si>
    <t>Retiro de piedra labor en zonas de zanja de tubería</t>
  </si>
  <si>
    <t>Construcción de pavimento rígido con ancho promedio de 70 cm</t>
  </si>
  <si>
    <t>COMPONENTE VARIOS</t>
  </si>
  <si>
    <t>Construcción de pavimento en piedra labor con ancho promedio de 70 cm</t>
  </si>
  <si>
    <t>CONSTRUMART</t>
  </si>
  <si>
    <t>Caja de inspección para válvulas 60x60 cm</t>
  </si>
  <si>
    <t>C-1. MEDIDAS DE AISLAMIENTO PARA MITIGACION DE ACCIDENTES</t>
  </si>
  <si>
    <t>C-1.1 Señalización con letrero acrilico</t>
  </si>
  <si>
    <t>D-1.3 Tela verde x metros</t>
  </si>
  <si>
    <t>ESTACION TOTAL (EQUIPO DE PRECISION TOPOGRAFICA)</t>
  </si>
  <si>
    <t>CEMENTO EXPANSIVO</t>
  </si>
  <si>
    <t>CABLE DE GUAYA Y ALMA DE ACERO 5/8"</t>
  </si>
  <si>
    <t>TENSORES PARA GUAYAS DE 1/42 x 8"</t>
  </si>
  <si>
    <t>ABRAZADERA EN PLATINA 2"</t>
  </si>
  <si>
    <t>H metálica en tubo estructural 4" para paso aéreo</t>
  </si>
  <si>
    <t>CABLE DE GUAYA Y ALMA DE ACERO 1/4"</t>
  </si>
  <si>
    <t>CABLE DE GUAYA Y ALMA DE ACERO 1/2"</t>
  </si>
  <si>
    <t>TUBO ESTRUCTURAL DE 4" - 2.5 mm</t>
  </si>
  <si>
    <t>Concreto ciclópeo 60-40 (Concreto clase D 60% - Piedra rajón 40%)</t>
  </si>
  <si>
    <t>Estampilla prevision social</t>
  </si>
  <si>
    <t>Estampilla pro anciano</t>
  </si>
  <si>
    <t>Estampilla justicia familiar</t>
  </si>
  <si>
    <t>Estampilla Pro Deporte y Recreacion</t>
  </si>
  <si>
    <t>Estampilla Fondo de seguridad ciudadana</t>
  </si>
  <si>
    <t>VALLA Informativa</t>
  </si>
  <si>
    <t>Excavación en material común en seco a maquina</t>
  </si>
  <si>
    <t>Excavación en material común en seco a mano</t>
  </si>
  <si>
    <t>Excavación en roca</t>
  </si>
  <si>
    <t>MANOMETRO</t>
  </si>
  <si>
    <t>A-1. GESTION SOCIAL</t>
  </si>
  <si>
    <t>A-1.1 Volantes informativos</t>
  </si>
  <si>
    <t>A-1.2 Socializaciones con la comunidad</t>
  </si>
  <si>
    <t>A-2. CONTRATACION DE MANO DE OBRA</t>
  </si>
  <si>
    <t>A-3. GESTION INTEGRAL DE RESIDUOS SOLIDOS</t>
  </si>
  <si>
    <t>A-3.1 Uso de contenedores rotulados</t>
  </si>
  <si>
    <t>A-3.2 Cinta de señalizacion 500 mts</t>
  </si>
  <si>
    <t>A-4. CONTROL DE EMISIONES ATMOSFERICAS Y RUIDOS</t>
  </si>
  <si>
    <t>A-4.1 Humedecimiento del terreno para la generacion de material articulado</t>
  </si>
  <si>
    <t>A-5. USO Y ALMACENAMIENTO ADECUADO DE MATERIALES Y ELEMENTOS DE CONSTRUCCION</t>
  </si>
  <si>
    <t>A-5.2 Plastico negro grueso</t>
  </si>
  <si>
    <t>A-5.1 Señalización de materiales con letrero acrilico</t>
  </si>
  <si>
    <t>A-5.3 Adecuacion del area de almacenamiento</t>
  </si>
  <si>
    <t>A-6. MANEJO DE DEMOLICIONES, ESCOMBROS Y DESECHOS DE CONSTRUCCIÓN</t>
  </si>
  <si>
    <t>A-7. EXCAVACION, MOVIMIENTOS DE TIERRA Y RELLENOS</t>
  </si>
  <si>
    <t>A-6.1 Señalización de materiales con letrero acrilico</t>
  </si>
  <si>
    <t>A-6.2 Cinta de señalizacion 500 mts</t>
  </si>
  <si>
    <t>A-7.1 Cinta de señalizacion 500 mts</t>
  </si>
  <si>
    <t>A-7.2 Señalización de materiales con letrero acrilico</t>
  </si>
  <si>
    <t>A-7.3 Plastico negro grueso</t>
  </si>
  <si>
    <t>B-1. MANEJO DE SEGURIDAD INDUSTRIAL</t>
  </si>
  <si>
    <t>B-1.1 Kit de EPP básicos dentro de la obra</t>
  </si>
  <si>
    <t xml:space="preserve"> (camilla, botiquin)</t>
  </si>
  <si>
    <t>B-1.3 Seguridad en la obra  (camilla, botiquin)</t>
  </si>
  <si>
    <t xml:space="preserve">B-2. SALUD OCUPACIONAL </t>
  </si>
  <si>
    <t>B-1.2 Capacitaciones y Charlas sobre la salud ocupacional</t>
  </si>
  <si>
    <t>PLAN DE CONTIGENCIA</t>
  </si>
  <si>
    <t>litros</t>
  </si>
  <si>
    <t>3. GASTOS GENERALES</t>
  </si>
  <si>
    <t>4. COSTOS DIRECTOS NO REEMBOLSABLES</t>
  </si>
  <si>
    <t xml:space="preserve">5. HONORARIOS Y OTROS </t>
  </si>
  <si>
    <t>A-2.1 Ingeniero ambiental 25% de dedicacion</t>
  </si>
  <si>
    <t>PINCHOTE, SANTANDER</t>
  </si>
  <si>
    <t>ARQ. YASMID ROCÍO CARRILLO MORA</t>
  </si>
  <si>
    <t>SECRETARIA DE PLANEACIÓN Y OBRAS PÚBLICAS</t>
  </si>
  <si>
    <t>MUNICIPIO DE PINCHOTE</t>
  </si>
  <si>
    <t>Transporte Arena - Pescadero</t>
  </si>
  <si>
    <t>Transporte Triturado - Pinchote</t>
  </si>
  <si>
    <t>Transporte Material de recebo - Pinchote</t>
  </si>
  <si>
    <t>Transporte Cemento - San Gil</t>
  </si>
  <si>
    <t>Transporte Acero de refuerzo - San Gil</t>
  </si>
  <si>
    <t>transporte materiales - San Gil</t>
  </si>
  <si>
    <t>transporte ladrillo - San Gil</t>
  </si>
  <si>
    <t>Transporte tuberia hidraulica - San Gil</t>
  </si>
  <si>
    <t>Transporte Piedra rajon - San Gil</t>
  </si>
  <si>
    <t>Cono de Mezcla Rapida en PRFV</t>
  </si>
  <si>
    <t>Tuberia PVC y Conexiones (Entrada/Salida) SET</t>
  </si>
  <si>
    <t>Sellantes, Fijaciones, Anclajes y Esmeriles</t>
  </si>
  <si>
    <t>Equipo para medicion de flujo de liquidos 100-600 LPM</t>
  </si>
  <si>
    <t>Panel Floculador en PRFV</t>
  </si>
  <si>
    <t>Anclajes inixidable (KIT)</t>
  </si>
  <si>
    <t>Guias y Perfiles Aluminio</t>
  </si>
  <si>
    <t>Tornilleria Inox (KIT)</t>
  </si>
  <si>
    <t>Resina epoxica / Kit de curado y reparacion</t>
  </si>
  <si>
    <t>Primer y recubrimiento protector UV (COATING)</t>
  </si>
  <si>
    <t>Transporte Equipos y materiales - Soacha</t>
  </si>
  <si>
    <t>Placa de apoyo galvanizada y soporteria metalica (KIT)</t>
  </si>
  <si>
    <t>Kit anclaje quimico + sellantes epoxicos + Embalaje industrial</t>
  </si>
  <si>
    <t>Otros suministro, perdidas y aditivos</t>
  </si>
  <si>
    <t>Modulos de sedimentacion tipo lamela (ABS)</t>
  </si>
  <si>
    <t>Soportes en acero Inox</t>
  </si>
  <si>
    <t>Tornilleria, Abrazaderas, Sellantes Adhesivos (KIT)</t>
  </si>
  <si>
    <t>Und</t>
  </si>
  <si>
    <t>Transporte Base granular - Pinchote</t>
  </si>
  <si>
    <t>Grava filtrante</t>
  </si>
  <si>
    <t>Arena filtrante</t>
  </si>
  <si>
    <t>Andracita filtrante</t>
  </si>
  <si>
    <t>Falso fondo semiparabolico en lamina fabricada de PFRV</t>
  </si>
  <si>
    <t>Valvula mariposa de 3" hierro</t>
  </si>
  <si>
    <t>Disco valvula mariposa de 3" en acero inoxidable</t>
  </si>
  <si>
    <t>Brida PVC 3"</t>
  </si>
  <si>
    <t>Juego de tornilleria para brida de 3"</t>
  </si>
  <si>
    <t>Union dreisser de 8"</t>
  </si>
  <si>
    <t>Tuberia 3" PVC</t>
  </si>
  <si>
    <t>ING. JEYSON JULIAN LEON RUEDA</t>
  </si>
  <si>
    <t>Estaca de madera de 4x4 cm</t>
  </si>
  <si>
    <t>Estaca de madera de 2x2 cm</t>
  </si>
  <si>
    <t>Puntillas 2" con y sin cabeza</t>
  </si>
  <si>
    <t>Disposicion final de escombros</t>
  </si>
  <si>
    <t>Alambre de amarre No. 18</t>
  </si>
  <si>
    <t>Malla electrosoldada 6 mm</t>
  </si>
  <si>
    <t>Acero de refuerzo PDR 60</t>
  </si>
  <si>
    <t>Concreto de 3000 PSI (210 kg/cm2)</t>
  </si>
  <si>
    <t>Agua</t>
  </si>
  <si>
    <t>Cemento gris</t>
  </si>
  <si>
    <t>Arena gruesa</t>
  </si>
  <si>
    <t>Triturado de 3/4"</t>
  </si>
  <si>
    <t>Seccion de andamios (2 marcos y crucetas)</t>
  </si>
  <si>
    <t>Herramienta menor</t>
  </si>
  <si>
    <t xml:space="preserve">Pintura vinilo Tipo I </t>
  </si>
  <si>
    <t>Lija para agua #80</t>
  </si>
  <si>
    <t>Lija para agua #120</t>
  </si>
  <si>
    <t>Estuco plastico interior</t>
  </si>
  <si>
    <t>Luminaria Panel led redondo de incrustar x 12 W</t>
  </si>
  <si>
    <t>Taladro percutor</t>
  </si>
  <si>
    <t>VibroCompactador tipo Rana</t>
  </si>
  <si>
    <t>Material de recebo</t>
  </si>
  <si>
    <t>Mortero 1:3 Impermeabilizado</t>
  </si>
  <si>
    <t>Ladrillo portante prensado (Tipo Santa fe o Similar)</t>
  </si>
  <si>
    <t>Gravilla triturada</t>
  </si>
  <si>
    <t>Aditivo impermeabilizante para concreto tipo plastocreto</t>
  </si>
  <si>
    <t>Mezcladora de concreto</t>
  </si>
  <si>
    <t>Boquilla para juntas</t>
  </si>
  <si>
    <t>Tableta de gres 30x30 cm</t>
  </si>
  <si>
    <t>Guardaescoba en gres 10x30 cm</t>
  </si>
  <si>
    <t>Pegante ceramico</t>
  </si>
  <si>
    <t>Pulidora</t>
  </si>
  <si>
    <t>Cielo raso en PVC</t>
  </si>
  <si>
    <t>Tornillo 6x1</t>
  </si>
  <si>
    <t>Tornillo largo para lamina cabeza de lenteja</t>
  </si>
  <si>
    <t>Angulo perimetral de aluminio de 1"x1" Cal. 26</t>
  </si>
  <si>
    <t>Vigueta de aluminio Cal. 26</t>
  </si>
  <si>
    <t>Omega de aluminio Cal. 27</t>
  </si>
  <si>
    <t>Esquinero para cielo raso en PVC</t>
  </si>
  <si>
    <t>Carga fulminante fuerte + clavo 5/16 x 1"</t>
  </si>
  <si>
    <t>Sikaflex pro 3WF o Similar</t>
  </si>
  <si>
    <t>Vidrio incoloro de 4.00 mm</t>
  </si>
  <si>
    <t>Equipo de soldadura</t>
  </si>
  <si>
    <t>Bisagra comun 3"</t>
  </si>
  <si>
    <t>Lamina cold rolled Cal. 18. de 2x1</t>
  </si>
  <si>
    <t>Anticorrosivo primer</t>
  </si>
  <si>
    <t>Soldadura electrica</t>
  </si>
  <si>
    <t>Thiner extrafino</t>
  </si>
  <si>
    <t>Lija para agua # 150</t>
  </si>
  <si>
    <t>Pintura esmalte sintetico tipo II</t>
  </si>
  <si>
    <t>Compresor de aire portatil con accesorios</t>
  </si>
  <si>
    <t>Masilla plastica Tec Panel</t>
  </si>
  <si>
    <t>Cuñ</t>
  </si>
  <si>
    <t>Cortadora grande de acero</t>
  </si>
  <si>
    <t>Acero estructural ASTM A-36; A-500; A572</t>
  </si>
  <si>
    <t>Mortero 1:4</t>
  </si>
  <si>
    <t>Vibrador de concreto</t>
  </si>
  <si>
    <t>Demoledor electrico para concretos</t>
  </si>
  <si>
    <t>Martillo neumatico con compresor</t>
  </si>
  <si>
    <t>Compactador tipo Saltarin</t>
  </si>
  <si>
    <t>Allanadora Helicoptero</t>
  </si>
  <si>
    <t>Formaleta Muro</t>
  </si>
  <si>
    <t>Formaleta Placa</t>
  </si>
  <si>
    <t>Formaleta Vigas</t>
  </si>
  <si>
    <t>Formaleta Columnas</t>
  </si>
  <si>
    <t>Formaleta Sardinel</t>
  </si>
  <si>
    <t>Baranda metalica en tubo estructural 2" (anticorrosivo primer y esmalte)</t>
  </si>
  <si>
    <t>Material de Sub Base</t>
  </si>
  <si>
    <t>Transporte Sub Base - Pinchote</t>
  </si>
  <si>
    <t>Cable electrico No. 12</t>
  </si>
  <si>
    <t>Cable electrico No. 14</t>
  </si>
  <si>
    <t>Teja termoacustica</t>
  </si>
  <si>
    <t>Perfil de 80x40x 2 mm</t>
  </si>
  <si>
    <t>Acesorio de amarre para cubierta</t>
  </si>
  <si>
    <t>kit</t>
  </si>
  <si>
    <t>Aparato sanitario</t>
  </si>
  <si>
    <t>Lavamanos</t>
  </si>
  <si>
    <t>Griferia lavamanos</t>
  </si>
  <si>
    <t>Ladrillo en arcilla h:10</t>
  </si>
  <si>
    <t>ALCALDIA MUNICIPAL DE PINCHOTE</t>
  </si>
  <si>
    <t>Salario 2026</t>
  </si>
  <si>
    <t>Aux. Transp. 2026</t>
  </si>
  <si>
    <t>CONSTRUCCIÓN DE PAVIMENTO EN PIEDRA LABOR Y OPTIMIZACIÓN DE LA RED DE ALCANTARILLADO SANITARIO CALLE 5 ENTRE CARRERA 3 Y 4 DEL CASCO URBANO DEL MUNICIPIO DE PINCHOTE, DEPARTAMENTO DE SANTANDER</t>
  </si>
  <si>
    <t>Localización y Replanteo con equipos topográficos</t>
  </si>
  <si>
    <t>Retiro de tubería existente de alcantarillado (Incluye retiro y disposición final)</t>
  </si>
  <si>
    <t>Excavaciones en material común en seco a mano (Incluye retiro y disposición final)</t>
  </si>
  <si>
    <t>Excavaciones en roca a mano (Incluye retiro y disposición final)</t>
  </si>
  <si>
    <t>Relleno para zanja con material seleccionado de la excavación compactado al 90%</t>
  </si>
  <si>
    <t>Relleno para zanja con material de préstamo (recebo) compactado 90%</t>
  </si>
  <si>
    <t>Conexión y reparación de tubería de 8" a los pozos de inspección</t>
  </si>
  <si>
    <t>ESTRUCTURA VIAL EN PIEDRA LABOR</t>
  </si>
  <si>
    <t>Anden en piedra labor</t>
  </si>
  <si>
    <t>RetroExcavadora</t>
  </si>
  <si>
    <t>hora</t>
  </si>
  <si>
    <t>Excavaciones en material común en seco a maquina (Incluye retiro y disposición final)</t>
  </si>
  <si>
    <t>Conformacion de la Subrasante a maquina</t>
  </si>
  <si>
    <t>Tuberia Alcantarillado 200 mm (8")</t>
  </si>
  <si>
    <t>Mortero 1:3</t>
  </si>
  <si>
    <t>Ladrillo macizo</t>
  </si>
  <si>
    <t>Tuberia Alcantarillado 160 mm (6")</t>
  </si>
  <si>
    <t>Adhesivo Epoxico - 1/4 gl</t>
  </si>
  <si>
    <t>Vibrocompactador de 8 Toneladas</t>
  </si>
  <si>
    <t>Subbase Granular Clase C (incluye suministro, extendido, nivelación, humedecido y compactación)</t>
  </si>
  <si>
    <t>Material de Base</t>
  </si>
  <si>
    <t>Bordillo sardinel en piedra labor</t>
  </si>
  <si>
    <t>Piedra labor para andenes</t>
  </si>
  <si>
    <t>Piedra labor para Pavimento</t>
  </si>
  <si>
    <t>Cama de arena para cimentación de tubería Sanitaria</t>
  </si>
  <si>
    <t>Lubricante</t>
  </si>
  <si>
    <t>Tarro</t>
  </si>
  <si>
    <t>Suministro e instalaciónTubería corrugada sanitaria de 8"</t>
  </si>
  <si>
    <t>COMPONENTE  ALCANTARILLADO</t>
  </si>
  <si>
    <t>Desmonte de pavimento en piedra labor (Incluye retiro y disposición final)</t>
  </si>
  <si>
    <t>Conexiòn Domiciliaria - Tuberìa Sanitaria (D=6")</t>
  </si>
  <si>
    <t>Codo Pvc Sanitario</t>
  </si>
  <si>
    <t xml:space="preserve">Lubricante </t>
  </si>
  <si>
    <t>tarro</t>
  </si>
  <si>
    <t>Transporte accesorios</t>
  </si>
  <si>
    <t>Arena Gruesa</t>
  </si>
  <si>
    <t>Transporte arena gruesa</t>
  </si>
  <si>
    <t>m3/hm</t>
  </si>
  <si>
    <t>Kit Silla yee 8" a 6" (Incluye caucho y abrazadera)</t>
  </si>
  <si>
    <t>kit Silla yee 200x160 mm</t>
  </si>
  <si>
    <t>Suministro e instalacion de cajas dimiciliarias 0.6x0.6 (m) . Incluye tapas de concreto</t>
  </si>
  <si>
    <t>Kit Silla YEE de 6" a 4"</t>
  </si>
  <si>
    <t>Lubricante y Limpiador pvc</t>
  </si>
  <si>
    <t>Tuberia Sanitaria de 4"</t>
  </si>
  <si>
    <t>Suministro e instalación de Pavimento en piedra labor e minimo = 0,15 m</t>
  </si>
  <si>
    <t>COMPONENTE ACUEDUCTO</t>
  </si>
  <si>
    <t>Retiro de tubería existente de Acueducto (Incluye retiro y disposición final)</t>
  </si>
  <si>
    <t>Cama de arena para tuberia PVC Potable</t>
  </si>
  <si>
    <t>Suministro e instalación de tuberiapresión pvc de 2"</t>
  </si>
  <si>
    <t>Tuberia PVC presión RDE 21 DE 2"</t>
  </si>
  <si>
    <t>Conexión domiciliaria potable presión RDE-21 (D=1/2")</t>
  </si>
  <si>
    <t>Accesorios</t>
  </si>
  <si>
    <t>Caja y tapa en HF</t>
  </si>
  <si>
    <t>Collar de Derivación</t>
  </si>
  <si>
    <t>Registro de Corte e Incorporación</t>
  </si>
  <si>
    <t xml:space="preserve">Tuberia PVC de 1/2" </t>
  </si>
  <si>
    <t>ML</t>
  </si>
  <si>
    <t>SUBTOTAL COSTO DIRECTO</t>
  </si>
  <si>
    <t>SUBTOTAL COSTO INDIRECTO (A.I.U.)</t>
  </si>
  <si>
    <t>COSTO TOTAL PAVIMENTACIÓN</t>
  </si>
  <si>
    <t>TOTAL OBRA</t>
  </si>
  <si>
    <t>accesorios</t>
  </si>
  <si>
    <t>ABRIL DE 2026</t>
  </si>
  <si>
    <t>Bordillos en piedra labor e=0,15 m</t>
  </si>
  <si>
    <t>COSTO TOTAL ACUEDUCTO</t>
  </si>
  <si>
    <t>TOTAL ALCANTARILLADO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</si>
</sst>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* #,##0.00_-;\-&quot;$&quot;* #,##0.00_-;_-&quot;$&quot;* &quot;-&quot;_-;_-@_-"/>
    <numFmt numFmtId="167" formatCode="_-* #,##0.00_-;\-* #,##0.00_-;_-* &quot;-&quot;_-;_-@_-"/>
    <numFmt numFmtId="168" formatCode="0.0"/>
    <numFmt numFmtId="169" formatCode="0.0%"/>
    <numFmt numFmtId="170" formatCode="_ * #,##0_ ;_ * \-#,##0_ ;_ * &quot;-&quot;_ ;_ @_ 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(* #,##0.00_);_(* \(#,##0.00\);_(* &quot;-&quot;??_);_(@_)"/>
    <numFmt numFmtId="174" formatCode="_-* #,##0.00\ _€_-;\-* #,##0.00\ _€_-;_-* &quot;-&quot;??\ _€_-;_-@_-"/>
    <numFmt numFmtId="175" formatCode="_-&quot;$&quot;* #,##0.0000000_-;\-&quot;$&quot;* #,##0.0000000_-;_-&quot;$&quot;* &quot;-&quot;_-;_-@_-"/>
    <numFmt numFmtId="176" formatCode="[$$-240A]\ #,##0.00"/>
    <numFmt numFmtId="177" formatCode="dd/mm/yyyy;@"/>
    <numFmt numFmtId="178" formatCode="0.000"/>
    <numFmt numFmtId="179" formatCode="_ * #,##0_ ;_ * \-#,##0_ ;_ * &quot;-&quot;??_ ;_ @_ "/>
    <numFmt numFmtId="180" formatCode="_-[$$-240A]* #,##0.00_-;\-[$$-240A]* #,##0.00_-;_-[$$-240A]* &quot;-&quot;??_-;_-@_-"/>
    <numFmt numFmtId="181" formatCode="d\-mmm\-yyyy"/>
    <numFmt numFmtId="182" formatCode="&quot;$&quot;\ #,##0.00"/>
    <numFmt numFmtId="183" formatCode="&quot;$&quot;\ #,##0.00_);\(&quot;$&quot;\ #,##0.00\)"/>
    <numFmt numFmtId="184" formatCode="0.000%"/>
    <numFmt numFmtId="185" formatCode="_(&quot;$&quot;* #,##0_);_(&quot;$&quot;* \(#,##0\);_(&quot;$&quot;* &quot;-&quot;_);_(@_)"/>
    <numFmt numFmtId="186" formatCode="#,##0.000;\-#,##0.000"/>
    <numFmt numFmtId="187" formatCode="_ * #,##0.00_ ;_ * \-#,##0.00_ ;_ * &quot;-&quot;??_ ;_ @_ "/>
    <numFmt numFmtId="188" formatCode="0.0000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nsolas"/>
      <family val="3"/>
    </font>
    <font>
      <sz val="10"/>
      <name val="Consolas"/>
      <family val="3"/>
    </font>
    <font>
      <b/>
      <sz val="11"/>
      <color rgb="FF000000"/>
      <name val="Consolas"/>
      <family val="3"/>
    </font>
    <font>
      <b/>
      <sz val="18"/>
      <name val="Consolas"/>
      <family val="3"/>
    </font>
    <font>
      <b/>
      <sz val="11"/>
      <color theme="1"/>
      <name val="Consolas"/>
      <family val="3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Consolas"/>
      <family val="3"/>
    </font>
    <font>
      <i/>
      <sz val="10"/>
      <name val="Consolas"/>
      <family val="3"/>
    </font>
    <font>
      <u/>
      <sz val="11"/>
      <color theme="10"/>
      <name val="Calibri"/>
      <family val="2"/>
      <scheme val="minor"/>
    </font>
    <font>
      <b/>
      <u/>
      <sz val="11"/>
      <name val="Consolas"/>
      <family val="3"/>
    </font>
    <font>
      <sz val="11"/>
      <color rgb="FF000000"/>
      <name val="Consolas"/>
      <family val="3"/>
    </font>
    <font>
      <sz val="11"/>
      <name val="Consolas"/>
      <family val="3"/>
    </font>
    <font>
      <sz val="11"/>
      <color theme="0"/>
      <name val="Consolas"/>
      <family val="3"/>
    </font>
    <font>
      <b/>
      <sz val="11"/>
      <name val="Consolas"/>
      <family val="3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2"/>
      <color theme="1"/>
      <name val="Consolas"/>
      <family val="3"/>
    </font>
    <font>
      <sz val="12"/>
      <color theme="1"/>
      <name val="Consolas"/>
      <family val="3"/>
    </font>
    <font>
      <sz val="8"/>
      <name val="Calibri"/>
      <family val="2"/>
      <scheme val="minor"/>
    </font>
    <font>
      <b/>
      <sz val="14"/>
      <name val="Consolas"/>
      <family val="3"/>
    </font>
    <font>
      <b/>
      <sz val="16"/>
      <name val="Consolas"/>
      <family val="3"/>
    </font>
    <font>
      <b/>
      <sz val="10"/>
      <name val="Consolas"/>
      <family val="3"/>
    </font>
    <font>
      <sz val="10"/>
      <color rgb="FF000000"/>
      <name val="Consolas"/>
      <family val="3"/>
    </font>
    <font>
      <b/>
      <i/>
      <sz val="11"/>
      <name val="Consolas"/>
      <family val="3"/>
    </font>
    <font>
      <i/>
      <sz val="11"/>
      <name val="Consolas"/>
      <family val="3"/>
    </font>
    <font>
      <b/>
      <i/>
      <sz val="12"/>
      <name val="Consolas"/>
      <family val="3"/>
    </font>
    <font>
      <i/>
      <sz val="12"/>
      <name val="Consolas"/>
      <family val="3"/>
    </font>
    <font>
      <sz val="10"/>
      <color theme="1"/>
      <name val="Consolas"/>
      <family val="3"/>
    </font>
    <font>
      <b/>
      <sz val="24"/>
      <name val="Consolas"/>
      <family val="3"/>
    </font>
    <font>
      <b/>
      <sz val="11"/>
      <color theme="1"/>
      <name val="Calibri"/>
      <family val="2"/>
      <scheme val="minor"/>
    </font>
    <font>
      <b/>
      <sz val="10"/>
      <color rgb="FFFF0000"/>
      <name val="Consolas"/>
      <family val="3"/>
    </font>
    <font>
      <sz val="10"/>
      <color indexed="22"/>
      <name val="Consolas"/>
      <family val="3"/>
    </font>
    <font>
      <b/>
      <sz val="10"/>
      <color indexed="12"/>
      <name val="Consolas"/>
      <family val="3"/>
    </font>
    <font>
      <u/>
      <sz val="10"/>
      <color rgb="FF000000"/>
      <name val="Consolas"/>
      <family val="3"/>
    </font>
    <font>
      <b/>
      <sz val="16"/>
      <color theme="1"/>
      <name val="Consolas"/>
      <family val="3"/>
    </font>
    <font>
      <b/>
      <sz val="12"/>
      <name val="Consolas"/>
      <family val="3"/>
    </font>
    <font>
      <sz val="12"/>
      <color rgb="FF000000"/>
      <name val="Consolas"/>
      <family val="3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name val="Arial Narrow"/>
      <family val="2"/>
    </font>
    <font>
      <i/>
      <sz val="11"/>
      <name val="Arial Narrow"/>
      <family val="2"/>
    </font>
    <font>
      <b/>
      <sz val="16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18"/>
      <name val="Arial Narrow"/>
      <family val="2"/>
    </font>
    <font>
      <b/>
      <u/>
      <sz val="11"/>
      <name val="Arial Narrow"/>
      <family val="2"/>
    </font>
    <font>
      <b/>
      <sz val="10"/>
      <color theme="1"/>
      <name val="Century Gothic"/>
      <family val="2"/>
    </font>
    <font>
      <sz val="11"/>
      <color theme="4" tint="-0.249977111117893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b/>
      <u/>
      <sz val="11"/>
      <color rgb="FF000000"/>
      <name val="Arial Narrow"/>
      <family val="2"/>
    </font>
    <font>
      <b/>
      <sz val="12"/>
      <color rgb="FF000000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92CDD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0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173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94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6" fontId="13" fillId="0" borderId="0" xfId="2" applyNumberFormat="1" applyFont="1" applyFill="1" applyBorder="1" applyAlignment="1">
      <alignment horizontal="left" vertical="center" wrapText="1"/>
    </xf>
    <xf numFmtId="1" fontId="13" fillId="0" borderId="0" xfId="0" applyNumberFormat="1" applyFont="1" applyAlignment="1">
      <alignment horizontal="center" vertical="center" wrapText="1"/>
    </xf>
    <xf numFmtId="167" fontId="13" fillId="0" borderId="0" xfId="1" applyNumberFormat="1" applyFont="1" applyFill="1" applyBorder="1" applyAlignment="1">
      <alignment horizontal="left" vertical="center" wrapText="1"/>
    </xf>
    <xf numFmtId="166" fontId="13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3" fillId="0" borderId="0" xfId="2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 shrinkToFit="1"/>
    </xf>
    <xf numFmtId="166" fontId="16" fillId="0" borderId="0" xfId="2" applyNumberFormat="1" applyFont="1" applyFill="1" applyBorder="1" applyAlignment="1">
      <alignment horizontal="center" vertical="center" wrapText="1"/>
    </xf>
    <xf numFmtId="166" fontId="4" fillId="0" borderId="0" xfId="2" applyNumberFormat="1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167" fontId="13" fillId="0" borderId="0" xfId="1" applyNumberFormat="1" applyFont="1" applyFill="1" applyBorder="1" applyAlignment="1">
      <alignment horizontal="center" vertical="center" wrapText="1"/>
    </xf>
    <xf numFmtId="1" fontId="16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13" fillId="0" borderId="0" xfId="2" applyNumberFormat="1" applyFont="1" applyFill="1" applyBorder="1" applyAlignment="1">
      <alignment horizontal="right" vertical="center" wrapText="1" shrinkToFit="1"/>
    </xf>
    <xf numFmtId="9" fontId="13" fillId="0" borderId="0" xfId="0" applyNumberFormat="1" applyFont="1" applyAlignment="1">
      <alignment horizontal="center" vertical="center" wrapText="1" shrinkToFit="1"/>
    </xf>
    <xf numFmtId="1" fontId="1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166" fontId="4" fillId="0" borderId="0" xfId="2" applyNumberFormat="1" applyFont="1" applyFill="1" applyBorder="1" applyAlignment="1">
      <alignment horizontal="right" vertical="center" wrapText="1" shrinkToFit="1"/>
    </xf>
    <xf numFmtId="165" fontId="4" fillId="0" borderId="0" xfId="0" applyNumberFormat="1" applyFont="1" applyAlignment="1">
      <alignment horizontal="left" vertical="center" wrapText="1"/>
    </xf>
    <xf numFmtId="0" fontId="20" fillId="0" borderId="0" xfId="0" applyFont="1"/>
    <xf numFmtId="0" fontId="2" fillId="0" borderId="0" xfId="0" applyFont="1" applyAlignment="1">
      <alignment horizontal="center" vertical="center" wrapText="1"/>
    </xf>
    <xf numFmtId="164" fontId="16" fillId="0" borderId="0" xfId="2" applyFont="1" applyFill="1" applyBorder="1" applyAlignment="1">
      <alignment horizontal="center" vertical="center" wrapText="1"/>
    </xf>
    <xf numFmtId="164" fontId="13" fillId="0" borderId="0" xfId="2" applyFont="1" applyFill="1" applyBorder="1" applyAlignment="1">
      <alignment horizontal="left" vertical="center" wrapText="1"/>
    </xf>
    <xf numFmtId="164" fontId="13" fillId="0" borderId="0" xfId="0" applyNumberFormat="1" applyFont="1" applyAlignment="1">
      <alignment horizontal="center" vertical="center" wrapText="1"/>
    </xf>
    <xf numFmtId="14" fontId="4" fillId="0" borderId="21" xfId="2" applyNumberFormat="1" applyFont="1" applyFill="1" applyBorder="1" applyAlignment="1">
      <alignment horizontal="center" vertical="center" wrapText="1" shrinkToFit="1"/>
    </xf>
    <xf numFmtId="174" fontId="13" fillId="0" borderId="0" xfId="0" applyNumberFormat="1" applyFont="1" applyAlignment="1">
      <alignment horizontal="left" vertical="center" wrapText="1"/>
    </xf>
    <xf numFmtId="175" fontId="13" fillId="0" borderId="0" xfId="2" applyNumberFormat="1" applyFont="1" applyFill="1" applyBorder="1" applyAlignment="1">
      <alignment horizontal="left" vertical="center" wrapText="1"/>
    </xf>
    <xf numFmtId="2" fontId="13" fillId="0" borderId="0" xfId="0" applyNumberFormat="1" applyFont="1" applyAlignment="1">
      <alignment horizontal="center" vertical="center" wrapText="1" shrinkToFit="1"/>
    </xf>
    <xf numFmtId="1" fontId="13" fillId="0" borderId="0" xfId="0" applyNumberFormat="1" applyFont="1" applyAlignment="1">
      <alignment horizontal="center" vertical="center" wrapText="1" shrinkToFit="1"/>
    </xf>
    <xf numFmtId="164" fontId="4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1" fontId="12" fillId="2" borderId="5" xfId="11" applyNumberFormat="1" applyFont="1" applyFill="1" applyBorder="1" applyAlignment="1">
      <alignment horizontal="center" vertical="center" wrapText="1" shrinkToFit="1"/>
    </xf>
    <xf numFmtId="168" fontId="13" fillId="0" borderId="5" xfId="0" applyNumberFormat="1" applyFont="1" applyBorder="1" applyAlignment="1">
      <alignment horizontal="center" vertical="center" wrapText="1" shrinkToFit="1"/>
    </xf>
    <xf numFmtId="166" fontId="4" fillId="3" borderId="6" xfId="2" applyNumberFormat="1" applyFont="1" applyFill="1" applyBorder="1" applyAlignment="1">
      <alignment horizontal="right" vertical="center" wrapText="1" shrinkToFit="1"/>
    </xf>
    <xf numFmtId="166" fontId="13" fillId="0" borderId="6" xfId="2" applyNumberFormat="1" applyFont="1" applyFill="1" applyBorder="1" applyAlignment="1">
      <alignment horizontal="right" vertical="center" wrapText="1" shrinkToFit="1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6" fontId="4" fillId="3" borderId="0" xfId="2" applyNumberFormat="1" applyFont="1" applyFill="1" applyBorder="1" applyAlignment="1">
      <alignment horizontal="right" vertical="center" wrapText="1" shrinkToFit="1"/>
    </xf>
    <xf numFmtId="0" fontId="16" fillId="0" borderId="0" xfId="0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 wrapText="1" shrinkToFit="1"/>
    </xf>
    <xf numFmtId="174" fontId="2" fillId="0" borderId="0" xfId="0" applyNumberFormat="1" applyFont="1" applyAlignment="1">
      <alignment vertical="center"/>
    </xf>
    <xf numFmtId="164" fontId="2" fillId="0" borderId="0" xfId="2" applyFont="1" applyBorder="1" applyAlignment="1">
      <alignment vertical="center"/>
    </xf>
    <xf numFmtId="0" fontId="3" fillId="0" borderId="0" xfId="5" applyFont="1" applyAlignment="1">
      <alignment vertical="center"/>
    </xf>
    <xf numFmtId="0" fontId="10" fillId="0" borderId="0" xfId="5" applyFont="1"/>
    <xf numFmtId="0" fontId="4" fillId="0" borderId="5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166" fontId="16" fillId="0" borderId="4" xfId="2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right" vertical="center" wrapText="1"/>
    </xf>
    <xf numFmtId="0" fontId="16" fillId="0" borderId="2" xfId="0" applyFont="1" applyBorder="1" applyAlignment="1">
      <alignment horizontal="center" vertical="center" wrapText="1"/>
    </xf>
    <xf numFmtId="1" fontId="16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4" borderId="0" xfId="2" applyNumberFormat="1" applyFont="1" applyFill="1" applyBorder="1" applyAlignment="1">
      <alignment horizontal="right" vertical="center" wrapText="1" shrinkToFit="1"/>
    </xf>
    <xf numFmtId="0" fontId="13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0" fontId="26" fillId="0" borderId="0" xfId="0" applyFont="1" applyProtection="1">
      <protection locked="0"/>
    </xf>
    <xf numFmtId="0" fontId="13" fillId="0" borderId="0" xfId="0" applyFont="1" applyAlignment="1">
      <alignment horizontal="right" vertical="center" wrapText="1"/>
    </xf>
    <xf numFmtId="1" fontId="13" fillId="0" borderId="0" xfId="0" applyNumberFormat="1" applyFont="1" applyAlignment="1">
      <alignment horizontal="right" vertical="center" wrapText="1"/>
    </xf>
    <xf numFmtId="167" fontId="13" fillId="0" borderId="0" xfId="1" applyNumberFormat="1" applyFont="1" applyFill="1" applyBorder="1" applyAlignment="1">
      <alignment horizontal="right" vertical="center" wrapText="1"/>
    </xf>
    <xf numFmtId="166" fontId="13" fillId="0" borderId="0" xfId="0" applyNumberFormat="1" applyFont="1" applyAlignment="1">
      <alignment horizontal="right" vertical="center" wrapText="1"/>
    </xf>
    <xf numFmtId="166" fontId="13" fillId="0" borderId="0" xfId="2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66" fontId="4" fillId="0" borderId="0" xfId="0" applyNumberFormat="1" applyFont="1" applyAlignment="1">
      <alignment horizontal="right" vertical="center" wrapText="1" shrinkToFit="1"/>
    </xf>
    <xf numFmtId="166" fontId="16" fillId="0" borderId="0" xfId="2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" fontId="16" fillId="0" borderId="0" xfId="0" applyNumberFormat="1" applyFont="1" applyAlignment="1">
      <alignment horizontal="right" vertical="center" wrapText="1"/>
    </xf>
    <xf numFmtId="176" fontId="16" fillId="0" borderId="0" xfId="0" applyNumberFormat="1" applyFont="1" applyAlignment="1">
      <alignment horizontal="right" vertical="center" wrapText="1"/>
    </xf>
    <xf numFmtId="176" fontId="13" fillId="0" borderId="0" xfId="0" applyNumberFormat="1" applyFont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/>
    </xf>
    <xf numFmtId="174" fontId="2" fillId="0" borderId="0" xfId="0" applyNumberFormat="1" applyFont="1" applyAlignment="1">
      <alignment horizontal="right" vertical="center"/>
    </xf>
    <xf numFmtId="164" fontId="13" fillId="0" borderId="0" xfId="2" applyFont="1" applyFill="1" applyBorder="1" applyAlignment="1">
      <alignment horizontal="right" vertical="center" wrapText="1"/>
    </xf>
    <xf numFmtId="164" fontId="2" fillId="0" borderId="0" xfId="2" applyFont="1" applyBorder="1" applyAlignment="1">
      <alignment horizontal="right" vertical="center"/>
    </xf>
    <xf numFmtId="164" fontId="13" fillId="0" borderId="0" xfId="0" applyNumberFormat="1" applyFont="1" applyAlignment="1">
      <alignment horizontal="right" vertical="center" wrapText="1"/>
    </xf>
    <xf numFmtId="166" fontId="13" fillId="0" borderId="0" xfId="2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176" fontId="14" fillId="0" borderId="0" xfId="0" applyNumberFormat="1" applyFont="1" applyAlignment="1">
      <alignment horizontal="right" vertical="center" wrapText="1"/>
    </xf>
    <xf numFmtId="0" fontId="3" fillId="0" borderId="7" xfId="0" applyFont="1" applyBorder="1" applyAlignment="1" applyProtection="1">
      <alignment horizontal="center" vertical="center"/>
      <protection locked="0"/>
    </xf>
    <xf numFmtId="176" fontId="0" fillId="0" borderId="0" xfId="0" applyNumberFormat="1"/>
    <xf numFmtId="2" fontId="2" fillId="0" borderId="6" xfId="0" applyNumberFormat="1" applyFont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166" fontId="16" fillId="0" borderId="21" xfId="2" applyNumberFormat="1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right" vertical="center"/>
    </xf>
    <xf numFmtId="168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26" fillId="0" borderId="0" xfId="5" applyFont="1"/>
    <xf numFmtId="0" fontId="27" fillId="0" borderId="0" xfId="5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4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vertical="center" wrapTex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164" fontId="9" fillId="0" borderId="0" xfId="2" applyFont="1" applyBorder="1" applyAlignment="1" applyProtection="1">
      <alignment horizontal="right" vertical="center"/>
      <protection hidden="1"/>
    </xf>
    <xf numFmtId="166" fontId="9" fillId="0" borderId="0" xfId="2" applyNumberFormat="1" applyFont="1" applyBorder="1" applyAlignment="1" applyProtection="1">
      <alignment horizontal="right" vertical="center"/>
      <protection hidden="1"/>
    </xf>
    <xf numFmtId="0" fontId="30" fillId="0" borderId="0" xfId="0" applyFont="1" applyAlignment="1" applyProtection="1">
      <alignment vertical="center"/>
      <protection hidden="1"/>
    </xf>
    <xf numFmtId="0" fontId="33" fillId="0" borderId="0" xfId="0" applyFont="1" applyAlignment="1" applyProtection="1">
      <alignment vertical="center"/>
      <protection locked="0"/>
    </xf>
    <xf numFmtId="165" fontId="24" fillId="0" borderId="4" xfId="0" applyNumberFormat="1" applyFont="1" applyBorder="1" applyAlignment="1" applyProtection="1">
      <alignment vertical="center" wrapText="1"/>
      <protection hidden="1"/>
    </xf>
    <xf numFmtId="0" fontId="31" fillId="0" borderId="0" xfId="0" applyFont="1" applyAlignment="1" applyProtection="1">
      <alignment vertical="center" wrapText="1"/>
      <protection locked="0"/>
    </xf>
    <xf numFmtId="14" fontId="24" fillId="0" borderId="0" xfId="0" applyNumberFormat="1" applyFont="1" applyAlignment="1">
      <alignment vertical="center" wrapText="1"/>
    </xf>
    <xf numFmtId="181" fontId="24" fillId="0" borderId="0" xfId="26" applyNumberFormat="1" applyFont="1" applyBorder="1" applyAlignment="1" applyProtection="1">
      <alignment vertical="center"/>
      <protection locked="0"/>
    </xf>
    <xf numFmtId="182" fontId="3" fillId="0" borderId="0" xfId="0" applyNumberFormat="1" applyFont="1" applyAlignment="1">
      <alignment vertical="center"/>
    </xf>
    <xf numFmtId="0" fontId="28" fillId="0" borderId="0" xfId="5" applyFont="1"/>
    <xf numFmtId="0" fontId="29" fillId="0" borderId="0" xfId="5" applyFont="1"/>
    <xf numFmtId="166" fontId="4" fillId="3" borderId="36" xfId="2" applyNumberFormat="1" applyFont="1" applyFill="1" applyBorder="1" applyAlignment="1">
      <alignment horizontal="right" vertical="center" wrapText="1" shrinkToFit="1"/>
    </xf>
    <xf numFmtId="0" fontId="14" fillId="0" borderId="7" xfId="0" applyFont="1" applyBorder="1" applyAlignment="1">
      <alignment horizontal="left" vertical="center"/>
    </xf>
    <xf numFmtId="0" fontId="27" fillId="0" borderId="0" xfId="5" applyFont="1" applyAlignment="1">
      <alignment horizontal="left"/>
    </xf>
    <xf numFmtId="0" fontId="26" fillId="0" borderId="0" xfId="5" applyFont="1" applyAlignment="1">
      <alignment horizontal="left"/>
    </xf>
    <xf numFmtId="0" fontId="3" fillId="0" borderId="0" xfId="5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34" fillId="0" borderId="0" xfId="0" applyNumberFormat="1" applyFont="1" applyAlignment="1">
      <alignment horizontal="center" vertical="center"/>
    </xf>
    <xf numFmtId="0" fontId="30" fillId="0" borderId="0" xfId="0" quotePrefix="1" applyFont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horizontal="left" vertical="center"/>
      <protection hidden="1"/>
    </xf>
    <xf numFmtId="0" fontId="36" fillId="0" borderId="0" xfId="12" applyFont="1" applyFill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179" fontId="3" fillId="0" borderId="0" xfId="0" applyNumberFormat="1" applyFont="1" applyAlignment="1" applyProtection="1">
      <alignment horizontal="right" vertical="center"/>
      <protection hidden="1"/>
    </xf>
    <xf numFmtId="187" fontId="34" fillId="0" borderId="0" xfId="0" applyNumberFormat="1" applyFont="1" applyAlignment="1" applyProtection="1">
      <alignment horizontal="right" vertical="center"/>
      <protection hidden="1"/>
    </xf>
    <xf numFmtId="49" fontId="30" fillId="0" borderId="0" xfId="0" applyNumberFormat="1" applyFont="1" applyAlignment="1">
      <alignment vertical="center"/>
    </xf>
    <xf numFmtId="0" fontId="24" fillId="0" borderId="0" xfId="0" applyFont="1" applyAlignment="1" applyProtection="1">
      <alignment horizontal="center" vertical="center" wrapText="1"/>
      <protection hidden="1"/>
    </xf>
    <xf numFmtId="15" fontId="3" fillId="0" borderId="0" xfId="0" applyNumberFormat="1" applyFont="1" applyAlignment="1" applyProtection="1">
      <alignment horizontal="center" vertical="center" wrapText="1"/>
      <protection hidden="1"/>
    </xf>
    <xf numFmtId="181" fontId="3" fillId="0" borderId="0" xfId="26" applyNumberFormat="1" applyFont="1" applyFill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vertical="center" wrapText="1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179" fontId="30" fillId="0" borderId="0" xfId="26" applyNumberFormat="1" applyFont="1" applyBorder="1" applyAlignment="1" applyProtection="1">
      <alignment vertical="center"/>
      <protection locked="0"/>
    </xf>
    <xf numFmtId="43" fontId="30" fillId="0" borderId="0" xfId="26" applyFont="1" applyFill="1" applyBorder="1" applyAlignment="1" applyProtection="1">
      <alignment vertical="center"/>
      <protection hidden="1"/>
    </xf>
    <xf numFmtId="179" fontId="3" fillId="0" borderId="0" xfId="26" applyNumberFormat="1" applyFont="1" applyFill="1" applyBorder="1" applyAlignment="1" applyProtection="1">
      <alignment horizontal="center" vertical="center"/>
      <protection hidden="1"/>
    </xf>
    <xf numFmtId="0" fontId="30" fillId="0" borderId="0" xfId="0" applyFont="1" applyAlignment="1">
      <alignment vertical="center"/>
    </xf>
    <xf numFmtId="0" fontId="30" fillId="0" borderId="0" xfId="0" applyFont="1" applyAlignment="1">
      <alignment vertical="center" wrapText="1"/>
    </xf>
    <xf numFmtId="43" fontId="30" fillId="0" borderId="0" xfId="26" applyFont="1" applyAlignment="1">
      <alignment vertical="center"/>
    </xf>
    <xf numFmtId="49" fontId="30" fillId="0" borderId="0" xfId="0" applyNumberFormat="1" applyFont="1" applyAlignment="1">
      <alignment horizontal="center" vertical="center"/>
    </xf>
    <xf numFmtId="49" fontId="30" fillId="0" borderId="0" xfId="0" applyNumberFormat="1" applyFont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vertical="center" wrapText="1"/>
      <protection hidden="1"/>
    </xf>
    <xf numFmtId="1" fontId="30" fillId="0" borderId="7" xfId="0" applyNumberFormat="1" applyFont="1" applyBorder="1" applyAlignment="1" applyProtection="1">
      <alignment horizontal="center" vertical="center"/>
      <protection locked="0"/>
    </xf>
    <xf numFmtId="164" fontId="30" fillId="0" borderId="7" xfId="2" applyFont="1" applyBorder="1" applyAlignment="1" applyProtection="1">
      <alignment horizontal="right" vertical="center"/>
      <protection hidden="1"/>
    </xf>
    <xf numFmtId="179" fontId="30" fillId="0" borderId="0" xfId="26" applyNumberFormat="1" applyFont="1" applyFill="1" applyBorder="1" applyAlignment="1" applyProtection="1">
      <alignment horizontal="right" vertical="center"/>
    </xf>
    <xf numFmtId="0" fontId="30" fillId="0" borderId="7" xfId="0" applyFont="1" applyBorder="1" applyAlignment="1" applyProtection="1">
      <alignment horizontal="center" vertical="center"/>
      <protection hidden="1"/>
    </xf>
    <xf numFmtId="0" fontId="30" fillId="0" borderId="7" xfId="0" applyFont="1" applyBorder="1" applyAlignment="1" applyProtection="1">
      <alignment horizontal="center" vertical="center"/>
      <protection locked="0"/>
    </xf>
    <xf numFmtId="164" fontId="30" fillId="0" borderId="7" xfId="2" applyFont="1" applyBorder="1" applyAlignment="1" applyProtection="1">
      <alignment horizontal="center" vertical="center" wrapText="1"/>
      <protection hidden="1"/>
    </xf>
    <xf numFmtId="9" fontId="30" fillId="0" borderId="7" xfId="0" applyNumberFormat="1" applyFont="1" applyBorder="1" applyAlignment="1" applyProtection="1">
      <alignment horizontal="center" vertical="center"/>
      <protection locked="0"/>
    </xf>
    <xf numFmtId="1" fontId="30" fillId="0" borderId="7" xfId="0" applyNumberFormat="1" applyFont="1" applyBorder="1" applyAlignment="1" applyProtection="1">
      <alignment horizontal="center" vertical="center"/>
      <protection hidden="1"/>
    </xf>
    <xf numFmtId="179" fontId="30" fillId="0" borderId="0" xfId="26" applyNumberFormat="1" applyFont="1" applyFill="1" applyBorder="1" applyAlignment="1" applyProtection="1">
      <alignment horizontal="right" vertical="center"/>
      <protection hidden="1"/>
    </xf>
    <xf numFmtId="164" fontId="30" fillId="0" borderId="0" xfId="2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0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right" vertical="center"/>
      <protection hidden="1"/>
    </xf>
    <xf numFmtId="179" fontId="24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 wrapText="1"/>
      <protection hidden="1"/>
    </xf>
    <xf numFmtId="179" fontId="30" fillId="0" borderId="0" xfId="0" applyNumberFormat="1" applyFont="1" applyAlignment="1" applyProtection="1">
      <alignment vertical="center"/>
      <protection hidden="1"/>
    </xf>
    <xf numFmtId="0" fontId="38" fillId="0" borderId="0" xfId="0" applyFont="1" applyProtection="1">
      <protection locked="0"/>
    </xf>
    <xf numFmtId="0" fontId="20" fillId="0" borderId="0" xfId="0" applyFont="1" applyAlignment="1">
      <alignment vertical="center" wrapText="1"/>
    </xf>
    <xf numFmtId="0" fontId="3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179" fontId="30" fillId="0" borderId="0" xfId="26" applyNumberFormat="1" applyFont="1" applyBorder="1" applyAlignment="1" applyProtection="1">
      <alignment horizontal="right" vertical="center"/>
      <protection hidden="1"/>
    </xf>
    <xf numFmtId="0" fontId="9" fillId="0" borderId="0" xfId="13" applyFont="1"/>
    <xf numFmtId="166" fontId="4" fillId="17" borderId="7" xfId="2" applyNumberFormat="1" applyFont="1" applyFill="1" applyBorder="1" applyAlignment="1">
      <alignment horizontal="right" vertical="center" wrapText="1" shrinkToFit="1"/>
    </xf>
    <xf numFmtId="166" fontId="4" fillId="0" borderId="7" xfId="2" applyNumberFormat="1" applyFont="1" applyFill="1" applyBorder="1" applyAlignment="1">
      <alignment horizontal="right" vertical="center" wrapText="1" shrinkToFit="1"/>
    </xf>
    <xf numFmtId="166" fontId="4" fillId="18" borderId="7" xfId="2" applyNumberFormat="1" applyFont="1" applyFill="1" applyBorder="1" applyAlignment="1">
      <alignment horizontal="right" vertical="center" wrapText="1" shrinkToFit="1"/>
    </xf>
    <xf numFmtId="166" fontId="13" fillId="0" borderId="7" xfId="2" applyNumberFormat="1" applyFont="1" applyFill="1" applyBorder="1" applyAlignment="1">
      <alignment horizontal="right" vertical="center" wrapText="1" shrinkToFit="1"/>
    </xf>
    <xf numFmtId="39" fontId="30" fillId="0" borderId="7" xfId="17" applyNumberFormat="1" applyFont="1" applyFill="1" applyBorder="1" applyAlignment="1">
      <alignment horizontal="center" vertical="center"/>
    </xf>
    <xf numFmtId="2" fontId="24" fillId="0" borderId="7" xfId="5" applyNumberFormat="1" applyFont="1" applyBorder="1" applyAlignment="1">
      <alignment horizontal="center" vertical="center"/>
    </xf>
    <xf numFmtId="39" fontId="30" fillId="0" borderId="7" xfId="24" applyNumberFormat="1" applyFont="1" applyFill="1" applyBorder="1" applyAlignment="1">
      <alignment horizontal="center" vertical="center"/>
    </xf>
    <xf numFmtId="39" fontId="24" fillId="0" borderId="7" xfId="17" applyNumberFormat="1" applyFont="1" applyFill="1" applyBorder="1" applyAlignment="1">
      <alignment horizontal="center" vertical="center"/>
    </xf>
    <xf numFmtId="1" fontId="12" fillId="2" borderId="7" xfId="11" applyNumberFormat="1" applyFont="1" applyFill="1" applyBorder="1" applyAlignment="1">
      <alignment horizontal="center" vertical="center" wrapText="1" shrinkToFit="1"/>
    </xf>
    <xf numFmtId="168" fontId="13" fillId="0" borderId="7" xfId="0" applyNumberFormat="1" applyFont="1" applyBorder="1" applyAlignment="1">
      <alignment horizontal="center" vertical="center" wrapText="1" shrinkToFit="1"/>
    </xf>
    <xf numFmtId="2" fontId="14" fillId="0" borderId="7" xfId="0" applyNumberFormat="1" applyFont="1" applyBorder="1" applyAlignment="1">
      <alignment horizontal="center" vertical="center" wrapText="1"/>
    </xf>
    <xf numFmtId="168" fontId="14" fillId="0" borderId="7" xfId="0" applyNumberFormat="1" applyFont="1" applyBorder="1" applyAlignment="1">
      <alignment horizontal="center" vertical="center" wrapText="1" shrinkToFit="1"/>
    </xf>
    <xf numFmtId="0" fontId="24" fillId="0" borderId="7" xfId="5" applyFont="1" applyBorder="1" applyAlignment="1">
      <alignment horizontal="left" vertical="center"/>
    </xf>
    <xf numFmtId="0" fontId="16" fillId="0" borderId="7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>
      <alignment horizontal="center" vertical="center"/>
    </xf>
    <xf numFmtId="166" fontId="16" fillId="0" borderId="7" xfId="2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24" fillId="0" borderId="7" xfId="0" applyNumberFormat="1" applyFont="1" applyBorder="1" applyAlignment="1">
      <alignment horizontal="center" vertical="center" wrapText="1"/>
    </xf>
    <xf numFmtId="178" fontId="24" fillId="0" borderId="7" xfId="5" applyNumberFormat="1" applyFont="1" applyBorder="1" applyAlignment="1">
      <alignment horizontal="center" vertical="center"/>
    </xf>
    <xf numFmtId="186" fontId="24" fillId="0" borderId="7" xfId="5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5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85" fontId="0" fillId="0" borderId="0" xfId="0" applyNumberFormat="1" applyAlignment="1">
      <alignment horizontal="center" vertical="center"/>
    </xf>
    <xf numFmtId="165" fontId="24" fillId="0" borderId="7" xfId="0" applyNumberFormat="1" applyFont="1" applyBorder="1" applyAlignment="1" applyProtection="1">
      <alignment vertical="center" wrapText="1"/>
      <protection hidden="1"/>
    </xf>
    <xf numFmtId="0" fontId="30" fillId="0" borderId="7" xfId="0" applyFont="1" applyBorder="1" applyAlignment="1" applyProtection="1">
      <alignment horizontal="center" vertical="center"/>
      <protection locked="0" hidden="1"/>
    </xf>
    <xf numFmtId="179" fontId="30" fillId="0" borderId="7" xfId="26" applyNumberFormat="1" applyFont="1" applyFill="1" applyBorder="1" applyAlignment="1" applyProtection="1">
      <alignment horizontal="right" vertical="center"/>
      <protection hidden="1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 hidden="1"/>
    </xf>
    <xf numFmtId="164" fontId="30" fillId="0" borderId="7" xfId="2" applyFont="1" applyFill="1" applyBorder="1" applyAlignment="1" applyProtection="1">
      <alignment horizontal="right" vertical="center"/>
      <protection hidden="1"/>
    </xf>
    <xf numFmtId="0" fontId="3" fillId="0" borderId="34" xfId="0" applyFont="1" applyBorder="1" applyAlignment="1" applyProtection="1">
      <alignment horizontal="center" vertical="center"/>
      <protection locked="0" hidden="1"/>
    </xf>
    <xf numFmtId="0" fontId="3" fillId="0" borderId="18" xfId="0" applyFont="1" applyBorder="1" applyAlignment="1" applyProtection="1">
      <alignment vertical="center" wrapText="1"/>
      <protection hidden="1"/>
    </xf>
    <xf numFmtId="0" fontId="30" fillId="0" borderId="18" xfId="0" applyFont="1" applyBorder="1" applyAlignment="1" applyProtection="1">
      <alignment horizontal="center" vertical="center"/>
      <protection hidden="1"/>
    </xf>
    <xf numFmtId="0" fontId="30" fillId="0" borderId="18" xfId="0" applyFont="1" applyBorder="1" applyAlignment="1" applyProtection="1">
      <alignment horizontal="center" vertical="center"/>
      <protection locked="0" hidden="1"/>
    </xf>
    <xf numFmtId="179" fontId="24" fillId="0" borderId="18" xfId="26" applyNumberFormat="1" applyFont="1" applyFill="1" applyBorder="1" applyAlignment="1" applyProtection="1">
      <alignment horizontal="right" vertical="center"/>
      <protection hidden="1"/>
    </xf>
    <xf numFmtId="164" fontId="24" fillId="0" borderId="47" xfId="2" applyFont="1" applyFill="1" applyBorder="1" applyAlignment="1" applyProtection="1">
      <alignment horizontal="right" vertical="center"/>
      <protection hidden="1"/>
    </xf>
    <xf numFmtId="0" fontId="24" fillId="14" borderId="34" xfId="0" applyFont="1" applyFill="1" applyBorder="1" applyAlignment="1" applyProtection="1">
      <alignment horizontal="center" vertical="center" wrapText="1"/>
      <protection locked="0" hidden="1"/>
    </xf>
    <xf numFmtId="0" fontId="24" fillId="14" borderId="7" xfId="0" applyFont="1" applyFill="1" applyBorder="1" applyAlignment="1" applyProtection="1">
      <alignment horizontal="center" vertical="center"/>
      <protection hidden="1"/>
    </xf>
    <xf numFmtId="179" fontId="24" fillId="14" borderId="7" xfId="0" applyNumberFormat="1" applyFont="1" applyFill="1" applyBorder="1" applyAlignment="1" applyProtection="1">
      <alignment horizontal="center" vertical="center"/>
      <protection hidden="1"/>
    </xf>
    <xf numFmtId="179" fontId="24" fillId="14" borderId="7" xfId="26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181" fontId="16" fillId="0" borderId="7" xfId="26" applyNumberFormat="1" applyFont="1" applyBorder="1" applyAlignment="1" applyProtection="1">
      <alignment horizontal="center" vertical="center"/>
      <protection locked="0"/>
    </xf>
    <xf numFmtId="1" fontId="24" fillId="17" borderId="7" xfId="0" applyNumberFormat="1" applyFont="1" applyFill="1" applyBorder="1" applyAlignment="1">
      <alignment horizontal="center" vertical="center"/>
    </xf>
    <xf numFmtId="185" fontId="32" fillId="0" borderId="7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24" fillId="0" borderId="7" xfId="0" applyNumberFormat="1" applyFont="1" applyBorder="1" applyAlignment="1" applyProtection="1">
      <alignment horizontal="right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1" fontId="24" fillId="0" borderId="10" xfId="0" applyNumberFormat="1" applyFont="1" applyBorder="1" applyAlignment="1">
      <alignment horizontal="center" vertical="center"/>
    </xf>
    <xf numFmtId="182" fontId="24" fillId="0" borderId="10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82" fontId="3" fillId="0" borderId="39" xfId="0" applyNumberFormat="1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83" fontId="3" fillId="0" borderId="7" xfId="0" applyNumberFormat="1" applyFont="1" applyBorder="1" applyAlignment="1">
      <alignment vertical="center"/>
    </xf>
    <xf numFmtId="173" fontId="3" fillId="0" borderId="7" xfId="0" applyNumberFormat="1" applyFont="1" applyBorder="1" applyAlignment="1">
      <alignment vertical="center"/>
    </xf>
    <xf numFmtId="9" fontId="3" fillId="0" borderId="7" xfId="27" applyFont="1" applyFill="1" applyBorder="1" applyAlignment="1">
      <alignment horizontal="center" vertical="center"/>
    </xf>
    <xf numFmtId="182" fontId="3" fillId="0" borderId="6" xfId="0" applyNumberFormat="1" applyFont="1" applyBorder="1" applyAlignment="1">
      <alignment horizontal="right" vertical="center"/>
    </xf>
    <xf numFmtId="9" fontId="3" fillId="0" borderId="7" xfId="16" applyFont="1" applyFill="1" applyBorder="1" applyAlignment="1">
      <alignment horizontal="center" vertical="center"/>
    </xf>
    <xf numFmtId="166" fontId="3" fillId="0" borderId="7" xfId="2" applyNumberFormat="1" applyFont="1" applyFill="1" applyBorder="1" applyAlignment="1">
      <alignment vertical="center"/>
    </xf>
    <xf numFmtId="2" fontId="3" fillId="0" borderId="6" xfId="0" applyNumberFormat="1" applyFont="1" applyBorder="1" applyAlignment="1">
      <alignment horizontal="right" vertical="center"/>
    </xf>
    <xf numFmtId="182" fontId="24" fillId="0" borderId="21" xfId="0" applyNumberFormat="1" applyFont="1" applyBorder="1" applyAlignment="1">
      <alignment horizontal="right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/>
    </xf>
    <xf numFmtId="182" fontId="24" fillId="0" borderId="17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182" fontId="24" fillId="0" borderId="7" xfId="0" applyNumberFormat="1" applyFont="1" applyBorder="1" applyAlignment="1">
      <alignment vertical="center" wrapText="1"/>
    </xf>
    <xf numFmtId="0" fontId="24" fillId="0" borderId="7" xfId="0" applyFont="1" applyBorder="1" applyAlignment="1">
      <alignment horizontal="center" vertical="center" wrapText="1"/>
    </xf>
    <xf numFmtId="182" fontId="24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82" fontId="3" fillId="0" borderId="7" xfId="0" applyNumberFormat="1" applyFont="1" applyBorder="1" applyAlignment="1">
      <alignment vertical="center" wrapText="1"/>
    </xf>
    <xf numFmtId="9" fontId="3" fillId="0" borderId="7" xfId="27" applyFont="1" applyFill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182" fontId="3" fillId="0" borderId="6" xfId="0" applyNumberFormat="1" applyFont="1" applyBorder="1" applyAlignment="1">
      <alignment vertical="center"/>
    </xf>
    <xf numFmtId="182" fontId="3" fillId="0" borderId="8" xfId="0" applyNumberFormat="1" applyFont="1" applyBorder="1" applyAlignment="1">
      <alignment horizontal="center" vertical="center"/>
    </xf>
    <xf numFmtId="182" fontId="24" fillId="0" borderId="21" xfId="0" applyNumberFormat="1" applyFont="1" applyBorder="1" applyAlignment="1">
      <alignment vertical="center"/>
    </xf>
    <xf numFmtId="182" fontId="3" fillId="0" borderId="50" xfId="0" applyNumberFormat="1" applyFont="1" applyBorder="1" applyAlignment="1">
      <alignment vertical="center"/>
    </xf>
    <xf numFmtId="182" fontId="3" fillId="0" borderId="16" xfId="0" applyNumberFormat="1" applyFont="1" applyBorder="1" applyAlignment="1">
      <alignment vertical="center"/>
    </xf>
    <xf numFmtId="176" fontId="24" fillId="0" borderId="43" xfId="0" applyNumberFormat="1" applyFont="1" applyBorder="1" applyAlignment="1">
      <alignment vertical="center"/>
    </xf>
    <xf numFmtId="182" fontId="0" fillId="0" borderId="0" xfId="0" applyNumberFormat="1"/>
    <xf numFmtId="0" fontId="4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40" fillId="0" borderId="0" xfId="0" applyFont="1"/>
    <xf numFmtId="0" fontId="41" fillId="0" borderId="0" xfId="0" applyFont="1"/>
    <xf numFmtId="0" fontId="42" fillId="0" borderId="0" xfId="5" applyFont="1"/>
    <xf numFmtId="0" fontId="43" fillId="0" borderId="0" xfId="5" applyFont="1"/>
    <xf numFmtId="0" fontId="44" fillId="0" borderId="7" xfId="0" applyFont="1" applyBorder="1" applyAlignment="1">
      <alignment vertical="center" wrapText="1"/>
    </xf>
    <xf numFmtId="168" fontId="45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164" fontId="48" fillId="0" borderId="0" xfId="0" applyNumberFormat="1" applyFont="1" applyAlignment="1">
      <alignment horizontal="center" vertical="center" wrapText="1"/>
    </xf>
    <xf numFmtId="177" fontId="47" fillId="0" borderId="0" xfId="0" applyNumberFormat="1" applyFont="1" applyAlignment="1">
      <alignment horizontal="center" vertical="center" shrinkToFit="1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8" fillId="8" borderId="7" xfId="0" applyFont="1" applyFill="1" applyBorder="1" applyAlignment="1">
      <alignment horizontal="center" vertical="center"/>
    </xf>
    <xf numFmtId="0" fontId="52" fillId="8" borderId="7" xfId="0" applyFont="1" applyFill="1" applyBorder="1" applyAlignment="1">
      <alignment horizontal="center"/>
    </xf>
    <xf numFmtId="0" fontId="48" fillId="8" borderId="7" xfId="0" applyFont="1" applyFill="1" applyBorder="1" applyAlignment="1">
      <alignment horizontal="center" vertical="center" wrapText="1"/>
    </xf>
    <xf numFmtId="2" fontId="47" fillId="0" borderId="12" xfId="0" applyNumberFormat="1" applyFont="1" applyBorder="1" applyAlignment="1">
      <alignment horizontal="center" vertical="center"/>
    </xf>
    <xf numFmtId="2" fontId="53" fillId="0" borderId="0" xfId="0" applyNumberFormat="1" applyFont="1"/>
    <xf numFmtId="0" fontId="53" fillId="0" borderId="24" xfId="0" applyFont="1" applyBorder="1" applyAlignment="1">
      <alignment horizontal="center" vertical="center"/>
    </xf>
    <xf numFmtId="2" fontId="54" fillId="0" borderId="7" xfId="0" applyNumberFormat="1" applyFont="1" applyBorder="1" applyAlignment="1">
      <alignment horizontal="center" vertical="center" shrinkToFit="1"/>
    </xf>
    <xf numFmtId="0" fontId="50" fillId="0" borderId="7" xfId="0" applyFont="1" applyBorder="1" applyAlignment="1">
      <alignment horizontal="center" vertical="center" wrapText="1"/>
    </xf>
    <xf numFmtId="2" fontId="47" fillId="0" borderId="13" xfId="0" applyNumberFormat="1" applyFont="1" applyBorder="1" applyAlignment="1">
      <alignment horizontal="center" vertical="center"/>
    </xf>
    <xf numFmtId="0" fontId="45" fillId="0" borderId="5" xfId="0" applyFont="1" applyBorder="1" applyAlignment="1">
      <alignment horizontal="left" vertical="center"/>
    </xf>
    <xf numFmtId="0" fontId="45" fillId="0" borderId="6" xfId="0" applyFont="1" applyBorder="1" applyAlignment="1">
      <alignment horizontal="left" vertical="center"/>
    </xf>
    <xf numFmtId="0" fontId="53" fillId="0" borderId="0" xfId="0" applyFont="1"/>
    <xf numFmtId="0" fontId="53" fillId="0" borderId="0" xfId="0" applyFont="1" applyAlignment="1">
      <alignment horizontal="center" vertical="center"/>
    </xf>
    <xf numFmtId="2" fontId="45" fillId="0" borderId="0" xfId="0" applyNumberFormat="1" applyFont="1" applyAlignment="1">
      <alignment horizontal="left" vertical="center"/>
    </xf>
    <xf numFmtId="2" fontId="45" fillId="0" borderId="2" xfId="0" applyNumberFormat="1" applyFont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2" fontId="45" fillId="0" borderId="14" xfId="0" applyNumberFormat="1" applyFont="1" applyBorder="1" applyAlignment="1">
      <alignment horizontal="left" vertical="center"/>
    </xf>
    <xf numFmtId="0" fontId="45" fillId="0" borderId="15" xfId="0" applyFont="1" applyBorder="1" applyAlignment="1">
      <alignment horizontal="left" vertical="center"/>
    </xf>
    <xf numFmtId="166" fontId="45" fillId="0" borderId="0" xfId="2" applyNumberFormat="1" applyFont="1" applyFill="1" applyBorder="1" applyAlignment="1">
      <alignment horizontal="center" vertical="center"/>
    </xf>
    <xf numFmtId="166" fontId="45" fillId="0" borderId="5" xfId="2" applyNumberFormat="1" applyFont="1" applyFill="1" applyBorder="1" applyAlignment="1">
      <alignment horizontal="left" vertical="center"/>
    </xf>
    <xf numFmtId="165" fontId="45" fillId="0" borderId="6" xfId="0" applyNumberFormat="1" applyFont="1" applyBorder="1" applyAlignment="1">
      <alignment horizontal="left" vertical="center"/>
    </xf>
    <xf numFmtId="0" fontId="45" fillId="0" borderId="12" xfId="0" applyFont="1" applyBorder="1" applyAlignment="1">
      <alignment vertical="center"/>
    </xf>
    <xf numFmtId="0" fontId="45" fillId="0" borderId="27" xfId="0" applyFont="1" applyBorder="1" applyAlignment="1">
      <alignment horizontal="center" vertical="center"/>
    </xf>
    <xf numFmtId="0" fontId="45" fillId="0" borderId="28" xfId="0" applyFont="1" applyBorder="1" applyAlignment="1">
      <alignment horizontal="center" vertical="center"/>
    </xf>
    <xf numFmtId="0" fontId="45" fillId="0" borderId="29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 wrapText="1"/>
    </xf>
    <xf numFmtId="2" fontId="47" fillId="0" borderId="5" xfId="0" applyNumberFormat="1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41" xfId="0" applyFont="1" applyBorder="1" applyAlignment="1">
      <alignment horizontal="center" vertical="center"/>
    </xf>
    <xf numFmtId="1" fontId="45" fillId="0" borderId="7" xfId="0" applyNumberFormat="1" applyFont="1" applyBorder="1" applyAlignment="1">
      <alignment horizontal="center" vertical="center" shrinkToFit="1"/>
    </xf>
    <xf numFmtId="0" fontId="46" fillId="0" borderId="7" xfId="0" applyFont="1" applyBorder="1" applyAlignment="1">
      <alignment horizontal="center" vertical="center" wrapText="1"/>
    </xf>
    <xf numFmtId="9" fontId="45" fillId="0" borderId="7" xfId="27" applyFont="1" applyFill="1" applyBorder="1" applyAlignment="1">
      <alignment horizontal="center" vertical="center" shrinkToFit="1"/>
    </xf>
    <xf numFmtId="166" fontId="45" fillId="0" borderId="7" xfId="2" applyNumberFormat="1" applyFont="1" applyFill="1" applyBorder="1" applyAlignment="1">
      <alignment horizontal="right" vertical="center" shrinkToFit="1"/>
    </xf>
    <xf numFmtId="2" fontId="45" fillId="0" borderId="5" xfId="0" applyNumberFormat="1" applyFont="1" applyBorder="1" applyAlignment="1">
      <alignment horizontal="left" vertical="center"/>
    </xf>
    <xf numFmtId="166" fontId="45" fillId="0" borderId="6" xfId="2" applyNumberFormat="1" applyFont="1" applyFill="1" applyBorder="1" applyAlignment="1">
      <alignment horizontal="left" vertical="center"/>
    </xf>
    <xf numFmtId="168" fontId="45" fillId="0" borderId="7" xfId="0" applyNumberFormat="1" applyFont="1" applyBorder="1" applyAlignment="1">
      <alignment horizontal="center" vertical="center" shrinkToFit="1"/>
    </xf>
    <xf numFmtId="178" fontId="45" fillId="0" borderId="7" xfId="27" applyNumberFormat="1" applyFont="1" applyFill="1" applyBorder="1" applyAlignment="1">
      <alignment horizontal="center" vertical="center" shrinkToFit="1"/>
    </xf>
    <xf numFmtId="2" fontId="45" fillId="0" borderId="5" xfId="0" applyNumberFormat="1" applyFont="1" applyBorder="1" applyAlignment="1">
      <alignment horizontal="center" vertical="center"/>
    </xf>
    <xf numFmtId="2" fontId="45" fillId="0" borderId="7" xfId="27" applyNumberFormat="1" applyFont="1" applyFill="1" applyBorder="1" applyAlignment="1">
      <alignment horizontal="center" vertical="center" shrinkToFit="1"/>
    </xf>
    <xf numFmtId="166" fontId="45" fillId="0" borderId="7" xfId="2" applyNumberFormat="1" applyFont="1" applyFill="1" applyBorder="1" applyAlignment="1">
      <alignment horizontal="center" vertical="center" shrinkToFit="1"/>
    </xf>
    <xf numFmtId="166" fontId="47" fillId="0" borderId="8" xfId="2" applyNumberFormat="1" applyFont="1" applyFill="1" applyBorder="1" applyAlignment="1">
      <alignment horizontal="left" vertical="center"/>
    </xf>
    <xf numFmtId="165" fontId="45" fillId="0" borderId="21" xfId="0" applyNumberFormat="1" applyFont="1" applyBorder="1" applyAlignment="1">
      <alignment horizontal="left" vertical="center"/>
    </xf>
    <xf numFmtId="0" fontId="45" fillId="0" borderId="7" xfId="0" applyFont="1" applyBorder="1" applyAlignment="1">
      <alignment horizontal="center" vertical="center" wrapText="1"/>
    </xf>
    <xf numFmtId="166" fontId="45" fillId="0" borderId="7" xfId="2" applyNumberFormat="1" applyFont="1" applyFill="1" applyBorder="1" applyAlignment="1">
      <alignment horizontal="center" vertical="center" wrapText="1"/>
    </xf>
    <xf numFmtId="2" fontId="47" fillId="0" borderId="5" xfId="0" applyNumberFormat="1" applyFont="1" applyBorder="1" applyAlignment="1">
      <alignment horizontal="right" vertical="center"/>
    </xf>
    <xf numFmtId="166" fontId="45" fillId="0" borderId="6" xfId="2" applyNumberFormat="1" applyFont="1" applyFill="1" applyBorder="1" applyAlignment="1">
      <alignment horizontal="center" vertical="center" shrinkToFit="1"/>
    </xf>
    <xf numFmtId="166" fontId="47" fillId="0" borderId="25" xfId="2" applyNumberFormat="1" applyFont="1" applyFill="1" applyBorder="1" applyAlignment="1">
      <alignment horizontal="center" vertical="center"/>
    </xf>
    <xf numFmtId="164" fontId="47" fillId="0" borderId="7" xfId="2" applyFont="1" applyFill="1" applyBorder="1" applyAlignment="1">
      <alignment horizontal="right" vertical="center" shrinkToFit="1"/>
    </xf>
    <xf numFmtId="2" fontId="47" fillId="0" borderId="8" xfId="0" applyNumberFormat="1" applyFont="1" applyBorder="1" applyAlignment="1">
      <alignment horizontal="right" vertical="center"/>
    </xf>
    <xf numFmtId="166" fontId="47" fillId="0" borderId="21" xfId="2" applyNumberFormat="1" applyFont="1" applyFill="1" applyBorder="1" applyAlignment="1">
      <alignment horizontal="center" vertical="center" shrinkToFit="1"/>
    </xf>
    <xf numFmtId="0" fontId="45" fillId="0" borderId="13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164" fontId="48" fillId="0" borderId="7" xfId="0" applyNumberFormat="1" applyFont="1" applyBorder="1" applyAlignment="1">
      <alignment horizontal="center" vertical="center" wrapText="1"/>
    </xf>
    <xf numFmtId="166" fontId="45" fillId="0" borderId="25" xfId="2" applyNumberFormat="1" applyFont="1" applyFill="1" applyBorder="1" applyAlignment="1">
      <alignment horizontal="center" vertical="center"/>
    </xf>
    <xf numFmtId="164" fontId="45" fillId="0" borderId="7" xfId="0" applyNumberFormat="1" applyFont="1" applyBorder="1" applyAlignment="1">
      <alignment horizontal="center" vertical="center" shrinkToFit="1"/>
    </xf>
    <xf numFmtId="2" fontId="45" fillId="0" borderId="7" xfId="0" applyNumberFormat="1" applyFont="1" applyBorder="1" applyAlignment="1">
      <alignment horizontal="center" vertical="center" shrinkToFit="1"/>
    </xf>
    <xf numFmtId="9" fontId="45" fillId="0" borderId="7" xfId="27" applyFont="1" applyFill="1" applyBorder="1" applyAlignment="1">
      <alignment horizontal="center" vertical="center" wrapText="1"/>
    </xf>
    <xf numFmtId="164" fontId="45" fillId="0" borderId="7" xfId="0" applyNumberFormat="1" applyFont="1" applyBorder="1" applyAlignment="1">
      <alignment horizontal="center" vertical="center" wrapText="1"/>
    </xf>
    <xf numFmtId="0" fontId="45" fillId="0" borderId="14" xfId="0" applyFont="1" applyBorder="1" applyAlignment="1">
      <alignment horizontal="left" vertical="center"/>
    </xf>
    <xf numFmtId="2" fontId="45" fillId="0" borderId="3" xfId="0" applyNumberFormat="1" applyFont="1" applyBorder="1" applyAlignment="1">
      <alignment horizontal="center" vertical="center"/>
    </xf>
    <xf numFmtId="166" fontId="47" fillId="0" borderId="7" xfId="2" applyNumberFormat="1" applyFont="1" applyFill="1" applyBorder="1" applyAlignment="1">
      <alignment horizontal="right" vertical="center" shrinkToFit="1"/>
    </xf>
    <xf numFmtId="0" fontId="45" fillId="0" borderId="0" xfId="0" applyFont="1" applyAlignment="1">
      <alignment horizontal="center" vertical="center" wrapText="1"/>
    </xf>
    <xf numFmtId="164" fontId="45" fillId="0" borderId="5" xfId="2" applyFont="1" applyFill="1" applyBorder="1" applyAlignment="1">
      <alignment horizontal="left" vertical="center" wrapText="1"/>
    </xf>
    <xf numFmtId="165" fontId="45" fillId="0" borderId="6" xfId="0" applyNumberFormat="1" applyFont="1" applyBorder="1" applyAlignment="1">
      <alignment horizontal="left" vertical="center" wrapText="1"/>
    </xf>
    <xf numFmtId="0" fontId="45" fillId="0" borderId="0" xfId="0" applyFont="1" applyAlignment="1">
      <alignment horizontal="left" vertical="center" wrapText="1"/>
    </xf>
    <xf numFmtId="164" fontId="45" fillId="0" borderId="25" xfId="2" applyFont="1" applyFill="1" applyBorder="1" applyAlignment="1">
      <alignment horizontal="center" vertical="center"/>
    </xf>
    <xf numFmtId="0" fontId="53" fillId="0" borderId="0" xfId="0" applyFont="1" applyAlignment="1">
      <alignment wrapText="1"/>
    </xf>
    <xf numFmtId="0" fontId="45" fillId="0" borderId="44" xfId="0" applyFont="1" applyBorder="1" applyAlignment="1">
      <alignment horizontal="center" vertical="center" wrapText="1"/>
    </xf>
    <xf numFmtId="0" fontId="45" fillId="0" borderId="41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1" fontId="45" fillId="0" borderId="7" xfId="0" applyNumberFormat="1" applyFont="1" applyBorder="1" applyAlignment="1">
      <alignment horizontal="center" vertical="center" wrapText="1" shrinkToFit="1"/>
    </xf>
    <xf numFmtId="2" fontId="46" fillId="0" borderId="7" xfId="0" applyNumberFormat="1" applyFont="1" applyBorder="1" applyAlignment="1">
      <alignment horizontal="center" vertical="center" wrapText="1"/>
    </xf>
    <xf numFmtId="164" fontId="45" fillId="0" borderId="7" xfId="2" applyFont="1" applyFill="1" applyBorder="1" applyAlignment="1">
      <alignment horizontal="right" vertical="center" wrapText="1" shrinkToFit="1"/>
    </xf>
    <xf numFmtId="2" fontId="45" fillId="0" borderId="7" xfId="0" applyNumberFormat="1" applyFont="1" applyBorder="1" applyAlignment="1">
      <alignment horizontal="center" vertical="center" wrapText="1" shrinkToFit="1"/>
    </xf>
    <xf numFmtId="168" fontId="45" fillId="0" borderId="7" xfId="0" applyNumberFormat="1" applyFont="1" applyBorder="1" applyAlignment="1">
      <alignment horizontal="center" vertical="center" wrapText="1" shrinkToFit="1"/>
    </xf>
    <xf numFmtId="0" fontId="45" fillId="0" borderId="21" xfId="0" applyFont="1" applyBorder="1" applyAlignment="1">
      <alignment horizontal="left" vertical="center"/>
    </xf>
    <xf numFmtId="0" fontId="45" fillId="0" borderId="37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38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2" fontId="45" fillId="0" borderId="9" xfId="0" applyNumberFormat="1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/>
    </xf>
    <xf numFmtId="164" fontId="45" fillId="0" borderId="5" xfId="2" applyFont="1" applyFill="1" applyBorder="1" applyAlignment="1">
      <alignment horizontal="left" vertical="center"/>
    </xf>
    <xf numFmtId="164" fontId="45" fillId="0" borderId="0" xfId="0" applyNumberFormat="1" applyFont="1" applyAlignment="1">
      <alignment horizontal="left" vertical="center"/>
    </xf>
    <xf numFmtId="0" fontId="45" fillId="0" borderId="32" xfId="0" applyFont="1" applyBorder="1" applyAlignment="1">
      <alignment horizontal="center" vertical="center"/>
    </xf>
    <xf numFmtId="0" fontId="45" fillId="0" borderId="26" xfId="0" applyFont="1" applyBorder="1" applyAlignment="1">
      <alignment horizontal="center" vertical="center"/>
    </xf>
    <xf numFmtId="0" fontId="45" fillId="0" borderId="33" xfId="0" applyFont="1" applyBorder="1" applyAlignment="1">
      <alignment horizontal="center" vertical="center"/>
    </xf>
    <xf numFmtId="0" fontId="48" fillId="0" borderId="7" xfId="0" applyFont="1" applyBorder="1" applyAlignment="1">
      <alignment vertical="center" wrapText="1"/>
    </xf>
    <xf numFmtId="0" fontId="47" fillId="0" borderId="7" xfId="0" applyFont="1" applyBorder="1" applyAlignment="1">
      <alignment horizontal="center" vertical="center"/>
    </xf>
    <xf numFmtId="164" fontId="47" fillId="0" borderId="7" xfId="0" applyNumberFormat="1" applyFont="1" applyBorder="1" applyAlignment="1">
      <alignment horizontal="center" vertical="center"/>
    </xf>
    <xf numFmtId="164" fontId="48" fillId="0" borderId="7" xfId="0" applyNumberFormat="1" applyFont="1" applyBorder="1" applyAlignment="1">
      <alignment horizontal="center" wrapText="1"/>
    </xf>
    <xf numFmtId="0" fontId="45" fillId="0" borderId="5" xfId="0" applyFont="1" applyBorder="1" applyAlignment="1">
      <alignment horizontal="center" vertical="center"/>
    </xf>
    <xf numFmtId="0" fontId="45" fillId="0" borderId="7" xfId="0" applyFont="1" applyBorder="1" applyAlignment="1">
      <alignment horizontal="center" vertical="center"/>
    </xf>
    <xf numFmtId="2" fontId="45" fillId="0" borderId="6" xfId="0" applyNumberFormat="1" applyFont="1" applyBorder="1" applyAlignment="1">
      <alignment horizontal="center" vertical="center"/>
    </xf>
    <xf numFmtId="0" fontId="46" fillId="0" borderId="7" xfId="0" applyFont="1" applyBorder="1" applyAlignment="1">
      <alignment vertical="center" wrapText="1"/>
    </xf>
    <xf numFmtId="164" fontId="45" fillId="0" borderId="7" xfId="2" applyFont="1" applyFill="1" applyBorder="1" applyAlignment="1">
      <alignment vertical="center" wrapText="1" shrinkToFit="1"/>
    </xf>
    <xf numFmtId="2" fontId="45" fillId="0" borderId="21" xfId="0" applyNumberFormat="1" applyFont="1" applyBorder="1" applyAlignment="1">
      <alignment horizontal="center" vertical="center"/>
    </xf>
    <xf numFmtId="2" fontId="45" fillId="0" borderId="7" xfId="0" applyNumberFormat="1" applyFont="1" applyBorder="1" applyAlignment="1">
      <alignment horizontal="right" vertical="center" shrinkToFit="1"/>
    </xf>
    <xf numFmtId="164" fontId="45" fillId="0" borderId="7" xfId="2" applyFont="1" applyFill="1" applyBorder="1" applyAlignment="1">
      <alignment horizontal="center" vertical="center"/>
    </xf>
    <xf numFmtId="164" fontId="45" fillId="0" borderId="7" xfId="2" applyFont="1" applyFill="1" applyBorder="1" applyAlignment="1">
      <alignment horizontal="center" vertical="center" shrinkToFit="1"/>
    </xf>
    <xf numFmtId="165" fontId="45" fillId="0" borderId="8" xfId="0" applyNumberFormat="1" applyFont="1" applyBorder="1" applyAlignment="1">
      <alignment horizontal="left" vertical="center"/>
    </xf>
    <xf numFmtId="2" fontId="45" fillId="0" borderId="7" xfId="0" applyNumberFormat="1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165" fontId="45" fillId="0" borderId="12" xfId="0" applyNumberFormat="1" applyFont="1" applyBorder="1" applyAlignment="1">
      <alignment horizontal="center" vertical="center"/>
    </xf>
    <xf numFmtId="2" fontId="45" fillId="0" borderId="8" xfId="0" applyNumberFormat="1" applyFont="1" applyBorder="1" applyAlignment="1">
      <alignment horizontal="left" vertical="center"/>
    </xf>
    <xf numFmtId="166" fontId="47" fillId="0" borderId="21" xfId="2" applyNumberFormat="1" applyFont="1" applyFill="1" applyBorder="1" applyAlignment="1">
      <alignment vertical="center" shrinkToFit="1"/>
    </xf>
    <xf numFmtId="165" fontId="45" fillId="0" borderId="13" xfId="0" applyNumberFormat="1" applyFont="1" applyBorder="1" applyAlignment="1">
      <alignment horizontal="center" vertical="center"/>
    </xf>
    <xf numFmtId="0" fontId="42" fillId="0" borderId="7" xfId="0" applyFont="1" applyBorder="1" applyAlignment="1">
      <alignment horizontal="left" vertical="center"/>
    </xf>
    <xf numFmtId="0" fontId="55" fillId="0" borderId="7" xfId="0" applyFont="1" applyBorder="1" applyAlignment="1">
      <alignment horizontal="right" vertical="center" wrapText="1"/>
    </xf>
    <xf numFmtId="166" fontId="56" fillId="0" borderId="7" xfId="2" applyNumberFormat="1" applyFont="1" applyFill="1" applyBorder="1" applyAlignment="1">
      <alignment horizontal="center" vertical="center" shrinkToFit="1"/>
    </xf>
    <xf numFmtId="0" fontId="43" fillId="0" borderId="7" xfId="0" applyFont="1" applyBorder="1" applyAlignment="1">
      <alignment horizontal="left" vertical="center"/>
    </xf>
    <xf numFmtId="0" fontId="48" fillId="0" borderId="7" xfId="0" applyFont="1" applyBorder="1" applyAlignment="1">
      <alignment horizontal="right" vertical="center" wrapText="1"/>
    </xf>
    <xf numFmtId="2" fontId="45" fillId="0" borderId="0" xfId="0" applyNumberFormat="1" applyFont="1" applyAlignment="1">
      <alignment horizontal="center" vertical="center"/>
    </xf>
    <xf numFmtId="166" fontId="47" fillId="0" borderId="0" xfId="2" applyNumberFormat="1" applyFont="1" applyFill="1" applyBorder="1" applyAlignment="1">
      <alignment vertical="center" shrinkToFit="1"/>
    </xf>
    <xf numFmtId="165" fontId="45" fillId="0" borderId="0" xfId="0" applyNumberFormat="1" applyFont="1" applyAlignment="1">
      <alignment horizontal="left" vertical="center"/>
    </xf>
    <xf numFmtId="165" fontId="45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right" vertical="center" wrapText="1"/>
    </xf>
    <xf numFmtId="166" fontId="47" fillId="0" borderId="0" xfId="2" applyNumberFormat="1" applyFont="1" applyFill="1" applyBorder="1" applyAlignment="1">
      <alignment horizontal="right" vertical="center" shrinkToFit="1"/>
    </xf>
    <xf numFmtId="0" fontId="45" fillId="0" borderId="0" xfId="0" applyFont="1" applyAlignment="1">
      <alignment vertical="center" wrapText="1"/>
    </xf>
    <xf numFmtId="164" fontId="47" fillId="0" borderId="0" xfId="2" applyFont="1" applyFill="1" applyBorder="1" applyAlignment="1">
      <alignment horizontal="right" vertical="center" shrinkToFit="1"/>
    </xf>
    <xf numFmtId="2" fontId="47" fillId="0" borderId="0" xfId="0" applyNumberFormat="1" applyFont="1" applyAlignment="1">
      <alignment horizontal="right" vertical="center"/>
    </xf>
    <xf numFmtId="166" fontId="47" fillId="0" borderId="0" xfId="2" applyNumberFormat="1" applyFont="1" applyFill="1" applyBorder="1" applyAlignment="1">
      <alignment horizontal="center" vertical="center" shrinkToFit="1"/>
    </xf>
    <xf numFmtId="166" fontId="47" fillId="0" borderId="0" xfId="2" applyNumberFormat="1" applyFont="1" applyFill="1" applyBorder="1" applyAlignment="1">
      <alignment horizontal="left" vertical="center"/>
    </xf>
    <xf numFmtId="2" fontId="46" fillId="0" borderId="0" xfId="0" applyNumberFormat="1" applyFont="1" applyAlignment="1">
      <alignment horizontal="center" vertical="center" wrapText="1"/>
    </xf>
    <xf numFmtId="166" fontId="45" fillId="0" borderId="5" xfId="2" applyNumberFormat="1" applyFont="1" applyFill="1" applyBorder="1" applyAlignment="1">
      <alignment horizontal="left" vertical="center" wrapText="1"/>
    </xf>
    <xf numFmtId="0" fontId="52" fillId="8" borderId="7" xfId="0" applyFont="1" applyFill="1" applyBorder="1" applyAlignment="1">
      <alignment horizontal="center" vertical="center"/>
    </xf>
    <xf numFmtId="188" fontId="45" fillId="0" borderId="7" xfId="27" applyNumberFormat="1" applyFont="1" applyFill="1" applyBorder="1" applyAlignment="1">
      <alignment horizontal="center" vertical="center" shrinkToFit="1"/>
    </xf>
    <xf numFmtId="0" fontId="41" fillId="0" borderId="7" xfId="0" applyFont="1" applyBorder="1"/>
    <xf numFmtId="10" fontId="45" fillId="0" borderId="7" xfId="0" applyNumberFormat="1" applyFont="1" applyBorder="1" applyAlignment="1">
      <alignment horizontal="center" vertical="center"/>
    </xf>
    <xf numFmtId="164" fontId="45" fillId="0" borderId="6" xfId="2" applyFont="1" applyFill="1" applyBorder="1" applyAlignment="1">
      <alignment horizontal="left" vertical="center"/>
    </xf>
    <xf numFmtId="164" fontId="47" fillId="0" borderId="6" xfId="0" applyNumberFormat="1" applyFont="1" applyBorder="1" applyAlignment="1">
      <alignment horizontal="left" vertical="center"/>
    </xf>
    <xf numFmtId="0" fontId="45" fillId="0" borderId="7" xfId="0" applyFont="1" applyBorder="1" applyAlignment="1">
      <alignment horizontal="left" vertical="center"/>
    </xf>
    <xf numFmtId="164" fontId="45" fillId="0" borderId="7" xfId="0" applyNumberFormat="1" applyFont="1" applyBorder="1" applyAlignment="1">
      <alignment horizontal="center" vertical="center"/>
    </xf>
    <xf numFmtId="165" fontId="47" fillId="0" borderId="21" xfId="0" applyNumberFormat="1" applyFont="1" applyBorder="1" applyAlignment="1">
      <alignment horizontal="left" vertical="center"/>
    </xf>
    <xf numFmtId="9" fontId="45" fillId="0" borderId="7" xfId="0" applyNumberFormat="1" applyFont="1" applyBorder="1" applyAlignment="1">
      <alignment horizontal="center" vertical="center"/>
    </xf>
    <xf numFmtId="168" fontId="45" fillId="0" borderId="7" xfId="0" applyNumberFormat="1" applyFont="1" applyBorder="1" applyAlignment="1">
      <alignment horizontal="center" vertical="center"/>
    </xf>
    <xf numFmtId="0" fontId="48" fillId="8" borderId="59" xfId="0" applyFont="1" applyFill="1" applyBorder="1" applyAlignment="1">
      <alignment horizontal="center" vertical="center"/>
    </xf>
    <xf numFmtId="0" fontId="52" fillId="8" borderId="40" xfId="0" applyFont="1" applyFill="1" applyBorder="1" applyAlignment="1">
      <alignment horizontal="center"/>
    </xf>
    <xf numFmtId="0" fontId="48" fillId="8" borderId="63" xfId="0" applyFont="1" applyFill="1" applyBorder="1" applyAlignment="1">
      <alignment horizontal="center" vertical="center" wrapText="1"/>
    </xf>
    <xf numFmtId="0" fontId="48" fillId="8" borderId="64" xfId="0" applyFont="1" applyFill="1" applyBorder="1" applyAlignment="1">
      <alignment horizontal="center" vertical="center" wrapText="1"/>
    </xf>
    <xf numFmtId="2" fontId="54" fillId="0" borderId="65" xfId="0" applyNumberFormat="1" applyFont="1" applyBorder="1" applyAlignment="1">
      <alignment horizontal="center" vertical="center" shrinkToFit="1"/>
    </xf>
    <xf numFmtId="0" fontId="50" fillId="0" borderId="69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left" vertical="center" wrapText="1"/>
    </xf>
    <xf numFmtId="164" fontId="45" fillId="0" borderId="7" xfId="2" applyFont="1" applyFill="1" applyBorder="1" applyAlignment="1">
      <alignment horizontal="center" vertical="center" wrapText="1" shrinkToFit="1"/>
    </xf>
    <xf numFmtId="0" fontId="47" fillId="0" borderId="7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left" vertical="center" wrapText="1"/>
    </xf>
    <xf numFmtId="0" fontId="57" fillId="0" borderId="0" xfId="0" applyFont="1" applyAlignment="1">
      <alignment horizontal="center" vertical="center" wrapText="1"/>
    </xf>
    <xf numFmtId="0" fontId="58" fillId="0" borderId="0" xfId="0" applyFont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166" fontId="57" fillId="0" borderId="0" xfId="2" applyNumberFormat="1" applyFont="1" applyFill="1" applyBorder="1" applyAlignment="1">
      <alignment horizontal="left" vertical="center" wrapText="1"/>
    </xf>
    <xf numFmtId="0" fontId="57" fillId="0" borderId="0" xfId="0" applyFont="1" applyAlignment="1">
      <alignment horizontal="right" vertical="center" wrapText="1"/>
    </xf>
    <xf numFmtId="1" fontId="57" fillId="0" borderId="0" xfId="0" applyNumberFormat="1" applyFont="1" applyAlignment="1">
      <alignment horizontal="right" vertical="center" wrapText="1"/>
    </xf>
    <xf numFmtId="167" fontId="57" fillId="0" borderId="0" xfId="1" applyNumberFormat="1" applyFont="1" applyFill="1" applyBorder="1" applyAlignment="1">
      <alignment horizontal="right" vertical="center" wrapText="1"/>
    </xf>
    <xf numFmtId="166" fontId="57" fillId="0" borderId="0" xfId="0" applyNumberFormat="1" applyFont="1" applyAlignment="1">
      <alignment horizontal="right" vertical="center" wrapText="1"/>
    </xf>
    <xf numFmtId="166" fontId="57" fillId="0" borderId="0" xfId="2" applyNumberFormat="1" applyFont="1" applyFill="1" applyBorder="1" applyAlignment="1">
      <alignment horizontal="right" vertical="center" wrapText="1"/>
    </xf>
    <xf numFmtId="166" fontId="57" fillId="0" borderId="0" xfId="2" applyNumberFormat="1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41" fillId="0" borderId="0" xfId="0" applyFont="1" applyAlignment="1">
      <alignment vertical="center" wrapText="1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right" vertical="center"/>
    </xf>
    <xf numFmtId="1" fontId="41" fillId="0" borderId="0" xfId="0" applyNumberFormat="1" applyFont="1" applyAlignment="1">
      <alignment horizontal="right" vertical="center"/>
    </xf>
    <xf numFmtId="0" fontId="57" fillId="0" borderId="0" xfId="2" applyNumberFormat="1" applyFont="1" applyFill="1" applyBorder="1" applyAlignment="1">
      <alignment horizontal="center" vertical="center" wrapText="1"/>
    </xf>
    <xf numFmtId="0" fontId="56" fillId="0" borderId="7" xfId="0" applyFont="1" applyBorder="1" applyAlignment="1">
      <alignment vertical="center" wrapText="1"/>
    </xf>
    <xf numFmtId="0" fontId="55" fillId="0" borderId="0" xfId="0" applyFont="1" applyAlignment="1">
      <alignment horizontal="right" vertical="center" wrapText="1"/>
    </xf>
    <xf numFmtId="166" fontId="56" fillId="0" borderId="0" xfId="0" applyNumberFormat="1" applyFont="1" applyAlignment="1">
      <alignment horizontal="right" vertical="center" wrapText="1" shrinkToFit="1"/>
    </xf>
    <xf numFmtId="166" fontId="55" fillId="0" borderId="0" xfId="2" applyNumberFormat="1" applyFont="1" applyFill="1" applyBorder="1" applyAlignment="1">
      <alignment horizontal="right" vertical="center" wrapText="1"/>
    </xf>
    <xf numFmtId="166" fontId="56" fillId="0" borderId="0" xfId="2" applyNumberFormat="1" applyFont="1" applyFill="1" applyBorder="1" applyAlignment="1">
      <alignment horizontal="right" vertical="center" wrapText="1" shrinkToFit="1"/>
    </xf>
    <xf numFmtId="0" fontId="56" fillId="0" borderId="7" xfId="0" applyFont="1" applyBorder="1" applyAlignment="1">
      <alignment horizontal="center" vertical="center" wrapText="1"/>
    </xf>
    <xf numFmtId="14" fontId="56" fillId="0" borderId="7" xfId="0" applyNumberFormat="1" applyFont="1" applyBorder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166" fontId="56" fillId="0" borderId="0" xfId="2" applyNumberFormat="1" applyFont="1" applyFill="1" applyBorder="1" applyAlignment="1">
      <alignment horizontal="center" vertical="center" wrapText="1" shrinkToFit="1"/>
    </xf>
    <xf numFmtId="0" fontId="56" fillId="0" borderId="0" xfId="0" applyFont="1" applyAlignment="1">
      <alignment horizontal="right" vertical="center" wrapText="1"/>
    </xf>
    <xf numFmtId="0" fontId="56" fillId="0" borderId="0" xfId="0" applyFont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5" fillId="0" borderId="7" xfId="0" applyFont="1" applyBorder="1" applyAlignment="1">
      <alignment horizontal="center" vertical="center" wrapText="1"/>
    </xf>
    <xf numFmtId="0" fontId="55" fillId="0" borderId="7" xfId="0" applyFont="1" applyBorder="1" applyAlignment="1">
      <alignment horizontal="center" vertical="center"/>
    </xf>
    <xf numFmtId="166" fontId="55" fillId="0" borderId="7" xfId="2" applyNumberFormat="1" applyFont="1" applyFill="1" applyBorder="1" applyAlignment="1">
      <alignment horizontal="center" vertical="center" wrapText="1"/>
    </xf>
    <xf numFmtId="0" fontId="55" fillId="0" borderId="2" xfId="0" applyFont="1" applyBorder="1" applyAlignment="1">
      <alignment horizontal="center" vertical="center" wrapText="1"/>
    </xf>
    <xf numFmtId="1" fontId="55" fillId="0" borderId="3" xfId="0" applyNumberFormat="1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  <xf numFmtId="166" fontId="55" fillId="0" borderId="0" xfId="2" applyNumberFormat="1" applyFont="1" applyFill="1" applyBorder="1" applyAlignment="1">
      <alignment horizontal="center" vertical="center" wrapText="1"/>
    </xf>
    <xf numFmtId="1" fontId="55" fillId="0" borderId="0" xfId="0" applyNumberFormat="1" applyFont="1" applyAlignment="1">
      <alignment horizontal="right" vertical="center" wrapText="1"/>
    </xf>
    <xf numFmtId="1" fontId="61" fillId="2" borderId="7" xfId="11" applyNumberFormat="1" applyFont="1" applyFill="1" applyBorder="1" applyAlignment="1">
      <alignment horizontal="center" vertical="center" wrapText="1" shrinkToFit="1"/>
    </xf>
    <xf numFmtId="168" fontId="57" fillId="0" borderId="7" xfId="0" applyNumberFormat="1" applyFont="1" applyBorder="1" applyAlignment="1">
      <alignment horizontal="center" vertical="center" wrapText="1" shrinkToFit="1"/>
    </xf>
    <xf numFmtId="0" fontId="58" fillId="0" borderId="7" xfId="0" applyFont="1" applyBorder="1" applyAlignment="1">
      <alignment horizontal="left" vertical="center" wrapText="1"/>
    </xf>
    <xf numFmtId="2" fontId="58" fillId="0" borderId="7" xfId="0" applyNumberFormat="1" applyFont="1" applyBorder="1" applyAlignment="1">
      <alignment horizontal="center" vertical="center" wrapText="1"/>
    </xf>
    <xf numFmtId="176" fontId="58" fillId="0" borderId="7" xfId="0" applyNumberFormat="1" applyFont="1" applyBorder="1" applyAlignment="1">
      <alignment horizontal="right" vertical="center" wrapText="1"/>
    </xf>
    <xf numFmtId="166" fontId="57" fillId="0" borderId="7" xfId="2" applyNumberFormat="1" applyFont="1" applyFill="1" applyBorder="1" applyAlignment="1">
      <alignment horizontal="right" vertical="center" wrapText="1" shrinkToFit="1"/>
    </xf>
    <xf numFmtId="176" fontId="58" fillId="0" borderId="0" xfId="0" applyNumberFormat="1" applyFont="1" applyAlignment="1">
      <alignment horizontal="right" vertical="center" wrapText="1"/>
    </xf>
    <xf numFmtId="176" fontId="57" fillId="0" borderId="0" xfId="0" applyNumberFormat="1" applyFont="1" applyAlignment="1">
      <alignment horizontal="right" vertical="center" wrapText="1"/>
    </xf>
    <xf numFmtId="176" fontId="56" fillId="0" borderId="0" xfId="0" applyNumberFormat="1" applyFont="1" applyAlignment="1">
      <alignment horizontal="right" vertical="center" wrapText="1"/>
    </xf>
    <xf numFmtId="166" fontId="56" fillId="17" borderId="7" xfId="2" applyNumberFormat="1" applyFont="1" applyFill="1" applyBorder="1" applyAlignment="1">
      <alignment horizontal="right" vertical="center" wrapText="1" shrinkToFit="1"/>
    </xf>
    <xf numFmtId="176" fontId="55" fillId="0" borderId="0" xfId="0" applyNumberFormat="1" applyFont="1" applyAlignment="1">
      <alignment horizontal="right" vertical="center" wrapText="1"/>
    </xf>
    <xf numFmtId="169" fontId="57" fillId="0" borderId="7" xfId="0" applyNumberFormat="1" applyFont="1" applyBorder="1" applyAlignment="1">
      <alignment horizontal="center" vertical="center" wrapText="1" shrinkToFit="1"/>
    </xf>
    <xf numFmtId="165" fontId="56" fillId="0" borderId="0" xfId="0" applyNumberFormat="1" applyFont="1" applyAlignment="1">
      <alignment horizontal="right" vertical="center" wrapText="1"/>
    </xf>
    <xf numFmtId="44" fontId="41" fillId="0" borderId="0" xfId="0" applyNumberFormat="1" applyFont="1" applyAlignment="1">
      <alignment horizontal="right" vertical="center"/>
    </xf>
    <xf numFmtId="174" fontId="41" fillId="0" borderId="0" xfId="0" applyNumberFormat="1" applyFont="1" applyAlignment="1">
      <alignment horizontal="right" vertical="center"/>
    </xf>
    <xf numFmtId="9" fontId="57" fillId="0" borderId="0" xfId="0" applyNumberFormat="1" applyFont="1" applyAlignment="1">
      <alignment horizontal="center" vertical="center" wrapText="1" shrinkToFit="1"/>
    </xf>
    <xf numFmtId="166" fontId="57" fillId="0" borderId="0" xfId="2" applyNumberFormat="1" applyFont="1" applyFill="1" applyBorder="1" applyAlignment="1">
      <alignment horizontal="right" vertical="center" wrapText="1" shrinkToFit="1"/>
    </xf>
    <xf numFmtId="164" fontId="41" fillId="0" borderId="0" xfId="2" applyFont="1" applyFill="1" applyBorder="1" applyAlignment="1">
      <alignment vertical="center"/>
    </xf>
    <xf numFmtId="166" fontId="56" fillId="0" borderId="7" xfId="2" applyNumberFormat="1" applyFont="1" applyFill="1" applyBorder="1" applyAlignment="1">
      <alignment horizontal="right" vertical="center" wrapText="1" shrinkToFit="1"/>
    </xf>
    <xf numFmtId="164" fontId="57" fillId="0" borderId="0" xfId="2" applyFont="1" applyFill="1" applyBorder="1" applyAlignment="1">
      <alignment horizontal="right" vertical="center" wrapText="1"/>
    </xf>
    <xf numFmtId="166" fontId="56" fillId="18" borderId="7" xfId="2" applyNumberFormat="1" applyFont="1" applyFill="1" applyBorder="1" applyAlignment="1">
      <alignment horizontal="right" vertical="center" wrapText="1" shrinkToFit="1"/>
    </xf>
    <xf numFmtId="164" fontId="41" fillId="0" borderId="0" xfId="2" applyFont="1" applyFill="1" applyBorder="1" applyAlignment="1">
      <alignment horizontal="right" vertical="center"/>
    </xf>
    <xf numFmtId="164" fontId="57" fillId="0" borderId="0" xfId="0" applyNumberFormat="1" applyFont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56" fillId="0" borderId="0" xfId="0" applyFont="1" applyAlignment="1">
      <alignment vertical="center" wrapText="1"/>
    </xf>
    <xf numFmtId="174" fontId="57" fillId="0" borderId="0" xfId="0" applyNumberFormat="1" applyFont="1" applyAlignment="1">
      <alignment horizontal="left" vertical="center" wrapText="1"/>
    </xf>
    <xf numFmtId="175" fontId="57" fillId="0" borderId="0" xfId="2" applyNumberFormat="1" applyFont="1" applyFill="1" applyBorder="1" applyAlignment="1">
      <alignment horizontal="left" vertical="center" wrapText="1"/>
    </xf>
    <xf numFmtId="0" fontId="46" fillId="0" borderId="0" xfId="5" applyFont="1" applyAlignment="1">
      <alignment vertical="center"/>
    </xf>
    <xf numFmtId="0" fontId="51" fillId="0" borderId="0" xfId="5" applyFont="1"/>
    <xf numFmtId="166" fontId="46" fillId="0" borderId="7" xfId="2" applyNumberFormat="1" applyFont="1" applyFill="1" applyBorder="1" applyAlignment="1">
      <alignment horizontal="right" vertical="center"/>
    </xf>
    <xf numFmtId="0" fontId="45" fillId="0" borderId="14" xfId="0" applyFont="1" applyBorder="1" applyAlignment="1">
      <alignment horizontal="center" vertical="center" wrapText="1"/>
    </xf>
    <xf numFmtId="0" fontId="45" fillId="0" borderId="15" xfId="0" applyFont="1" applyBorder="1" applyAlignment="1">
      <alignment horizontal="left" vertical="center" wrapText="1"/>
    </xf>
    <xf numFmtId="0" fontId="45" fillId="0" borderId="12" xfId="0" applyFont="1" applyBorder="1" applyAlignment="1">
      <alignment horizontal="center" vertical="center" wrapText="1"/>
    </xf>
    <xf numFmtId="168" fontId="48" fillId="0" borderId="7" xfId="0" applyNumberFormat="1" applyFont="1" applyBorder="1" applyAlignment="1">
      <alignment horizontal="center" vertical="center" wrapText="1"/>
    </xf>
    <xf numFmtId="166" fontId="48" fillId="0" borderId="7" xfId="2" applyNumberFormat="1" applyFont="1" applyFill="1" applyBorder="1" applyAlignment="1">
      <alignment horizontal="center" vertical="center" wrapText="1"/>
    </xf>
    <xf numFmtId="2" fontId="47" fillId="0" borderId="7" xfId="0" applyNumberFormat="1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0" fontId="47" fillId="0" borderId="25" xfId="0" applyFont="1" applyBorder="1" applyAlignment="1">
      <alignment horizontal="center" vertical="center" wrapText="1"/>
    </xf>
    <xf numFmtId="166" fontId="45" fillId="0" borderId="7" xfId="2" applyNumberFormat="1" applyFont="1" applyFill="1" applyBorder="1" applyAlignment="1">
      <alignment horizontal="left" vertical="center" wrapText="1" shrinkToFit="1"/>
    </xf>
    <xf numFmtId="2" fontId="45" fillId="0" borderId="7" xfId="0" applyNumberFormat="1" applyFont="1" applyBorder="1" applyAlignment="1">
      <alignment horizontal="center" vertical="center" wrapText="1"/>
    </xf>
    <xf numFmtId="166" fontId="45" fillId="0" borderId="7" xfId="0" applyNumberFormat="1" applyFont="1" applyBorder="1" applyAlignment="1">
      <alignment horizontal="right" vertical="center" wrapText="1"/>
    </xf>
    <xf numFmtId="164" fontId="45" fillId="0" borderId="5" xfId="0" applyNumberFormat="1" applyFont="1" applyBorder="1" applyAlignment="1">
      <alignment horizontal="right" vertical="center" wrapText="1"/>
    </xf>
    <xf numFmtId="164" fontId="45" fillId="0" borderId="6" xfId="0" applyNumberFormat="1" applyFont="1" applyBorder="1" applyAlignment="1">
      <alignment horizontal="left" vertical="center" wrapText="1"/>
    </xf>
    <xf numFmtId="164" fontId="45" fillId="0" borderId="25" xfId="0" applyNumberFormat="1" applyFont="1" applyBorder="1" applyAlignment="1">
      <alignment horizontal="center" vertical="center" wrapText="1"/>
    </xf>
    <xf numFmtId="166" fontId="45" fillId="0" borderId="7" xfId="2" applyNumberFormat="1" applyFont="1" applyFill="1" applyBorder="1" applyAlignment="1">
      <alignment horizontal="right" vertical="center" wrapText="1" shrinkToFit="1"/>
    </xf>
    <xf numFmtId="164" fontId="45" fillId="0" borderId="7" xfId="2" applyFont="1" applyFill="1" applyBorder="1" applyAlignment="1">
      <alignment horizontal="center" vertical="center" wrapText="1"/>
    </xf>
    <xf numFmtId="168" fontId="46" fillId="0" borderId="7" xfId="0" applyNumberFormat="1" applyFont="1" applyBorder="1" applyAlignment="1">
      <alignment horizontal="center" vertical="center" wrapText="1"/>
    </xf>
    <xf numFmtId="166" fontId="45" fillId="0" borderId="7" xfId="0" applyNumberFormat="1" applyFont="1" applyBorder="1" applyAlignment="1">
      <alignment horizontal="center" vertical="center" wrapText="1"/>
    </xf>
    <xf numFmtId="0" fontId="41" fillId="0" borderId="5" xfId="0" applyFont="1" applyBorder="1"/>
    <xf numFmtId="0" fontId="41" fillId="0" borderId="25" xfId="0" applyFont="1" applyBorder="1"/>
    <xf numFmtId="166" fontId="47" fillId="0" borderId="7" xfId="2" applyNumberFormat="1" applyFont="1" applyFill="1" applyBorder="1" applyAlignment="1">
      <alignment horizontal="center" vertical="center" wrapText="1"/>
    </xf>
    <xf numFmtId="164" fontId="53" fillId="0" borderId="8" xfId="0" applyNumberFormat="1" applyFont="1" applyBorder="1"/>
    <xf numFmtId="164" fontId="45" fillId="0" borderId="21" xfId="0" applyNumberFormat="1" applyFont="1" applyBorder="1" applyAlignment="1">
      <alignment horizontal="left" vertical="center" wrapText="1"/>
    </xf>
    <xf numFmtId="0" fontId="41" fillId="0" borderId="13" xfId="0" applyFont="1" applyBorder="1"/>
    <xf numFmtId="166" fontId="47" fillId="0" borderId="7" xfId="0" applyNumberFormat="1" applyFont="1" applyBorder="1" applyAlignment="1">
      <alignment horizontal="center" vertical="center" wrapText="1"/>
    </xf>
    <xf numFmtId="168" fontId="47" fillId="0" borderId="7" xfId="0" applyNumberFormat="1" applyFont="1" applyBorder="1" applyAlignment="1">
      <alignment horizontal="center" vertical="center" wrapText="1"/>
    </xf>
    <xf numFmtId="179" fontId="48" fillId="0" borderId="7" xfId="3" applyNumberFormat="1" applyFont="1" applyFill="1" applyBorder="1" applyAlignment="1">
      <alignment horizontal="center" vertical="center" wrapText="1"/>
    </xf>
    <xf numFmtId="9" fontId="48" fillId="0" borderId="7" xfId="4" applyFont="1" applyFill="1" applyBorder="1" applyAlignment="1">
      <alignment horizontal="center" vertical="center" wrapText="1"/>
    </xf>
    <xf numFmtId="166" fontId="45" fillId="0" borderId="7" xfId="2" applyNumberFormat="1" applyFont="1" applyFill="1" applyBorder="1" applyAlignment="1">
      <alignment horizontal="center" vertical="center" wrapText="1" shrinkToFit="1"/>
    </xf>
    <xf numFmtId="164" fontId="46" fillId="0" borderId="7" xfId="2" applyFont="1" applyFill="1" applyBorder="1" applyAlignment="1">
      <alignment horizontal="center" vertical="center" wrapText="1"/>
    </xf>
    <xf numFmtId="166" fontId="45" fillId="0" borderId="7" xfId="2" applyNumberFormat="1" applyFont="1" applyFill="1" applyBorder="1" applyAlignment="1">
      <alignment horizontal="right" vertical="center" wrapText="1"/>
    </xf>
    <xf numFmtId="166" fontId="46" fillId="0" borderId="7" xfId="2" applyNumberFormat="1" applyFont="1" applyFill="1" applyBorder="1" applyAlignment="1">
      <alignment horizontal="center" vertical="center" wrapText="1"/>
    </xf>
    <xf numFmtId="164" fontId="45" fillId="0" borderId="7" xfId="0" applyNumberFormat="1" applyFont="1" applyBorder="1" applyAlignment="1">
      <alignment horizontal="right" vertical="center" wrapText="1"/>
    </xf>
    <xf numFmtId="0" fontId="41" fillId="0" borderId="7" xfId="0" applyFont="1" applyBorder="1" applyAlignment="1">
      <alignment horizontal="center" vertical="center"/>
    </xf>
    <xf numFmtId="44" fontId="46" fillId="0" borderId="7" xfId="28" applyFont="1" applyFill="1" applyBorder="1" applyAlignment="1">
      <alignment vertical="center"/>
    </xf>
    <xf numFmtId="0" fontId="46" fillId="0" borderId="7" xfId="29" applyFont="1" applyBorder="1" applyAlignment="1">
      <alignment horizontal="center" vertical="center"/>
    </xf>
    <xf numFmtId="168" fontId="45" fillId="0" borderId="0" xfId="0" applyNumberFormat="1" applyFont="1" applyAlignment="1">
      <alignment horizontal="center" vertical="center" wrapText="1"/>
    </xf>
    <xf numFmtId="164" fontId="45" fillId="0" borderId="0" xfId="2" applyFont="1" applyFill="1" applyBorder="1" applyAlignment="1">
      <alignment horizontal="center" vertical="center" wrapText="1"/>
    </xf>
    <xf numFmtId="166" fontId="45" fillId="0" borderId="0" xfId="2" applyNumberFormat="1" applyFont="1" applyFill="1" applyBorder="1" applyAlignment="1">
      <alignment horizontal="right" vertical="center" wrapText="1"/>
    </xf>
    <xf numFmtId="2" fontId="45" fillId="0" borderId="0" xfId="0" applyNumberFormat="1" applyFont="1" applyAlignment="1">
      <alignment horizontal="center" vertical="center" wrapText="1"/>
    </xf>
    <xf numFmtId="166" fontId="47" fillId="0" borderId="0" xfId="0" applyNumberFormat="1" applyFont="1" applyAlignment="1">
      <alignment horizontal="center" vertical="center" wrapText="1"/>
    </xf>
    <xf numFmtId="44" fontId="41" fillId="0" borderId="0" xfId="0" applyNumberFormat="1" applyFont="1"/>
    <xf numFmtId="164" fontId="41" fillId="0" borderId="0" xfId="0" applyNumberFormat="1" applyFont="1"/>
    <xf numFmtId="166" fontId="47" fillId="0" borderId="7" xfId="2" applyNumberFormat="1" applyFont="1" applyFill="1" applyBorder="1" applyAlignment="1">
      <alignment horizontal="right" vertical="center" wrapText="1" shrinkToFit="1"/>
    </xf>
    <xf numFmtId="182" fontId="62" fillId="19" borderId="0" xfId="28" applyNumberFormat="1" applyFont="1" applyFill="1" applyBorder="1" applyAlignment="1">
      <alignment vertical="center"/>
    </xf>
    <xf numFmtId="164" fontId="45" fillId="0" borderId="7" xfId="0" applyNumberFormat="1" applyFont="1" applyBorder="1" applyAlignment="1">
      <alignment horizontal="left" vertical="center" wrapText="1"/>
    </xf>
    <xf numFmtId="164" fontId="53" fillId="0" borderId="7" xfId="0" applyNumberFormat="1" applyFont="1" applyBorder="1"/>
    <xf numFmtId="0" fontId="46" fillId="9" borderId="7" xfId="0" applyFont="1" applyFill="1" applyBorder="1" applyAlignment="1">
      <alignment horizontal="center" vertical="center" wrapText="1"/>
    </xf>
    <xf numFmtId="166" fontId="45" fillId="9" borderId="7" xfId="2" applyNumberFormat="1" applyFont="1" applyFill="1" applyBorder="1" applyAlignment="1">
      <alignment horizontal="right" vertical="center" wrapText="1" shrinkToFit="1"/>
    </xf>
    <xf numFmtId="164" fontId="45" fillId="9" borderId="7" xfId="2" applyFont="1" applyFill="1" applyBorder="1" applyAlignment="1">
      <alignment horizontal="center" vertical="center" wrapText="1"/>
    </xf>
    <xf numFmtId="0" fontId="41" fillId="0" borderId="0" xfId="0" applyFont="1" applyAlignment="1">
      <alignment wrapText="1"/>
    </xf>
    <xf numFmtId="0" fontId="56" fillId="0" borderId="0" xfId="0" applyFont="1" applyAlignment="1">
      <alignment horizontal="left" vertical="center" wrapText="1"/>
    </xf>
    <xf numFmtId="0" fontId="55" fillId="2" borderId="7" xfId="0" applyFont="1" applyFill="1" applyBorder="1" applyAlignment="1">
      <alignment vertical="center" wrapText="1"/>
    </xf>
    <xf numFmtId="0" fontId="41" fillId="0" borderId="0" xfId="0" applyFont="1" applyAlignment="1">
      <alignment horizontal="center"/>
    </xf>
    <xf numFmtId="164" fontId="47" fillId="0" borderId="7" xfId="0" applyNumberFormat="1" applyFont="1" applyBorder="1" applyAlignment="1">
      <alignment horizontal="center" vertical="center" wrapText="1"/>
    </xf>
    <xf numFmtId="0" fontId="53" fillId="0" borderId="7" xfId="0" applyFont="1" applyBorder="1" applyAlignment="1" applyProtection="1">
      <alignment horizontal="center" vertical="center"/>
      <protection locked="0"/>
    </xf>
    <xf numFmtId="14" fontId="46" fillId="0" borderId="7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4" fontId="48" fillId="0" borderId="0" xfId="0" applyNumberFormat="1" applyFont="1" applyAlignment="1">
      <alignment horizontal="center" vertical="center" wrapText="1"/>
    </xf>
    <xf numFmtId="0" fontId="41" fillId="0" borderId="7" xfId="0" applyFont="1" applyBorder="1" applyAlignment="1">
      <alignment horizontal="center" vertical="center" wrapText="1"/>
    </xf>
    <xf numFmtId="164" fontId="41" fillId="0" borderId="7" xfId="2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64" fontId="41" fillId="0" borderId="0" xfId="2" applyFont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0" fontId="41" fillId="0" borderId="7" xfId="0" applyFont="1" applyBorder="1" applyAlignment="1">
      <alignment wrapText="1"/>
    </xf>
    <xf numFmtId="10" fontId="41" fillId="0" borderId="7" xfId="0" applyNumberFormat="1" applyFont="1" applyBorder="1" applyAlignment="1">
      <alignment vertical="center"/>
    </xf>
    <xf numFmtId="0" fontId="41" fillId="0" borderId="7" xfId="0" applyFont="1" applyBorder="1" applyAlignment="1">
      <alignment vertical="center" wrapText="1"/>
    </xf>
    <xf numFmtId="0" fontId="40" fillId="0" borderId="7" xfId="0" applyFont="1" applyBorder="1" applyAlignment="1">
      <alignment horizontal="right" wrapText="1"/>
    </xf>
    <xf numFmtId="10" fontId="40" fillId="0" borderId="7" xfId="0" applyNumberFormat="1" applyFont="1" applyBorder="1"/>
    <xf numFmtId="179" fontId="48" fillId="13" borderId="7" xfId="26" applyNumberFormat="1" applyFont="1" applyFill="1" applyBorder="1" applyAlignment="1">
      <alignment horizontal="center" vertical="center" wrapText="1"/>
    </xf>
    <xf numFmtId="179" fontId="48" fillId="13" borderId="7" xfId="26" applyNumberFormat="1" applyFont="1" applyFill="1" applyBorder="1" applyAlignment="1">
      <alignment horizontal="center" vertical="center"/>
    </xf>
    <xf numFmtId="0" fontId="40" fillId="0" borderId="7" xfId="0" applyFont="1" applyBorder="1" applyAlignment="1">
      <alignment vertical="center" wrapText="1"/>
    </xf>
    <xf numFmtId="0" fontId="40" fillId="0" borderId="7" xfId="0" applyFont="1" applyBorder="1" applyAlignment="1">
      <alignment horizontal="center" vertical="center"/>
    </xf>
    <xf numFmtId="2" fontId="41" fillId="0" borderId="7" xfId="0" applyNumberFormat="1" applyFont="1" applyBorder="1" applyAlignment="1">
      <alignment horizontal="center" vertical="center"/>
    </xf>
    <xf numFmtId="164" fontId="40" fillId="0" borderId="7" xfId="2" applyFont="1" applyBorder="1" applyAlignment="1">
      <alignment vertical="center"/>
    </xf>
    <xf numFmtId="0" fontId="41" fillId="0" borderId="7" xfId="0" applyFont="1" applyBorder="1" applyAlignment="1">
      <alignment horizontal="center" wrapText="1"/>
    </xf>
    <xf numFmtId="164" fontId="41" fillId="0" borderId="7" xfId="2" applyFont="1" applyBorder="1"/>
    <xf numFmtId="164" fontId="41" fillId="0" borderId="7" xfId="2" applyFont="1" applyBorder="1" applyAlignment="1">
      <alignment horizontal="right" vertical="center"/>
    </xf>
    <xf numFmtId="164" fontId="41" fillId="0" borderId="7" xfId="2" applyFont="1" applyBorder="1" applyAlignment="1">
      <alignment horizontal="center" vertical="center"/>
    </xf>
    <xf numFmtId="164" fontId="41" fillId="0" borderId="7" xfId="2" applyFont="1" applyBorder="1" applyAlignment="1">
      <alignment vertical="center"/>
    </xf>
    <xf numFmtId="0" fontId="58" fillId="0" borderId="7" xfId="0" applyFont="1" applyBorder="1" applyAlignment="1">
      <alignment horizontal="center" wrapText="1"/>
    </xf>
    <xf numFmtId="164" fontId="41" fillId="0" borderId="7" xfId="2" applyFont="1" applyBorder="1" applyAlignment="1">
      <alignment horizontal="center"/>
    </xf>
    <xf numFmtId="9" fontId="41" fillId="0" borderId="7" xfId="0" applyNumberFormat="1" applyFont="1" applyBorder="1" applyAlignment="1">
      <alignment horizontal="center" vertical="center"/>
    </xf>
    <xf numFmtId="2" fontId="40" fillId="0" borderId="7" xfId="0" applyNumberFormat="1" applyFont="1" applyBorder="1" applyAlignment="1">
      <alignment horizontal="center" vertical="center"/>
    </xf>
    <xf numFmtId="0" fontId="55" fillId="0" borderId="7" xfId="0" applyFont="1" applyBorder="1" applyAlignment="1">
      <alignment vertical="center" wrapText="1"/>
    </xf>
    <xf numFmtId="0" fontId="52" fillId="14" borderId="7" xfId="0" applyFont="1" applyFill="1" applyBorder="1" applyAlignment="1">
      <alignment horizontal="center" vertical="center"/>
    </xf>
    <xf numFmtId="179" fontId="48" fillId="14" borderId="7" xfId="26" applyNumberFormat="1" applyFont="1" applyFill="1" applyBorder="1" applyAlignment="1">
      <alignment horizontal="center" vertical="center" wrapText="1"/>
    </xf>
    <xf numFmtId="10" fontId="52" fillId="14" borderId="7" xfId="0" applyNumberFormat="1" applyFont="1" applyFill="1" applyBorder="1" applyAlignment="1">
      <alignment horizontal="center" vertical="center"/>
    </xf>
    <xf numFmtId="10" fontId="40" fillId="0" borderId="7" xfId="0" applyNumberFormat="1" applyFont="1" applyBorder="1" applyAlignment="1">
      <alignment horizontal="center"/>
    </xf>
    <xf numFmtId="164" fontId="41" fillId="0" borderId="7" xfId="0" applyNumberFormat="1" applyFont="1" applyBorder="1" applyAlignment="1">
      <alignment vertical="center"/>
    </xf>
    <xf numFmtId="164" fontId="41" fillId="0" borderId="0" xfId="0" applyNumberFormat="1" applyFont="1" applyAlignment="1">
      <alignment horizontal="center"/>
    </xf>
    <xf numFmtId="10" fontId="40" fillId="8" borderId="7" xfId="0" applyNumberFormat="1" applyFont="1" applyFill="1" applyBorder="1" applyAlignment="1">
      <alignment horizontal="center"/>
    </xf>
    <xf numFmtId="0" fontId="42" fillId="0" borderId="0" xfId="0" applyFont="1" applyProtection="1">
      <protection locked="0"/>
    </xf>
    <xf numFmtId="10" fontId="41" fillId="0" borderId="0" xfId="0" applyNumberFormat="1" applyFont="1" applyAlignment="1">
      <alignment horizontal="center"/>
    </xf>
    <xf numFmtId="164" fontId="41" fillId="0" borderId="0" xfId="2" applyFont="1" applyAlignment="1">
      <alignment horizontal="center"/>
    </xf>
    <xf numFmtId="0" fontId="58" fillId="0" borderId="55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180" fontId="58" fillId="0" borderId="57" xfId="25" applyNumberFormat="1" applyFont="1" applyBorder="1" applyAlignment="1">
      <alignment horizontal="center" vertical="center"/>
    </xf>
    <xf numFmtId="10" fontId="58" fillId="0" borderId="7" xfId="0" applyNumberFormat="1" applyFont="1" applyBorder="1" applyAlignment="1">
      <alignment horizontal="center" vertical="center"/>
    </xf>
    <xf numFmtId="0" fontId="41" fillId="0" borderId="55" xfId="0" applyFont="1" applyBorder="1" applyAlignment="1">
      <alignment vertical="center"/>
    </xf>
    <xf numFmtId="0" fontId="58" fillId="0" borderId="54" xfId="0" applyFont="1" applyBorder="1" applyAlignment="1">
      <alignment horizontal="center" vertical="center"/>
    </xf>
    <xf numFmtId="0" fontId="58" fillId="0" borderId="26" xfId="0" applyFont="1" applyBorder="1" applyAlignment="1">
      <alignment horizontal="center" vertical="center"/>
    </xf>
    <xf numFmtId="180" fontId="58" fillId="0" borderId="56" xfId="25" applyNumberFormat="1" applyFont="1" applyBorder="1" applyAlignment="1">
      <alignment horizontal="center" vertical="center"/>
    </xf>
    <xf numFmtId="0" fontId="55" fillId="9" borderId="7" xfId="0" applyFont="1" applyFill="1" applyBorder="1" applyAlignment="1">
      <alignment horizontal="center" vertical="center"/>
    </xf>
    <xf numFmtId="10" fontId="55" fillId="9" borderId="7" xfId="0" applyNumberFormat="1" applyFont="1" applyFill="1" applyBorder="1" applyAlignment="1">
      <alignment vertical="center"/>
    </xf>
    <xf numFmtId="0" fontId="55" fillId="16" borderId="7" xfId="0" applyFont="1" applyFill="1" applyBorder="1" applyAlignment="1">
      <alignment horizontal="center" vertical="center"/>
    </xf>
    <xf numFmtId="0" fontId="58" fillId="0" borderId="7" xfId="0" applyFont="1" applyBorder="1" applyAlignment="1">
      <alignment horizontal="center" vertical="center"/>
    </xf>
    <xf numFmtId="165" fontId="58" fillId="0" borderId="7" xfId="25" applyFont="1" applyBorder="1" applyAlignment="1">
      <alignment horizontal="right" vertical="center" wrapText="1"/>
    </xf>
    <xf numFmtId="1" fontId="58" fillId="0" borderId="7" xfId="0" applyNumberFormat="1" applyFont="1" applyBorder="1" applyAlignment="1">
      <alignment horizontal="center" vertical="center" wrapText="1"/>
    </xf>
    <xf numFmtId="9" fontId="58" fillId="0" borderId="7" xfId="27" applyFont="1" applyBorder="1" applyAlignment="1">
      <alignment horizontal="center" vertical="center" wrapText="1"/>
    </xf>
    <xf numFmtId="165" fontId="58" fillId="0" borderId="7" xfId="25" applyFont="1" applyBorder="1" applyAlignment="1">
      <alignment horizontal="right" vertical="center"/>
    </xf>
    <xf numFmtId="184" fontId="58" fillId="0" borderId="7" xfId="27" applyNumberFormat="1" applyFont="1" applyBorder="1" applyAlignment="1">
      <alignment horizontal="right" vertical="center"/>
    </xf>
    <xf numFmtId="184" fontId="41" fillId="0" borderId="0" xfId="0" applyNumberFormat="1" applyFont="1"/>
    <xf numFmtId="165" fontId="58" fillId="0" borderId="7" xfId="25" applyFont="1" applyBorder="1" applyAlignment="1">
      <alignment vertical="center" wrapText="1"/>
    </xf>
    <xf numFmtId="10" fontId="58" fillId="0" borderId="7" xfId="27" applyNumberFormat="1" applyFont="1" applyBorder="1" applyAlignment="1">
      <alignment horizontal="right" vertical="center"/>
    </xf>
    <xf numFmtId="0" fontId="58" fillId="16" borderId="7" xfId="0" applyFont="1" applyFill="1" applyBorder="1" applyAlignment="1">
      <alignment horizontal="left" vertical="center" wrapText="1"/>
    </xf>
    <xf numFmtId="2" fontId="57" fillId="0" borderId="7" xfId="0" applyNumberFormat="1" applyFont="1" applyBorder="1" applyAlignment="1">
      <alignment horizontal="center" vertical="center" wrapText="1" shrinkToFit="1"/>
    </xf>
    <xf numFmtId="168" fontId="58" fillId="16" borderId="7" xfId="11" applyNumberFormat="1" applyFont="1" applyFill="1" applyBorder="1" applyAlignment="1">
      <alignment horizontal="center" vertical="center" wrapText="1" shrinkToFit="1"/>
    </xf>
    <xf numFmtId="0" fontId="58" fillId="16" borderId="7" xfId="0" applyFont="1" applyFill="1" applyBorder="1" applyAlignment="1">
      <alignment horizontal="center" vertical="center" wrapText="1"/>
    </xf>
    <xf numFmtId="182" fontId="58" fillId="16" borderId="7" xfId="28" applyNumberFormat="1" applyFont="1" applyFill="1" applyBorder="1" applyAlignment="1">
      <alignment horizontal="right" vertical="center" wrapText="1"/>
    </xf>
    <xf numFmtId="2" fontId="66" fillId="20" borderId="7" xfId="0" applyNumberFormat="1" applyFont="1" applyFill="1" applyBorder="1" applyAlignment="1">
      <alignment horizontal="center" vertical="center" wrapText="1" shrinkToFit="1"/>
    </xf>
    <xf numFmtId="166" fontId="67" fillId="20" borderId="7" xfId="2" applyNumberFormat="1" applyFont="1" applyFill="1" applyBorder="1" applyAlignment="1">
      <alignment horizontal="left" vertical="center" wrapText="1"/>
    </xf>
    <xf numFmtId="169" fontId="55" fillId="9" borderId="7" xfId="0" applyNumberFormat="1" applyFont="1" applyFill="1" applyBorder="1" applyAlignment="1">
      <alignment vertical="center"/>
    </xf>
    <xf numFmtId="169" fontId="55" fillId="9" borderId="7" xfId="0" applyNumberFormat="1" applyFont="1" applyFill="1" applyBorder="1" applyAlignment="1">
      <alignment vertical="center" wrapText="1"/>
    </xf>
    <xf numFmtId="0" fontId="63" fillId="0" borderId="0" xfId="0" applyFont="1" applyAlignment="1">
      <alignment horizontal="center" wrapText="1"/>
    </xf>
    <xf numFmtId="0" fontId="41" fillId="0" borderId="0" xfId="0" applyFont="1" applyAlignment="1">
      <alignment horizontal="left" vertical="center" wrapText="1"/>
    </xf>
    <xf numFmtId="0" fontId="41" fillId="0" borderId="0" xfId="0" applyFont="1" applyAlignment="1">
      <alignment horizontal="center"/>
    </xf>
    <xf numFmtId="17" fontId="41" fillId="0" borderId="0" xfId="0" applyNumberFormat="1" applyFont="1" applyAlignment="1">
      <alignment horizontal="center"/>
    </xf>
    <xf numFmtId="0" fontId="41" fillId="0" borderId="0" xfId="0" applyFont="1" applyAlignment="1">
      <alignment horizontal="left"/>
    </xf>
    <xf numFmtId="1" fontId="41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5" fillId="16" borderId="34" xfId="0" applyFont="1" applyFill="1" applyBorder="1" applyAlignment="1">
      <alignment horizontal="right" vertical="center" wrapText="1"/>
    </xf>
    <xf numFmtId="0" fontId="55" fillId="16" borderId="18" xfId="0" applyFont="1" applyFill="1" applyBorder="1" applyAlignment="1">
      <alignment horizontal="right" vertical="center" wrapText="1"/>
    </xf>
    <xf numFmtId="0" fontId="55" fillId="16" borderId="47" xfId="0" applyFont="1" applyFill="1" applyBorder="1" applyAlignment="1">
      <alignment horizontal="right" vertical="center" wrapText="1"/>
    </xf>
    <xf numFmtId="0" fontId="55" fillId="17" borderId="7" xfId="0" applyFont="1" applyFill="1" applyBorder="1" applyAlignment="1">
      <alignment horizontal="right" vertical="center" wrapText="1"/>
    </xf>
    <xf numFmtId="0" fontId="58" fillId="0" borderId="7" xfId="0" applyFont="1" applyBorder="1" applyAlignment="1">
      <alignment horizontal="right" vertical="center" wrapText="1"/>
    </xf>
    <xf numFmtId="0" fontId="55" fillId="20" borderId="34" xfId="0" applyFont="1" applyFill="1" applyBorder="1" applyAlignment="1">
      <alignment horizontal="left" vertical="center"/>
    </xf>
    <xf numFmtId="0" fontId="55" fillId="20" borderId="18" xfId="0" applyFont="1" applyFill="1" applyBorder="1" applyAlignment="1">
      <alignment horizontal="left" vertical="center"/>
    </xf>
    <xf numFmtId="0" fontId="55" fillId="20" borderId="47" xfId="0" applyFont="1" applyFill="1" applyBorder="1" applyAlignment="1">
      <alignment horizontal="left" vertical="center"/>
    </xf>
    <xf numFmtId="0" fontId="55" fillId="16" borderId="34" xfId="0" applyFont="1" applyFill="1" applyBorder="1" applyAlignment="1">
      <alignment horizontal="center" vertical="center" wrapText="1"/>
    </xf>
    <xf numFmtId="0" fontId="55" fillId="16" borderId="18" xfId="0" applyFont="1" applyFill="1" applyBorder="1" applyAlignment="1">
      <alignment horizontal="center" vertical="center" wrapText="1"/>
    </xf>
    <xf numFmtId="0" fontId="55" fillId="16" borderId="47" xfId="0" applyFont="1" applyFill="1" applyBorder="1" applyAlignment="1">
      <alignment horizontal="center" vertical="center" wrapText="1"/>
    </xf>
    <xf numFmtId="0" fontId="60" fillId="0" borderId="7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5" fillId="2" borderId="34" xfId="0" applyFont="1" applyFill="1" applyBorder="1" applyAlignment="1">
      <alignment horizontal="left" vertical="center" wrapText="1"/>
    </xf>
    <xf numFmtId="0" fontId="55" fillId="2" borderId="18" xfId="0" applyFont="1" applyFill="1" applyBorder="1" applyAlignment="1">
      <alignment horizontal="left" vertical="center" wrapText="1"/>
    </xf>
    <xf numFmtId="0" fontId="55" fillId="2" borderId="47" xfId="0" applyFont="1" applyFill="1" applyBorder="1" applyAlignment="1">
      <alignment horizontal="left" vertical="center" wrapText="1"/>
    </xf>
    <xf numFmtId="0" fontId="56" fillId="20" borderId="7" xfId="0" applyFont="1" applyFill="1" applyBorder="1" applyAlignment="1">
      <alignment horizontal="right" vertical="center" wrapText="1"/>
    </xf>
    <xf numFmtId="0" fontId="55" fillId="18" borderId="7" xfId="0" applyFont="1" applyFill="1" applyBorder="1" applyAlignment="1">
      <alignment horizontal="right" vertical="center" wrapText="1"/>
    </xf>
    <xf numFmtId="0" fontId="55" fillId="0" borderId="7" xfId="0" applyFont="1" applyBorder="1" applyAlignment="1">
      <alignment horizontal="right" vertical="center"/>
    </xf>
    <xf numFmtId="0" fontId="16" fillId="2" borderId="34" xfId="0" applyFont="1" applyFill="1" applyBorder="1" applyAlignment="1">
      <alignment horizontal="left" vertical="center" wrapText="1"/>
    </xf>
    <xf numFmtId="0" fontId="16" fillId="2" borderId="18" xfId="0" applyFont="1" applyFill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left" vertical="center" wrapText="1"/>
    </xf>
    <xf numFmtId="0" fontId="16" fillId="6" borderId="17" xfId="0" applyFont="1" applyFill="1" applyBorder="1" applyAlignment="1">
      <alignment horizontal="left" vertical="center" wrapText="1"/>
    </xf>
    <xf numFmtId="0" fontId="16" fillId="6" borderId="51" xfId="0" applyFont="1" applyFill="1" applyBorder="1" applyAlignment="1">
      <alignment horizontal="left" vertical="center" wrapText="1"/>
    </xf>
    <xf numFmtId="0" fontId="16" fillId="6" borderId="15" xfId="0" applyFont="1" applyFill="1" applyBorder="1" applyAlignment="1">
      <alignment horizontal="lef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5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right" vertical="center" wrapText="1"/>
    </xf>
    <xf numFmtId="0" fontId="16" fillId="3" borderId="7" xfId="0" applyFont="1" applyFill="1" applyBorder="1" applyAlignment="1">
      <alignment horizontal="right" vertical="center" wrapText="1"/>
    </xf>
    <xf numFmtId="0" fontId="16" fillId="3" borderId="22" xfId="0" applyFont="1" applyFill="1" applyBorder="1" applyAlignment="1">
      <alignment horizontal="right" vertical="center" wrapText="1"/>
    </xf>
    <xf numFmtId="0" fontId="16" fillId="3" borderId="35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16" fillId="4" borderId="0" xfId="0" applyFont="1" applyFill="1" applyAlignment="1">
      <alignment horizontal="right" vertical="center" wrapText="1"/>
    </xf>
    <xf numFmtId="0" fontId="16" fillId="5" borderId="0" xfId="0" applyFont="1" applyFill="1" applyAlignment="1">
      <alignment horizontal="right" vertical="center"/>
    </xf>
    <xf numFmtId="0" fontId="16" fillId="7" borderId="0" xfId="0" applyFont="1" applyFill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26" fillId="0" borderId="0" xfId="5" applyFont="1" applyAlignment="1">
      <alignment horizontal="left"/>
    </xf>
    <xf numFmtId="0" fontId="27" fillId="0" borderId="0" xfId="5" applyFont="1" applyAlignment="1">
      <alignment horizontal="left"/>
    </xf>
    <xf numFmtId="0" fontId="16" fillId="0" borderId="7" xfId="0" applyFont="1" applyBorder="1" applyAlignment="1">
      <alignment horizontal="right" vertical="center"/>
    </xf>
    <xf numFmtId="0" fontId="16" fillId="18" borderId="7" xfId="0" applyFont="1" applyFill="1" applyBorder="1" applyAlignment="1">
      <alignment horizontal="right" vertical="center" wrapText="1"/>
    </xf>
    <xf numFmtId="0" fontId="16" fillId="17" borderId="7" xfId="0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2" fillId="18" borderId="7" xfId="0" applyFont="1" applyFill="1" applyBorder="1" applyAlignment="1">
      <alignment horizontal="center" vertical="center" wrapText="1"/>
    </xf>
    <xf numFmtId="0" fontId="45" fillId="0" borderId="7" xfId="0" applyFont="1" applyBorder="1" applyAlignment="1">
      <alignment horizontal="right" vertical="center"/>
    </xf>
    <xf numFmtId="166" fontId="45" fillId="0" borderId="7" xfId="2" applyNumberFormat="1" applyFont="1" applyFill="1" applyBorder="1" applyAlignment="1">
      <alignment horizontal="center" vertical="center"/>
    </xf>
    <xf numFmtId="0" fontId="47" fillId="0" borderId="7" xfId="0" applyFont="1" applyBorder="1" applyAlignment="1">
      <alignment horizontal="right" vertical="center"/>
    </xf>
    <xf numFmtId="166" fontId="47" fillId="0" borderId="7" xfId="2" applyNumberFormat="1" applyFont="1" applyFill="1" applyBorder="1" applyAlignment="1">
      <alignment horizontal="center" vertical="center"/>
    </xf>
    <xf numFmtId="166" fontId="47" fillId="4" borderId="7" xfId="2" applyNumberFormat="1" applyFont="1" applyFill="1" applyBorder="1" applyAlignment="1">
      <alignment horizontal="center" vertical="center"/>
    </xf>
    <xf numFmtId="0" fontId="48" fillId="0" borderId="7" xfId="0" applyFont="1" applyBorder="1" applyAlignment="1" applyProtection="1">
      <alignment horizontal="center"/>
      <protection locked="0"/>
    </xf>
    <xf numFmtId="0" fontId="48" fillId="0" borderId="7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2" fillId="0" borderId="34" xfId="0" applyFont="1" applyBorder="1" applyAlignment="1">
      <alignment horizontal="left" vertical="center"/>
    </xf>
    <xf numFmtId="0" fontId="42" fillId="0" borderId="18" xfId="0" applyFont="1" applyBorder="1" applyAlignment="1">
      <alignment horizontal="left" vertical="center"/>
    </xf>
    <xf numFmtId="0" fontId="42" fillId="0" borderId="47" xfId="0" applyFont="1" applyBorder="1" applyAlignment="1">
      <alignment horizontal="left" vertical="center"/>
    </xf>
    <xf numFmtId="0" fontId="55" fillId="0" borderId="7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left" vertical="center"/>
    </xf>
    <xf numFmtId="0" fontId="43" fillId="0" borderId="18" xfId="0" applyFont="1" applyBorder="1" applyAlignment="1">
      <alignment horizontal="left" vertical="center"/>
    </xf>
    <xf numFmtId="0" fontId="43" fillId="0" borderId="47" xfId="0" applyFont="1" applyBorder="1" applyAlignment="1">
      <alignment horizontal="left" vertical="center"/>
    </xf>
    <xf numFmtId="0" fontId="55" fillId="0" borderId="34" xfId="0" applyFont="1" applyBorder="1" applyAlignment="1">
      <alignment horizontal="right" vertical="center" wrapText="1"/>
    </xf>
    <xf numFmtId="0" fontId="55" fillId="0" borderId="18" xfId="0" applyFont="1" applyBorder="1" applyAlignment="1">
      <alignment horizontal="right" vertical="center" wrapText="1"/>
    </xf>
    <xf numFmtId="0" fontId="55" fillId="0" borderId="47" xfId="0" applyFont="1" applyBorder="1" applyAlignment="1">
      <alignment horizontal="right" vertical="center" wrapText="1"/>
    </xf>
    <xf numFmtId="0" fontId="46" fillId="0" borderId="7" xfId="0" applyFont="1" applyBorder="1" applyAlignment="1">
      <alignment horizontal="left" vertical="center" wrapText="1"/>
    </xf>
    <xf numFmtId="164" fontId="45" fillId="0" borderId="7" xfId="2" applyFont="1" applyFill="1" applyBorder="1" applyAlignment="1">
      <alignment horizontal="center" vertical="center" wrapText="1" shrinkToFit="1"/>
    </xf>
    <xf numFmtId="0" fontId="45" fillId="0" borderId="7" xfId="0" applyFont="1" applyBorder="1" applyAlignment="1">
      <alignment horizontal="center" vertical="center"/>
    </xf>
    <xf numFmtId="0" fontId="46" fillId="0" borderId="7" xfId="0" applyFont="1" applyBorder="1" applyAlignment="1">
      <alignment horizontal="right" vertical="center"/>
    </xf>
    <xf numFmtId="0" fontId="48" fillId="0" borderId="7" xfId="0" applyFont="1" applyBorder="1" applyAlignment="1">
      <alignment horizontal="right" vertical="center"/>
    </xf>
    <xf numFmtId="0" fontId="48" fillId="12" borderId="7" xfId="0" applyFont="1" applyFill="1" applyBorder="1" applyAlignment="1">
      <alignment horizontal="left" vertical="center" wrapText="1"/>
    </xf>
    <xf numFmtId="0" fontId="45" fillId="0" borderId="7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right" vertical="center" wrapText="1"/>
    </xf>
    <xf numFmtId="0" fontId="48" fillId="0" borderId="7" xfId="0" applyFont="1" applyBorder="1" applyAlignment="1">
      <alignment horizontal="right" vertical="center" wrapText="1"/>
    </xf>
    <xf numFmtId="0" fontId="45" fillId="0" borderId="7" xfId="0" applyFont="1" applyBorder="1" applyAlignment="1">
      <alignment horizontal="left" vertical="center" wrapText="1"/>
    </xf>
    <xf numFmtId="166" fontId="47" fillId="8" borderId="7" xfId="2" applyNumberFormat="1" applyFont="1" applyFill="1" applyBorder="1" applyAlignment="1">
      <alignment horizontal="right" vertical="center" shrinkToFit="1"/>
    </xf>
    <xf numFmtId="0" fontId="47" fillId="0" borderId="7" xfId="0" applyFont="1" applyBorder="1" applyAlignment="1">
      <alignment horizontal="left" vertical="center"/>
    </xf>
    <xf numFmtId="0" fontId="48" fillId="10" borderId="7" xfId="0" applyFont="1" applyFill="1" applyBorder="1" applyAlignment="1">
      <alignment horizontal="left" vertical="center" wrapText="1"/>
    </xf>
    <xf numFmtId="0" fontId="45" fillId="0" borderId="14" xfId="0" applyFont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8" fillId="11" borderId="7" xfId="0" applyFont="1" applyFill="1" applyBorder="1" applyAlignment="1">
      <alignment horizontal="left" vertical="center" wrapText="1"/>
    </xf>
    <xf numFmtId="164" fontId="48" fillId="0" borderId="7" xfId="0" applyNumberFormat="1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50" fillId="0" borderId="7" xfId="0" applyFont="1" applyBorder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48" fillId="9" borderId="7" xfId="0" applyFont="1" applyFill="1" applyBorder="1" applyAlignment="1">
      <alignment horizontal="left" vertical="center" wrapText="1"/>
    </xf>
    <xf numFmtId="182" fontId="45" fillId="0" borderId="7" xfId="0" applyNumberFormat="1" applyFont="1" applyBorder="1" applyAlignment="1">
      <alignment horizontal="right" vertical="center" shrinkToFit="1"/>
    </xf>
    <xf numFmtId="182" fontId="45" fillId="0" borderId="7" xfId="2" applyNumberFormat="1" applyFont="1" applyFill="1" applyBorder="1" applyAlignment="1">
      <alignment horizontal="right" vertical="center" shrinkToFit="1"/>
    </xf>
    <xf numFmtId="0" fontId="48" fillId="0" borderId="34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0" fontId="50" fillId="0" borderId="18" xfId="0" applyFont="1" applyBorder="1" applyAlignment="1">
      <alignment horizontal="center" vertical="center" wrapText="1"/>
    </xf>
    <xf numFmtId="0" fontId="50" fillId="0" borderId="47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left" vertical="center" wrapText="1"/>
    </xf>
    <xf numFmtId="0" fontId="48" fillId="9" borderId="34" xfId="0" applyFont="1" applyFill="1" applyBorder="1" applyAlignment="1">
      <alignment horizontal="left" vertical="center" wrapText="1"/>
    </xf>
    <xf numFmtId="0" fontId="48" fillId="9" borderId="18" xfId="0" applyFont="1" applyFill="1" applyBorder="1" applyAlignment="1">
      <alignment horizontal="left" vertical="center" wrapText="1"/>
    </xf>
    <xf numFmtId="0" fontId="48" fillId="9" borderId="47" xfId="0" applyFont="1" applyFill="1" applyBorder="1" applyAlignment="1">
      <alignment horizontal="left" vertical="center" wrapText="1"/>
    </xf>
    <xf numFmtId="0" fontId="45" fillId="0" borderId="49" xfId="0" applyFont="1" applyBorder="1" applyAlignment="1">
      <alignment horizontal="center" vertical="center"/>
    </xf>
    <xf numFmtId="0" fontId="45" fillId="0" borderId="50" xfId="0" applyFont="1" applyBorder="1" applyAlignment="1">
      <alignment horizontal="center" vertical="center"/>
    </xf>
    <xf numFmtId="164" fontId="48" fillId="0" borderId="34" xfId="0" applyNumberFormat="1" applyFont="1" applyBorder="1" applyAlignment="1">
      <alignment horizontal="center" vertical="center" wrapText="1"/>
    </xf>
    <xf numFmtId="164" fontId="48" fillId="0" borderId="47" xfId="0" applyNumberFormat="1" applyFont="1" applyBorder="1" applyAlignment="1">
      <alignment horizontal="center" vertical="center" wrapText="1"/>
    </xf>
    <xf numFmtId="0" fontId="46" fillId="0" borderId="34" xfId="0" applyFont="1" applyBorder="1" applyAlignment="1">
      <alignment horizontal="left" vertical="center" wrapText="1"/>
    </xf>
    <xf numFmtId="0" fontId="46" fillId="0" borderId="18" xfId="0" applyFont="1" applyBorder="1" applyAlignment="1">
      <alignment horizontal="left" vertical="center" wrapText="1"/>
    </xf>
    <xf numFmtId="0" fontId="46" fillId="0" borderId="47" xfId="0" applyFont="1" applyBorder="1" applyAlignment="1">
      <alignment horizontal="left" vertical="center" wrapText="1"/>
    </xf>
    <xf numFmtId="164" fontId="45" fillId="0" borderId="34" xfId="0" applyNumberFormat="1" applyFont="1" applyBorder="1" applyAlignment="1">
      <alignment horizontal="center" vertical="center" shrinkToFit="1"/>
    </xf>
    <xf numFmtId="164" fontId="45" fillId="0" borderId="47" xfId="0" applyNumberFormat="1" applyFont="1" applyBorder="1" applyAlignment="1">
      <alignment horizontal="center" vertical="center" shrinkToFit="1"/>
    </xf>
    <xf numFmtId="164" fontId="45" fillId="0" borderId="34" xfId="2" applyFont="1" applyFill="1" applyBorder="1" applyAlignment="1">
      <alignment horizontal="center" vertical="center" shrinkToFit="1"/>
    </xf>
    <xf numFmtId="164" fontId="45" fillId="0" borderId="47" xfId="2" applyFont="1" applyFill="1" applyBorder="1" applyAlignment="1">
      <alignment horizontal="center" vertical="center" shrinkToFit="1"/>
    </xf>
    <xf numFmtId="0" fontId="45" fillId="0" borderId="34" xfId="0" applyFont="1" applyBorder="1" applyAlignment="1">
      <alignment horizontal="left" vertical="center" wrapText="1"/>
    </xf>
    <xf numFmtId="0" fontId="45" fillId="0" borderId="47" xfId="0" applyFont="1" applyBorder="1" applyAlignment="1">
      <alignment horizontal="left" vertical="center" wrapText="1"/>
    </xf>
    <xf numFmtId="164" fontId="45" fillId="0" borderId="34" xfId="0" applyNumberFormat="1" applyFont="1" applyBorder="1" applyAlignment="1">
      <alignment horizontal="center" vertical="center" wrapText="1"/>
    </xf>
    <xf numFmtId="164" fontId="45" fillId="0" borderId="47" xfId="0" applyNumberFormat="1" applyFont="1" applyBorder="1" applyAlignment="1">
      <alignment horizontal="center" vertical="center" wrapText="1"/>
    </xf>
    <xf numFmtId="164" fontId="45" fillId="0" borderId="7" xfId="0" applyNumberFormat="1" applyFont="1" applyBorder="1" applyAlignment="1">
      <alignment horizontal="center" vertical="center" shrinkToFit="1"/>
    </xf>
    <xf numFmtId="164" fontId="45" fillId="0" borderId="7" xfId="2" applyFont="1" applyFill="1" applyBorder="1" applyAlignment="1">
      <alignment horizontal="center" vertical="center" shrinkToFit="1"/>
    </xf>
    <xf numFmtId="164" fontId="45" fillId="0" borderId="7" xfId="0" applyNumberFormat="1" applyFont="1" applyBorder="1" applyAlignment="1">
      <alignment horizontal="center" vertical="center" wrapText="1"/>
    </xf>
    <xf numFmtId="0" fontId="45" fillId="0" borderId="34" xfId="0" applyFont="1" applyBorder="1" applyAlignment="1">
      <alignment horizontal="center" vertical="center"/>
    </xf>
    <xf numFmtId="0" fontId="45" fillId="0" borderId="18" xfId="0" applyFont="1" applyBorder="1" applyAlignment="1">
      <alignment horizontal="center" vertical="center"/>
    </xf>
    <xf numFmtId="0" fontId="45" fillId="0" borderId="47" xfId="0" applyFont="1" applyBorder="1" applyAlignment="1">
      <alignment horizontal="center" vertical="center"/>
    </xf>
    <xf numFmtId="0" fontId="48" fillId="0" borderId="0" xfId="0" applyFont="1" applyAlignment="1">
      <alignment horizontal="right" vertical="center" wrapText="1"/>
    </xf>
    <xf numFmtId="0" fontId="50" fillId="0" borderId="66" xfId="0" applyFont="1" applyBorder="1" applyAlignment="1">
      <alignment horizontal="center" vertical="center" wrapText="1"/>
    </xf>
    <xf numFmtId="0" fontId="50" fillId="0" borderId="67" xfId="0" applyFont="1" applyBorder="1" applyAlignment="1">
      <alignment horizontal="center" vertical="center" wrapText="1"/>
    </xf>
    <xf numFmtId="0" fontId="50" fillId="0" borderId="6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51" fillId="0" borderId="7" xfId="5" applyFont="1" applyBorder="1"/>
    <xf numFmtId="0" fontId="47" fillId="0" borderId="7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/>
    </xf>
    <xf numFmtId="0" fontId="50" fillId="0" borderId="7" xfId="5" applyFont="1" applyBorder="1"/>
    <xf numFmtId="0" fontId="48" fillId="0" borderId="60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8" fillId="0" borderId="62" xfId="0" applyFont="1" applyBorder="1" applyAlignment="1">
      <alignment horizontal="center" vertical="center" wrapText="1"/>
    </xf>
    <xf numFmtId="0" fontId="55" fillId="0" borderId="7" xfId="0" applyFont="1" applyBorder="1" applyAlignment="1" applyProtection="1">
      <alignment horizontal="center"/>
      <protection locked="0"/>
    </xf>
    <xf numFmtId="0" fontId="48" fillId="0" borderId="30" xfId="0" applyFont="1" applyBorder="1" applyAlignment="1" applyProtection="1">
      <alignment horizontal="center"/>
      <protection locked="0"/>
    </xf>
    <xf numFmtId="0" fontId="48" fillId="0" borderId="30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left" vertical="center"/>
    </xf>
    <xf numFmtId="0" fontId="43" fillId="0" borderId="7" xfId="0" applyFont="1" applyBorder="1" applyAlignment="1">
      <alignment horizontal="left" vertical="center"/>
    </xf>
    <xf numFmtId="0" fontId="55" fillId="0" borderId="7" xfId="0" applyFont="1" applyBorder="1" applyAlignment="1">
      <alignment horizontal="right" vertical="center" wrapText="1"/>
    </xf>
    <xf numFmtId="0" fontId="46" fillId="0" borderId="7" xfId="0" applyFont="1" applyBorder="1" applyAlignment="1">
      <alignment vertical="center" wrapText="1"/>
    </xf>
    <xf numFmtId="0" fontId="41" fillId="0" borderId="0" xfId="0" applyFont="1" applyAlignment="1">
      <alignment horizontal="left" vertical="center"/>
    </xf>
    <xf numFmtId="0" fontId="53" fillId="0" borderId="7" xfId="0" applyFont="1" applyBorder="1"/>
    <xf numFmtId="0" fontId="56" fillId="0" borderId="0" xfId="0" applyFont="1" applyAlignment="1">
      <alignment horizontal="center" vertical="center" wrapText="1"/>
    </xf>
    <xf numFmtId="0" fontId="42" fillId="0" borderId="0" xfId="5" applyFont="1" applyAlignment="1">
      <alignment horizontal="left"/>
    </xf>
    <xf numFmtId="0" fontId="43" fillId="0" borderId="0" xfId="5" applyFont="1" applyAlignment="1">
      <alignment horizontal="left"/>
    </xf>
    <xf numFmtId="0" fontId="45" fillId="9" borderId="7" xfId="0" applyFont="1" applyFill="1" applyBorder="1" applyAlignment="1">
      <alignment horizontal="left" vertical="center" wrapText="1"/>
    </xf>
    <xf numFmtId="0" fontId="46" fillId="9" borderId="7" xfId="0" applyFont="1" applyFill="1" applyBorder="1" applyAlignment="1">
      <alignment vertical="center" wrapText="1"/>
    </xf>
    <xf numFmtId="0" fontId="47" fillId="0" borderId="7" xfId="0" applyFont="1" applyBorder="1" applyAlignment="1">
      <alignment horizontal="right" vertical="center" wrapText="1"/>
    </xf>
    <xf numFmtId="0" fontId="46" fillId="0" borderId="7" xfId="29" applyFont="1" applyBorder="1" applyAlignment="1">
      <alignment horizontal="left" vertical="center" wrapText="1"/>
    </xf>
    <xf numFmtId="0" fontId="53" fillId="0" borderId="7" xfId="0" applyFont="1" applyBorder="1" applyAlignment="1">
      <alignment horizontal="left" vertical="center"/>
    </xf>
    <xf numFmtId="0" fontId="45" fillId="0" borderId="7" xfId="0" applyFont="1" applyBorder="1" applyAlignment="1">
      <alignment horizontal="left" vertical="top" wrapText="1"/>
    </xf>
    <xf numFmtId="0" fontId="46" fillId="9" borderId="7" xfId="0" applyFont="1" applyFill="1" applyBorder="1" applyAlignment="1">
      <alignment horizontal="left" vertical="center" wrapText="1"/>
    </xf>
    <xf numFmtId="14" fontId="48" fillId="0" borderId="7" xfId="0" applyNumberFormat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/>
    </xf>
    <xf numFmtId="0" fontId="55" fillId="0" borderId="7" xfId="0" applyFont="1" applyBorder="1" applyAlignment="1" applyProtection="1">
      <alignment horizontal="center" vertical="center" wrapText="1"/>
      <protection locked="0"/>
    </xf>
    <xf numFmtId="0" fontId="41" fillId="0" borderId="7" xfId="0" applyFont="1" applyBorder="1" applyAlignment="1">
      <alignment wrapText="1"/>
    </xf>
    <xf numFmtId="0" fontId="41" fillId="0" borderId="7" xfId="0" applyFont="1" applyBorder="1" applyAlignment="1">
      <alignment vertical="center" wrapText="1"/>
    </xf>
    <xf numFmtId="0" fontId="44" fillId="17" borderId="7" xfId="5" applyFont="1" applyFill="1" applyBorder="1" applyAlignment="1">
      <alignment horizontal="center" vertical="center" wrapText="1"/>
    </xf>
    <xf numFmtId="0" fontId="48" fillId="0" borderId="7" xfId="0" applyFont="1" applyBorder="1" applyAlignment="1" applyProtection="1">
      <alignment horizontal="center" vertical="center" wrapText="1"/>
      <protection locked="0"/>
    </xf>
    <xf numFmtId="0" fontId="58" fillId="0" borderId="7" xfId="0" applyFont="1" applyBorder="1" applyAlignment="1">
      <alignment vertical="center" wrapText="1"/>
    </xf>
    <xf numFmtId="0" fontId="41" fillId="14" borderId="7" xfId="0" applyFont="1" applyFill="1" applyBorder="1" applyAlignment="1">
      <alignment horizontal="center" vertical="center" wrapText="1"/>
    </xf>
    <xf numFmtId="179" fontId="48" fillId="14" borderId="7" xfId="26" applyNumberFormat="1" applyFont="1" applyFill="1" applyBorder="1" applyAlignment="1">
      <alignment vertical="center" wrapText="1"/>
    </xf>
    <xf numFmtId="0" fontId="40" fillId="0" borderId="7" xfId="0" applyFont="1" applyBorder="1" applyAlignment="1">
      <alignment horizontal="right" vertical="center" wrapText="1"/>
    </xf>
    <xf numFmtId="0" fontId="65" fillId="0" borderId="0" xfId="5" applyFont="1"/>
    <xf numFmtId="0" fontId="40" fillId="0" borderId="7" xfId="0" applyFont="1" applyBorder="1" applyAlignment="1">
      <alignment horizontal="right" wrapText="1"/>
    </xf>
    <xf numFmtId="0" fontId="40" fillId="0" borderId="7" xfId="0" applyFont="1" applyBorder="1" applyAlignment="1">
      <alignment horizontal="left" vertical="center" wrapText="1"/>
    </xf>
    <xf numFmtId="0" fontId="64" fillId="0" borderId="0" xfId="5" applyFont="1"/>
    <xf numFmtId="0" fontId="58" fillId="0" borderId="7" xfId="15" applyFont="1" applyBorder="1" applyAlignment="1">
      <alignment vertical="center" wrapText="1"/>
    </xf>
    <xf numFmtId="0" fontId="58" fillId="0" borderId="7" xfId="0" applyFont="1" applyBorder="1" applyAlignment="1">
      <alignment vertical="center"/>
    </xf>
    <xf numFmtId="10" fontId="58" fillId="0" borderId="7" xfId="0" applyNumberFormat="1" applyFont="1" applyBorder="1" applyAlignment="1">
      <alignment horizontal="center" vertical="center"/>
    </xf>
    <xf numFmtId="0" fontId="58" fillId="0" borderId="7" xfId="0" applyFont="1" applyBorder="1" applyAlignment="1">
      <alignment horizontal="left" vertical="center"/>
    </xf>
    <xf numFmtId="0" fontId="55" fillId="9" borderId="7" xfId="0" applyFont="1" applyFill="1" applyBorder="1" applyAlignment="1">
      <alignment horizontal="right" vertical="center"/>
    </xf>
    <xf numFmtId="0" fontId="58" fillId="0" borderId="7" xfId="0" applyFont="1" applyBorder="1" applyAlignment="1">
      <alignment horizontal="center" vertical="center"/>
    </xf>
    <xf numFmtId="0" fontId="55" fillId="9" borderId="7" xfId="0" applyFont="1" applyFill="1" applyBorder="1" applyAlignment="1">
      <alignment horizontal="left" vertical="center"/>
    </xf>
    <xf numFmtId="0" fontId="58" fillId="0" borderId="7" xfId="0" applyFont="1" applyBorder="1" applyAlignment="1">
      <alignment horizontal="left" vertical="center" wrapText="1"/>
    </xf>
    <xf numFmtId="0" fontId="55" fillId="0" borderId="7" xfId="0" applyFont="1" applyBorder="1" applyAlignment="1">
      <alignment horizontal="left" vertical="center" wrapText="1"/>
    </xf>
    <xf numFmtId="184" fontId="58" fillId="0" borderId="7" xfId="0" applyNumberFormat="1" applyFont="1" applyBorder="1" applyAlignment="1">
      <alignment horizontal="center" vertical="center"/>
    </xf>
    <xf numFmtId="0" fontId="55" fillId="16" borderId="7" xfId="0" applyFont="1" applyFill="1" applyBorder="1" applyAlignment="1">
      <alignment horizontal="left" vertical="center" wrapText="1"/>
    </xf>
    <xf numFmtId="0" fontId="55" fillId="0" borderId="0" xfId="0" applyFont="1" applyAlignment="1">
      <alignment horizontal="right" vertical="center"/>
    </xf>
    <xf numFmtId="0" fontId="55" fillId="0" borderId="26" xfId="0" applyFont="1" applyBorder="1" applyAlignment="1">
      <alignment horizontal="right" vertical="center"/>
    </xf>
    <xf numFmtId="0" fontId="55" fillId="15" borderId="7" xfId="0" applyFont="1" applyFill="1" applyBorder="1" applyAlignment="1">
      <alignment horizontal="center" vertical="center" wrapText="1"/>
    </xf>
    <xf numFmtId="14" fontId="55" fillId="0" borderId="7" xfId="0" applyNumberFormat="1" applyFont="1" applyBorder="1" applyAlignment="1">
      <alignment horizontal="center" vertical="center" wrapText="1"/>
    </xf>
    <xf numFmtId="0" fontId="30" fillId="0" borderId="34" xfId="0" applyFont="1" applyBorder="1"/>
    <xf numFmtId="0" fontId="30" fillId="0" borderId="47" xfId="0" applyFont="1" applyBorder="1"/>
    <xf numFmtId="0" fontId="3" fillId="0" borderId="34" xfId="5" applyFont="1" applyBorder="1" applyAlignment="1">
      <alignment vertical="center" wrapText="1"/>
    </xf>
    <xf numFmtId="0" fontId="3" fillId="0" borderId="47" xfId="5" applyFont="1" applyBorder="1" applyAlignment="1">
      <alignment vertical="center" wrapText="1"/>
    </xf>
    <xf numFmtId="0" fontId="3" fillId="0" borderId="34" xfId="5" applyFont="1" applyBorder="1" applyAlignment="1">
      <alignment horizontal="left" vertical="center" wrapText="1"/>
    </xf>
    <xf numFmtId="0" fontId="3" fillId="0" borderId="47" xfId="5" applyFont="1" applyBorder="1" applyAlignment="1">
      <alignment horizontal="left" vertical="center" wrapText="1"/>
    </xf>
    <xf numFmtId="0" fontId="24" fillId="0" borderId="34" xfId="5" applyFont="1" applyBorder="1" applyAlignment="1">
      <alignment horizontal="right" vertical="center" wrapText="1"/>
    </xf>
    <xf numFmtId="0" fontId="24" fillId="0" borderId="47" xfId="5" applyFont="1" applyBorder="1" applyAlignment="1">
      <alignment horizontal="right" vertical="center" wrapText="1"/>
    </xf>
    <xf numFmtId="0" fontId="24" fillId="0" borderId="7" xfId="5" applyFont="1" applyBorder="1" applyAlignment="1">
      <alignment horizontal="left" vertical="center" wrapText="1"/>
    </xf>
    <xf numFmtId="0" fontId="24" fillId="0" borderId="47" xfId="5" applyFont="1" applyBorder="1" applyAlignment="1">
      <alignment horizontal="left" vertical="center" wrapText="1"/>
    </xf>
    <xf numFmtId="0" fontId="3" fillId="0" borderId="7" xfId="5" applyFont="1" applyBorder="1" applyAlignment="1">
      <alignment horizontal="center" vertical="center"/>
    </xf>
    <xf numFmtId="0" fontId="24" fillId="0" borderId="7" xfId="5" applyFont="1" applyBorder="1" applyAlignment="1">
      <alignment horizontal="left" vertical="center"/>
    </xf>
    <xf numFmtId="0" fontId="24" fillId="0" borderId="47" xfId="5" applyFont="1" applyBorder="1" applyAlignment="1">
      <alignment horizontal="left" vertical="center"/>
    </xf>
    <xf numFmtId="0" fontId="24" fillId="0" borderId="34" xfId="5" applyFont="1" applyBorder="1" applyAlignment="1">
      <alignment horizontal="left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47" xfId="5" applyFont="1" applyBorder="1" applyAlignment="1">
      <alignment horizontal="center" vertical="center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47" xfId="0" applyFont="1" applyBorder="1" applyAlignment="1" applyProtection="1">
      <alignment horizontal="center" vertical="center" wrapText="1"/>
      <protection locked="0"/>
    </xf>
    <xf numFmtId="0" fontId="23" fillId="0" borderId="7" xfId="0" applyFont="1" applyBorder="1" applyAlignment="1" applyProtection="1">
      <alignment horizontal="center" vertical="center" wrapText="1"/>
      <protection locked="0"/>
    </xf>
    <xf numFmtId="0" fontId="23" fillId="0" borderId="47" xfId="0" applyFont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 applyProtection="1">
      <alignment horizontal="center" vertical="center" wrapText="1"/>
      <protection locked="0"/>
    </xf>
    <xf numFmtId="0" fontId="24" fillId="0" borderId="47" xfId="0" applyFont="1" applyBorder="1" applyAlignment="1" applyProtection="1">
      <alignment horizontal="center" vertical="center" wrapText="1"/>
      <protection locked="0"/>
    </xf>
    <xf numFmtId="2" fontId="24" fillId="0" borderId="7" xfId="27" applyNumberFormat="1" applyFont="1" applyFill="1" applyBorder="1" applyAlignment="1">
      <alignment horizontal="center" vertical="center"/>
    </xf>
    <xf numFmtId="2" fontId="24" fillId="0" borderId="47" xfId="27" applyNumberFormat="1" applyFont="1" applyFill="1" applyBorder="1" applyAlignment="1">
      <alignment horizontal="center" vertical="center"/>
    </xf>
    <xf numFmtId="2" fontId="24" fillId="0" borderId="7" xfId="5" applyNumberFormat="1" applyFont="1" applyBorder="1" applyAlignment="1">
      <alignment horizontal="center" vertical="center"/>
    </xf>
    <xf numFmtId="0" fontId="24" fillId="0" borderId="34" xfId="5" applyFont="1" applyBorder="1" applyAlignment="1">
      <alignment horizontal="left" vertical="center"/>
    </xf>
    <xf numFmtId="0" fontId="24" fillId="0" borderId="18" xfId="5" applyFont="1" applyBorder="1" applyAlignment="1">
      <alignment horizontal="left" vertical="center"/>
    </xf>
    <xf numFmtId="0" fontId="3" fillId="0" borderId="35" xfId="5" applyFont="1" applyBorder="1" applyAlignment="1">
      <alignment horizontal="center" vertical="center"/>
    </xf>
    <xf numFmtId="0" fontId="3" fillId="0" borderId="30" xfId="5" applyFont="1" applyBorder="1" applyAlignment="1">
      <alignment horizontal="center" vertical="center"/>
    </xf>
    <xf numFmtId="0" fontId="31" fillId="0" borderId="14" xfId="0" applyFont="1" applyBorder="1" applyAlignment="1" applyProtection="1">
      <alignment horizontal="center" vertical="center" wrapText="1"/>
      <protection locked="0"/>
    </xf>
    <xf numFmtId="0" fontId="31" fillId="0" borderId="17" xfId="0" applyFont="1" applyBorder="1" applyAlignment="1" applyProtection="1">
      <alignment horizontal="center" vertical="center" wrapText="1"/>
      <protection locked="0"/>
    </xf>
    <xf numFmtId="0" fontId="31" fillId="0" borderId="7" xfId="0" applyFont="1" applyBorder="1" applyAlignment="1" applyProtection="1">
      <alignment horizontal="center" vertical="center" wrapText="1"/>
      <protection locked="0"/>
    </xf>
    <xf numFmtId="0" fontId="24" fillId="0" borderId="17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14" fontId="16" fillId="0" borderId="7" xfId="0" applyNumberFormat="1" applyFont="1" applyBorder="1" applyAlignment="1">
      <alignment horizontal="center" vertical="center" wrapText="1"/>
    </xf>
    <xf numFmtId="14" fontId="16" fillId="0" borderId="6" xfId="0" applyNumberFormat="1" applyFont="1" applyBorder="1" applyAlignment="1">
      <alignment horizontal="center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182" fontId="24" fillId="0" borderId="46" xfId="0" applyNumberFormat="1" applyFont="1" applyBorder="1" applyAlignment="1">
      <alignment horizontal="right" vertical="center" wrapText="1"/>
    </xf>
    <xf numFmtId="182" fontId="24" fillId="0" borderId="18" xfId="0" applyNumberFormat="1" applyFont="1" applyBorder="1" applyAlignment="1">
      <alignment horizontal="right" vertical="center" wrapText="1"/>
    </xf>
    <xf numFmtId="182" fontId="24" fillId="0" borderId="47" xfId="0" applyNumberFormat="1" applyFont="1" applyBorder="1" applyAlignment="1">
      <alignment horizontal="right" vertical="center" wrapText="1"/>
    </xf>
    <xf numFmtId="182" fontId="24" fillId="0" borderId="19" xfId="0" applyNumberFormat="1" applyFont="1" applyBorder="1" applyAlignment="1">
      <alignment horizontal="right" vertical="center" wrapText="1"/>
    </xf>
    <xf numFmtId="182" fontId="24" fillId="0" borderId="20" xfId="0" applyNumberFormat="1" applyFont="1" applyBorder="1" applyAlignment="1">
      <alignment horizontal="right" vertical="center" wrapText="1"/>
    </xf>
    <xf numFmtId="182" fontId="24" fillId="0" borderId="23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/>
    </xf>
    <xf numFmtId="182" fontId="24" fillId="0" borderId="42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left" vertical="center" wrapText="1"/>
    </xf>
    <xf numFmtId="182" fontId="24" fillId="0" borderId="49" xfId="0" applyNumberFormat="1" applyFont="1" applyBorder="1" applyAlignment="1">
      <alignment horizontal="right" vertical="center" wrapText="1"/>
    </xf>
    <xf numFmtId="182" fontId="24" fillId="0" borderId="52" xfId="0" applyNumberFormat="1" applyFont="1" applyBorder="1" applyAlignment="1">
      <alignment horizontal="right" vertical="center" wrapText="1"/>
    </xf>
    <xf numFmtId="182" fontId="24" fillId="0" borderId="53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4" fillId="0" borderId="7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24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1" fillId="0" borderId="15" xfId="0" applyFont="1" applyBorder="1" applyAlignment="1" applyProtection="1">
      <alignment horizontal="center" vertical="center" wrapText="1"/>
      <protection locked="0"/>
    </xf>
    <xf numFmtId="0" fontId="31" fillId="0" borderId="6" xfId="0" applyFont="1" applyBorder="1" applyAlignment="1" applyProtection="1">
      <alignment horizontal="center" vertical="center" wrapText="1"/>
      <protection locked="0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182" fontId="24" fillId="0" borderId="15" xfId="0" applyNumberFormat="1" applyFont="1" applyBorder="1" applyAlignment="1">
      <alignment horizontal="center" vertical="center" wrapText="1"/>
    </xf>
    <xf numFmtId="182" fontId="24" fillId="0" borderId="6" xfId="0" applyNumberFormat="1" applyFont="1" applyBorder="1" applyAlignment="1">
      <alignment horizontal="center" vertical="center" wrapText="1"/>
    </xf>
    <xf numFmtId="0" fontId="14" fillId="0" borderId="34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29" fillId="0" borderId="0" xfId="5" applyFont="1"/>
    <xf numFmtId="0" fontId="16" fillId="0" borderId="7" xfId="0" applyFont="1" applyBorder="1" applyAlignment="1" applyProtection="1">
      <alignment horizontal="center" vertical="center"/>
      <protection locked="0"/>
    </xf>
    <xf numFmtId="0" fontId="26" fillId="0" borderId="0" xfId="5" applyFont="1"/>
    <xf numFmtId="0" fontId="27" fillId="0" borderId="0" xfId="5" applyFont="1"/>
    <xf numFmtId="0" fontId="24" fillId="17" borderId="7" xfId="0" applyFont="1" applyFill="1" applyBorder="1" applyAlignment="1">
      <alignment horizontal="center" vertical="center"/>
    </xf>
    <xf numFmtId="182" fontId="24" fillId="17" borderId="7" xfId="0" applyNumberFormat="1" applyFont="1" applyFill="1" applyBorder="1" applyAlignment="1">
      <alignment horizontal="left" vertical="center"/>
    </xf>
    <xf numFmtId="0" fontId="9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28" fillId="0" borderId="0" xfId="5" applyFont="1"/>
    <xf numFmtId="181" fontId="24" fillId="0" borderId="7" xfId="26" applyNumberFormat="1" applyFont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 wrapText="1"/>
      <protection locked="0"/>
    </xf>
    <xf numFmtId="0" fontId="24" fillId="17" borderId="7" xfId="0" applyFont="1" applyFill="1" applyBorder="1" applyAlignment="1" applyProtection="1">
      <alignment horizontal="center" vertical="center"/>
      <protection locked="0"/>
    </xf>
    <xf numFmtId="0" fontId="24" fillId="14" borderId="7" xfId="0" applyFont="1" applyFill="1" applyBorder="1" applyAlignment="1" applyProtection="1">
      <alignment horizontal="center" vertical="center"/>
      <protection hidden="1"/>
    </xf>
    <xf numFmtId="0" fontId="0" fillId="0" borderId="3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35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right" vertical="center"/>
      <protection locked="0"/>
    </xf>
    <xf numFmtId="0" fontId="37" fillId="0" borderId="48" xfId="0" applyFont="1" applyBorder="1" applyAlignment="1" applyProtection="1">
      <alignment horizontal="center" vertical="center" wrapText="1"/>
      <protection locked="0"/>
    </xf>
    <xf numFmtId="0" fontId="37" fillId="0" borderId="5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24" fillId="14" borderId="18" xfId="0" applyFont="1" applyFill="1" applyBorder="1" applyAlignment="1" applyProtection="1">
      <alignment horizontal="left" vertical="center"/>
      <protection locked="0"/>
    </xf>
    <xf numFmtId="0" fontId="24" fillId="14" borderId="47" xfId="0" applyFont="1" applyFill="1" applyBorder="1" applyAlignment="1" applyProtection="1">
      <alignment horizontal="left" vertical="center"/>
      <protection locked="0"/>
    </xf>
    <xf numFmtId="0" fontId="30" fillId="0" borderId="34" xfId="0" applyFont="1" applyBorder="1" applyAlignment="1" applyProtection="1">
      <alignment horizontal="center" vertical="center"/>
      <protection hidden="1"/>
    </xf>
    <xf numFmtId="0" fontId="30" fillId="0" borderId="47" xfId="0" applyFont="1" applyBorder="1" applyAlignment="1" applyProtection="1">
      <alignment horizontal="center" vertical="center"/>
      <protection hidden="1"/>
    </xf>
    <xf numFmtId="0" fontId="24" fillId="14" borderId="34" xfId="0" applyFont="1" applyFill="1" applyBorder="1" applyAlignment="1" applyProtection="1">
      <alignment horizontal="center" vertical="center"/>
      <protection hidden="1"/>
    </xf>
    <xf numFmtId="0" fontId="24" fillId="14" borderId="47" xfId="0" applyFont="1" applyFill="1" applyBorder="1" applyAlignment="1" applyProtection="1">
      <alignment horizontal="center" vertical="center"/>
      <protection hidden="1"/>
    </xf>
    <xf numFmtId="0" fontId="37" fillId="0" borderId="34" xfId="0" applyFont="1" applyBorder="1" applyAlignment="1" applyProtection="1">
      <alignment horizontal="right" vertical="center" wrapText="1"/>
      <protection locked="0"/>
    </xf>
    <xf numFmtId="0" fontId="37" fillId="0" borderId="18" xfId="0" applyFont="1" applyBorder="1" applyAlignment="1" applyProtection="1">
      <alignment horizontal="right" vertical="center" wrapText="1"/>
      <protection locked="0"/>
    </xf>
    <xf numFmtId="0" fontId="37" fillId="0" borderId="47" xfId="0" applyFont="1" applyBorder="1" applyAlignment="1" applyProtection="1">
      <alignment horizontal="right" vertical="center" wrapText="1"/>
      <protection locked="0"/>
    </xf>
  </cellXfs>
  <cellStyles count="30">
    <cellStyle name="Hipervínculo" xfId="11" builtinId="8"/>
    <cellStyle name="Hipervínculo 2" xfId="12" xr:uid="{00000000-0005-0000-0000-000001000000}"/>
    <cellStyle name="Millares" xfId="26" builtinId="3"/>
    <cellStyle name="Millares [0]" xfId="1" builtinId="6"/>
    <cellStyle name="Millares [0] 2" xfId="7" xr:uid="{00000000-0005-0000-0000-000004000000}"/>
    <cellStyle name="Millares [0] 3" xfId="18" xr:uid="{00000000-0005-0000-0000-000005000000}"/>
    <cellStyle name="Millares [0] 4" xfId="22" xr:uid="{00000000-0005-0000-0000-000006000000}"/>
    <cellStyle name="Millares 14" xfId="3" xr:uid="{00000000-0005-0000-0000-000007000000}"/>
    <cellStyle name="Millares 14 2" xfId="21" xr:uid="{00000000-0005-0000-0000-000008000000}"/>
    <cellStyle name="Millares 14 3" xfId="23" xr:uid="{00000000-0005-0000-0000-000009000000}"/>
    <cellStyle name="Millares 15" xfId="17" xr:uid="{00000000-0005-0000-0000-00000A000000}"/>
    <cellStyle name="Millares 15 2" xfId="24" xr:uid="{00000000-0005-0000-0000-00000B000000}"/>
    <cellStyle name="Moneda" xfId="28" builtinId="4"/>
    <cellStyle name="Moneda [0]" xfId="2" builtinId="7"/>
    <cellStyle name="Moneda [0] 2" xfId="19" xr:uid="{00000000-0005-0000-0000-00000D000000}"/>
    <cellStyle name="Moneda [0] 3" xfId="20" xr:uid="{00000000-0005-0000-0000-00000E000000}"/>
    <cellStyle name="Moneda [0] 3 2" xfId="8" xr:uid="{00000000-0005-0000-0000-00000F000000}"/>
    <cellStyle name="Moneda 2" xfId="25" xr:uid="{00000000-0005-0000-0000-000010000000}"/>
    <cellStyle name="Moneda 2 2" xfId="9" xr:uid="{00000000-0005-0000-0000-000011000000}"/>
    <cellStyle name="Normal" xfId="0" builtinId="0"/>
    <cellStyle name="Normal 10" xfId="5" xr:uid="{00000000-0005-0000-0000-000013000000}"/>
    <cellStyle name="Normal 12" xfId="13" xr:uid="{00000000-0005-0000-0000-000014000000}"/>
    <cellStyle name="Normal 16" xfId="14" xr:uid="{00000000-0005-0000-0000-000015000000}"/>
    <cellStyle name="Normal 2" xfId="15" xr:uid="{00000000-0005-0000-0000-000016000000}"/>
    <cellStyle name="Normal 2 2 2" xfId="29" xr:uid="{8D692926-B374-43F8-9ACB-85E6FFE0D108}"/>
    <cellStyle name="Normal 3" xfId="6" xr:uid="{00000000-0005-0000-0000-000017000000}"/>
    <cellStyle name="Porcentaje" xfId="27" builtinId="5"/>
    <cellStyle name="Porcentaje 2" xfId="16" xr:uid="{00000000-0005-0000-0000-000019000000}"/>
    <cellStyle name="Porcentaje 3" xfId="4" xr:uid="{00000000-0005-0000-0000-00001A000000}"/>
    <cellStyle name="Porcentaje 4" xfId="10" xr:uid="{00000000-0005-0000-0000-00001B000000}"/>
  </cellStyles>
  <dxfs count="9">
    <dxf>
      <font>
        <b val="0"/>
        <i val="0"/>
        <color auto="1"/>
      </font>
      <fill>
        <patternFill>
          <bgColor rgb="FFFFFF99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FFFF89"/>
      <color rgb="FFFFFF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12</xdr:row>
      <xdr:rowOff>152400</xdr:rowOff>
    </xdr:from>
    <xdr:to>
      <xdr:col>1</xdr:col>
      <xdr:colOff>425450</xdr:colOff>
      <xdr:row>18</xdr:row>
      <xdr:rowOff>136100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927350"/>
          <a:ext cx="1212850" cy="1050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806450</xdr:colOff>
      <xdr:row>14</xdr:row>
      <xdr:rowOff>133350</xdr:rowOff>
    </xdr:from>
    <xdr:to>
      <xdr:col>4</xdr:col>
      <xdr:colOff>38100</xdr:colOff>
      <xdr:row>38</xdr:row>
      <xdr:rowOff>0</xdr:rowOff>
    </xdr:to>
    <xdr:pic>
      <xdr:nvPicPr>
        <xdr:cNvPr id="6" name="Imagen 5" descr="HOTEL PINCHOTE PLAZAS (Colombia): opiniones, comparación de precios y fotos  del pequeño hotel - Tripadvisor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3238500"/>
          <a:ext cx="4260850" cy="428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1212850</xdr:colOff>
      <xdr:row>0</xdr:row>
      <xdr:rowOff>139700</xdr:rowOff>
    </xdr:from>
    <xdr:to>
      <xdr:col>2</xdr:col>
      <xdr:colOff>1168400</xdr:colOff>
      <xdr:row>6</xdr:row>
      <xdr:rowOff>85300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139700"/>
          <a:ext cx="1212850" cy="1050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145144</xdr:colOff>
      <xdr:row>2</xdr:row>
      <xdr:rowOff>81644</xdr:rowOff>
    </xdr:from>
    <xdr:to>
      <xdr:col>7</xdr:col>
      <xdr:colOff>1088572</xdr:colOff>
      <xdr:row>4</xdr:row>
      <xdr:rowOff>131333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6644" y="362858"/>
          <a:ext cx="943428" cy="8207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68580</xdr:rowOff>
        </xdr:from>
        <xdr:to>
          <xdr:col>3</xdr:col>
          <xdr:colOff>1508760</xdr:colOff>
          <xdr:row>2</xdr:row>
          <xdr:rowOff>754380</xdr:rowOff>
        </xdr:to>
        <xdr:sp macro="" textlink="">
          <xdr:nvSpPr>
            <xdr:cNvPr id="22529" name="Object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222252</xdr:colOff>
      <xdr:row>2</xdr:row>
      <xdr:rowOff>31750</xdr:rowOff>
    </xdr:from>
    <xdr:to>
      <xdr:col>7</xdr:col>
      <xdr:colOff>1377158</xdr:colOff>
      <xdr:row>3</xdr:row>
      <xdr:rowOff>433785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9335" y="423333"/>
          <a:ext cx="1154906" cy="11957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978650</xdr:colOff>
      <xdr:row>2</xdr:row>
      <xdr:rowOff>37354</xdr:rowOff>
    </xdr:from>
    <xdr:to>
      <xdr:col>7</xdr:col>
      <xdr:colOff>1736521</xdr:colOff>
      <xdr:row>4</xdr:row>
      <xdr:rowOff>168041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0150" y="316754"/>
          <a:ext cx="757871" cy="905387"/>
        </a:xfrm>
        <a:prstGeom prst="rect">
          <a:avLst/>
        </a:prstGeom>
      </xdr:spPr>
    </xdr:pic>
    <xdr:clientData/>
  </xdr:twoCellAnchor>
  <xdr:twoCellAnchor editAs="oneCell">
    <xdr:from>
      <xdr:col>7</xdr:col>
      <xdr:colOff>44827</xdr:colOff>
      <xdr:row>2</xdr:row>
      <xdr:rowOff>266856</xdr:rowOff>
    </xdr:from>
    <xdr:to>
      <xdr:col>7</xdr:col>
      <xdr:colOff>903944</xdr:colOff>
      <xdr:row>3</xdr:row>
      <xdr:rowOff>458920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6327" y="546256"/>
          <a:ext cx="859117" cy="4841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412750</xdr:colOff>
      <xdr:row>357</xdr:row>
      <xdr:rowOff>103188</xdr:rowOff>
    </xdr:from>
    <xdr:ext cx="1492048" cy="595312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02314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410</xdr:row>
      <xdr:rowOff>103188</xdr:rowOff>
    </xdr:from>
    <xdr:ext cx="1492048" cy="595312"/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0231438"/>
          <a:ext cx="1492048" cy="595312"/>
        </a:xfrm>
        <a:prstGeom prst="rect">
          <a:avLst/>
        </a:prstGeom>
      </xdr:spPr>
    </xdr:pic>
    <xdr:clientData/>
  </xdr:oneCellAnchor>
  <xdr:twoCellAnchor editAs="oneCell">
    <xdr:from>
      <xdr:col>20</xdr:col>
      <xdr:colOff>627530</xdr:colOff>
      <xdr:row>1</xdr:row>
      <xdr:rowOff>89647</xdr:rowOff>
    </xdr:from>
    <xdr:to>
      <xdr:col>21</xdr:col>
      <xdr:colOff>577370</xdr:colOff>
      <xdr:row>3</xdr:row>
      <xdr:rowOff>454702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0648" y="186765"/>
          <a:ext cx="943428" cy="81441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13</xdr:col>
      <xdr:colOff>412750</xdr:colOff>
      <xdr:row>1317</xdr:row>
      <xdr:rowOff>103188</xdr:rowOff>
    </xdr:from>
    <xdr:ext cx="1492048" cy="595312"/>
    <xdr:pic>
      <xdr:nvPicPr>
        <xdr:cNvPr id="27" name="Imagen 26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402034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39687</xdr:colOff>
      <xdr:row>201</xdr:row>
      <xdr:rowOff>79375</xdr:rowOff>
    </xdr:from>
    <xdr:ext cx="1492048" cy="595312"/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0187" y="191214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301625</xdr:colOff>
      <xdr:row>51</xdr:row>
      <xdr:rowOff>63500</xdr:rowOff>
    </xdr:from>
    <xdr:ext cx="1492048" cy="595312"/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9874250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463</xdr:row>
      <xdr:rowOff>103188</xdr:rowOff>
    </xdr:from>
    <xdr:ext cx="1492048" cy="595312"/>
    <xdr:pic>
      <xdr:nvPicPr>
        <xdr:cNvPr id="39" name="Imagen 3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402034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516</xdr:row>
      <xdr:rowOff>103188</xdr:rowOff>
    </xdr:from>
    <xdr:ext cx="1492048" cy="595312"/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51204813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622</xdr:row>
      <xdr:rowOff>103188</xdr:rowOff>
    </xdr:from>
    <xdr:ext cx="1492048" cy="595312"/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6220618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675</xdr:row>
      <xdr:rowOff>103188</xdr:rowOff>
    </xdr:from>
    <xdr:ext cx="1492048" cy="595312"/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73207563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728</xdr:row>
      <xdr:rowOff>103188</xdr:rowOff>
    </xdr:from>
    <xdr:ext cx="1492048" cy="595312"/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842089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569</xdr:row>
      <xdr:rowOff>103188</xdr:rowOff>
    </xdr:from>
    <xdr:ext cx="1492048" cy="595312"/>
    <xdr:pic>
      <xdr:nvPicPr>
        <xdr:cNvPr id="55" name="Imagen 54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6220618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834</xdr:row>
      <xdr:rowOff>103188</xdr:rowOff>
    </xdr:from>
    <xdr:ext cx="1492048" cy="595312"/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0621168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887</xdr:row>
      <xdr:rowOff>103188</xdr:rowOff>
    </xdr:from>
    <xdr:ext cx="1492048" cy="595312"/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17213063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945</xdr:row>
      <xdr:rowOff>103188</xdr:rowOff>
    </xdr:from>
    <xdr:ext cx="1492048" cy="595312"/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28214438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79375</xdr:colOff>
      <xdr:row>301</xdr:row>
      <xdr:rowOff>47625</xdr:rowOff>
    </xdr:from>
    <xdr:ext cx="1492048" cy="595312"/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9875" y="28321000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999</xdr:row>
      <xdr:rowOff>103188</xdr:rowOff>
    </xdr:from>
    <xdr:ext cx="1492048" cy="595312"/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3744575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1052</xdr:row>
      <xdr:rowOff>103188</xdr:rowOff>
    </xdr:from>
    <xdr:ext cx="1492048" cy="595312"/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5986125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1105</xdr:row>
      <xdr:rowOff>103188</xdr:rowOff>
    </xdr:from>
    <xdr:ext cx="1492048" cy="595312"/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7143750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1158</xdr:row>
      <xdr:rowOff>103188</xdr:rowOff>
    </xdr:from>
    <xdr:ext cx="1492048" cy="595312"/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8186400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1211</xdr:row>
      <xdr:rowOff>103188</xdr:rowOff>
    </xdr:from>
    <xdr:ext cx="1492048" cy="595312"/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92865376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1264</xdr:row>
      <xdr:rowOff>103188</xdr:rowOff>
    </xdr:from>
    <xdr:ext cx="1492048" cy="595312"/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22786975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1370</xdr:row>
      <xdr:rowOff>103188</xdr:rowOff>
    </xdr:from>
    <xdr:ext cx="1492048" cy="595312"/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22586950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1423</xdr:row>
      <xdr:rowOff>103188</xdr:rowOff>
    </xdr:from>
    <xdr:ext cx="1492048" cy="595312"/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236870876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1476</xdr:row>
      <xdr:rowOff>103188</xdr:rowOff>
    </xdr:from>
    <xdr:ext cx="1492048" cy="595312"/>
    <xdr:pic>
      <xdr:nvPicPr>
        <xdr:cNvPr id="67" name="Imagen 66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24787225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781</xdr:row>
      <xdr:rowOff>103188</xdr:rowOff>
    </xdr:from>
    <xdr:ext cx="1492048" cy="595312"/>
    <xdr:pic>
      <xdr:nvPicPr>
        <xdr:cNvPr id="68" name="Imagen 6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3250" y="115443001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1529</xdr:row>
      <xdr:rowOff>103188</xdr:rowOff>
    </xdr:from>
    <xdr:ext cx="1492048" cy="59531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775" y="61053663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1582</xdr:row>
      <xdr:rowOff>103188</xdr:rowOff>
    </xdr:from>
    <xdr:ext cx="1492048" cy="595312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775" y="146778663"/>
          <a:ext cx="1492048" cy="595312"/>
        </a:xfrm>
        <a:prstGeom prst="rect">
          <a:avLst/>
        </a:prstGeom>
      </xdr:spPr>
    </xdr:pic>
    <xdr:clientData/>
  </xdr:oneCellAnchor>
  <xdr:oneCellAnchor>
    <xdr:from>
      <xdr:col>13</xdr:col>
      <xdr:colOff>412750</xdr:colOff>
      <xdr:row>1636</xdr:row>
      <xdr:rowOff>103188</xdr:rowOff>
    </xdr:from>
    <xdr:ext cx="1492048" cy="595312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775" y="284691138"/>
          <a:ext cx="1492048" cy="59531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90718</xdr:colOff>
      <xdr:row>2</xdr:row>
      <xdr:rowOff>36284</xdr:rowOff>
    </xdr:from>
    <xdr:to>
      <xdr:col>10</xdr:col>
      <xdr:colOff>979717</xdr:colOff>
      <xdr:row>4</xdr:row>
      <xdr:rowOff>352753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6861" y="399141"/>
          <a:ext cx="888999" cy="760969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</xdr:col>
      <xdr:colOff>155222</xdr:colOff>
      <xdr:row>936</xdr:row>
      <xdr:rowOff>42333</xdr:rowOff>
    </xdr:from>
    <xdr:ext cx="1234722" cy="49264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778" y="20898555"/>
          <a:ext cx="1234722" cy="49264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896057</xdr:colOff>
      <xdr:row>1</xdr:row>
      <xdr:rowOff>63501</xdr:rowOff>
    </xdr:from>
    <xdr:to>
      <xdr:col>8</xdr:col>
      <xdr:colOff>805605</xdr:colOff>
      <xdr:row>3</xdr:row>
      <xdr:rowOff>148167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5613" y="246945"/>
          <a:ext cx="939659" cy="80433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</xdr:col>
      <xdr:colOff>197555</xdr:colOff>
      <xdr:row>75</xdr:row>
      <xdr:rowOff>105834</xdr:rowOff>
    </xdr:from>
    <xdr:ext cx="1492048" cy="59531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777" y="8706556"/>
          <a:ext cx="1492048" cy="59531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968375</xdr:colOff>
      <xdr:row>1</xdr:row>
      <xdr:rowOff>71436</xdr:rowOff>
    </xdr:from>
    <xdr:to>
      <xdr:col>8</xdr:col>
      <xdr:colOff>754062</xdr:colOff>
      <xdr:row>4</xdr:row>
      <xdr:rowOff>133519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253999"/>
          <a:ext cx="1222375" cy="1046333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148166</xdr:colOff>
      <xdr:row>63</xdr:row>
      <xdr:rowOff>84667</xdr:rowOff>
    </xdr:from>
    <xdr:ext cx="1492048" cy="59531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999" y="9101667"/>
          <a:ext cx="1492048" cy="595312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114301</xdr:colOff>
      <xdr:row>1</xdr:row>
      <xdr:rowOff>44450</xdr:rowOff>
    </xdr:from>
    <xdr:to>
      <xdr:col>4</xdr:col>
      <xdr:colOff>1031169</xdr:colOff>
      <xdr:row>2</xdr:row>
      <xdr:rowOff>514912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0101" y="139700"/>
          <a:ext cx="916868" cy="10991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262315</xdr:colOff>
      <xdr:row>1</xdr:row>
      <xdr:rowOff>76200</xdr:rowOff>
    </xdr:from>
    <xdr:to>
      <xdr:col>9</xdr:col>
      <xdr:colOff>980368</xdr:colOff>
      <xdr:row>3</xdr:row>
      <xdr:rowOff>359129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4015" y="171450"/>
          <a:ext cx="718053" cy="860779"/>
        </a:xfrm>
        <a:prstGeom prst="rect">
          <a:avLst/>
        </a:prstGeom>
      </xdr:spPr>
    </xdr:pic>
    <xdr:clientData/>
  </xdr:twoCellAnchor>
  <xdr:twoCellAnchor editAs="oneCell">
    <xdr:from>
      <xdr:col>7</xdr:col>
      <xdr:colOff>520701</xdr:colOff>
      <xdr:row>1</xdr:row>
      <xdr:rowOff>34057</xdr:rowOff>
    </xdr:from>
    <xdr:to>
      <xdr:col>8</xdr:col>
      <xdr:colOff>439430</xdr:colOff>
      <xdr:row>2</xdr:row>
      <xdr:rowOff>171450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1" y="129307"/>
          <a:ext cx="934729" cy="52474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135315</xdr:colOff>
      <xdr:row>1</xdr:row>
      <xdr:rowOff>101600</xdr:rowOff>
    </xdr:from>
    <xdr:to>
      <xdr:col>9</xdr:col>
      <xdr:colOff>958850</xdr:colOff>
      <xdr:row>4</xdr:row>
      <xdr:rowOff>314127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7015" y="292100"/>
          <a:ext cx="823535" cy="987227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1</xdr:row>
      <xdr:rowOff>40406</xdr:rowOff>
    </xdr:from>
    <xdr:to>
      <xdr:col>8</xdr:col>
      <xdr:colOff>417513</xdr:colOff>
      <xdr:row>3</xdr:row>
      <xdr:rowOff>150265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2950" y="230906"/>
          <a:ext cx="1225021" cy="68770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234951</xdr:colOff>
      <xdr:row>2</xdr:row>
      <xdr:rowOff>57150</xdr:rowOff>
    </xdr:from>
    <xdr:to>
      <xdr:col>8</xdr:col>
      <xdr:colOff>1240719</xdr:colOff>
      <xdr:row>3</xdr:row>
      <xdr:rowOff>602433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9151" y="311150"/>
          <a:ext cx="1005768" cy="12056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C\Users\OSCARRODRIGUEZ\Desktop\ESTACION%20SUR%20FOTOS\Hoja%20de%20c&#225;lculo%20en%20presentacion_consolidada_19_1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LA%20AGUADA\Centro%20de%20convenciones%20la%20Aguada%202019\4_Presupuesto\ENTREGABLE%20LA%20AGUADA%2003.10.18\Ppto%20Centro%20de%20Convenciones%20LA%20AGUADA_03.10.18_Entregab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LIRIO/Acued%20y%20Alcant/Presup%20Colector%20Au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ESPACIO%20PUBLICO%202020\PPTO%20MOBILIARIO%20URBANO%202020%20V-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ubia%20prada/Downloads/PRESUPUESTOS%2017%20-%2010%20-%202013/21-PRESUPUESTO%20EL%20CARMEN%20-%20YARIMA/Gepa/PRECIOS%20INVIAS/apus%20febrero%20de%202012%20-%20GRUPO%20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BAJO%20JEYSON\1.%20Consultorias\Acueducto%20-%20Socorro%20Vda%20Caraota\Entregables\6.%20Presupuesto%20Detallado\2.%20M.C.%20Acueducto%20caraota%20-%20Socorr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OBRA%20PUENTE%202020\PPTO%20PUENTE%20CALIFORNIA%20%20V2-27.04.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 MANT RED A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PRESUPUESTO"/>
      <sheetName val="A.P.U."/>
      <sheetName val="INSUMOS"/>
      <sheetName val="M.C."/>
      <sheetName val="INTERVENTORIA"/>
      <sheetName val="AIU"/>
      <sheetName val="F.M 2,4"/>
      <sheetName val="F.M 1,5"/>
      <sheetName val="#frentes_de_obra"/>
    </sheetNames>
    <sheetDataSet>
      <sheetData sheetId="0"/>
      <sheetData sheetId="1">
        <row r="237">
          <cell r="F237">
            <v>0.28999999999999998</v>
          </cell>
        </row>
        <row r="238">
          <cell r="F238">
            <v>0.01</v>
          </cell>
        </row>
        <row r="239">
          <cell r="F239">
            <v>0.05</v>
          </cell>
        </row>
      </sheetData>
      <sheetData sheetId="2"/>
      <sheetData sheetId="3"/>
      <sheetData sheetId="4"/>
      <sheetData sheetId="5">
        <row r="4">
          <cell r="G4" t="str">
            <v>FECHA: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PRESENTACION"/>
      <sheetName val="PPTO"/>
      <sheetName val="APUS"/>
      <sheetName val="INSUMOS"/>
      <sheetName val="AIU"/>
      <sheetName val="INTERVENTORIA"/>
      <sheetName val="F.M. 2.20"/>
      <sheetName val="PPTO PMA"/>
      <sheetName val="PPTO PMT"/>
      <sheetName val="Hoja4"/>
      <sheetName val="DESGLOCE PERSONAL"/>
      <sheetName val="FM"/>
    </sheetNames>
    <sheetDataSet>
      <sheetData sheetId="0"/>
      <sheetData sheetId="1"/>
      <sheetData sheetId="2">
        <row r="25">
          <cell r="C25" t="str">
            <v>CAP.2</v>
          </cell>
        </row>
        <row r="37">
          <cell r="C37" t="str">
            <v>CAP.4</v>
          </cell>
        </row>
        <row r="44">
          <cell r="C44" t="str">
            <v>CAP.5</v>
          </cell>
        </row>
        <row r="50">
          <cell r="C50" t="str">
            <v>CAP.6</v>
          </cell>
        </row>
        <row r="60">
          <cell r="C60" t="str">
            <v>CAP.7</v>
          </cell>
        </row>
        <row r="73">
          <cell r="C73" t="str">
            <v>CAP.8</v>
          </cell>
        </row>
        <row r="79">
          <cell r="C79" t="str">
            <v>CAP.9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MC."/>
      <sheetName val="P.C."/>
    </sheetNames>
    <sheetDataSet>
      <sheetData sheetId="0"/>
      <sheetData sheetId="1"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</row>
        <row r="7">
          <cell r="B7"/>
          <cell r="C7"/>
          <cell r="D7"/>
          <cell r="E7"/>
        </row>
        <row r="8">
          <cell r="B8" t="str">
            <v>ACUEDUCTO - DISTRIBUCION</v>
          </cell>
          <cell r="C8"/>
          <cell r="D8"/>
          <cell r="E8"/>
        </row>
        <row r="9">
          <cell r="B9" t="str">
            <v>CAP.1</v>
          </cell>
          <cell r="C9" t="str">
            <v>PRELIMINARES</v>
          </cell>
          <cell r="D9"/>
          <cell r="E9"/>
        </row>
        <row r="10">
          <cell r="B10" t="str">
            <v>1.1</v>
          </cell>
          <cell r="C10" t="str">
            <v>Localización y replanteo con equipo topográfico</v>
          </cell>
          <cell r="D10" t="str">
            <v>ml</v>
          </cell>
          <cell r="E10">
            <v>7914.57</v>
          </cell>
        </row>
        <row r="11">
          <cell r="B11" t="str">
            <v>1.2</v>
          </cell>
          <cell r="C11" t="str">
            <v>Demolición de losa maciza (Incluye retiro y disposición final)</v>
          </cell>
          <cell r="D11" t="str">
            <v>ml</v>
          </cell>
          <cell r="E11">
            <v>216</v>
          </cell>
        </row>
        <row r="12">
          <cell r="B12" t="str">
            <v>1.3</v>
          </cell>
          <cell r="C12" t="str">
            <v>Retiro de piedra labor en zonas de zanja de tubería</v>
          </cell>
          <cell r="D12" t="str">
            <v>ml</v>
          </cell>
          <cell r="E12">
            <v>27.5</v>
          </cell>
        </row>
        <row r="13">
          <cell r="B13"/>
          <cell r="C13"/>
          <cell r="D13"/>
          <cell r="E13"/>
        </row>
        <row r="14">
          <cell r="B14" t="str">
            <v>CAP.2</v>
          </cell>
          <cell r="C14" t="str">
            <v>MOVIMIENTO DE TIERRAS</v>
          </cell>
          <cell r="D14"/>
          <cell r="E14"/>
        </row>
        <row r="15">
          <cell r="B15" t="str">
            <v>2.1</v>
          </cell>
          <cell r="C15" t="str">
            <v>Excavación en material común en seco a maquina</v>
          </cell>
          <cell r="D15" t="str">
            <v>m3</v>
          </cell>
          <cell r="E15">
            <v>1126.3699999999999</v>
          </cell>
        </row>
        <row r="16">
          <cell r="B16" t="str">
            <v>2.2</v>
          </cell>
          <cell r="C16" t="str">
            <v>Excavación en material común en seco a mano</v>
          </cell>
          <cell r="D16" t="str">
            <v>m3</v>
          </cell>
          <cell r="E16">
            <v>422.64</v>
          </cell>
        </row>
        <row r="17">
          <cell r="B17" t="str">
            <v>2.3</v>
          </cell>
          <cell r="C17" t="str">
            <v>Excavación en roca</v>
          </cell>
          <cell r="D17" t="str">
            <v>m3</v>
          </cell>
          <cell r="E17">
            <v>387.25</v>
          </cell>
        </row>
        <row r="18">
          <cell r="B18" t="str">
            <v>2.4</v>
          </cell>
          <cell r="C18" t="str">
            <v>Conformación de la zanja con cama de arena o material granular fino</v>
          </cell>
          <cell r="D18" t="str">
            <v>ml</v>
          </cell>
          <cell r="E18">
            <v>791.45699999999999</v>
          </cell>
        </row>
        <row r="19">
          <cell r="B19" t="str">
            <v>2.5</v>
          </cell>
          <cell r="C19" t="str">
            <v>Relleno para zanja con material seleccionado de la excavación compactado al 90% por capas no mayor a 10 cm</v>
          </cell>
          <cell r="D19" t="str">
            <v>m3</v>
          </cell>
          <cell r="E19">
            <v>1352.0228</v>
          </cell>
        </row>
        <row r="20">
          <cell r="B20" t="str">
            <v>2.6</v>
          </cell>
          <cell r="C20" t="str">
            <v>Relleno para zanja con material de préstamo (recebo) compactado 90% por capas no mayor a 10 cm</v>
          </cell>
          <cell r="D20" t="str">
            <v>m3</v>
          </cell>
          <cell r="E20">
            <v>575.44280000000003</v>
          </cell>
        </row>
        <row r="21">
          <cell r="B21"/>
          <cell r="C21"/>
          <cell r="D21"/>
          <cell r="E21"/>
        </row>
        <row r="22">
          <cell r="B22" t="str">
            <v>CAP.3</v>
          </cell>
          <cell r="C22" t="str">
            <v>RED DE DISTRIBUCION</v>
          </cell>
          <cell r="D22"/>
          <cell r="E22"/>
        </row>
        <row r="23">
          <cell r="B23" t="str">
            <v>3.1</v>
          </cell>
          <cell r="C23" t="str">
            <v>Suministro e instalación de tubería de PVC Presión de 2" RDE 21</v>
          </cell>
          <cell r="D23" t="str">
            <v>ml</v>
          </cell>
          <cell r="E23">
            <v>4911.21</v>
          </cell>
        </row>
        <row r="24">
          <cell r="B24" t="str">
            <v>3.2</v>
          </cell>
          <cell r="C24" t="str">
            <v>Suministro e instalación de tubería de PVC Presión de 1" RDE 21</v>
          </cell>
          <cell r="D24" t="str">
            <v>ml</v>
          </cell>
          <cell r="E24">
            <v>117.22</v>
          </cell>
        </row>
        <row r="25">
          <cell r="B25" t="str">
            <v>3.3</v>
          </cell>
          <cell r="C25" t="str">
            <v>Suministro e instalación de tubería de PVC Presión de 1/2" RDE 13,5</v>
          </cell>
          <cell r="D25" t="str">
            <v>ml</v>
          </cell>
          <cell r="E25">
            <v>936.14</v>
          </cell>
        </row>
        <row r="26">
          <cell r="B26" t="str">
            <v>3.4</v>
          </cell>
          <cell r="C26" t="str">
            <v>Válvula de cierre metálico 2"</v>
          </cell>
          <cell r="D26" t="str">
            <v>und</v>
          </cell>
          <cell r="E26">
            <v>6</v>
          </cell>
        </row>
        <row r="27">
          <cell r="B27" t="str">
            <v>3.5</v>
          </cell>
          <cell r="C27" t="str">
            <v>Válvula ventosa para tubería de 2" doble efecto</v>
          </cell>
          <cell r="D27" t="str">
            <v>und</v>
          </cell>
          <cell r="E27">
            <v>11</v>
          </cell>
        </row>
        <row r="28">
          <cell r="B28" t="str">
            <v>3.6</v>
          </cell>
          <cell r="C28" t="str">
            <v>Macromedidor de agua 2" chorro único</v>
          </cell>
          <cell r="D28" t="str">
            <v>und</v>
          </cell>
          <cell r="E28">
            <v>1</v>
          </cell>
        </row>
        <row r="29">
          <cell r="B29" t="str">
            <v>3.7</v>
          </cell>
          <cell r="C29" t="str">
            <v>Estación reguladora de presión Tipo 2</v>
          </cell>
          <cell r="D29" t="str">
            <v>und</v>
          </cell>
          <cell r="E29">
            <v>5</v>
          </cell>
        </row>
        <row r="30">
          <cell r="B30" t="str">
            <v>3.8</v>
          </cell>
          <cell r="C30" t="str">
            <v>Caja de inspección para válvulas 60x60 cm</v>
          </cell>
          <cell r="D30" t="str">
            <v>und</v>
          </cell>
          <cell r="E30">
            <v>23</v>
          </cell>
        </row>
        <row r="31">
          <cell r="B31"/>
          <cell r="C31"/>
          <cell r="D31"/>
          <cell r="E31"/>
        </row>
        <row r="32">
          <cell r="B32" t="str">
            <v>CAP.4</v>
          </cell>
          <cell r="C32" t="str">
            <v>DOMICILIARIAS</v>
          </cell>
          <cell r="D32"/>
          <cell r="E32"/>
        </row>
        <row r="33">
          <cell r="B33" t="str">
            <v>4.1</v>
          </cell>
          <cell r="C33" t="str">
            <v>Suministro e instalación de tubería de PVC Presión de 1/2" RDE 13,5</v>
          </cell>
          <cell r="D33" t="str">
            <v>ml</v>
          </cell>
          <cell r="E33">
            <v>1950</v>
          </cell>
        </row>
        <row r="34">
          <cell r="B34" t="str">
            <v>4.2</v>
          </cell>
          <cell r="C34" t="str">
            <v>Collarín Derivación PVC 2" A 1/2"</v>
          </cell>
          <cell r="D34" t="str">
            <v>und</v>
          </cell>
          <cell r="E34">
            <v>50</v>
          </cell>
        </row>
        <row r="35">
          <cell r="B35" t="str">
            <v>4.3</v>
          </cell>
          <cell r="C35" t="str">
            <v>Medidor de agua volumétrico JSM 1/2"</v>
          </cell>
          <cell r="D35" t="str">
            <v>und</v>
          </cell>
          <cell r="E35">
            <v>50</v>
          </cell>
        </row>
        <row r="36">
          <cell r="B36" t="str">
            <v>4.4</v>
          </cell>
          <cell r="C36" t="str">
            <v>Caja para medidor en concreto mas tapa en hierro</v>
          </cell>
          <cell r="D36" t="str">
            <v>und</v>
          </cell>
          <cell r="E36">
            <v>50</v>
          </cell>
        </row>
        <row r="37">
          <cell r="B37" t="str">
            <v>4.5</v>
          </cell>
          <cell r="C37" t="str">
            <v>Válvulas para medidores 1/2" (Incluye registro de corte antifraude, check anti retorno y válvula de corte)</v>
          </cell>
          <cell r="D37" t="str">
            <v>und</v>
          </cell>
          <cell r="E37">
            <v>50</v>
          </cell>
        </row>
        <row r="38">
          <cell r="B38"/>
          <cell r="C38"/>
          <cell r="D38"/>
          <cell r="E38"/>
        </row>
        <row r="39">
          <cell r="B39" t="str">
            <v>CAP.5</v>
          </cell>
          <cell r="C39" t="str">
            <v>ESTRUCTURAS DE PASOS AEREOS</v>
          </cell>
          <cell r="D39"/>
          <cell r="E39"/>
        </row>
        <row r="40">
          <cell r="B40" t="str">
            <v>5.1</v>
          </cell>
          <cell r="C40" t="str">
            <v>Concreto clase F para solado de limpieza espesor 0,05 cm</v>
          </cell>
          <cell r="D40" t="str">
            <v>m2</v>
          </cell>
          <cell r="E40">
            <v>6</v>
          </cell>
        </row>
        <row r="41">
          <cell r="B41" t="str">
            <v>5.2</v>
          </cell>
          <cell r="C41" t="str">
            <v>Concreto ciclópeo 60-40 (Concreto clase D 60% - Piedra rajón 40%)</v>
          </cell>
          <cell r="D41" t="str">
            <v>m3</v>
          </cell>
          <cell r="E41">
            <v>3</v>
          </cell>
        </row>
        <row r="42">
          <cell r="B42" t="str">
            <v>5.3</v>
          </cell>
          <cell r="C42" t="str">
            <v>Concreto clase D para cimentación, pedestal y macizo</v>
          </cell>
          <cell r="D42" t="str">
            <v>m3</v>
          </cell>
          <cell r="E42">
            <v>7</v>
          </cell>
        </row>
        <row r="43">
          <cell r="B43" t="str">
            <v>5.4</v>
          </cell>
          <cell r="C43" t="str">
            <v>Guaya de acero para paso aéreo</v>
          </cell>
          <cell r="D43" t="str">
            <v>ml</v>
          </cell>
          <cell r="E43">
            <v>58</v>
          </cell>
        </row>
        <row r="44">
          <cell r="B44" t="str">
            <v>5.5</v>
          </cell>
          <cell r="C44" t="str">
            <v>H metálica en tubo estructural 4" para paso aéreo</v>
          </cell>
          <cell r="D44" t="str">
            <v>und</v>
          </cell>
          <cell r="E44">
            <v>4</v>
          </cell>
        </row>
        <row r="45">
          <cell r="B45" t="str">
            <v>5.6</v>
          </cell>
          <cell r="C45" t="str">
            <v>Acero de refuerzo de 60000 PSI - 420 Mpa</v>
          </cell>
          <cell r="D45" t="str">
            <v>und</v>
          </cell>
          <cell r="E45">
            <v>201.76</v>
          </cell>
        </row>
        <row r="46">
          <cell r="B46"/>
          <cell r="C46"/>
          <cell r="D46"/>
          <cell r="E46"/>
        </row>
        <row r="47">
          <cell r="B47" t="str">
            <v>CAP.6</v>
          </cell>
          <cell r="C47" t="str">
            <v>COMPONENTE VARIOS</v>
          </cell>
          <cell r="D47"/>
          <cell r="E47"/>
        </row>
        <row r="48">
          <cell r="B48" t="str">
            <v>6.1</v>
          </cell>
          <cell r="C48" t="str">
            <v>Construcción de pavimento en piedra labor con ancho promedio de 70 cm</v>
          </cell>
          <cell r="D48" t="str">
            <v>ml</v>
          </cell>
          <cell r="E48">
            <v>27.5</v>
          </cell>
        </row>
        <row r="49">
          <cell r="B49" t="str">
            <v>6.2</v>
          </cell>
          <cell r="C49" t="str">
            <v>Construcción de pavimento rígido con ancho promedio de 70 cm</v>
          </cell>
          <cell r="D49" t="str">
            <v>ml</v>
          </cell>
          <cell r="E49">
            <v>216</v>
          </cell>
        </row>
        <row r="50">
          <cell r="B50"/>
          <cell r="C50"/>
          <cell r="D50"/>
          <cell r="E50"/>
        </row>
        <row r="51">
          <cell r="B51"/>
          <cell r="C51"/>
          <cell r="D51"/>
          <cell r="E51"/>
        </row>
        <row r="52">
          <cell r="B52" t="str">
            <v>ELABORO:</v>
          </cell>
          <cell r="C52"/>
          <cell r="E52"/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PPTO"/>
      <sheetName val="CRONOGRAMA"/>
      <sheetName val="APUS"/>
      <sheetName val="INSUMOS"/>
      <sheetName val="INTERVENTORIA"/>
      <sheetName val="F.M. 1,75"/>
      <sheetName val="PPTO PMT"/>
      <sheetName val="PPTO PMA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C8" t="str">
            <v>MAQUINARIA/EQUIPOS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C9" t="str">
            <v>No.</v>
          </cell>
          <cell r="D9" t="str">
            <v>DESCRIPCION</v>
          </cell>
          <cell r="E9">
            <v>0</v>
          </cell>
          <cell r="F9">
            <v>0</v>
          </cell>
          <cell r="G9">
            <v>0</v>
          </cell>
          <cell r="H9" t="str">
            <v>UND.</v>
          </cell>
          <cell r="I9" t="str">
            <v>VR.UNIT.</v>
          </cell>
          <cell r="J9" t="str">
            <v>CANT.</v>
          </cell>
          <cell r="K9" t="str">
            <v>VR. TOTAL</v>
          </cell>
        </row>
        <row r="10">
          <cell r="C10">
            <v>1</v>
          </cell>
          <cell r="D10" t="str">
            <v>HERRAMIENTA MENOR</v>
          </cell>
          <cell r="E10">
            <v>0</v>
          </cell>
          <cell r="F10">
            <v>0</v>
          </cell>
          <cell r="G10">
            <v>0</v>
          </cell>
          <cell r="H10" t="str">
            <v>%</v>
          </cell>
          <cell r="I10">
            <v>0</v>
          </cell>
          <cell r="J10">
            <v>0</v>
          </cell>
          <cell r="K10">
            <v>2518759.1978264796</v>
          </cell>
        </row>
        <row r="11">
          <cell r="C11">
            <v>2</v>
          </cell>
          <cell r="D11" t="str">
            <v>MEZCLADORA DE CONCRETO</v>
          </cell>
          <cell r="E11">
            <v>0</v>
          </cell>
          <cell r="F11">
            <v>0</v>
          </cell>
          <cell r="G11">
            <v>0</v>
          </cell>
          <cell r="H11" t="str">
            <v>HR</v>
          </cell>
          <cell r="I11">
            <v>13000</v>
          </cell>
          <cell r="J11">
            <v>176.67636000000002</v>
          </cell>
          <cell r="K11">
            <v>2296792.6800000002</v>
          </cell>
        </row>
        <row r="12">
          <cell r="C12">
            <v>3</v>
          </cell>
          <cell r="D12" t="str">
            <v>VIBRADOR DE CONCRETO</v>
          </cell>
          <cell r="E12">
            <v>0</v>
          </cell>
          <cell r="F12">
            <v>0</v>
          </cell>
          <cell r="G12">
            <v>0</v>
          </cell>
          <cell r="H12" t="str">
            <v>HR</v>
          </cell>
          <cell r="I12">
            <v>10500</v>
          </cell>
          <cell r="J12">
            <v>60.791899999999998</v>
          </cell>
          <cell r="K12">
            <v>638314.94999999995</v>
          </cell>
        </row>
        <row r="13">
          <cell r="C13">
            <v>9</v>
          </cell>
          <cell r="D13" t="str">
            <v>TALADRO</v>
          </cell>
          <cell r="E13">
            <v>0</v>
          </cell>
          <cell r="F13">
            <v>0</v>
          </cell>
          <cell r="G13">
            <v>0</v>
          </cell>
          <cell r="H13" t="str">
            <v>DIA</v>
          </cell>
          <cell r="I13">
            <v>35000</v>
          </cell>
          <cell r="J13">
            <v>0.33333333333333331</v>
          </cell>
          <cell r="K13">
            <v>11666.666666666666</v>
          </cell>
        </row>
        <row r="14">
          <cell r="C14">
            <v>10</v>
          </cell>
          <cell r="D14" t="str">
            <v>FORMALETA</v>
          </cell>
          <cell r="E14">
            <v>0</v>
          </cell>
          <cell r="F14">
            <v>0</v>
          </cell>
          <cell r="G14">
            <v>0</v>
          </cell>
          <cell r="H14" t="str">
            <v>DIA</v>
          </cell>
          <cell r="I14">
            <v>9500</v>
          </cell>
          <cell r="J14">
            <v>131.34033333333332</v>
          </cell>
          <cell r="K14">
            <v>1247733.1666666665</v>
          </cell>
        </row>
        <row r="15">
          <cell r="C15">
            <v>12</v>
          </cell>
          <cell r="D15" t="str">
            <v>EQUIPO DE SOLDADURA</v>
          </cell>
          <cell r="E15">
            <v>0</v>
          </cell>
          <cell r="F15">
            <v>0</v>
          </cell>
          <cell r="G15">
            <v>0</v>
          </cell>
          <cell r="H15" t="str">
            <v>HR</v>
          </cell>
          <cell r="I15">
            <v>12000</v>
          </cell>
          <cell r="J15">
            <v>51.8</v>
          </cell>
          <cell r="K15">
            <v>621600</v>
          </cell>
        </row>
        <row r="16">
          <cell r="C16">
            <v>13</v>
          </cell>
          <cell r="D16" t="str">
            <v>VOLQUETA 6 m3</v>
          </cell>
          <cell r="E16">
            <v>0</v>
          </cell>
          <cell r="F16">
            <v>0</v>
          </cell>
          <cell r="G16">
            <v>0</v>
          </cell>
          <cell r="H16" t="str">
            <v>M3/KM</v>
          </cell>
          <cell r="I16">
            <v>1200</v>
          </cell>
          <cell r="J16">
            <v>3201.5550000000003</v>
          </cell>
          <cell r="K16">
            <v>3841866.0000000005</v>
          </cell>
        </row>
        <row r="17">
          <cell r="C17">
            <v>15</v>
          </cell>
          <cell r="D17" t="str">
            <v>RETROEXCAVADORA CAT 320 EQUIVALENTE O SUPERIOR</v>
          </cell>
          <cell r="E17">
            <v>0</v>
          </cell>
          <cell r="F17">
            <v>0</v>
          </cell>
          <cell r="G17">
            <v>0</v>
          </cell>
          <cell r="H17" t="str">
            <v>hr</v>
          </cell>
          <cell r="I17">
            <v>150000</v>
          </cell>
          <cell r="J17">
            <v>56.47506666666667</v>
          </cell>
          <cell r="K17">
            <v>8471260</v>
          </cell>
        </row>
        <row r="18">
          <cell r="C18" t="str">
            <v>e1</v>
          </cell>
          <cell r="D18" t="str">
            <v>compactador tipo saltrarin</v>
          </cell>
          <cell r="E18">
            <v>0</v>
          </cell>
          <cell r="F18">
            <v>0</v>
          </cell>
          <cell r="G18">
            <v>0</v>
          </cell>
          <cell r="H18" t="str">
            <v>Dia</v>
          </cell>
          <cell r="I18">
            <v>60000</v>
          </cell>
          <cell r="J18">
            <v>37.770000000000003</v>
          </cell>
          <cell r="K18">
            <v>2266200</v>
          </cell>
        </row>
        <row r="19">
          <cell r="C19">
            <v>23</v>
          </cell>
          <cell r="D19" t="str">
            <v>ANDAMIO TUBULAR</v>
          </cell>
          <cell r="E19">
            <v>0</v>
          </cell>
          <cell r="F19">
            <v>0</v>
          </cell>
          <cell r="G19">
            <v>0</v>
          </cell>
          <cell r="H19" t="str">
            <v>Seccion/DIA</v>
          </cell>
          <cell r="I19">
            <v>3000</v>
          </cell>
          <cell r="J19">
            <v>90.85</v>
          </cell>
          <cell r="K19">
            <v>272550</v>
          </cell>
        </row>
        <row r="20">
          <cell r="C20" t="str">
            <v>e2</v>
          </cell>
          <cell r="D20" t="str">
            <v>TEODOLITO DIGITAL (EQUIPO DE PRECISION TOPOGRAFICA)</v>
          </cell>
          <cell r="E20">
            <v>0</v>
          </cell>
          <cell r="F20">
            <v>0</v>
          </cell>
          <cell r="G20">
            <v>0</v>
          </cell>
          <cell r="H20" t="str">
            <v>DIA</v>
          </cell>
          <cell r="I20">
            <v>110000</v>
          </cell>
          <cell r="J20">
            <v>17.374000000000002</v>
          </cell>
          <cell r="K20">
            <v>1911140.0000000002</v>
          </cell>
        </row>
        <row r="21">
          <cell r="C21" t="str">
            <v>e6</v>
          </cell>
          <cell r="D21" t="str">
            <v>Soldador Electrico</v>
          </cell>
          <cell r="E21">
            <v>0</v>
          </cell>
          <cell r="F21">
            <v>0</v>
          </cell>
          <cell r="G21">
            <v>0</v>
          </cell>
          <cell r="H21" t="str">
            <v>HR</v>
          </cell>
          <cell r="I21">
            <v>165000</v>
          </cell>
          <cell r="J21">
            <v>0.18</v>
          </cell>
          <cell r="K21">
            <v>29700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 t="str">
            <v>SUBTOTAL MAQUINARIA/EQUIPOS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24127582.661159813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C25" t="str">
            <v>MANO DE OBRA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C26" t="str">
            <v>No.</v>
          </cell>
          <cell r="D26" t="str">
            <v>DESCRIPCION</v>
          </cell>
          <cell r="E26" t="str">
            <v>UND</v>
          </cell>
          <cell r="F26" t="str">
            <v>JORNAL</v>
          </cell>
          <cell r="G26" t="str">
            <v>I.D.P.A.</v>
          </cell>
          <cell r="H26" t="str">
            <v>P.S.</v>
          </cell>
          <cell r="I26" t="str">
            <v>JORNAL TOTAL</v>
          </cell>
          <cell r="J26" t="str">
            <v>CANT.</v>
          </cell>
          <cell r="K26" t="str">
            <v>VR. TOTAL</v>
          </cell>
        </row>
        <row r="27">
          <cell r="C27">
            <v>18</v>
          </cell>
          <cell r="D27" t="str">
            <v>OFICIAL</v>
          </cell>
          <cell r="E27" t="str">
            <v>JORNAL+PS</v>
          </cell>
          <cell r="F27">
            <v>32688.566666666666</v>
          </cell>
          <cell r="G27">
            <v>19613.14</v>
          </cell>
          <cell r="H27">
            <v>23408.080000000002</v>
          </cell>
          <cell r="I27">
            <v>75709.786666666667</v>
          </cell>
          <cell r="J27">
            <v>231.11250480423283</v>
          </cell>
          <cell r="K27">
            <v>17497478.434727442</v>
          </cell>
        </row>
        <row r="28">
          <cell r="C28">
            <v>21</v>
          </cell>
          <cell r="D28" t="str">
            <v>TOPOGRAFO</v>
          </cell>
          <cell r="E28" t="str">
            <v>JORNAL+PS</v>
          </cell>
          <cell r="F28">
            <v>61948.666666666664</v>
          </cell>
          <cell r="G28">
            <v>9292.2999999999993</v>
          </cell>
          <cell r="H28">
            <v>46816.160000000003</v>
          </cell>
          <cell r="I28">
            <v>118057.12666666666</v>
          </cell>
          <cell r="J28">
            <v>5.7913333333333332</v>
          </cell>
          <cell r="K28">
            <v>683708.17290222214</v>
          </cell>
        </row>
        <row r="29">
          <cell r="C29">
            <v>22</v>
          </cell>
          <cell r="D29" t="str">
            <v>CADENERO</v>
          </cell>
          <cell r="E29" t="str">
            <v>JORNAL+PS</v>
          </cell>
          <cell r="F29">
            <v>32688.566666666666</v>
          </cell>
          <cell r="G29">
            <v>4903.2849999999999</v>
          </cell>
          <cell r="H29">
            <v>23408.080000000002</v>
          </cell>
          <cell r="I29">
            <v>60999.931666666671</v>
          </cell>
          <cell r="J29">
            <v>5.7913333333333332</v>
          </cell>
          <cell r="K29">
            <v>353270.93759222224</v>
          </cell>
        </row>
        <row r="30">
          <cell r="C30">
            <v>24</v>
          </cell>
          <cell r="D30" t="str">
            <v>OFICIAL ELECTRICO</v>
          </cell>
          <cell r="E30" t="str">
            <v>JORNAL+PS</v>
          </cell>
          <cell r="F30">
            <v>32688.566666666666</v>
          </cell>
          <cell r="G30">
            <v>11440.998333333333</v>
          </cell>
          <cell r="H30">
            <v>23408.080000000002</v>
          </cell>
          <cell r="I30">
            <v>67537.645000000004</v>
          </cell>
          <cell r="J30">
            <v>15.174999999999999</v>
          </cell>
          <cell r="K30">
            <v>1024883.762875</v>
          </cell>
        </row>
        <row r="31">
          <cell r="C31">
            <v>25</v>
          </cell>
          <cell r="D31" t="str">
            <v>AYUDANTE</v>
          </cell>
          <cell r="E31" t="str">
            <v>JORNAL+PS</v>
          </cell>
          <cell r="F31">
            <v>32688.566666666666</v>
          </cell>
          <cell r="G31">
            <v>3268.8566666666666</v>
          </cell>
          <cell r="H31">
            <v>23408.080000000002</v>
          </cell>
          <cell r="I31">
            <v>59365.503333333334</v>
          </cell>
          <cell r="J31">
            <v>519.085781121693</v>
          </cell>
          <cell r="K31">
            <v>30815788.669465803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C33" t="str">
            <v>SUBTOTAL MANO DE OBRA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50375129.977562688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 t="str">
            <v>TRANSPORTES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C36" t="str">
            <v>No.</v>
          </cell>
          <cell r="D36" t="str">
            <v>DESCRIPCION</v>
          </cell>
          <cell r="E36">
            <v>0</v>
          </cell>
          <cell r="F36">
            <v>0</v>
          </cell>
          <cell r="G36">
            <v>0</v>
          </cell>
          <cell r="H36" t="str">
            <v>UND.</v>
          </cell>
          <cell r="I36" t="str">
            <v>VR.UNIT.</v>
          </cell>
          <cell r="J36" t="str">
            <v>CANT.</v>
          </cell>
          <cell r="K36" t="str">
            <v>VR. TOTAL</v>
          </cell>
        </row>
        <row r="37">
          <cell r="C37">
            <v>801</v>
          </cell>
          <cell r="D37" t="str">
            <v>Transporte arena lavada (Bucaramanga - California)</v>
          </cell>
          <cell r="E37">
            <v>0</v>
          </cell>
          <cell r="F37">
            <v>0</v>
          </cell>
          <cell r="G37">
            <v>0</v>
          </cell>
          <cell r="H37" t="str">
            <v>m3</v>
          </cell>
          <cell r="I37">
            <v>1300</v>
          </cell>
          <cell r="J37">
            <v>7144.2846049680011</v>
          </cell>
          <cell r="K37">
            <v>9287569.9864584021</v>
          </cell>
        </row>
        <row r="38">
          <cell r="C38">
            <v>802</v>
          </cell>
          <cell r="D38" t="str">
            <v>Transporte triturado de 3/4" (Bucaramanga - California</v>
          </cell>
          <cell r="E38">
            <v>0</v>
          </cell>
          <cell r="F38">
            <v>0</v>
          </cell>
          <cell r="G38">
            <v>0</v>
          </cell>
          <cell r="H38" t="str">
            <v>m3</v>
          </cell>
          <cell r="I38">
            <v>1300</v>
          </cell>
          <cell r="J38">
            <v>7220.9594889768014</v>
          </cell>
          <cell r="K38">
            <v>9387247.3356698416</v>
          </cell>
        </row>
        <row r="39">
          <cell r="C39">
            <v>803</v>
          </cell>
          <cell r="D39" t="str">
            <v>Transporte cemento</v>
          </cell>
          <cell r="E39">
            <v>0</v>
          </cell>
          <cell r="F39">
            <v>0</v>
          </cell>
          <cell r="G39">
            <v>0</v>
          </cell>
          <cell r="H39" t="str">
            <v>m3</v>
          </cell>
          <cell r="I39">
            <v>1</v>
          </cell>
          <cell r="J39">
            <v>4541221.2310920004</v>
          </cell>
          <cell r="K39">
            <v>4541221.2310920004</v>
          </cell>
        </row>
        <row r="40">
          <cell r="C40">
            <v>811</v>
          </cell>
          <cell r="D40" t="str">
            <v>Transporte material granular</v>
          </cell>
          <cell r="E40">
            <v>0</v>
          </cell>
          <cell r="F40">
            <v>0</v>
          </cell>
          <cell r="G40">
            <v>0</v>
          </cell>
          <cell r="H40" t="str">
            <v>km</v>
          </cell>
          <cell r="I40">
            <v>1300</v>
          </cell>
          <cell r="J40">
            <v>4737.9814999999999</v>
          </cell>
          <cell r="K40">
            <v>6159375.9500000002</v>
          </cell>
        </row>
        <row r="41">
          <cell r="C41">
            <v>1016</v>
          </cell>
          <cell r="D41" t="str">
            <v>Transporte Acero de refuerzo</v>
          </cell>
          <cell r="E41">
            <v>0</v>
          </cell>
          <cell r="F41">
            <v>0</v>
          </cell>
          <cell r="G41">
            <v>0</v>
          </cell>
          <cell r="H41" t="str">
            <v>Kg/Km</v>
          </cell>
          <cell r="I41">
            <v>10</v>
          </cell>
          <cell r="J41">
            <v>915264.63</v>
          </cell>
          <cell r="K41">
            <v>9152646.3000000007</v>
          </cell>
        </row>
        <row r="42">
          <cell r="C42">
            <v>1021</v>
          </cell>
          <cell r="D42" t="str">
            <v>Transporte Otros materiales</v>
          </cell>
          <cell r="E42">
            <v>0</v>
          </cell>
          <cell r="F42">
            <v>0</v>
          </cell>
          <cell r="G42">
            <v>0</v>
          </cell>
          <cell r="H42" t="str">
            <v>km</v>
          </cell>
          <cell r="I42">
            <v>1300</v>
          </cell>
          <cell r="J42">
            <v>1119.2479600000001</v>
          </cell>
          <cell r="K42">
            <v>1455022.3480000002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</row>
        <row r="44">
          <cell r="C44" t="str">
            <v>SUBTOTAL TRANSPORTES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39983083.15122024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C46" t="str">
            <v>MATERIALES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 t="str">
            <v>No.</v>
          </cell>
          <cell r="D47" t="str">
            <v>DESCRIPCION</v>
          </cell>
          <cell r="E47">
            <v>0</v>
          </cell>
          <cell r="F47">
            <v>0</v>
          </cell>
          <cell r="G47">
            <v>0</v>
          </cell>
          <cell r="H47" t="str">
            <v>UND.</v>
          </cell>
          <cell r="I47" t="str">
            <v>VR.UNIT.</v>
          </cell>
          <cell r="J47" t="str">
            <v>CANT.</v>
          </cell>
          <cell r="K47" t="str">
            <v>VR. TOTAL</v>
          </cell>
        </row>
        <row r="48">
          <cell r="C48">
            <v>28</v>
          </cell>
          <cell r="D48" t="str">
            <v>CEMENTO GRIS</v>
          </cell>
          <cell r="E48">
            <v>0</v>
          </cell>
          <cell r="F48">
            <v>0</v>
          </cell>
          <cell r="G48">
            <v>0</v>
          </cell>
          <cell r="H48" t="str">
            <v>KG</v>
          </cell>
          <cell r="I48">
            <v>600</v>
          </cell>
          <cell r="J48">
            <v>77231.653590000002</v>
          </cell>
          <cell r="K48">
            <v>46338992.153999999</v>
          </cell>
        </row>
        <row r="49">
          <cell r="C49">
            <v>29</v>
          </cell>
          <cell r="D49" t="str">
            <v>ARENA GRUESA</v>
          </cell>
          <cell r="E49">
            <v>0</v>
          </cell>
          <cell r="F49">
            <v>0</v>
          </cell>
          <cell r="G49">
            <v>0</v>
          </cell>
          <cell r="H49" t="str">
            <v>M3</v>
          </cell>
          <cell r="I49">
            <v>45000</v>
          </cell>
          <cell r="J49">
            <v>121.50143886000002</v>
          </cell>
          <cell r="K49">
            <v>5467564.7487000013</v>
          </cell>
        </row>
        <row r="50">
          <cell r="C50">
            <v>30</v>
          </cell>
          <cell r="D50" t="str">
            <v>TRITURADO DE 3/4"</v>
          </cell>
          <cell r="E50">
            <v>0</v>
          </cell>
          <cell r="F50">
            <v>0</v>
          </cell>
          <cell r="G50">
            <v>0</v>
          </cell>
          <cell r="H50" t="str">
            <v>M3</v>
          </cell>
          <cell r="I50">
            <v>60000</v>
          </cell>
          <cell r="J50">
            <v>122.80543348600001</v>
          </cell>
          <cell r="K50">
            <v>7368326.0091600008</v>
          </cell>
        </row>
        <row r="51">
          <cell r="C51">
            <v>31</v>
          </cell>
          <cell r="D51" t="str">
            <v>AGUA</v>
          </cell>
          <cell r="E51">
            <v>0</v>
          </cell>
          <cell r="F51">
            <v>0</v>
          </cell>
          <cell r="G51">
            <v>0</v>
          </cell>
          <cell r="H51" t="str">
            <v>LT</v>
          </cell>
          <cell r="I51">
            <v>180</v>
          </cell>
          <cell r="J51">
            <v>34509.293280000013</v>
          </cell>
          <cell r="K51">
            <v>6211672.7904000022</v>
          </cell>
        </row>
        <row r="52">
          <cell r="C52">
            <v>37</v>
          </cell>
          <cell r="D52" t="str">
            <v>ALAMBRE NEGRO</v>
          </cell>
          <cell r="E52">
            <v>0</v>
          </cell>
          <cell r="F52">
            <v>0</v>
          </cell>
          <cell r="G52">
            <v>0</v>
          </cell>
          <cell r="H52" t="str">
            <v>KG</v>
          </cell>
          <cell r="I52">
            <v>3800</v>
          </cell>
          <cell r="J52">
            <v>15.0046</v>
          </cell>
          <cell r="K52">
            <v>57017.48</v>
          </cell>
        </row>
        <row r="53">
          <cell r="C53">
            <v>41</v>
          </cell>
          <cell r="D53" t="str">
            <v>PUNTILLA 2½"</v>
          </cell>
          <cell r="E53">
            <v>0</v>
          </cell>
          <cell r="F53">
            <v>0</v>
          </cell>
          <cell r="G53">
            <v>0</v>
          </cell>
          <cell r="H53" t="str">
            <v>LB</v>
          </cell>
          <cell r="I53">
            <v>3300</v>
          </cell>
          <cell r="J53">
            <v>9.9990000000000006</v>
          </cell>
          <cell r="K53">
            <v>32996.700000000004</v>
          </cell>
        </row>
        <row r="54">
          <cell r="C54">
            <v>56</v>
          </cell>
          <cell r="D54" t="str">
            <v>SOLDADURA LIQUIDA PVC ¼ GALON</v>
          </cell>
          <cell r="E54">
            <v>0</v>
          </cell>
          <cell r="F54">
            <v>0</v>
          </cell>
          <cell r="G54">
            <v>0</v>
          </cell>
          <cell r="H54" t="str">
            <v>UND</v>
          </cell>
          <cell r="I54">
            <v>56000</v>
          </cell>
          <cell r="J54">
            <v>0.20805999999999999</v>
          </cell>
          <cell r="K54">
            <v>11651.36</v>
          </cell>
        </row>
        <row r="55">
          <cell r="C55">
            <v>57</v>
          </cell>
          <cell r="D55" t="str">
            <v>LIMPIADOR REMOVER PVC 760 GRS</v>
          </cell>
          <cell r="E55">
            <v>0</v>
          </cell>
          <cell r="F55">
            <v>0</v>
          </cell>
          <cell r="G55">
            <v>0</v>
          </cell>
          <cell r="H55" t="str">
            <v>UND</v>
          </cell>
          <cell r="I55">
            <v>43000</v>
          </cell>
          <cell r="J55">
            <v>0.20805999999999999</v>
          </cell>
          <cell r="K55">
            <v>8946.58</v>
          </cell>
        </row>
        <row r="56">
          <cell r="C56">
            <v>119</v>
          </cell>
          <cell r="D56" t="str">
            <v>liston de 9cmx6cm</v>
          </cell>
          <cell r="E56">
            <v>0</v>
          </cell>
          <cell r="F56">
            <v>0</v>
          </cell>
          <cell r="G56">
            <v>0</v>
          </cell>
          <cell r="H56" t="str">
            <v>ml</v>
          </cell>
          <cell r="I56">
            <v>12000</v>
          </cell>
          <cell r="J56">
            <v>52.48</v>
          </cell>
          <cell r="K56">
            <v>629760</v>
          </cell>
        </row>
        <row r="57">
          <cell r="C57">
            <v>208</v>
          </cell>
          <cell r="D57" t="str">
            <v>Material de relleno</v>
          </cell>
          <cell r="E57">
            <v>0</v>
          </cell>
          <cell r="F57">
            <v>0</v>
          </cell>
          <cell r="G57">
            <v>0</v>
          </cell>
          <cell r="H57" t="str">
            <v>m3</v>
          </cell>
          <cell r="I57">
            <v>18500</v>
          </cell>
          <cell r="J57">
            <v>170.852</v>
          </cell>
          <cell r="K57">
            <v>3160762</v>
          </cell>
        </row>
        <row r="58">
          <cell r="C58">
            <v>208.1</v>
          </cell>
          <cell r="D58" t="str">
            <v>Epoxico para anclajes</v>
          </cell>
          <cell r="E58">
            <v>0</v>
          </cell>
          <cell r="F58">
            <v>0</v>
          </cell>
          <cell r="G58">
            <v>0</v>
          </cell>
          <cell r="H58" t="str">
            <v>cm3</v>
          </cell>
          <cell r="I58">
            <v>110000</v>
          </cell>
          <cell r="J58">
            <v>0.42000000000000004</v>
          </cell>
          <cell r="K58">
            <v>46200.000000000007</v>
          </cell>
        </row>
        <row r="59">
          <cell r="C59">
            <v>224</v>
          </cell>
          <cell r="D59" t="str">
            <v>ESTACA DE MADERA DE 2CM * 2CM</v>
          </cell>
          <cell r="E59">
            <v>0</v>
          </cell>
          <cell r="F59">
            <v>0</v>
          </cell>
          <cell r="G59">
            <v>0</v>
          </cell>
          <cell r="H59" t="str">
            <v>ML</v>
          </cell>
          <cell r="I59">
            <v>2700</v>
          </cell>
          <cell r="J59">
            <v>34.748000000000005</v>
          </cell>
          <cell r="K59">
            <v>93819.6</v>
          </cell>
        </row>
        <row r="60">
          <cell r="C60">
            <v>238</v>
          </cell>
          <cell r="D60" t="str">
            <v>SOLDADURA 6013</v>
          </cell>
          <cell r="E60">
            <v>0</v>
          </cell>
          <cell r="F60">
            <v>0</v>
          </cell>
          <cell r="G60">
            <v>0</v>
          </cell>
          <cell r="H60" t="str">
            <v>KG</v>
          </cell>
          <cell r="I60">
            <v>9000</v>
          </cell>
          <cell r="J60">
            <v>48.018599999999999</v>
          </cell>
          <cell r="K60">
            <v>432167.39999999997</v>
          </cell>
        </row>
        <row r="61">
          <cell r="C61">
            <v>434</v>
          </cell>
          <cell r="D61" t="str">
            <v>LIJA</v>
          </cell>
          <cell r="E61">
            <v>0</v>
          </cell>
          <cell r="F61">
            <v>0</v>
          </cell>
          <cell r="G61">
            <v>0</v>
          </cell>
          <cell r="H61" t="str">
            <v>UND</v>
          </cell>
          <cell r="I61">
            <v>1260</v>
          </cell>
          <cell r="J61">
            <v>104.895</v>
          </cell>
          <cell r="K61">
            <v>132167.69999999998</v>
          </cell>
        </row>
        <row r="62">
          <cell r="C62">
            <v>808</v>
          </cell>
          <cell r="D62" t="str">
            <v>ACERO DE REFUERZO</v>
          </cell>
          <cell r="E62">
            <v>0</v>
          </cell>
          <cell r="F62">
            <v>0</v>
          </cell>
          <cell r="G62">
            <v>0</v>
          </cell>
          <cell r="H62" t="str">
            <v>KG</v>
          </cell>
          <cell r="I62">
            <v>4200</v>
          </cell>
          <cell r="J62">
            <v>15565.725</v>
          </cell>
          <cell r="K62">
            <v>65376045</v>
          </cell>
        </row>
        <row r="63">
          <cell r="C63">
            <v>809</v>
          </cell>
          <cell r="D63" t="str">
            <v>alambre de amarre</v>
          </cell>
          <cell r="E63">
            <v>0</v>
          </cell>
          <cell r="F63">
            <v>0</v>
          </cell>
          <cell r="G63">
            <v>0</v>
          </cell>
          <cell r="H63" t="str">
            <v>Kg</v>
          </cell>
          <cell r="I63">
            <v>4100</v>
          </cell>
          <cell r="J63">
            <v>778.28625000000011</v>
          </cell>
          <cell r="K63">
            <v>3190973.6250000005</v>
          </cell>
        </row>
        <row r="64">
          <cell r="C64">
            <v>1011</v>
          </cell>
          <cell r="D64" t="str">
            <v>GASOLINA CORRIENTE</v>
          </cell>
          <cell r="E64">
            <v>0</v>
          </cell>
          <cell r="F64">
            <v>0</v>
          </cell>
          <cell r="G64">
            <v>0</v>
          </cell>
          <cell r="H64" t="str">
            <v>gln</v>
          </cell>
          <cell r="I64">
            <v>9000</v>
          </cell>
          <cell r="J64">
            <v>272.96497620000002</v>
          </cell>
          <cell r="K64">
            <v>2456684.7858000002</v>
          </cell>
        </row>
        <row r="65">
          <cell r="C65">
            <v>1012</v>
          </cell>
          <cell r="D65" t="str">
            <v>ACEITE MOTOR 4 TIEMPOS - 1/4 GLN</v>
          </cell>
          <cell r="E65">
            <v>0</v>
          </cell>
          <cell r="F65">
            <v>0</v>
          </cell>
          <cell r="G65">
            <v>0</v>
          </cell>
          <cell r="H65" t="str">
            <v>und</v>
          </cell>
          <cell r="I65">
            <v>20000</v>
          </cell>
          <cell r="J65">
            <v>17.667636000000002</v>
          </cell>
          <cell r="K65">
            <v>353352.72000000003</v>
          </cell>
        </row>
        <row r="66">
          <cell r="C66">
            <v>1013</v>
          </cell>
          <cell r="D66" t="str">
            <v>DESENCOFRANTE Separon N</v>
          </cell>
          <cell r="E66">
            <v>0</v>
          </cell>
          <cell r="F66">
            <v>0</v>
          </cell>
          <cell r="G66">
            <v>0</v>
          </cell>
          <cell r="H66" t="str">
            <v>Kg</v>
          </cell>
          <cell r="I66">
            <v>10120.950000000001</v>
          </cell>
          <cell r="J66">
            <v>66.502200000000002</v>
          </cell>
          <cell r="K66">
            <v>673065.44109000009</v>
          </cell>
        </row>
        <row r="67">
          <cell r="C67">
            <v>1014</v>
          </cell>
          <cell r="D67" t="str">
            <v>CURARDOR CONCRETO (Antisol Rojo Base Agua)</v>
          </cell>
          <cell r="E67">
            <v>0</v>
          </cell>
          <cell r="F67">
            <v>0</v>
          </cell>
          <cell r="G67">
            <v>0</v>
          </cell>
          <cell r="H67" t="str">
            <v>Kg</v>
          </cell>
          <cell r="I67">
            <v>11334.75</v>
          </cell>
          <cell r="J67">
            <v>66.502200000000002</v>
          </cell>
          <cell r="K67">
            <v>753785.81145000004</v>
          </cell>
        </row>
        <row r="68">
          <cell r="C68">
            <v>1017</v>
          </cell>
          <cell r="D68" t="str">
            <v>Sikaflex®-1A Plus i-cure (Blanco) 300ml</v>
          </cell>
          <cell r="E68">
            <v>0</v>
          </cell>
          <cell r="F68">
            <v>0</v>
          </cell>
          <cell r="G68">
            <v>0</v>
          </cell>
          <cell r="H68" t="str">
            <v>und</v>
          </cell>
          <cell r="I68">
            <v>48420.450000000004</v>
          </cell>
          <cell r="J68">
            <v>2.1481199999999996</v>
          </cell>
          <cell r="K68">
            <v>104012.93705399999</v>
          </cell>
        </row>
        <row r="69">
          <cell r="C69">
            <v>1035</v>
          </cell>
          <cell r="D69" t="str">
            <v>Pintulux 1 Galón Blanco 3en1 Metal y Maderas</v>
          </cell>
          <cell r="E69">
            <v>0</v>
          </cell>
          <cell r="F69">
            <v>0</v>
          </cell>
          <cell r="G69">
            <v>0</v>
          </cell>
          <cell r="H69" t="str">
            <v>gln</v>
          </cell>
          <cell r="I69">
            <v>71900</v>
          </cell>
          <cell r="J69">
            <v>14.95725</v>
          </cell>
          <cell r="K69">
            <v>1075426.2749999999</v>
          </cell>
        </row>
        <row r="70">
          <cell r="C70">
            <v>1073</v>
          </cell>
          <cell r="D70" t="str">
            <v>Plastocrete Dm 4.5Kg Sika o similar</v>
          </cell>
          <cell r="E70">
            <v>0</v>
          </cell>
          <cell r="F70">
            <v>0</v>
          </cell>
          <cell r="G70">
            <v>0</v>
          </cell>
          <cell r="H70" t="str">
            <v>und</v>
          </cell>
          <cell r="I70">
            <v>78076</v>
          </cell>
          <cell r="J70">
            <v>4.7711854166666665</v>
          </cell>
          <cell r="K70">
            <v>372515.07259166666</v>
          </cell>
        </row>
        <row r="71">
          <cell r="C71">
            <v>1083</v>
          </cell>
          <cell r="D71" t="str">
            <v>Cinta PVC Sika Waterbar O22 (Rollo de 15 mt)</v>
          </cell>
          <cell r="E71">
            <v>0</v>
          </cell>
          <cell r="F71">
            <v>0</v>
          </cell>
          <cell r="G71">
            <v>0</v>
          </cell>
          <cell r="H71" t="str">
            <v>ROLLO</v>
          </cell>
          <cell r="I71">
            <v>617897</v>
          </cell>
          <cell r="J71">
            <v>2.9938666666666665</v>
          </cell>
          <cell r="K71">
            <v>1849901.2317333331</v>
          </cell>
        </row>
        <row r="72">
          <cell r="C72">
            <v>1106</v>
          </cell>
          <cell r="D72" t="str">
            <v>Tela PP Verde 2.10x1.0 ml</v>
          </cell>
          <cell r="E72">
            <v>0</v>
          </cell>
          <cell r="F72">
            <v>0</v>
          </cell>
          <cell r="G72">
            <v>0</v>
          </cell>
          <cell r="H72" t="str">
            <v>ml</v>
          </cell>
          <cell r="I72">
            <v>1700</v>
          </cell>
          <cell r="J72">
            <v>26.24</v>
          </cell>
          <cell r="K72">
            <v>44608</v>
          </cell>
        </row>
        <row r="73">
          <cell r="C73">
            <v>1107</v>
          </cell>
          <cell r="D73" t="str">
            <v>Sub-base granular Clase A, No incluye transporte</v>
          </cell>
          <cell r="E73">
            <v>0</v>
          </cell>
          <cell r="F73">
            <v>0</v>
          </cell>
          <cell r="G73">
            <v>0</v>
          </cell>
          <cell r="H73" t="str">
            <v>m3</v>
          </cell>
          <cell r="I73">
            <v>64859</v>
          </cell>
          <cell r="J73">
            <v>14.175000000000001</v>
          </cell>
          <cell r="K73">
            <v>919376.32500000007</v>
          </cell>
        </row>
        <row r="74">
          <cell r="C74">
            <v>1117</v>
          </cell>
          <cell r="D74" t="str">
            <v>Lamina de Neopreno de medidas 30x40x12 cm. Compuesto por laminas de Neopreno y un lamina de Acero Cal. 1/4"</v>
          </cell>
          <cell r="E74">
            <v>0</v>
          </cell>
          <cell r="F74">
            <v>0</v>
          </cell>
          <cell r="G74">
            <v>0</v>
          </cell>
          <cell r="H74" t="str">
            <v>und</v>
          </cell>
          <cell r="I74">
            <v>326937.60000000003</v>
          </cell>
          <cell r="J74">
            <v>4</v>
          </cell>
          <cell r="K74">
            <v>1307750.4000000001</v>
          </cell>
        </row>
        <row r="75">
          <cell r="C75">
            <v>1118</v>
          </cell>
          <cell r="D75" t="str">
            <v>Juego de cuatro pernos para anclaje de material Neopreno</v>
          </cell>
          <cell r="E75">
            <v>0</v>
          </cell>
          <cell r="F75">
            <v>0</v>
          </cell>
          <cell r="G75">
            <v>0</v>
          </cell>
          <cell r="H75" t="str">
            <v>und</v>
          </cell>
          <cell r="I75">
            <v>35000</v>
          </cell>
          <cell r="J75">
            <v>8</v>
          </cell>
          <cell r="K75">
            <v>280000</v>
          </cell>
        </row>
        <row r="76">
          <cell r="C76">
            <v>1119</v>
          </cell>
          <cell r="D76" t="str">
            <v>Ángulo 6 metros 3 /16 x 1-1/2 pulgadas g - 50</v>
          </cell>
          <cell r="E76">
            <v>0</v>
          </cell>
          <cell r="F76">
            <v>0</v>
          </cell>
          <cell r="G76">
            <v>0</v>
          </cell>
          <cell r="H76" t="str">
            <v>und</v>
          </cell>
          <cell r="I76">
            <v>58100</v>
          </cell>
          <cell r="J76">
            <v>3.15</v>
          </cell>
          <cell r="K76">
            <v>183015</v>
          </cell>
        </row>
        <row r="77">
          <cell r="C77">
            <v>1120</v>
          </cell>
          <cell r="D77" t="str">
            <v>Junta EyM. Ref. EMD-1625</v>
          </cell>
          <cell r="E77">
            <v>0</v>
          </cell>
          <cell r="F77">
            <v>0</v>
          </cell>
          <cell r="G77">
            <v>0</v>
          </cell>
          <cell r="H77" t="str">
            <v>ml</v>
          </cell>
          <cell r="I77">
            <v>32890</v>
          </cell>
          <cell r="J77">
            <v>18.54</v>
          </cell>
          <cell r="K77">
            <v>609780.6</v>
          </cell>
        </row>
        <row r="78">
          <cell r="C78">
            <v>1121</v>
          </cell>
          <cell r="D78" t="str">
            <v>VARILLA G-60 W 1/2pulg x6m Corrugada</v>
          </cell>
          <cell r="E78">
            <v>0</v>
          </cell>
          <cell r="F78">
            <v>0</v>
          </cell>
          <cell r="G78">
            <v>0</v>
          </cell>
          <cell r="H78" t="str">
            <v>und</v>
          </cell>
          <cell r="I78">
            <v>17300</v>
          </cell>
          <cell r="J78">
            <v>3.4762499999999998</v>
          </cell>
          <cell r="K78">
            <v>60139.125</v>
          </cell>
        </row>
        <row r="79">
          <cell r="C79">
            <v>1122</v>
          </cell>
          <cell r="D79" t="str">
            <v>Tubo cuadrado 3/4 x 3/4" x 0.8mm Cal.20 x 6m. Colmena</v>
          </cell>
          <cell r="E79">
            <v>0</v>
          </cell>
          <cell r="F79">
            <v>0</v>
          </cell>
          <cell r="G79">
            <v>0</v>
          </cell>
          <cell r="H79" t="str">
            <v>und</v>
          </cell>
          <cell r="I79">
            <v>13100</v>
          </cell>
          <cell r="J79">
            <v>3.09</v>
          </cell>
          <cell r="K79">
            <v>40479</v>
          </cell>
        </row>
        <row r="80">
          <cell r="C80">
            <v>1123</v>
          </cell>
          <cell r="D80" t="str">
            <v>Electrodo 6013 x 1/8 kilo</v>
          </cell>
          <cell r="E80">
            <v>0</v>
          </cell>
          <cell r="F80">
            <v>0</v>
          </cell>
          <cell r="G80">
            <v>0</v>
          </cell>
          <cell r="H80" t="str">
            <v>KLS</v>
          </cell>
          <cell r="I80">
            <v>9150</v>
          </cell>
          <cell r="J80">
            <v>6.0255000000000001</v>
          </cell>
          <cell r="K80">
            <v>55133.324999999997</v>
          </cell>
        </row>
        <row r="81">
          <cell r="C81">
            <v>1124</v>
          </cell>
          <cell r="D81" t="str">
            <v>Geotextil nt 2500</v>
          </cell>
          <cell r="E81">
            <v>0</v>
          </cell>
          <cell r="F81">
            <v>0</v>
          </cell>
          <cell r="G81">
            <v>0</v>
          </cell>
          <cell r="H81" t="str">
            <v>m2</v>
          </cell>
          <cell r="I81">
            <v>6436</v>
          </cell>
          <cell r="J81">
            <v>42.42</v>
          </cell>
          <cell r="K81">
            <v>273015.12</v>
          </cell>
        </row>
        <row r="82">
          <cell r="C82">
            <v>1125</v>
          </cell>
          <cell r="D82" t="str">
            <v>TUBERÍA PERFORADA EN PVC 4" PARA DRENAJE CON FILTRO</v>
          </cell>
          <cell r="E82">
            <v>0</v>
          </cell>
          <cell r="F82">
            <v>0</v>
          </cell>
          <cell r="G82">
            <v>0</v>
          </cell>
          <cell r="H82" t="str">
            <v>ml</v>
          </cell>
          <cell r="I82">
            <v>20518.3</v>
          </cell>
          <cell r="J82">
            <v>21.21</v>
          </cell>
          <cell r="K82">
            <v>435193.14299999998</v>
          </cell>
        </row>
        <row r="83">
          <cell r="C83">
            <v>1126</v>
          </cell>
          <cell r="D83" t="str">
            <v>Roca muerta  (sin transporte)</v>
          </cell>
          <cell r="E83">
            <v>0</v>
          </cell>
          <cell r="F83">
            <v>0</v>
          </cell>
          <cell r="G83">
            <v>0</v>
          </cell>
          <cell r="H83" t="str">
            <v>m3</v>
          </cell>
          <cell r="I83">
            <v>35000</v>
          </cell>
          <cell r="J83">
            <v>5.3025000000000002</v>
          </cell>
          <cell r="K83">
            <v>185587.5</v>
          </cell>
        </row>
        <row r="84">
          <cell r="C84">
            <v>1127</v>
          </cell>
          <cell r="D84" t="str">
            <v>VARILLA G-60 W 3/4pulg x6m Corrugada</v>
          </cell>
          <cell r="E84">
            <v>0</v>
          </cell>
          <cell r="F84">
            <v>0</v>
          </cell>
          <cell r="G84">
            <v>0</v>
          </cell>
          <cell r="H84" t="str">
            <v>UND</v>
          </cell>
          <cell r="I84">
            <v>38750</v>
          </cell>
          <cell r="J84">
            <v>11.933999999999999</v>
          </cell>
          <cell r="K84">
            <v>462442.5</v>
          </cell>
        </row>
        <row r="85">
          <cell r="C85">
            <v>1128</v>
          </cell>
          <cell r="D85" t="str">
            <v>Material de relleno en neopreno</v>
          </cell>
          <cell r="E85">
            <v>0</v>
          </cell>
          <cell r="F85">
            <v>0</v>
          </cell>
          <cell r="G85">
            <v>0</v>
          </cell>
          <cell r="H85" t="str">
            <v>und</v>
          </cell>
          <cell r="I85">
            <v>35000</v>
          </cell>
          <cell r="J85">
            <v>0.47736000000000001</v>
          </cell>
          <cell r="K85">
            <v>16707.599999999999</v>
          </cell>
        </row>
        <row r="86">
          <cell r="C86">
            <v>1129</v>
          </cell>
          <cell r="D86" t="str">
            <v>TUBERI NEGRA 4" SCH40. Tramo de 6mt</v>
          </cell>
          <cell r="E86">
            <v>0</v>
          </cell>
          <cell r="F86">
            <v>0</v>
          </cell>
          <cell r="G86">
            <v>0</v>
          </cell>
          <cell r="H86" t="str">
            <v>und</v>
          </cell>
          <cell r="I86">
            <v>611283.96</v>
          </cell>
          <cell r="J86">
            <v>12.95</v>
          </cell>
          <cell r="K86">
            <v>7916127.2819999987</v>
          </cell>
        </row>
        <row r="87">
          <cell r="C87">
            <v>1130</v>
          </cell>
          <cell r="D87" t="str">
            <v>TUBERI NEGRA 3_1/2" SCH40. Tramo de 6mt</v>
          </cell>
          <cell r="E87">
            <v>0</v>
          </cell>
          <cell r="F87">
            <v>0</v>
          </cell>
          <cell r="G87">
            <v>0</v>
          </cell>
          <cell r="H87" t="str">
            <v>und</v>
          </cell>
          <cell r="I87">
            <v>483007.91</v>
          </cell>
          <cell r="J87">
            <v>6.0864999999999991</v>
          </cell>
          <cell r="K87">
            <v>2939827.6442149994</v>
          </cell>
        </row>
        <row r="88">
          <cell r="C88">
            <v>1131</v>
          </cell>
          <cell r="D88" t="str">
            <v>Viga Ipe 160mm 10.6lb/Ft 6m A572/G50</v>
          </cell>
          <cell r="E88">
            <v>0</v>
          </cell>
          <cell r="F88">
            <v>0</v>
          </cell>
          <cell r="G88">
            <v>0</v>
          </cell>
          <cell r="H88" t="str">
            <v>und</v>
          </cell>
          <cell r="I88">
            <v>373100</v>
          </cell>
          <cell r="J88">
            <v>1.9866477272727276</v>
          </cell>
          <cell r="K88">
            <v>741218.2670454547</v>
          </cell>
        </row>
        <row r="89">
          <cell r="C89">
            <v>1132</v>
          </cell>
          <cell r="D89" t="str">
            <v>Antioxido Imprimante Premium Metal Protection Metal Oxidado x340g</v>
          </cell>
          <cell r="E89">
            <v>0</v>
          </cell>
          <cell r="F89">
            <v>0</v>
          </cell>
          <cell r="G89">
            <v>0</v>
          </cell>
          <cell r="H89" t="str">
            <v>und</v>
          </cell>
          <cell r="I89">
            <v>29900</v>
          </cell>
          <cell r="J89">
            <v>19.0365</v>
          </cell>
          <cell r="K89">
            <v>569191.35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 t="str">
            <v>SUBTOTAL MATERIALES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163237399.60323945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</row>
        <row r="93">
          <cell r="C93" t="str">
            <v>TOTAL INSUMOS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277723195.39318216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png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A41A-4963-4CC6-9947-BBFBC1C4C508}">
  <dimension ref="A2:I33"/>
  <sheetViews>
    <sheetView view="pageBreakPreview" zoomScale="60" zoomScaleNormal="100" workbookViewId="0">
      <selection activeCell="A23" sqref="A23"/>
    </sheetView>
  </sheetViews>
  <sheetFormatPr baseColWidth="10" defaultColWidth="11.44140625" defaultRowHeight="13.8" x14ac:dyDescent="0.25"/>
  <cols>
    <col min="1" max="1" width="14" style="270" bestFit="1" customWidth="1"/>
    <col min="2" max="2" width="11.44140625" style="270"/>
    <col min="3" max="5" width="17.33203125" style="270" customWidth="1"/>
    <col min="6" max="7" width="11.44140625" style="270"/>
    <col min="8" max="8" width="77.88671875" style="270" customWidth="1"/>
    <col min="9" max="16384" width="11.44140625" style="270"/>
  </cols>
  <sheetData>
    <row r="2" spans="1:9" x14ac:dyDescent="0.25">
      <c r="A2" s="269" t="s">
        <v>25</v>
      </c>
      <c r="H2" s="270" t="s">
        <v>625</v>
      </c>
    </row>
    <row r="3" spans="1:9" ht="46.5" customHeight="1" x14ac:dyDescent="0.25">
      <c r="A3" s="626" t="s">
        <v>901</v>
      </c>
      <c r="B3" s="626"/>
      <c r="C3" s="626"/>
      <c r="D3" s="626"/>
      <c r="E3" s="626"/>
      <c r="H3" s="442" t="str">
        <f>A3</f>
        <v>CONSTRUCCIÓN DE PAVIMENTO EN PIEDRA LABOR Y OPTIMIZACIÓN DE LA RED DE ALCANTARILLADO SANITARIO CALLE 5 ENTRE CARRERA 3 Y 4 DEL CASCO URBANO DEL MUNICIPIO DE PINCHOTE, DEPARTAMENTO DE SANTANDER</v>
      </c>
    </row>
    <row r="5" spans="1:9" x14ac:dyDescent="0.25">
      <c r="A5" s="269" t="s">
        <v>473</v>
      </c>
    </row>
    <row r="6" spans="1:9" ht="16.5" customHeight="1" x14ac:dyDescent="0.25">
      <c r="A6" s="627" t="s">
        <v>776</v>
      </c>
      <c r="B6" s="627"/>
      <c r="C6" s="627"/>
      <c r="D6" s="627"/>
      <c r="E6" s="627"/>
      <c r="H6" s="551"/>
    </row>
    <row r="8" spans="1:9" x14ac:dyDescent="0.25">
      <c r="A8" s="269" t="s">
        <v>31</v>
      </c>
      <c r="H8" s="551"/>
    </row>
    <row r="9" spans="1:9" x14ac:dyDescent="0.25">
      <c r="A9" s="628" t="s">
        <v>964</v>
      </c>
      <c r="B9" s="627"/>
      <c r="C9" s="627"/>
      <c r="D9" s="627"/>
      <c r="E9" s="627"/>
    </row>
    <row r="10" spans="1:9" x14ac:dyDescent="0.25">
      <c r="H10" s="551"/>
    </row>
    <row r="11" spans="1:9" x14ac:dyDescent="0.25">
      <c r="A11" s="269" t="s">
        <v>42</v>
      </c>
    </row>
    <row r="12" spans="1:9" ht="17.25" customHeight="1" x14ac:dyDescent="0.25">
      <c r="A12" s="627" t="s">
        <v>898</v>
      </c>
      <c r="B12" s="627"/>
      <c r="C12" s="627"/>
      <c r="D12" s="627"/>
      <c r="E12" s="627"/>
    </row>
    <row r="13" spans="1:9" x14ac:dyDescent="0.25">
      <c r="H13" s="551"/>
    </row>
    <row r="14" spans="1:9" x14ac:dyDescent="0.25">
      <c r="C14" s="269" t="s">
        <v>777</v>
      </c>
    </row>
    <row r="15" spans="1:9" x14ac:dyDescent="0.25">
      <c r="C15" s="270" t="s">
        <v>778</v>
      </c>
      <c r="G15" s="551"/>
      <c r="H15" s="551"/>
      <c r="I15" s="551"/>
    </row>
    <row r="16" spans="1:9" x14ac:dyDescent="0.25">
      <c r="C16" s="270" t="s">
        <v>779</v>
      </c>
      <c r="G16" s="551"/>
      <c r="H16" s="551"/>
      <c r="I16" s="551"/>
    </row>
    <row r="17" spans="1:9" x14ac:dyDescent="0.25">
      <c r="G17" s="551"/>
      <c r="H17" s="551"/>
      <c r="I17" s="551"/>
    </row>
    <row r="21" spans="1:9" x14ac:dyDescent="0.25">
      <c r="A21" s="269" t="s">
        <v>492</v>
      </c>
    </row>
    <row r="22" spans="1:9" x14ac:dyDescent="0.25">
      <c r="A22" s="630">
        <v>2</v>
      </c>
      <c r="B22" s="630"/>
      <c r="C22" s="629" t="s">
        <v>441</v>
      </c>
      <c r="D22" s="629"/>
      <c r="E22" s="629"/>
    </row>
    <row r="25" spans="1:9" x14ac:dyDescent="0.25">
      <c r="A25" s="552" t="s">
        <v>131</v>
      </c>
      <c r="C25" s="271" t="s">
        <v>818</v>
      </c>
      <c r="D25" s="271"/>
    </row>
    <row r="26" spans="1:9" x14ac:dyDescent="0.25">
      <c r="C26" s="272" t="s">
        <v>675</v>
      </c>
      <c r="D26" s="272"/>
    </row>
    <row r="33" spans="1:5" x14ac:dyDescent="0.25">
      <c r="A33" s="625"/>
      <c r="B33" s="625"/>
      <c r="C33" s="625"/>
      <c r="D33" s="625"/>
      <c r="E33" s="625"/>
    </row>
  </sheetData>
  <mergeCells count="7">
    <mergeCell ref="A33:E33"/>
    <mergeCell ref="A3:E3"/>
    <mergeCell ref="A6:E6"/>
    <mergeCell ref="A9:E9"/>
    <mergeCell ref="A12:E12"/>
    <mergeCell ref="C22:E22"/>
    <mergeCell ref="A22:B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9:E45"/>
  <sheetViews>
    <sheetView view="pageBreakPreview" zoomScaleNormal="100" zoomScaleSheetLayoutView="100" workbookViewId="0">
      <selection activeCell="A43" sqref="A43:E43"/>
    </sheetView>
  </sheetViews>
  <sheetFormatPr baseColWidth="10" defaultColWidth="11.44140625" defaultRowHeight="14.4" x14ac:dyDescent="0.3"/>
  <cols>
    <col min="1" max="5" width="18" style="1" customWidth="1"/>
    <col min="6" max="16384" width="11.44140625" style="1"/>
  </cols>
  <sheetData>
    <row r="9" spans="1:5" ht="14.25" customHeight="1" x14ac:dyDescent="0.3">
      <c r="A9" s="634" t="s">
        <v>37</v>
      </c>
      <c r="B9" s="634"/>
      <c r="C9" s="634"/>
      <c r="D9" s="634"/>
      <c r="E9" s="634"/>
    </row>
    <row r="10" spans="1:5" ht="15.6" x14ac:dyDescent="0.3">
      <c r="A10" s="26"/>
      <c r="B10" s="26"/>
      <c r="C10" s="26"/>
      <c r="D10" s="26"/>
      <c r="E10" s="26"/>
    </row>
    <row r="11" spans="1:5" ht="15.6" x14ac:dyDescent="0.3">
      <c r="A11" s="634" t="s">
        <v>25</v>
      </c>
      <c r="B11" s="634"/>
      <c r="C11" s="634"/>
      <c r="D11" s="634"/>
      <c r="E11" s="634"/>
    </row>
    <row r="12" spans="1:5" ht="15.6" x14ac:dyDescent="0.3">
      <c r="A12" s="26"/>
      <c r="B12" s="26"/>
      <c r="C12" s="26"/>
      <c r="D12" s="26"/>
      <c r="E12" s="26"/>
    </row>
    <row r="13" spans="1:5" ht="53.4" customHeight="1" x14ac:dyDescent="0.3">
      <c r="A13" s="635" t="str">
        <f>INFORMACION!A3</f>
        <v>CONSTRUCCIÓN DE PAVIMENTO EN PIEDRA LABOR Y OPTIMIZACIÓN DE LA RED DE ALCANTARILLADO SANITARIO CALLE 5 ENTRE CARRERA 3 Y 4 DEL CASCO URBANO DEL MUNICIPIO DE PINCHOTE, DEPARTAMENTO DE SANTANDER</v>
      </c>
      <c r="B13" s="635"/>
      <c r="C13" s="635"/>
      <c r="D13" s="635"/>
      <c r="E13" s="635"/>
    </row>
    <row r="14" spans="1:5" x14ac:dyDescent="0.3">
      <c r="A14" s="27"/>
      <c r="B14" s="27"/>
      <c r="C14" s="27"/>
      <c r="D14" s="27"/>
      <c r="E14" s="27"/>
    </row>
    <row r="41" spans="1:5" x14ac:dyDescent="0.3">
      <c r="A41" s="636"/>
      <c r="B41" s="636"/>
      <c r="C41" s="636"/>
      <c r="D41" s="636"/>
      <c r="E41" s="636"/>
    </row>
    <row r="42" spans="1:5" x14ac:dyDescent="0.3">
      <c r="A42" s="631" t="str">
        <f>INFORMACION!A6</f>
        <v>PINCHOTE, SANTANDER</v>
      </c>
      <c r="B42" s="631"/>
      <c r="C42" s="631"/>
      <c r="D42" s="631"/>
      <c r="E42" s="631"/>
    </row>
    <row r="43" spans="1:5" x14ac:dyDescent="0.3">
      <c r="A43" s="632" t="str">
        <f>INFORMACION!A9</f>
        <v>ABRIL DE 2026</v>
      </c>
      <c r="B43" s="631"/>
      <c r="C43" s="631"/>
      <c r="D43" s="631"/>
      <c r="E43" s="631"/>
    </row>
    <row r="44" spans="1:5" x14ac:dyDescent="0.3">
      <c r="A44" s="631"/>
      <c r="B44" s="631"/>
      <c r="C44" s="631"/>
      <c r="D44" s="631"/>
      <c r="E44" s="631"/>
    </row>
    <row r="45" spans="1:5" x14ac:dyDescent="0.3">
      <c r="A45" s="633"/>
      <c r="B45" s="633"/>
      <c r="C45" s="633"/>
      <c r="D45" s="633"/>
      <c r="E45" s="633"/>
    </row>
  </sheetData>
  <mergeCells count="8">
    <mergeCell ref="A42:E42"/>
    <mergeCell ref="A43:E43"/>
    <mergeCell ref="A44:E44"/>
    <mergeCell ref="A45:E45"/>
    <mergeCell ref="A9:E9"/>
    <mergeCell ref="A11:E11"/>
    <mergeCell ref="A13:E13"/>
    <mergeCell ref="A41:E4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C2:V83"/>
  <sheetViews>
    <sheetView tabSelected="1" topLeftCell="A43" zoomScale="80" zoomScaleNormal="80" zoomScaleSheetLayoutView="70" workbookViewId="0">
      <selection activeCell="C3" sqref="C3:H75"/>
    </sheetView>
  </sheetViews>
  <sheetFormatPr baseColWidth="10" defaultColWidth="11.44140625" defaultRowHeight="13.8" x14ac:dyDescent="0.3"/>
  <cols>
    <col min="1" max="1" width="1.6640625" style="443" customWidth="1"/>
    <col min="2" max="2" width="1.33203125" style="443" customWidth="1"/>
    <col min="3" max="3" width="13.109375" style="443" customWidth="1"/>
    <col min="4" max="4" width="69.21875" style="443" customWidth="1"/>
    <col min="5" max="5" width="7.44140625" style="443" bestFit="1" customWidth="1"/>
    <col min="6" max="6" width="11.33203125" style="443" bestFit="1" customWidth="1"/>
    <col min="7" max="7" width="17.5546875" style="443" customWidth="1"/>
    <col min="8" max="8" width="16.109375" style="443" customWidth="1"/>
    <col min="9" max="9" width="1.44140625" style="443" customWidth="1"/>
    <col min="10" max="10" width="18.44140625" style="443" customWidth="1"/>
    <col min="11" max="11" width="19.44140625" style="444" hidden="1" customWidth="1"/>
    <col min="12" max="12" width="19.44140625" style="445" hidden="1" customWidth="1"/>
    <col min="13" max="13" width="20.5546875" style="444" hidden="1" customWidth="1"/>
    <col min="14" max="14" width="22.6640625" style="444" hidden="1" customWidth="1"/>
    <col min="15" max="15" width="25.33203125" style="444" hidden="1" customWidth="1"/>
    <col min="16" max="16" width="25.88671875" style="444" hidden="1" customWidth="1"/>
    <col min="17" max="19" width="25.33203125" style="444" hidden="1" customWidth="1"/>
    <col min="20" max="20" width="3.33203125" style="443" hidden="1" customWidth="1"/>
    <col min="21" max="21" width="12.33203125" style="442" hidden="1" customWidth="1"/>
    <col min="22" max="22" width="117" style="443" hidden="1" customWidth="1"/>
    <col min="23" max="32" width="11.44140625" style="443"/>
    <col min="33" max="33" width="13.6640625" style="443" bestFit="1" customWidth="1"/>
    <col min="34" max="16384" width="11.44140625" style="443"/>
  </cols>
  <sheetData>
    <row r="2" spans="3:22" ht="7.5" customHeight="1" x14ac:dyDescent="0.3">
      <c r="C2" s="431"/>
      <c r="D2" s="432"/>
      <c r="E2" s="431"/>
      <c r="F2" s="433"/>
      <c r="G2" s="433"/>
      <c r="H2" s="434"/>
      <c r="I2" s="433"/>
      <c r="J2" s="433"/>
      <c r="K2" s="435"/>
      <c r="L2" s="436"/>
      <c r="M2" s="437"/>
      <c r="N2" s="435"/>
      <c r="O2" s="438"/>
      <c r="P2" s="439" t="s">
        <v>0</v>
      </c>
      <c r="Q2" s="440" t="s">
        <v>1</v>
      </c>
      <c r="R2" s="431"/>
      <c r="S2" s="441" t="s">
        <v>1</v>
      </c>
      <c r="T2" s="433"/>
    </row>
    <row r="3" spans="3:22" ht="23.4" x14ac:dyDescent="0.3">
      <c r="C3" s="648" t="s">
        <v>2</v>
      </c>
      <c r="D3" s="648"/>
      <c r="E3" s="648"/>
      <c r="F3" s="648"/>
      <c r="G3" s="648"/>
      <c r="H3" s="648"/>
      <c r="I3" s="433"/>
      <c r="J3" s="433"/>
      <c r="M3" s="437"/>
      <c r="N3" s="439"/>
      <c r="O3" s="438"/>
      <c r="P3" s="439" t="s">
        <v>3</v>
      </c>
      <c r="Q3" s="446">
        <v>0</v>
      </c>
      <c r="R3" s="431"/>
      <c r="S3" s="441" t="s">
        <v>4</v>
      </c>
      <c r="T3" s="433"/>
    </row>
    <row r="4" spans="3:22" ht="38.25" customHeight="1" x14ac:dyDescent="0.3">
      <c r="C4" s="447" t="s">
        <v>27</v>
      </c>
      <c r="D4" s="649" t="str">
        <f>PRESENTACION!A13</f>
        <v>CONSTRUCCIÓN DE PAVIMENTO EN PIEDRA LABOR Y OPTIMIZACIÓN DE LA RED DE ALCANTARILLADO SANITARIO CALLE 5 ENTRE CARRERA 3 Y 4 DEL CASCO URBANO DEL MUNICIPIO DE PINCHOTE, DEPARTAMENTO DE SANTANDER</v>
      </c>
      <c r="E4" s="649"/>
      <c r="F4" s="649"/>
      <c r="G4" s="649"/>
      <c r="H4" s="648"/>
      <c r="I4" s="433"/>
      <c r="J4" s="433"/>
      <c r="M4" s="437"/>
      <c r="N4" s="448"/>
      <c r="O4" s="449"/>
      <c r="P4" s="450"/>
      <c r="Q4" s="451"/>
      <c r="R4" s="435"/>
      <c r="S4" s="435"/>
      <c r="T4" s="433"/>
    </row>
    <row r="5" spans="3:22" ht="15.75" customHeight="1" x14ac:dyDescent="0.3">
      <c r="C5" s="649" t="str">
        <f>CONCATENATE(INFORMACION!A5,INFORMACION!A6)</f>
        <v>LOCALIZACIÓN:PINCHOTE, SANTANDER</v>
      </c>
      <c r="D5" s="649"/>
      <c r="E5" s="649"/>
      <c r="F5" s="452" t="s">
        <v>31</v>
      </c>
      <c r="G5" s="453" t="str">
        <f>PRESENTACION!$A$43</f>
        <v>ABRIL DE 2026</v>
      </c>
      <c r="H5" s="648"/>
      <c r="I5" s="433"/>
      <c r="J5" s="433"/>
      <c r="M5" s="437"/>
      <c r="N5" s="448"/>
      <c r="O5" s="449"/>
      <c r="P5" s="450"/>
      <c r="Q5" s="451"/>
      <c r="R5" s="435"/>
      <c r="S5" s="435"/>
      <c r="T5" s="433"/>
    </row>
    <row r="6" spans="3:22" ht="10.5" customHeight="1" thickBot="1" x14ac:dyDescent="0.35">
      <c r="C6" s="431"/>
      <c r="D6" s="454"/>
      <c r="E6" s="431"/>
      <c r="F6" s="431"/>
      <c r="G6" s="455"/>
      <c r="H6" s="456"/>
      <c r="I6" s="433"/>
      <c r="J6" s="433"/>
      <c r="K6" s="435"/>
      <c r="L6" s="436"/>
      <c r="M6" s="437"/>
      <c r="N6" s="448"/>
      <c r="O6" s="449"/>
      <c r="P6" s="450"/>
      <c r="Q6" s="451"/>
      <c r="R6" s="435"/>
      <c r="S6" s="457"/>
      <c r="T6" s="458"/>
    </row>
    <row r="7" spans="3:22" ht="18.75" customHeight="1" thickBot="1" x14ac:dyDescent="0.35">
      <c r="C7" s="459" t="s">
        <v>5</v>
      </c>
      <c r="D7" s="460" t="s">
        <v>26</v>
      </c>
      <c r="E7" s="460" t="s">
        <v>6</v>
      </c>
      <c r="F7" s="461" t="s">
        <v>7</v>
      </c>
      <c r="G7" s="460" t="s">
        <v>8</v>
      </c>
      <c r="H7" s="462" t="s">
        <v>9</v>
      </c>
      <c r="I7" s="433"/>
      <c r="J7" s="433"/>
      <c r="K7" s="463" t="s">
        <v>88</v>
      </c>
      <c r="L7" s="464" t="s">
        <v>89</v>
      </c>
      <c r="M7" s="465" t="s">
        <v>10</v>
      </c>
      <c r="N7" s="465" t="s">
        <v>11</v>
      </c>
      <c r="O7" s="465" t="s">
        <v>12</v>
      </c>
      <c r="P7" s="465" t="s">
        <v>13</v>
      </c>
      <c r="Q7" s="465" t="s">
        <v>14</v>
      </c>
      <c r="R7" s="465" t="s">
        <v>15</v>
      </c>
      <c r="S7" s="466" t="s">
        <v>16</v>
      </c>
      <c r="T7" s="433"/>
      <c r="U7" s="455"/>
    </row>
    <row r="8" spans="3:22" ht="15" customHeight="1" x14ac:dyDescent="0.3">
      <c r="C8" s="454"/>
      <c r="D8" s="455"/>
      <c r="E8" s="455"/>
      <c r="F8" s="467"/>
      <c r="G8" s="455"/>
      <c r="H8" s="468"/>
      <c r="I8" s="433"/>
      <c r="J8" s="433"/>
      <c r="K8" s="448"/>
      <c r="L8" s="469"/>
      <c r="M8" s="435"/>
      <c r="N8" s="435"/>
      <c r="O8" s="435"/>
      <c r="P8" s="435"/>
      <c r="Q8" s="435"/>
      <c r="R8" s="435"/>
      <c r="S8" s="457"/>
      <c r="T8" s="433"/>
      <c r="U8" s="455"/>
    </row>
    <row r="9" spans="3:22" x14ac:dyDescent="0.3">
      <c r="C9" s="471"/>
      <c r="D9" s="472"/>
      <c r="E9" s="459"/>
      <c r="F9" s="473"/>
      <c r="G9" s="474"/>
      <c r="H9" s="475"/>
      <c r="I9" s="433"/>
      <c r="J9" s="433"/>
      <c r="K9" s="476"/>
      <c r="L9" s="476"/>
      <c r="M9" s="477"/>
      <c r="N9" s="477"/>
      <c r="O9" s="477"/>
      <c r="P9" s="477"/>
      <c r="Q9" s="477"/>
      <c r="R9" s="477"/>
      <c r="S9" s="478"/>
      <c r="T9" s="433"/>
      <c r="U9" s="455"/>
    </row>
    <row r="10" spans="3:22" x14ac:dyDescent="0.3">
      <c r="C10" s="470" t="s">
        <v>28</v>
      </c>
      <c r="D10" s="650" t="s">
        <v>930</v>
      </c>
      <c r="E10" s="651"/>
      <c r="F10" s="651"/>
      <c r="G10" s="652"/>
      <c r="H10" s="553"/>
      <c r="I10" s="433"/>
      <c r="J10" s="433"/>
      <c r="K10" s="480"/>
      <c r="L10" s="480"/>
      <c r="M10" s="477"/>
      <c r="N10" s="477"/>
      <c r="O10" s="477"/>
      <c r="P10" s="477"/>
      <c r="Q10" s="477"/>
      <c r="R10" s="477"/>
      <c r="S10" s="478"/>
      <c r="T10" s="433"/>
      <c r="U10" s="455"/>
      <c r="V10" s="443" t="str">
        <f t="shared" ref="V10:V17" si="0">CONCATENATE(C10," ","-"," ",D10)</f>
        <v>CAP.1 - COMPONENTE  ALCANTARILLADO</v>
      </c>
    </row>
    <row r="11" spans="3:22" x14ac:dyDescent="0.3">
      <c r="C11" s="471" t="s">
        <v>53</v>
      </c>
      <c r="D11" s="472" t="s">
        <v>902</v>
      </c>
      <c r="E11" s="459" t="s">
        <v>43</v>
      </c>
      <c r="F11" s="473">
        <f>99.1*1</f>
        <v>99.1</v>
      </c>
      <c r="G11" s="474">
        <f>APUS!U348</f>
        <v>4995</v>
      </c>
      <c r="H11" s="475">
        <f>+ROUND(F11*G11,$Q$3)</f>
        <v>495005</v>
      </c>
      <c r="I11" s="433"/>
      <c r="J11" s="433"/>
      <c r="K11" s="480"/>
      <c r="L11" s="480"/>
      <c r="M11" s="477"/>
      <c r="N11" s="477"/>
      <c r="O11" s="477"/>
      <c r="P11" s="477"/>
      <c r="Q11" s="477"/>
      <c r="R11" s="477"/>
      <c r="S11" s="478"/>
      <c r="T11" s="433"/>
      <c r="U11" s="455"/>
    </row>
    <row r="12" spans="3:22" x14ac:dyDescent="0.3">
      <c r="C12" s="471" t="s">
        <v>48</v>
      </c>
      <c r="D12" s="472" t="s">
        <v>931</v>
      </c>
      <c r="E12" s="459" t="s">
        <v>43</v>
      </c>
      <c r="F12" s="473">
        <f>F11*1</f>
        <v>99.1</v>
      </c>
      <c r="G12" s="474">
        <f>APUS!U401</f>
        <v>26270</v>
      </c>
      <c r="H12" s="475">
        <f>+ROUND(F12*G12,$Q$3)</f>
        <v>2603357</v>
      </c>
      <c r="I12" s="433"/>
      <c r="J12" s="433"/>
      <c r="K12" s="480"/>
      <c r="L12" s="480"/>
      <c r="M12" s="477"/>
      <c r="N12" s="477"/>
      <c r="O12" s="477"/>
      <c r="P12" s="477"/>
      <c r="Q12" s="477"/>
      <c r="R12" s="477"/>
      <c r="S12" s="478"/>
      <c r="T12" s="433"/>
      <c r="U12" s="455"/>
    </row>
    <row r="13" spans="3:22" x14ac:dyDescent="0.3">
      <c r="C13" s="471" t="s">
        <v>54</v>
      </c>
      <c r="D13" s="472" t="s">
        <v>903</v>
      </c>
      <c r="E13" s="459" t="s">
        <v>35</v>
      </c>
      <c r="F13" s="473">
        <v>98.61</v>
      </c>
      <c r="G13" s="474">
        <f>APUS!U454</f>
        <v>23060</v>
      </c>
      <c r="H13" s="475">
        <f>+ROUND(F13*G13,$Q$3)</f>
        <v>2273947</v>
      </c>
      <c r="I13" s="433"/>
      <c r="J13" s="433"/>
      <c r="K13" s="480"/>
      <c r="L13" s="480"/>
      <c r="M13" s="477"/>
      <c r="N13" s="477"/>
      <c r="O13" s="477"/>
      <c r="P13" s="477"/>
      <c r="Q13" s="477"/>
      <c r="R13" s="477"/>
      <c r="S13" s="478"/>
      <c r="T13" s="433"/>
      <c r="U13" s="455"/>
    </row>
    <row r="14" spans="3:22" x14ac:dyDescent="0.3">
      <c r="C14" s="471">
        <v>1.4</v>
      </c>
      <c r="D14" s="472" t="s">
        <v>913</v>
      </c>
      <c r="E14" s="459" t="s">
        <v>34</v>
      </c>
      <c r="F14" s="473">
        <f>(F13*0.7*1.5)</f>
        <v>103.54050000000001</v>
      </c>
      <c r="G14" s="474">
        <f t="shared" ref="G14:G24" si="1">+IFERROR(IF($Q$2="UNITARIOS",VLOOKUP(C14,$C$9:$Y$63,11,FALSE),VLOOKUP(C14,$C$9:$Y$63,12,FALSE)),0)</f>
        <v>57314</v>
      </c>
      <c r="H14" s="475">
        <f t="shared" ref="H14:H59" si="2">+ROUND(F14*G14,$Q$3)</f>
        <v>5934320</v>
      </c>
      <c r="I14" s="433"/>
      <c r="J14" s="433"/>
      <c r="K14" s="476">
        <f t="shared" ref="K14:K16" si="3">ROUND(F14*M14,$Q$3)</f>
        <v>5934320</v>
      </c>
      <c r="L14" s="476">
        <f t="shared" ref="L14:L16" si="4">ROUND(F14*N14,$Q$3)</f>
        <v>7892685</v>
      </c>
      <c r="M14" s="477">
        <f>ROUND(VLOOKUP(C14,APUS!$H$10:$V$1486,14,0),2)</f>
        <v>57314</v>
      </c>
      <c r="N14" s="477">
        <f>ROUND(VLOOKUP(C14,APUS!$I$10:$V$1486,13,0),2)</f>
        <v>76228</v>
      </c>
      <c r="O14" s="477">
        <f>ROUND(VLOOKUP(C14,APUS!$D$10:$Z$1486,23,0),2)</f>
        <v>5155338</v>
      </c>
      <c r="P14" s="477">
        <f>ROUND(VLOOKUP(C14,APUS!$E$10:$Z$1486,22,0),2)</f>
        <v>0</v>
      </c>
      <c r="Q14" s="477">
        <f>ROUND(VLOOKUP(C14,APUS!$F$10:$Z$1486,21,0),2)</f>
        <v>424930</v>
      </c>
      <c r="R14" s="477">
        <f>ROUND(VLOOKUP(C14,APUS!$G$10:$Z$1486,20,0),2)</f>
        <v>353997</v>
      </c>
      <c r="S14" s="478">
        <f t="shared" ref="S14:S16" si="5">SUM(O14:R14)</f>
        <v>5934265</v>
      </c>
      <c r="T14" s="433"/>
      <c r="U14" s="455"/>
      <c r="V14" s="443" t="str">
        <f t="shared" si="0"/>
        <v>1,4 - Excavaciones en material común en seco a maquina (Incluye retiro y disposición final)</v>
      </c>
    </row>
    <row r="15" spans="3:22" x14ac:dyDescent="0.3">
      <c r="C15" s="471">
        <v>1.5</v>
      </c>
      <c r="D15" s="472" t="s">
        <v>904</v>
      </c>
      <c r="E15" s="459" t="s">
        <v>34</v>
      </c>
      <c r="F15" s="473">
        <f>F13*0.4*0.7+10*3.5*0.5*1</f>
        <v>45.110799999999998</v>
      </c>
      <c r="G15" s="474">
        <f t="shared" si="1"/>
        <v>75555</v>
      </c>
      <c r="H15" s="475">
        <f t="shared" ref="H15" si="6">+ROUND(F15*G15,$Q$3)</f>
        <v>3408346</v>
      </c>
      <c r="I15" s="433"/>
      <c r="J15" s="433"/>
      <c r="K15" s="476">
        <f t="shared" ref="K15" si="7">ROUND(F15*M15,$Q$3)</f>
        <v>3408346</v>
      </c>
      <c r="L15" s="476">
        <f t="shared" ref="L15" si="8">ROUND(F15*N15,$Q$3)</f>
        <v>4533139</v>
      </c>
      <c r="M15" s="477">
        <f>ROUND(VLOOKUP(C15,APUS!$H$10:$V$1486,14,0),2)</f>
        <v>75555</v>
      </c>
      <c r="N15" s="477">
        <f>ROUND(VLOOKUP(C15,APUS!$I$10:$V$1486,13,0),2)</f>
        <v>100489</v>
      </c>
      <c r="O15" s="477">
        <f>ROUND(VLOOKUP(C15,APUS!$D$10:$Z$1486,23,0),2)</f>
        <v>652695</v>
      </c>
      <c r="P15" s="477">
        <f>ROUND(VLOOKUP(C15,APUS!$E$10:$Z$1486,22,0),2)</f>
        <v>0</v>
      </c>
      <c r="Q15" s="477">
        <f>ROUND(VLOOKUP(C15,APUS!$F$10:$Z$1486,21,0),2)</f>
        <v>185135</v>
      </c>
      <c r="R15" s="477">
        <f>ROUND(VLOOKUP(C15,APUS!$G$10:$Z$1486,20,0),2)</f>
        <v>2570504</v>
      </c>
      <c r="S15" s="478">
        <f t="shared" ref="S15" si="9">SUM(O15:R15)</f>
        <v>3408334</v>
      </c>
      <c r="T15" s="433"/>
      <c r="U15" s="455"/>
      <c r="V15" s="443" t="str">
        <f t="shared" ref="V15" si="10">CONCATENATE(C15," ","-"," ",D15)</f>
        <v>1,5 - Excavaciones en material común en seco a mano (Incluye retiro y disposición final)</v>
      </c>
    </row>
    <row r="16" spans="3:22" x14ac:dyDescent="0.3">
      <c r="C16" s="471">
        <v>1.6</v>
      </c>
      <c r="D16" s="472" t="s">
        <v>905</v>
      </c>
      <c r="E16" s="459" t="s">
        <v>34</v>
      </c>
      <c r="F16" s="473">
        <f>(F13*0.7)*0.1</f>
        <v>6.9027000000000003</v>
      </c>
      <c r="G16" s="474">
        <f t="shared" si="1"/>
        <v>153555</v>
      </c>
      <c r="H16" s="475">
        <f t="shared" ref="H16:H18" si="11">+ROUND(F16*G16,$Q$3)</f>
        <v>1059944</v>
      </c>
      <c r="I16" s="433"/>
      <c r="J16" s="433"/>
      <c r="K16" s="476">
        <f t="shared" si="3"/>
        <v>1059944</v>
      </c>
      <c r="L16" s="476">
        <f t="shared" si="4"/>
        <v>1409732</v>
      </c>
      <c r="M16" s="477">
        <f>ROUND(VLOOKUP(C16,APUS!$H$10:$V$1486,14,0),2)</f>
        <v>153555</v>
      </c>
      <c r="N16" s="477">
        <f>ROUND(VLOOKUP(C16,APUS!$I$10:$V$1486,13,0),2)</f>
        <v>204229</v>
      </c>
      <c r="O16" s="477">
        <f>ROUND(VLOOKUP(C16,APUS!$D$10:$Z$1486,23,0),2)</f>
        <v>638284</v>
      </c>
      <c r="P16" s="477">
        <f>ROUND(VLOOKUP(C16,APUS!$E$10:$Z$1486,22,0),2)</f>
        <v>0</v>
      </c>
      <c r="Q16" s="477">
        <f>ROUND(VLOOKUP(C16,APUS!$F$10:$Z$1486,21,0),2)</f>
        <v>28329</v>
      </c>
      <c r="R16" s="477">
        <f>ROUND(VLOOKUP(C16,APUS!$G$10:$Z$1486,20,0),2)</f>
        <v>393330</v>
      </c>
      <c r="S16" s="478">
        <f t="shared" si="5"/>
        <v>1059943</v>
      </c>
      <c r="T16" s="433"/>
      <c r="U16" s="455"/>
      <c r="V16" s="443" t="str">
        <f t="shared" si="0"/>
        <v>1,6 - Excavaciones en roca a mano (Incluye retiro y disposición final)</v>
      </c>
    </row>
    <row r="17" spans="3:22" x14ac:dyDescent="0.3">
      <c r="C17" s="471">
        <v>1.7</v>
      </c>
      <c r="D17" s="472" t="s">
        <v>906</v>
      </c>
      <c r="E17" s="459" t="s">
        <v>34</v>
      </c>
      <c r="F17" s="473">
        <f>(F13*0.7*1.6)</f>
        <v>110.4432</v>
      </c>
      <c r="G17" s="474">
        <f t="shared" si="1"/>
        <v>54202</v>
      </c>
      <c r="H17" s="475">
        <f t="shared" si="11"/>
        <v>5986242</v>
      </c>
      <c r="I17" s="433"/>
      <c r="J17" s="433"/>
      <c r="K17" s="476">
        <f t="shared" ref="K17:K21" si="12">ROUND(F17*M17,$Q$3)</f>
        <v>5986242</v>
      </c>
      <c r="L17" s="476">
        <f t="shared" ref="L17:L21" si="13">ROUND(F17*N17,$Q$3)</f>
        <v>7961740</v>
      </c>
      <c r="M17" s="477">
        <f>ROUND(VLOOKUP(C17,APUS!$H$10:$V$1486,14,0),2)</f>
        <v>54202</v>
      </c>
      <c r="N17" s="477">
        <f>ROUND(VLOOKUP(C17,APUS!$I$10:$V$1486,13,0),2)</f>
        <v>72089</v>
      </c>
      <c r="O17" s="477">
        <f>ROUND(VLOOKUP(C17,APUS!$D$10:$Z$1486,23,0),2)</f>
        <v>3533928</v>
      </c>
      <c r="P17" s="477">
        <f>ROUND(VLOOKUP(C17,APUS!$E$10:$Z$1486,22,0),2)</f>
        <v>27611</v>
      </c>
      <c r="Q17" s="477">
        <f>ROUND(VLOOKUP(C17,APUS!$F$10:$Z$1486,21,0),2)</f>
        <v>0</v>
      </c>
      <c r="R17" s="477">
        <f>ROUND(VLOOKUP(C17,APUS!$G$10:$Z$1486,20,0),2)</f>
        <v>2424617</v>
      </c>
      <c r="S17" s="478">
        <f t="shared" ref="S17:S21" si="14">SUM(O17:R17)</f>
        <v>5986156</v>
      </c>
      <c r="T17" s="433"/>
      <c r="U17" s="455"/>
      <c r="V17" s="443" t="str">
        <f t="shared" si="0"/>
        <v>1,7 - Relleno para zanja con material seleccionado de la excavación compactado al 90%</v>
      </c>
    </row>
    <row r="18" spans="3:22" x14ac:dyDescent="0.3">
      <c r="C18" s="471">
        <v>1.8</v>
      </c>
      <c r="D18" s="472" t="s">
        <v>907</v>
      </c>
      <c r="E18" s="459" t="s">
        <v>34</v>
      </c>
      <c r="F18" s="473">
        <f>(F13*0.7*0.3)</f>
        <v>20.708099999999998</v>
      </c>
      <c r="G18" s="474">
        <f t="shared" si="1"/>
        <v>126792</v>
      </c>
      <c r="H18" s="475">
        <f t="shared" si="11"/>
        <v>2625621</v>
      </c>
      <c r="I18" s="433"/>
      <c r="J18" s="433"/>
      <c r="K18" s="476">
        <f t="shared" si="12"/>
        <v>2625621</v>
      </c>
      <c r="L18" s="476">
        <f t="shared" si="13"/>
        <v>3492090</v>
      </c>
      <c r="M18" s="477">
        <f>ROUND(VLOOKUP(C18,APUS!$H$10:$V$1486,14,0),2)</f>
        <v>126792</v>
      </c>
      <c r="N18" s="477">
        <f>ROUND(VLOOKUP(C18,APUS!$I$10:$V$1486,13,0),2)</f>
        <v>168634</v>
      </c>
      <c r="O18" s="477">
        <f>ROUND(VLOOKUP(C18,APUS!$D$10:$Z$1486,23,0),2)</f>
        <v>72431</v>
      </c>
      <c r="P18" s="477">
        <f>ROUND(VLOOKUP(C18,APUS!$E$10:$Z$1486,22,0),2)</f>
        <v>1889718</v>
      </c>
      <c r="Q18" s="477">
        <f>ROUND(VLOOKUP(C18,APUS!$F$10:$Z$1486,21,0),2)</f>
        <v>208849</v>
      </c>
      <c r="R18" s="477">
        <f>ROUND(VLOOKUP(C18,APUS!$G$10:$Z$1486,20,0),2)</f>
        <v>454616</v>
      </c>
      <c r="S18" s="478">
        <f t="shared" si="14"/>
        <v>2625614</v>
      </c>
      <c r="T18" s="433"/>
      <c r="U18" s="455"/>
      <c r="V18" s="443" t="str">
        <f t="shared" ref="V18:V21" si="15">CONCATENATE(C18," ","-"," ",D18)</f>
        <v>1,8 - Relleno para zanja con material de préstamo (recebo) compactado 90%</v>
      </c>
    </row>
    <row r="19" spans="3:22" x14ac:dyDescent="0.3">
      <c r="C19" s="471">
        <v>1.9</v>
      </c>
      <c r="D19" s="472" t="s">
        <v>926</v>
      </c>
      <c r="E19" s="459" t="s">
        <v>35</v>
      </c>
      <c r="F19" s="473">
        <f>F21</f>
        <v>98.6</v>
      </c>
      <c r="G19" s="474">
        <f t="shared" si="1"/>
        <v>30405</v>
      </c>
      <c r="H19" s="475">
        <f t="shared" ref="H19:H21" si="16">+ROUND(F19*G19,$Q$3)</f>
        <v>2997933</v>
      </c>
      <c r="I19" s="433"/>
      <c r="J19" s="433"/>
      <c r="K19" s="476">
        <f t="shared" si="12"/>
        <v>2997933</v>
      </c>
      <c r="L19" s="476">
        <f t="shared" si="13"/>
        <v>3987187</v>
      </c>
      <c r="M19" s="477">
        <f>ROUND(VLOOKUP(C19,APUS!$H$10:$V$1486,14,0),2)</f>
        <v>30405</v>
      </c>
      <c r="N19" s="477">
        <f>ROUND(VLOOKUP(C19,APUS!$I$10:$V$1486,13,0),2)</f>
        <v>40438</v>
      </c>
      <c r="O19" s="477">
        <f>ROUND(VLOOKUP(C19,APUS!$D$10:$Z$1486,23,0),2)</f>
        <v>67645</v>
      </c>
      <c r="P19" s="477">
        <f>ROUND(VLOOKUP(C19,APUS!$E$10:$Z$1486,22,0),2)</f>
        <v>828240</v>
      </c>
      <c r="Q19" s="477">
        <f>ROUND(VLOOKUP(C19,APUS!$F$10:$Z$1486,21,0),2)</f>
        <v>749143</v>
      </c>
      <c r="R19" s="477">
        <f>ROUND(VLOOKUP(C19,APUS!$G$10:$Z$1486,20,0),2)</f>
        <v>1352886</v>
      </c>
      <c r="S19" s="478">
        <f t="shared" si="14"/>
        <v>2997914</v>
      </c>
      <c r="T19" s="433"/>
      <c r="U19" s="455"/>
      <c r="V19" s="443" t="str">
        <f t="shared" si="15"/>
        <v>1,9 - Cama de arena para cimentación de tubería Sanitaria</v>
      </c>
    </row>
    <row r="20" spans="3:22" x14ac:dyDescent="0.3">
      <c r="C20" s="617">
        <v>1.1000000000000001</v>
      </c>
      <c r="D20" s="616" t="s">
        <v>908</v>
      </c>
      <c r="E20" s="459" t="s">
        <v>36</v>
      </c>
      <c r="F20" s="473">
        <v>4</v>
      </c>
      <c r="G20" s="474">
        <f t="shared" si="1"/>
        <v>532975</v>
      </c>
      <c r="H20" s="475">
        <f t="shared" ref="H20" si="17">+ROUND(F20*G20,$Q$3)</f>
        <v>2131900</v>
      </c>
      <c r="I20" s="433"/>
      <c r="J20" s="433"/>
      <c r="K20" s="476">
        <f t="shared" ref="K20" si="18">ROUND(F20*M20,$Q$3)</f>
        <v>2131900</v>
      </c>
      <c r="L20" s="476">
        <f t="shared" ref="L20" si="19">ROUND(F20*N20,$Q$3)</f>
        <v>2835428</v>
      </c>
      <c r="M20" s="477">
        <f>ROUND(VLOOKUP(C20,APUS!$H$10:$V$1486,14,0),2)</f>
        <v>532975</v>
      </c>
      <c r="N20" s="477">
        <f>ROUND(VLOOKUP(C20,APUS!$I$10:$V$1486,13,0),2)</f>
        <v>708857</v>
      </c>
      <c r="O20" s="477">
        <f>ROUND(VLOOKUP(C20,APUS!$D$10:$Z$1486,23,0),2)</f>
        <v>54884</v>
      </c>
      <c r="P20" s="477">
        <f>ROUND(VLOOKUP(C20,APUS!$E$10:$Z$1486,22,0),2)</f>
        <v>979341</v>
      </c>
      <c r="Q20" s="477">
        <f>ROUND(VLOOKUP(C20,APUS!$F$10:$Z$1486,21,0),2)</f>
        <v>0</v>
      </c>
      <c r="R20" s="477">
        <f>ROUND(VLOOKUP(C20,APUS!$G$10:$Z$1486,20,0),2)</f>
        <v>1097676</v>
      </c>
      <c r="S20" s="478">
        <f t="shared" ref="S20" si="20">SUM(O20:R20)</f>
        <v>2131901</v>
      </c>
      <c r="T20" s="433"/>
      <c r="U20" s="455"/>
      <c r="V20" s="443" t="str">
        <f t="shared" ref="V20" si="21">CONCATENATE(C20," ","-"," ",D20)</f>
        <v>1,1 - Conexión y reparación de tubería de 8" a los pozos de inspección</v>
      </c>
    </row>
    <row r="21" spans="3:22" x14ac:dyDescent="0.3">
      <c r="C21" s="617">
        <v>1.1100000000000001</v>
      </c>
      <c r="D21" s="472" t="s">
        <v>929</v>
      </c>
      <c r="E21" s="459" t="s">
        <v>35</v>
      </c>
      <c r="F21" s="473">
        <v>98.6</v>
      </c>
      <c r="G21" s="474">
        <f t="shared" si="1"/>
        <v>139629</v>
      </c>
      <c r="H21" s="475">
        <f t="shared" si="16"/>
        <v>13767419</v>
      </c>
      <c r="I21" s="433"/>
      <c r="J21" s="433"/>
      <c r="K21" s="476">
        <f t="shared" si="12"/>
        <v>13767419</v>
      </c>
      <c r="L21" s="476">
        <f t="shared" si="13"/>
        <v>18310612</v>
      </c>
      <c r="M21" s="477">
        <f>ROUND(VLOOKUP(C21,APUS!$H$10:$V$1486,14,0),2)</f>
        <v>139629</v>
      </c>
      <c r="N21" s="477">
        <f>ROUND(VLOOKUP(C21,APUS!$I$10:$V$1486,13,0),2)</f>
        <v>185706</v>
      </c>
      <c r="O21" s="477">
        <f>ROUND(VLOOKUP(C21,APUS!$D$10:$Z$1486,23,0),2)</f>
        <v>135289</v>
      </c>
      <c r="P21" s="477">
        <f>ROUND(VLOOKUP(C21,APUS!$E$10:$Z$1486,22,0),2)</f>
        <v>10326082</v>
      </c>
      <c r="Q21" s="477">
        <f>ROUND(VLOOKUP(C21,APUS!$F$10:$Z$1486,21,0),2)</f>
        <v>600228</v>
      </c>
      <c r="R21" s="477">
        <f>ROUND(VLOOKUP(C21,APUS!$G$10:$Z$1486,20,0),2)</f>
        <v>2705771</v>
      </c>
      <c r="S21" s="478">
        <f t="shared" si="14"/>
        <v>13767370</v>
      </c>
      <c r="T21" s="433"/>
      <c r="U21" s="455"/>
      <c r="V21" s="443" t="str">
        <f t="shared" si="15"/>
        <v>1,11 - Suministro e instalaciónTubería corrugada sanitaria de 8"</v>
      </c>
    </row>
    <row r="22" spans="3:22" x14ac:dyDescent="0.3">
      <c r="C22" s="617">
        <v>1.1200000000000001</v>
      </c>
      <c r="D22" s="616" t="s">
        <v>942</v>
      </c>
      <c r="E22" s="459" t="s">
        <v>36</v>
      </c>
      <c r="F22" s="473">
        <v>10</v>
      </c>
      <c r="G22" s="474">
        <f t="shared" si="1"/>
        <v>1068077</v>
      </c>
      <c r="H22" s="475">
        <f t="shared" ref="H22:H24" si="22">+ROUND(F22*G22,$Q$3)</f>
        <v>10680770</v>
      </c>
      <c r="I22" s="433"/>
      <c r="J22" s="433"/>
      <c r="K22" s="476">
        <f t="shared" ref="K22:K24" si="23">ROUND(F22*M22,$Q$3)</f>
        <v>10680770</v>
      </c>
      <c r="L22" s="476">
        <f t="shared" ref="L22:L24" si="24">ROUND(F22*N22,$Q$3)</f>
        <v>14205420</v>
      </c>
      <c r="M22" s="477">
        <f>ROUND(VLOOKUP(C22,APUS!$H$10:$V$1486,14,0),2)</f>
        <v>1068077</v>
      </c>
      <c r="N22" s="477">
        <f>ROUND(VLOOKUP(C22,APUS!$I$10:$V$1486,13,0),2)</f>
        <v>1420542</v>
      </c>
      <c r="O22" s="477">
        <f>ROUND(VLOOKUP(C22,APUS!$D$10:$Z$1486,23,0),2)</f>
        <v>182946</v>
      </c>
      <c r="P22" s="477">
        <f>ROUND(VLOOKUP(C22,APUS!$E$10:$Z$1486,22,0),2)</f>
        <v>4807653</v>
      </c>
      <c r="Q22" s="477">
        <f>ROUND(VLOOKUP(C22,APUS!$F$10:$Z$1486,21,0),2)</f>
        <v>487000</v>
      </c>
      <c r="R22" s="477">
        <f>ROUND(VLOOKUP(C22,APUS!$G$10:$Z$1486,20,0),2)</f>
        <v>3658920</v>
      </c>
      <c r="S22" s="478">
        <f t="shared" ref="S22:S24" si="25">SUM(O22:R22)</f>
        <v>9136519</v>
      </c>
      <c r="T22" s="433"/>
      <c r="U22" s="455"/>
      <c r="V22" s="443" t="str">
        <f t="shared" ref="V22:V24" si="26">CONCATENATE(C22," ","-"," ",D22)</f>
        <v>1,12 - Suministro e instalacion de cajas dimiciliarias 0.6x0.6 (m) . Incluye tapas de concreto</v>
      </c>
    </row>
    <row r="23" spans="3:22" x14ac:dyDescent="0.3">
      <c r="C23" s="617">
        <v>1.1299999999999999</v>
      </c>
      <c r="D23" s="616" t="s">
        <v>932</v>
      </c>
      <c r="E23" s="459" t="s">
        <v>806</v>
      </c>
      <c r="F23" s="473">
        <v>10</v>
      </c>
      <c r="G23" s="474">
        <f t="shared" si="1"/>
        <v>499991</v>
      </c>
      <c r="H23" s="475">
        <f t="shared" si="22"/>
        <v>4999910</v>
      </c>
      <c r="I23" s="433"/>
      <c r="J23" s="433"/>
      <c r="K23" s="476">
        <f t="shared" si="23"/>
        <v>4999910</v>
      </c>
      <c r="L23" s="476">
        <f t="shared" si="24"/>
        <v>6649890</v>
      </c>
      <c r="M23" s="477">
        <f>ROUND(VLOOKUP(C23,APUS!$H$10:$V$1486,14,0),2)</f>
        <v>499991</v>
      </c>
      <c r="N23" s="477">
        <f>ROUND(VLOOKUP(C23,APUS!$I$10:$V$1486,13,0),2)</f>
        <v>664989</v>
      </c>
      <c r="O23" s="477">
        <f>ROUND(VLOOKUP(C23,APUS!$D$10:$Z$1486,23,0),2)</f>
        <v>137210</v>
      </c>
      <c r="P23" s="477">
        <f>ROUND(VLOOKUP(C23,APUS!$E$10:$Z$1486,22,0),2)</f>
        <v>1648660</v>
      </c>
      <c r="Q23" s="477">
        <f>ROUND(VLOOKUP(C23,APUS!$F$10:$Z$1486,21,0),2)</f>
        <v>284560</v>
      </c>
      <c r="R23" s="477">
        <f>ROUND(VLOOKUP(C23,APUS!$G$10:$Z$1486,20,0),2)</f>
        <v>2744190</v>
      </c>
      <c r="S23" s="478">
        <f t="shared" si="25"/>
        <v>4814620</v>
      </c>
      <c r="T23" s="433"/>
      <c r="U23" s="455"/>
      <c r="V23" s="443" t="str">
        <f t="shared" si="26"/>
        <v>1,13 - Conexiòn Domiciliaria - Tuberìa Sanitaria (D=6")</v>
      </c>
    </row>
    <row r="24" spans="3:22" x14ac:dyDescent="0.3">
      <c r="C24" s="617">
        <v>1.1399999999999999</v>
      </c>
      <c r="D24" s="616" t="s">
        <v>940</v>
      </c>
      <c r="E24" s="459" t="s">
        <v>36</v>
      </c>
      <c r="F24" s="473">
        <v>10</v>
      </c>
      <c r="G24" s="474">
        <f t="shared" si="1"/>
        <v>329585</v>
      </c>
      <c r="H24" s="475">
        <f t="shared" si="22"/>
        <v>3295850</v>
      </c>
      <c r="I24" s="433"/>
      <c r="J24" s="433"/>
      <c r="K24" s="476">
        <f t="shared" si="23"/>
        <v>3295850</v>
      </c>
      <c r="L24" s="476">
        <f t="shared" si="24"/>
        <v>4383480</v>
      </c>
      <c r="M24" s="477">
        <f>ROUND(VLOOKUP(C24,APUS!$H$10:$V$1486,14,0),2)</f>
        <v>329585</v>
      </c>
      <c r="N24" s="477">
        <f>ROUND(VLOOKUP(C24,APUS!$I$10:$V$1486,13,0),2)</f>
        <v>438348</v>
      </c>
      <c r="O24" s="477">
        <f>ROUND(VLOOKUP(C24,APUS!$D$10:$Z$1486,23,0),2)</f>
        <v>18295</v>
      </c>
      <c r="P24" s="477">
        <f>ROUND(VLOOKUP(C24,APUS!$E$10:$Z$1486,22,0),2)</f>
        <v>2668167</v>
      </c>
      <c r="Q24" s="477">
        <f>ROUND(VLOOKUP(C24,APUS!$F$10:$Z$1486,21,0),2)</f>
        <v>243500</v>
      </c>
      <c r="R24" s="477">
        <f>ROUND(VLOOKUP(C24,APUS!$G$10:$Z$1486,20,0),2)</f>
        <v>365892</v>
      </c>
      <c r="S24" s="478">
        <f t="shared" si="25"/>
        <v>3295854</v>
      </c>
      <c r="T24" s="433"/>
      <c r="U24" s="455"/>
      <c r="V24" s="443" t="str">
        <f t="shared" si="26"/>
        <v>1,14 - Kit Silla yee 8" a 6" (Incluye caucho y abrazadera)</v>
      </c>
    </row>
    <row r="25" spans="3:22" ht="13.8" customHeight="1" x14ac:dyDescent="0.3">
      <c r="C25" s="640" t="s">
        <v>959</v>
      </c>
      <c r="D25" s="640"/>
      <c r="E25" s="640"/>
      <c r="F25" s="640"/>
      <c r="G25" s="640"/>
      <c r="H25" s="479">
        <f>+SUM(H11:H24)</f>
        <v>62260564</v>
      </c>
      <c r="I25" s="433"/>
      <c r="J25" s="433"/>
      <c r="K25" s="476"/>
      <c r="L25" s="476"/>
      <c r="M25" s="477"/>
      <c r="N25" s="477"/>
      <c r="O25" s="477"/>
      <c r="P25" s="477"/>
      <c r="Q25" s="477"/>
      <c r="R25" s="477"/>
      <c r="S25" s="478"/>
      <c r="T25" s="433"/>
      <c r="U25" s="455"/>
    </row>
    <row r="26" spans="3:22" ht="13.8" customHeight="1" x14ac:dyDescent="0.3">
      <c r="C26" s="641" t="s">
        <v>18</v>
      </c>
      <c r="D26" s="641"/>
      <c r="E26" s="641"/>
      <c r="F26" s="641"/>
      <c r="G26" s="481">
        <v>0.28999999999999998</v>
      </c>
      <c r="H26" s="475">
        <f>+ROUND(H25*G26,0)</f>
        <v>18055564</v>
      </c>
      <c r="I26" s="433"/>
      <c r="J26" s="433"/>
      <c r="K26" s="476"/>
      <c r="L26" s="476"/>
      <c r="M26" s="477"/>
      <c r="N26" s="477"/>
      <c r="O26" s="477"/>
      <c r="P26" s="477"/>
      <c r="Q26" s="477"/>
      <c r="R26" s="477"/>
      <c r="S26" s="478"/>
      <c r="T26" s="433"/>
      <c r="U26" s="455"/>
    </row>
    <row r="27" spans="3:22" x14ac:dyDescent="0.3">
      <c r="C27" s="641" t="s">
        <v>19</v>
      </c>
      <c r="D27" s="641"/>
      <c r="E27" s="641"/>
      <c r="F27" s="641"/>
      <c r="G27" s="481">
        <v>0.01</v>
      </c>
      <c r="H27" s="475">
        <f>+ROUND(H25*G27,0)</f>
        <v>622606</v>
      </c>
      <c r="I27" s="433"/>
      <c r="J27" s="433"/>
      <c r="K27" s="476"/>
      <c r="L27" s="476"/>
      <c r="M27" s="477"/>
      <c r="N27" s="477"/>
      <c r="O27" s="477"/>
      <c r="P27" s="477"/>
      <c r="Q27" s="477"/>
      <c r="R27" s="477"/>
      <c r="S27" s="478"/>
      <c r="T27" s="433"/>
      <c r="U27" s="455"/>
    </row>
    <row r="28" spans="3:22" x14ac:dyDescent="0.3">
      <c r="C28" s="641" t="s">
        <v>20</v>
      </c>
      <c r="D28" s="641"/>
      <c r="E28" s="641"/>
      <c r="F28" s="641"/>
      <c r="G28" s="481">
        <v>0.05</v>
      </c>
      <c r="H28" s="475">
        <f>+ROUND(H25*G28,0)</f>
        <v>3113028</v>
      </c>
      <c r="I28" s="433"/>
      <c r="J28" s="433"/>
      <c r="K28" s="476"/>
      <c r="L28" s="476"/>
      <c r="M28" s="477"/>
      <c r="N28" s="477"/>
      <c r="O28" s="477"/>
      <c r="P28" s="477"/>
      <c r="Q28" s="477"/>
      <c r="R28" s="477"/>
      <c r="S28" s="478"/>
      <c r="T28" s="433"/>
      <c r="U28" s="455"/>
    </row>
    <row r="29" spans="3:22" ht="13.8" customHeight="1" x14ac:dyDescent="0.3">
      <c r="C29" s="640" t="s">
        <v>960</v>
      </c>
      <c r="D29" s="640"/>
      <c r="E29" s="640"/>
      <c r="F29" s="640"/>
      <c r="G29" s="640"/>
      <c r="H29" s="479">
        <f>+SUM(H26:H28)</f>
        <v>21791198</v>
      </c>
      <c r="I29" s="433"/>
      <c r="J29" s="433"/>
      <c r="K29" s="476"/>
      <c r="L29" s="476"/>
      <c r="M29" s="477"/>
      <c r="N29" s="477"/>
      <c r="O29" s="477"/>
      <c r="P29" s="477"/>
      <c r="Q29" s="477"/>
      <c r="R29" s="477"/>
      <c r="S29" s="478"/>
      <c r="T29" s="433"/>
      <c r="U29" s="455"/>
    </row>
    <row r="30" spans="3:22" x14ac:dyDescent="0.3">
      <c r="C30" s="617"/>
      <c r="D30" s="637" t="s">
        <v>967</v>
      </c>
      <c r="E30" s="638"/>
      <c r="F30" s="638"/>
      <c r="G30" s="639"/>
      <c r="H30" s="488">
        <f>H25+H29</f>
        <v>84051762</v>
      </c>
      <c r="I30" s="433"/>
      <c r="J30" s="433"/>
      <c r="K30" s="476"/>
      <c r="L30" s="476"/>
      <c r="M30" s="477"/>
      <c r="N30" s="477"/>
      <c r="O30" s="477"/>
      <c r="P30" s="477"/>
      <c r="Q30" s="477"/>
      <c r="R30" s="477"/>
      <c r="S30" s="478"/>
      <c r="T30" s="433"/>
      <c r="U30" s="455"/>
    </row>
    <row r="31" spans="3:22" x14ac:dyDescent="0.3">
      <c r="C31" s="617"/>
      <c r="D31" s="616"/>
      <c r="E31" s="459"/>
      <c r="F31" s="473"/>
      <c r="G31" s="474"/>
      <c r="H31" s="475"/>
      <c r="I31" s="433"/>
      <c r="J31" s="433"/>
      <c r="K31" s="476"/>
      <c r="L31" s="476"/>
      <c r="M31" s="477"/>
      <c r="N31" s="477"/>
      <c r="O31" s="477"/>
      <c r="P31" s="477"/>
      <c r="Q31" s="477"/>
      <c r="R31" s="477"/>
      <c r="S31" s="478"/>
      <c r="T31" s="433"/>
      <c r="U31" s="455"/>
    </row>
    <row r="32" spans="3:22" x14ac:dyDescent="0.3">
      <c r="C32" s="621" t="s">
        <v>29</v>
      </c>
      <c r="D32" s="642" t="s">
        <v>947</v>
      </c>
      <c r="E32" s="643"/>
      <c r="F32" s="643"/>
      <c r="G32" s="643"/>
      <c r="H32" s="644"/>
      <c r="I32" s="433"/>
      <c r="J32" s="433"/>
      <c r="K32" s="476"/>
      <c r="L32" s="476"/>
      <c r="M32" s="477"/>
      <c r="N32" s="477"/>
      <c r="O32" s="477"/>
      <c r="P32" s="477"/>
      <c r="Q32" s="477"/>
      <c r="R32" s="477"/>
      <c r="S32" s="478"/>
      <c r="T32" s="433"/>
      <c r="U32" s="455"/>
    </row>
    <row r="33" spans="3:21" x14ac:dyDescent="0.3">
      <c r="C33" s="471">
        <v>2.1</v>
      </c>
      <c r="D33" s="472" t="s">
        <v>902</v>
      </c>
      <c r="E33" s="459" t="s">
        <v>43</v>
      </c>
      <c r="F33" s="473">
        <f>99.1*1</f>
        <v>99.1</v>
      </c>
      <c r="G33" s="474">
        <f>G11</f>
        <v>4995</v>
      </c>
      <c r="H33" s="475">
        <f>+ROUND(F33*G33,$Q$3)</f>
        <v>495005</v>
      </c>
      <c r="I33" s="433"/>
      <c r="J33" s="433"/>
      <c r="K33" s="476"/>
      <c r="L33" s="476"/>
      <c r="M33" s="477"/>
      <c r="N33" s="477"/>
      <c r="O33" s="477"/>
      <c r="P33" s="477"/>
      <c r="Q33" s="477"/>
      <c r="R33" s="477"/>
      <c r="S33" s="478"/>
      <c r="T33" s="433"/>
      <c r="U33" s="455"/>
    </row>
    <row r="34" spans="3:21" x14ac:dyDescent="0.3">
      <c r="C34" s="471">
        <v>2.2000000000000002</v>
      </c>
      <c r="D34" s="472" t="s">
        <v>931</v>
      </c>
      <c r="E34" s="459" t="s">
        <v>43</v>
      </c>
      <c r="F34" s="473">
        <f>F33</f>
        <v>99.1</v>
      </c>
      <c r="G34" s="474">
        <f>G12</f>
        <v>26270</v>
      </c>
      <c r="H34" s="475">
        <f t="shared" ref="H34:H43" si="27">+ROUND(F34*G34,$Q$3)</f>
        <v>2603357</v>
      </c>
      <c r="I34" s="433"/>
      <c r="J34" s="433"/>
      <c r="K34" s="476"/>
      <c r="L34" s="476"/>
      <c r="M34" s="477"/>
      <c r="N34" s="477"/>
      <c r="O34" s="477"/>
      <c r="P34" s="477"/>
      <c r="Q34" s="477"/>
      <c r="R34" s="477"/>
      <c r="S34" s="478"/>
      <c r="T34" s="433"/>
      <c r="U34" s="455"/>
    </row>
    <row r="35" spans="3:21" x14ac:dyDescent="0.3">
      <c r="C35" s="471">
        <v>2.2999999999999998</v>
      </c>
      <c r="D35" s="616" t="s">
        <v>948</v>
      </c>
      <c r="E35" s="459" t="s">
        <v>35</v>
      </c>
      <c r="F35" s="473">
        <v>99.1</v>
      </c>
      <c r="G35" s="474">
        <f>APUS!U1520</f>
        <v>22042</v>
      </c>
      <c r="H35" s="475">
        <f t="shared" si="27"/>
        <v>2184362</v>
      </c>
      <c r="I35" s="433"/>
      <c r="J35" s="433"/>
      <c r="K35" s="476"/>
      <c r="L35" s="476"/>
      <c r="M35" s="477"/>
      <c r="N35" s="477"/>
      <c r="O35" s="477"/>
      <c r="P35" s="477"/>
      <c r="Q35" s="477"/>
      <c r="R35" s="477"/>
      <c r="S35" s="478"/>
      <c r="T35" s="433"/>
      <c r="U35" s="455"/>
    </row>
    <row r="36" spans="3:21" x14ac:dyDescent="0.3">
      <c r="C36" s="471">
        <v>2.4</v>
      </c>
      <c r="D36" s="472" t="s">
        <v>913</v>
      </c>
      <c r="E36" s="459" t="s">
        <v>34</v>
      </c>
      <c r="F36" s="473">
        <f>(F35*0.6*0.6)</f>
        <v>35.675999999999995</v>
      </c>
      <c r="G36" s="474">
        <f t="shared" ref="G36:G41" si="28">G14</f>
        <v>57314</v>
      </c>
      <c r="H36" s="475">
        <f t="shared" si="27"/>
        <v>2044734</v>
      </c>
      <c r="I36" s="433"/>
      <c r="J36" s="433"/>
      <c r="K36" s="476"/>
      <c r="L36" s="476"/>
      <c r="M36" s="477"/>
      <c r="N36" s="477"/>
      <c r="O36" s="477"/>
      <c r="P36" s="477"/>
      <c r="Q36" s="477"/>
      <c r="R36" s="477"/>
      <c r="S36" s="478"/>
      <c r="T36" s="433"/>
      <c r="U36" s="455"/>
    </row>
    <row r="37" spans="3:21" x14ac:dyDescent="0.3">
      <c r="C37" s="471">
        <v>2.5</v>
      </c>
      <c r="D37" s="472" t="s">
        <v>904</v>
      </c>
      <c r="E37" s="459" t="s">
        <v>34</v>
      </c>
      <c r="F37" s="473">
        <f>F35*0.6*0.2+10*3.5*0.5*0.6</f>
        <v>22.391999999999999</v>
      </c>
      <c r="G37" s="474">
        <f t="shared" si="28"/>
        <v>75555</v>
      </c>
      <c r="H37" s="475">
        <f t="shared" si="27"/>
        <v>1691828</v>
      </c>
      <c r="I37" s="433"/>
      <c r="J37" s="433"/>
      <c r="K37" s="476"/>
      <c r="L37" s="476"/>
      <c r="M37" s="477"/>
      <c r="N37" s="477"/>
      <c r="O37" s="477"/>
      <c r="P37" s="477"/>
      <c r="Q37" s="477"/>
      <c r="R37" s="477"/>
      <c r="S37" s="478"/>
      <c r="T37" s="433"/>
      <c r="U37" s="455"/>
    </row>
    <row r="38" spans="3:21" x14ac:dyDescent="0.3">
      <c r="C38" s="471">
        <v>2.6</v>
      </c>
      <c r="D38" s="472" t="s">
        <v>905</v>
      </c>
      <c r="E38" s="459" t="s">
        <v>34</v>
      </c>
      <c r="F38" s="473">
        <f>(F35*0.6)*0.1</f>
        <v>5.9459999999999997</v>
      </c>
      <c r="G38" s="474">
        <f t="shared" si="28"/>
        <v>153555</v>
      </c>
      <c r="H38" s="475">
        <f t="shared" si="27"/>
        <v>913038</v>
      </c>
      <c r="I38" s="433"/>
      <c r="J38" s="433"/>
      <c r="K38" s="476"/>
      <c r="L38" s="476"/>
      <c r="M38" s="477"/>
      <c r="N38" s="477"/>
      <c r="O38" s="477"/>
      <c r="P38" s="477"/>
      <c r="Q38" s="477"/>
      <c r="R38" s="477"/>
      <c r="S38" s="478"/>
      <c r="T38" s="433"/>
      <c r="U38" s="455"/>
    </row>
    <row r="39" spans="3:21" x14ac:dyDescent="0.3">
      <c r="C39" s="471">
        <v>2.7</v>
      </c>
      <c r="D39" s="472" t="s">
        <v>906</v>
      </c>
      <c r="E39" s="459" t="s">
        <v>34</v>
      </c>
      <c r="F39" s="473">
        <f>(F35*0.6*0.5)</f>
        <v>29.729999999999997</v>
      </c>
      <c r="G39" s="474">
        <f t="shared" si="28"/>
        <v>54202</v>
      </c>
      <c r="H39" s="475">
        <f t="shared" si="27"/>
        <v>1611425</v>
      </c>
      <c r="I39" s="433"/>
      <c r="J39" s="433"/>
      <c r="K39" s="476"/>
      <c r="L39" s="476"/>
      <c r="M39" s="477"/>
      <c r="N39" s="477"/>
      <c r="O39" s="477"/>
      <c r="P39" s="477"/>
      <c r="Q39" s="477"/>
      <c r="R39" s="477"/>
      <c r="S39" s="478"/>
      <c r="T39" s="433"/>
      <c r="U39" s="455"/>
    </row>
    <row r="40" spans="3:21" x14ac:dyDescent="0.3">
      <c r="C40" s="471">
        <v>2.8</v>
      </c>
      <c r="D40" s="472" t="s">
        <v>907</v>
      </c>
      <c r="E40" s="459" t="s">
        <v>34</v>
      </c>
      <c r="F40" s="473">
        <f>(F35*0.6*0.2)</f>
        <v>11.891999999999999</v>
      </c>
      <c r="G40" s="474">
        <f t="shared" si="28"/>
        <v>126792</v>
      </c>
      <c r="H40" s="475">
        <f t="shared" si="27"/>
        <v>1507810</v>
      </c>
      <c r="I40" s="433"/>
      <c r="J40" s="433"/>
      <c r="K40" s="476"/>
      <c r="L40" s="476"/>
      <c r="M40" s="477"/>
      <c r="N40" s="477"/>
      <c r="O40" s="477"/>
      <c r="P40" s="477"/>
      <c r="Q40" s="477"/>
      <c r="R40" s="477"/>
      <c r="S40" s="478"/>
      <c r="T40" s="433"/>
      <c r="U40" s="455"/>
    </row>
    <row r="41" spans="3:21" x14ac:dyDescent="0.3">
      <c r="C41" s="471">
        <v>2.9</v>
      </c>
      <c r="D41" s="616" t="s">
        <v>949</v>
      </c>
      <c r="E41" s="459" t="s">
        <v>35</v>
      </c>
      <c r="F41" s="473">
        <f>F35</f>
        <v>99.1</v>
      </c>
      <c r="G41" s="474">
        <f t="shared" si="28"/>
        <v>30405</v>
      </c>
      <c r="H41" s="475">
        <f t="shared" si="27"/>
        <v>3013136</v>
      </c>
      <c r="I41" s="433"/>
      <c r="J41" s="433"/>
      <c r="K41" s="476"/>
      <c r="L41" s="476"/>
      <c r="M41" s="477"/>
      <c r="N41" s="477"/>
      <c r="O41" s="477"/>
      <c r="P41" s="477"/>
      <c r="Q41" s="477"/>
      <c r="R41" s="477"/>
      <c r="S41" s="478"/>
      <c r="T41" s="433"/>
      <c r="U41" s="455"/>
    </row>
    <row r="42" spans="3:21" x14ac:dyDescent="0.3">
      <c r="C42" s="617">
        <v>2.1</v>
      </c>
      <c r="D42" s="616" t="s">
        <v>950</v>
      </c>
      <c r="E42" s="459" t="s">
        <v>36</v>
      </c>
      <c r="F42" s="473">
        <f>F35</f>
        <v>99.1</v>
      </c>
      <c r="G42" s="474">
        <f>APUS!U1573</f>
        <v>86487</v>
      </c>
      <c r="H42" s="475">
        <f t="shared" si="27"/>
        <v>8570862</v>
      </c>
      <c r="I42" s="433"/>
      <c r="J42" s="433"/>
      <c r="K42" s="476"/>
      <c r="L42" s="476"/>
      <c r="M42" s="477"/>
      <c r="N42" s="477"/>
      <c r="O42" s="477"/>
      <c r="P42" s="477"/>
      <c r="Q42" s="477"/>
      <c r="R42" s="477"/>
      <c r="S42" s="478"/>
      <c r="T42" s="433"/>
      <c r="U42" s="455"/>
    </row>
    <row r="43" spans="3:21" x14ac:dyDescent="0.3">
      <c r="C43" s="617">
        <v>2.11</v>
      </c>
      <c r="D43" s="616" t="s">
        <v>952</v>
      </c>
      <c r="E43" s="459" t="s">
        <v>6</v>
      </c>
      <c r="F43" s="473">
        <v>10</v>
      </c>
      <c r="G43" s="474">
        <f>APUS!U1627</f>
        <v>687156</v>
      </c>
      <c r="H43" s="475">
        <f t="shared" si="27"/>
        <v>6871560</v>
      </c>
      <c r="I43" s="433"/>
      <c r="J43" s="433"/>
      <c r="K43" s="476"/>
      <c r="L43" s="476"/>
      <c r="M43" s="477"/>
      <c r="N43" s="477"/>
      <c r="O43" s="477"/>
      <c r="P43" s="477"/>
      <c r="Q43" s="477"/>
      <c r="R43" s="477"/>
      <c r="S43" s="478"/>
      <c r="T43" s="433"/>
      <c r="U43" s="455"/>
    </row>
    <row r="44" spans="3:21" x14ac:dyDescent="0.3">
      <c r="C44" s="617"/>
      <c r="D44" s="616"/>
      <c r="E44" s="459"/>
      <c r="F44" s="473"/>
      <c r="G44" s="474"/>
      <c r="H44" s="475"/>
      <c r="I44" s="433"/>
      <c r="J44" s="433"/>
      <c r="K44" s="476"/>
      <c r="L44" s="476"/>
      <c r="M44" s="477"/>
      <c r="N44" s="477"/>
      <c r="O44" s="477"/>
      <c r="P44" s="477"/>
      <c r="Q44" s="477"/>
      <c r="R44" s="477"/>
      <c r="S44" s="478"/>
      <c r="T44" s="433"/>
      <c r="U44" s="455"/>
    </row>
    <row r="45" spans="3:21" x14ac:dyDescent="0.3">
      <c r="C45" s="640" t="s">
        <v>959</v>
      </c>
      <c r="D45" s="640"/>
      <c r="E45" s="640"/>
      <c r="F45" s="640"/>
      <c r="G45" s="640"/>
      <c r="H45" s="479">
        <f>+SUM(H33:H43)</f>
        <v>31507117</v>
      </c>
      <c r="I45" s="433"/>
      <c r="J45" s="433"/>
      <c r="K45" s="476"/>
      <c r="L45" s="476"/>
      <c r="M45" s="477"/>
      <c r="N45" s="477"/>
      <c r="O45" s="477"/>
      <c r="P45" s="477"/>
      <c r="Q45" s="477"/>
      <c r="R45" s="477"/>
      <c r="S45" s="478"/>
      <c r="T45" s="433"/>
      <c r="U45" s="455"/>
    </row>
    <row r="46" spans="3:21" x14ac:dyDescent="0.3">
      <c r="C46" s="641" t="s">
        <v>18</v>
      </c>
      <c r="D46" s="641"/>
      <c r="E46" s="641"/>
      <c r="F46" s="641"/>
      <c r="G46" s="481">
        <v>0.28999999999999998</v>
      </c>
      <c r="H46" s="475">
        <f>+ROUND(H45*G46,0)</f>
        <v>9137064</v>
      </c>
      <c r="I46" s="433"/>
      <c r="J46" s="433"/>
      <c r="K46" s="476"/>
      <c r="L46" s="476"/>
      <c r="M46" s="477"/>
      <c r="N46" s="477"/>
      <c r="O46" s="477"/>
      <c r="P46" s="477"/>
      <c r="Q46" s="477"/>
      <c r="R46" s="477"/>
      <c r="S46" s="478"/>
      <c r="T46" s="433"/>
      <c r="U46" s="455"/>
    </row>
    <row r="47" spans="3:21" x14ac:dyDescent="0.3">
      <c r="C47" s="641" t="s">
        <v>19</v>
      </c>
      <c r="D47" s="641"/>
      <c r="E47" s="641"/>
      <c r="F47" s="641"/>
      <c r="G47" s="481">
        <v>0.01</v>
      </c>
      <c r="H47" s="475">
        <f>+ROUND(H45*G47,0)</f>
        <v>315071</v>
      </c>
      <c r="I47" s="433"/>
      <c r="J47" s="433"/>
      <c r="K47" s="476"/>
      <c r="L47" s="476"/>
      <c r="M47" s="477"/>
      <c r="N47" s="477"/>
      <c r="O47" s="477"/>
      <c r="P47" s="477"/>
      <c r="Q47" s="477"/>
      <c r="R47" s="477"/>
      <c r="S47" s="478"/>
      <c r="T47" s="433"/>
      <c r="U47" s="455"/>
    </row>
    <row r="48" spans="3:21" x14ac:dyDescent="0.3">
      <c r="C48" s="641" t="s">
        <v>20</v>
      </c>
      <c r="D48" s="641"/>
      <c r="E48" s="641"/>
      <c r="F48" s="641"/>
      <c r="G48" s="481">
        <v>0.05</v>
      </c>
      <c r="H48" s="475">
        <f>+ROUND(H45*G48,0)</f>
        <v>1575356</v>
      </c>
      <c r="I48" s="433"/>
      <c r="J48" s="433"/>
      <c r="K48" s="476"/>
      <c r="L48" s="476"/>
      <c r="M48" s="477"/>
      <c r="N48" s="477"/>
      <c r="O48" s="477"/>
      <c r="P48" s="477"/>
      <c r="Q48" s="477"/>
      <c r="R48" s="477"/>
      <c r="S48" s="478"/>
      <c r="T48" s="433"/>
      <c r="U48" s="455"/>
    </row>
    <row r="49" spans="3:22" x14ac:dyDescent="0.3">
      <c r="C49" s="640" t="s">
        <v>960</v>
      </c>
      <c r="D49" s="640"/>
      <c r="E49" s="640"/>
      <c r="F49" s="640"/>
      <c r="G49" s="640"/>
      <c r="H49" s="479">
        <f>+SUM(H46:H48)</f>
        <v>11027491</v>
      </c>
      <c r="I49" s="433"/>
      <c r="J49" s="433"/>
      <c r="K49" s="476"/>
      <c r="L49" s="476"/>
      <c r="M49" s="477"/>
      <c r="N49" s="477"/>
      <c r="O49" s="477"/>
      <c r="P49" s="477"/>
      <c r="Q49" s="477"/>
      <c r="R49" s="477"/>
      <c r="S49" s="478"/>
      <c r="T49" s="433"/>
      <c r="U49" s="455"/>
    </row>
    <row r="50" spans="3:22" ht="8.4" customHeight="1" x14ac:dyDescent="0.3">
      <c r="C50" s="645"/>
      <c r="D50" s="646"/>
      <c r="E50" s="646"/>
      <c r="F50" s="646"/>
      <c r="G50" s="646"/>
      <c r="H50" s="647"/>
      <c r="I50" s="433"/>
      <c r="J50" s="433"/>
      <c r="K50" s="476"/>
      <c r="L50" s="476"/>
      <c r="M50" s="477"/>
      <c r="N50" s="477"/>
      <c r="O50" s="477"/>
      <c r="P50" s="477"/>
      <c r="Q50" s="477"/>
      <c r="R50" s="477"/>
      <c r="S50" s="478"/>
      <c r="T50" s="433"/>
      <c r="U50" s="455"/>
    </row>
    <row r="51" spans="3:22" x14ac:dyDescent="0.3">
      <c r="C51" s="640" t="s">
        <v>966</v>
      </c>
      <c r="D51" s="640"/>
      <c r="E51" s="640"/>
      <c r="F51" s="640"/>
      <c r="G51" s="640"/>
      <c r="H51" s="479">
        <f>H45+H49</f>
        <v>42534608</v>
      </c>
      <c r="I51" s="433"/>
      <c r="J51" s="433"/>
      <c r="K51" s="476"/>
      <c r="L51" s="476"/>
      <c r="M51" s="477"/>
      <c r="N51" s="477"/>
      <c r="O51" s="477"/>
      <c r="P51" s="477"/>
      <c r="Q51" s="477"/>
      <c r="R51" s="477"/>
      <c r="S51" s="478"/>
      <c r="T51" s="433"/>
      <c r="U51" s="455"/>
    </row>
    <row r="52" spans="3:22" ht="15" customHeight="1" x14ac:dyDescent="0.3">
      <c r="C52" s="471"/>
      <c r="D52" s="472"/>
      <c r="E52" s="459"/>
      <c r="F52" s="473"/>
      <c r="G52" s="474"/>
      <c r="H52" s="475"/>
      <c r="I52" s="433"/>
      <c r="J52" s="433"/>
      <c r="K52" s="476"/>
      <c r="L52" s="476"/>
      <c r="M52" s="477"/>
      <c r="N52" s="477"/>
      <c r="O52" s="477"/>
      <c r="P52" s="477"/>
      <c r="Q52" s="477"/>
      <c r="R52" s="477"/>
      <c r="S52" s="478"/>
      <c r="T52" s="433"/>
      <c r="U52" s="455"/>
      <c r="V52" s="443" t="str">
        <f t="shared" ref="V52:V57" si="29">CONCATENATE(C52," ","-"," ",D52)</f>
        <v xml:space="preserve"> - </v>
      </c>
    </row>
    <row r="53" spans="3:22" x14ac:dyDescent="0.3">
      <c r="C53" s="470" t="s">
        <v>30</v>
      </c>
      <c r="D53" s="650" t="s">
        <v>909</v>
      </c>
      <c r="E53" s="651"/>
      <c r="F53" s="651"/>
      <c r="G53" s="652"/>
      <c r="H53" s="553"/>
      <c r="I53" s="433"/>
      <c r="J53" s="433"/>
      <c r="K53" s="480"/>
      <c r="L53" s="480"/>
      <c r="M53" s="477"/>
      <c r="N53" s="477"/>
      <c r="O53" s="477"/>
      <c r="P53" s="477"/>
      <c r="Q53" s="477"/>
      <c r="R53" s="477"/>
      <c r="S53" s="478"/>
      <c r="T53" s="433"/>
      <c r="U53" s="455"/>
      <c r="V53" s="443" t="str">
        <f t="shared" si="29"/>
        <v>CAP.3 - ESTRUCTURA VIAL EN PIEDRA LABOR</v>
      </c>
    </row>
    <row r="54" spans="3:22" x14ac:dyDescent="0.3">
      <c r="C54" s="618">
        <v>3.1</v>
      </c>
      <c r="D54" s="472" t="s">
        <v>902</v>
      </c>
      <c r="E54" s="619" t="s">
        <v>43</v>
      </c>
      <c r="F54" s="619">
        <f>(91*6.8)+(8.1*6)-F11-F33</f>
        <v>469.19999999999993</v>
      </c>
      <c r="G54" s="620">
        <f>APUS!U348</f>
        <v>4995</v>
      </c>
      <c r="H54" s="475">
        <f t="shared" ref="H54:H56" si="30">+ROUND(F54*G54,$Q$3)</f>
        <v>2343654</v>
      </c>
      <c r="I54" s="433"/>
      <c r="J54" s="433"/>
      <c r="K54" s="480"/>
      <c r="L54" s="480"/>
      <c r="M54" s="477"/>
      <c r="N54" s="477"/>
      <c r="O54" s="477"/>
      <c r="P54" s="477"/>
      <c r="Q54" s="477"/>
      <c r="R54" s="477"/>
      <c r="S54" s="478"/>
      <c r="T54" s="433"/>
      <c r="U54" s="455"/>
    </row>
    <row r="55" spans="3:22" x14ac:dyDescent="0.3">
      <c r="C55" s="618">
        <v>3.2</v>
      </c>
      <c r="D55" s="472" t="s">
        <v>931</v>
      </c>
      <c r="E55" s="619" t="s">
        <v>43</v>
      </c>
      <c r="F55" s="619">
        <f>(91*6.8)+(8.1*6)-F12-F34</f>
        <v>469.19999999999993</v>
      </c>
      <c r="G55" s="620">
        <f>APUS!U401</f>
        <v>26270</v>
      </c>
      <c r="H55" s="475">
        <f t="shared" si="30"/>
        <v>12325884</v>
      </c>
      <c r="I55" s="433"/>
      <c r="J55" s="433"/>
      <c r="K55" s="480"/>
      <c r="L55" s="480"/>
      <c r="M55" s="477"/>
      <c r="N55" s="477"/>
      <c r="O55" s="477"/>
      <c r="P55" s="477"/>
      <c r="Q55" s="477"/>
      <c r="R55" s="477"/>
      <c r="S55" s="478"/>
      <c r="T55" s="433"/>
      <c r="U55" s="455"/>
    </row>
    <row r="56" spans="3:22" x14ac:dyDescent="0.3">
      <c r="C56" s="471">
        <v>3.3</v>
      </c>
      <c r="D56" s="472" t="s">
        <v>913</v>
      </c>
      <c r="E56" s="459" t="s">
        <v>34</v>
      </c>
      <c r="F56" s="473">
        <f>F54*0.25</f>
        <v>117.29999999999998</v>
      </c>
      <c r="G56" s="474">
        <f t="shared" ref="G56:G61" si="31">+IFERROR(IF($Q$2="UNITARIOS",VLOOKUP(C56,$C$9:$Y$63,11,FALSE),VLOOKUP(C56,$C$9:$Y$63,12,FALSE)),0)</f>
        <v>57314</v>
      </c>
      <c r="H56" s="475">
        <f t="shared" si="30"/>
        <v>6722932</v>
      </c>
      <c r="I56" s="433"/>
      <c r="J56" s="433"/>
      <c r="K56" s="476">
        <f t="shared" ref="K56" si="32">ROUND(F56*M56,$Q$3)</f>
        <v>6722932</v>
      </c>
      <c r="L56" s="476">
        <f t="shared" ref="L56" si="33">ROUND(F56*N56,$Q$3)</f>
        <v>8941544</v>
      </c>
      <c r="M56" s="477">
        <f>ROUND(VLOOKUP(C56,APUS!$H$10:$V$1486,14,0),2)</f>
        <v>57314</v>
      </c>
      <c r="N56" s="477">
        <f>ROUND(VLOOKUP(C56,APUS!$I$10:$V$1486,13,0),2)</f>
        <v>76228</v>
      </c>
      <c r="O56" s="477">
        <f>ROUND(VLOOKUP(C56,APUS!$D$10:$Z$1486,23,0),2)</f>
        <v>5840432</v>
      </c>
      <c r="P56" s="477">
        <f>ROUND(VLOOKUP(C56,APUS!$E$10:$Z$1486,22,0),2)</f>
        <v>0</v>
      </c>
      <c r="Q56" s="477">
        <f>ROUND(VLOOKUP(C56,APUS!$F$10:$Z$1486,21,0),2)</f>
        <v>481399</v>
      </c>
      <c r="R56" s="477">
        <f>ROUND(VLOOKUP(C56,APUS!$G$10:$Z$1486,20,0),2)</f>
        <v>401039</v>
      </c>
      <c r="S56" s="478">
        <f t="shared" ref="S56" si="34">SUM(O56:R56)</f>
        <v>6722870</v>
      </c>
      <c r="T56" s="433"/>
      <c r="U56" s="455"/>
      <c r="V56" s="443" t="str">
        <f t="shared" si="29"/>
        <v>3,3 - Excavaciones en material común en seco a maquina (Incluye retiro y disposición final)</v>
      </c>
    </row>
    <row r="57" spans="3:22" x14ac:dyDescent="0.3">
      <c r="C57" s="471">
        <v>3.4</v>
      </c>
      <c r="D57" s="472" t="s">
        <v>914</v>
      </c>
      <c r="E57" s="459" t="s">
        <v>43</v>
      </c>
      <c r="F57" s="473">
        <f>F54+F11+F33</f>
        <v>667.4</v>
      </c>
      <c r="G57" s="474">
        <f t="shared" si="31"/>
        <v>4269</v>
      </c>
      <c r="H57" s="475">
        <f t="shared" ref="H57" si="35">+ROUND(F57*G57,$Q$3)</f>
        <v>2849131</v>
      </c>
      <c r="I57" s="433"/>
      <c r="J57" s="433"/>
      <c r="K57" s="476">
        <f t="shared" ref="K57" si="36">ROUND(F57*M57,$Q$3)</f>
        <v>2849131</v>
      </c>
      <c r="L57" s="476">
        <f t="shared" ref="L57" si="37">ROUND(F57*N57,$Q$3)</f>
        <v>3788830</v>
      </c>
      <c r="M57" s="477">
        <f>ROUND(VLOOKUP(C57,APUS!$H$10:$V$1486,14,0),2)</f>
        <v>4269</v>
      </c>
      <c r="N57" s="477">
        <f>ROUND(VLOOKUP(C57,APUS!$I$10:$V$1486,13,0),2)</f>
        <v>5677</v>
      </c>
      <c r="O57" s="477">
        <f>ROUND(VLOOKUP(C57,APUS!$D$10:$Z$1486,23,0),2)</f>
        <v>1708844</v>
      </c>
      <c r="P57" s="477">
        <f>ROUND(VLOOKUP(C57,APUS!$E$10:$Z$1486,22,0),2)</f>
        <v>0</v>
      </c>
      <c r="Q57" s="477">
        <f>ROUND(VLOOKUP(C57,APUS!$F$10:$Z$1486,21,0),2)</f>
        <v>0</v>
      </c>
      <c r="R57" s="477">
        <f>ROUND(VLOOKUP(C57,APUS!$G$10:$Z$1486,20,0),2)</f>
        <v>1140894</v>
      </c>
      <c r="S57" s="478">
        <f t="shared" ref="S57" si="38">SUM(O57:R57)</f>
        <v>2849738</v>
      </c>
      <c r="T57" s="433"/>
      <c r="U57" s="455"/>
      <c r="V57" s="443" t="str">
        <f t="shared" si="29"/>
        <v>3,4 - Conformacion de la Subrasante a maquina</v>
      </c>
    </row>
    <row r="58" spans="3:22" ht="27.6" x14ac:dyDescent="0.3">
      <c r="C58" s="471">
        <v>3.5</v>
      </c>
      <c r="D58" s="472" t="s">
        <v>921</v>
      </c>
      <c r="E58" s="459" t="s">
        <v>34</v>
      </c>
      <c r="F58" s="473">
        <f>99.1*6*0.15</f>
        <v>89.189999999999984</v>
      </c>
      <c r="G58" s="474">
        <f t="shared" si="31"/>
        <v>186106</v>
      </c>
      <c r="H58" s="475">
        <f t="shared" ref="H58" si="39">+ROUND(F58*G58,$Q$3)</f>
        <v>16598794</v>
      </c>
      <c r="I58" s="433"/>
      <c r="J58" s="433"/>
      <c r="K58" s="476">
        <f t="shared" ref="K58" si="40">ROUND(F58*M58,$Q$3)</f>
        <v>16598794</v>
      </c>
      <c r="L58" s="476">
        <f t="shared" ref="L58" si="41">ROUND(F58*N58,$Q$3)</f>
        <v>22076398</v>
      </c>
      <c r="M58" s="477">
        <f>ROUND(VLOOKUP(C58,APUS!$H$10:$V$1486,14,0),2)</f>
        <v>186106</v>
      </c>
      <c r="N58" s="477">
        <f>ROUND(VLOOKUP(C58,APUS!$I$10:$V$1486,13,0),2)</f>
        <v>247521</v>
      </c>
      <c r="O58" s="477">
        <f>ROUND(VLOOKUP(C58,APUS!$D$10:$Z$1486,23,0),2)</f>
        <v>3175775</v>
      </c>
      <c r="P58" s="477">
        <f>ROUND(VLOOKUP(C58,APUS!$E$10:$Z$1486,22,0),2)</f>
        <v>12194503</v>
      </c>
      <c r="Q58" s="477">
        <f>ROUND(VLOOKUP(C58,APUS!$F$10:$Z$1486,21,0),2)</f>
        <v>1037904</v>
      </c>
      <c r="R58" s="477">
        <f>ROUND(VLOOKUP(C58,APUS!$G$10:$Z$1486,20,0),2)</f>
        <v>190583</v>
      </c>
      <c r="S58" s="478">
        <f t="shared" ref="S58" si="42">SUM(O58:R58)</f>
        <v>16598765</v>
      </c>
      <c r="T58" s="433"/>
      <c r="U58" s="455"/>
      <c r="V58" s="443" t="str">
        <f t="shared" ref="V58" si="43">CONCATENATE(C58," ","-"," ",D58)</f>
        <v>3,5 - Subbase Granular Clase C (incluye suministro, extendido, nivelación, humedecido y compactación)</v>
      </c>
    </row>
    <row r="59" spans="3:22" x14ac:dyDescent="0.3">
      <c r="C59" s="471">
        <v>3.6</v>
      </c>
      <c r="D59" s="472" t="s">
        <v>946</v>
      </c>
      <c r="E59" s="459" t="s">
        <v>43</v>
      </c>
      <c r="F59" s="473">
        <f>99.1*6</f>
        <v>594.59999999999991</v>
      </c>
      <c r="G59" s="474">
        <f t="shared" si="31"/>
        <v>280598</v>
      </c>
      <c r="H59" s="475">
        <f t="shared" si="2"/>
        <v>166843571</v>
      </c>
      <c r="I59" s="433"/>
      <c r="J59" s="433"/>
      <c r="K59" s="476">
        <f t="shared" ref="K59:K61" si="44">ROUND(F59*M59,$Q$3)</f>
        <v>166843571</v>
      </c>
      <c r="L59" s="476">
        <f t="shared" ref="L59:L61" si="45">ROUND(F59*N59,$Q$3)</f>
        <v>221902342</v>
      </c>
      <c r="M59" s="477">
        <f>ROUND(VLOOKUP(C59,APUS!$H$10:$V$1486,14,0),2)</f>
        <v>280598</v>
      </c>
      <c r="N59" s="477">
        <f>ROUND(VLOOKUP(C59,APUS!$I$10:$V$1486,13,0),2)</f>
        <v>373196</v>
      </c>
      <c r="O59" s="477">
        <f>ROUND(VLOOKUP(C59,APUS!$D$10:$Z$1486,23,0),2)</f>
        <v>1945383</v>
      </c>
      <c r="P59" s="477">
        <f>ROUND(VLOOKUP(C59,APUS!$E$10:$Z$1486,22,0),2)</f>
        <v>114336392</v>
      </c>
      <c r="Q59" s="477">
        <f>ROUND(VLOOKUP(C59,APUS!$F$10:$Z$1486,21,0),2)</f>
        <v>11654160</v>
      </c>
      <c r="R59" s="477">
        <f>ROUND(VLOOKUP(C59,APUS!$G$10:$Z$1486,20,0),2)</f>
        <v>38907597</v>
      </c>
      <c r="S59" s="478">
        <f t="shared" ref="S59:S61" si="46">SUM(O59:R59)</f>
        <v>166843532</v>
      </c>
      <c r="T59" s="433"/>
      <c r="U59" s="455"/>
      <c r="V59" s="443" t="str">
        <f t="shared" ref="V59:V61" si="47">CONCATENATE(C59," ","-"," ",D59)</f>
        <v>3,6 - Suministro e instalación de Pavimento en piedra labor e minimo = 0,15 m</v>
      </c>
    </row>
    <row r="60" spans="3:22" x14ac:dyDescent="0.3">
      <c r="C60" s="471" t="s">
        <v>68</v>
      </c>
      <c r="D60" s="472" t="s">
        <v>910</v>
      </c>
      <c r="E60" s="459" t="s">
        <v>43</v>
      </c>
      <c r="F60" s="473">
        <f>91*0.65</f>
        <v>59.15</v>
      </c>
      <c r="G60" s="474">
        <f t="shared" si="31"/>
        <v>228992</v>
      </c>
      <c r="H60" s="475">
        <f t="shared" ref="H60:H61" si="48">+ROUND(F60*G60,$Q$3)</f>
        <v>13544877</v>
      </c>
      <c r="I60" s="433"/>
      <c r="J60" s="433"/>
      <c r="K60" s="476">
        <f t="shared" si="44"/>
        <v>13544877</v>
      </c>
      <c r="L60" s="476">
        <f t="shared" si="45"/>
        <v>18014724</v>
      </c>
      <c r="M60" s="477">
        <f>ROUND(VLOOKUP(C60,APUS!$H$10:$V$1486,14,0),2)</f>
        <v>228992</v>
      </c>
      <c r="N60" s="477">
        <f>ROUND(VLOOKUP(C60,APUS!$I$10:$V$1486,13,0),2)</f>
        <v>304560</v>
      </c>
      <c r="O60" s="477">
        <f>ROUND(VLOOKUP(C60,APUS!$D$10:$Z$1486,23,0),2)</f>
        <v>163751</v>
      </c>
      <c r="P60" s="477">
        <f>ROUND(VLOOKUP(C60,APUS!$E$10:$Z$1486,22,0),2)</f>
        <v>9236642</v>
      </c>
      <c r="Q60" s="477">
        <f>ROUND(VLOOKUP(C60,APUS!$F$10:$Z$1486,21,0),2)</f>
        <v>869505</v>
      </c>
      <c r="R60" s="477">
        <f>ROUND(VLOOKUP(C60,APUS!$G$10:$Z$1486,20,0),2)</f>
        <v>3275017</v>
      </c>
      <c r="S60" s="478">
        <f t="shared" si="46"/>
        <v>13544915</v>
      </c>
      <c r="T60" s="433"/>
      <c r="U60" s="455"/>
      <c r="V60" s="443" t="str">
        <f t="shared" si="47"/>
        <v>3.7 - Anden en piedra labor</v>
      </c>
    </row>
    <row r="61" spans="3:22" x14ac:dyDescent="0.3">
      <c r="C61" s="471" t="s">
        <v>69</v>
      </c>
      <c r="D61" s="472" t="s">
        <v>965</v>
      </c>
      <c r="E61" s="459" t="s">
        <v>35</v>
      </c>
      <c r="F61" s="473">
        <f>91</f>
        <v>91</v>
      </c>
      <c r="G61" s="474">
        <f t="shared" si="31"/>
        <v>143721</v>
      </c>
      <c r="H61" s="475">
        <f t="shared" si="48"/>
        <v>13078611</v>
      </c>
      <c r="I61" s="433"/>
      <c r="J61" s="433"/>
      <c r="K61" s="476">
        <f t="shared" si="44"/>
        <v>13078611</v>
      </c>
      <c r="L61" s="476">
        <f t="shared" si="45"/>
        <v>17394559</v>
      </c>
      <c r="M61" s="477">
        <f>ROUND(VLOOKUP(C61,APUS!$H$10:$V$1486,14,0),2)</f>
        <v>143721</v>
      </c>
      <c r="N61" s="477">
        <f>ROUND(VLOOKUP(C61,APUS!$I$10:$V$1486,13,0),2)</f>
        <v>191149</v>
      </c>
      <c r="O61" s="477">
        <f>ROUND(VLOOKUP(C61,APUS!$D$10:$Z$1486,23,0),2)</f>
        <v>218336</v>
      </c>
      <c r="P61" s="477">
        <f>ROUND(VLOOKUP(C61,APUS!$E$10:$Z$1486,22,0),2)</f>
        <v>7155866</v>
      </c>
      <c r="Q61" s="477">
        <f>ROUND(VLOOKUP(C61,APUS!$F$10:$Z$1486,21,0),2)</f>
        <v>1337700</v>
      </c>
      <c r="R61" s="477">
        <f>ROUND(VLOOKUP(C61,APUS!$G$10:$Z$1486,20,0),2)</f>
        <v>4366690</v>
      </c>
      <c r="S61" s="478">
        <f t="shared" si="46"/>
        <v>13078592</v>
      </c>
      <c r="T61" s="433"/>
      <c r="U61" s="455"/>
      <c r="V61" s="443" t="str">
        <f t="shared" si="47"/>
        <v>3.8 - Bordillos en piedra labor e=0,15 m</v>
      </c>
    </row>
    <row r="62" spans="3:22" ht="12.6" customHeight="1" x14ac:dyDescent="0.3">
      <c r="C62" s="448"/>
      <c r="D62" s="448"/>
      <c r="E62" s="448"/>
      <c r="F62" s="448"/>
      <c r="G62" s="448"/>
      <c r="H62" s="451"/>
      <c r="I62" s="433"/>
      <c r="J62" s="433"/>
      <c r="K62" s="480"/>
      <c r="L62" s="480"/>
      <c r="M62" s="477"/>
      <c r="N62" s="477"/>
      <c r="O62" s="477"/>
      <c r="P62" s="477"/>
      <c r="Q62" s="477"/>
      <c r="R62" s="477"/>
      <c r="S62" s="478"/>
      <c r="T62" s="433"/>
      <c r="U62" s="455"/>
    </row>
    <row r="63" spans="3:22" ht="15" customHeight="1" x14ac:dyDescent="0.3">
      <c r="C63" s="640" t="s">
        <v>959</v>
      </c>
      <c r="D63" s="640"/>
      <c r="E63" s="640"/>
      <c r="F63" s="640"/>
      <c r="G63" s="640"/>
      <c r="H63" s="479">
        <f>SUM(H54:H61)</f>
        <v>234307454</v>
      </c>
      <c r="I63" s="433"/>
      <c r="J63" s="433"/>
      <c r="K63" s="488">
        <f t="shared" ref="K63:R63" si="49">SUM(K9:K62)</f>
        <v>276526171</v>
      </c>
      <c r="L63" s="488">
        <f t="shared" si="49"/>
        <v>367779800</v>
      </c>
      <c r="M63" s="488">
        <f t="shared" si="49"/>
        <v>3969080</v>
      </c>
      <c r="N63" s="488">
        <f t="shared" si="49"/>
        <v>5278880</v>
      </c>
      <c r="O63" s="488">
        <f t="shared" si="49"/>
        <v>23701466</v>
      </c>
      <c r="P63" s="488">
        <f t="shared" si="49"/>
        <v>166098875</v>
      </c>
      <c r="Q63" s="488">
        <f t="shared" si="49"/>
        <v>18592342</v>
      </c>
      <c r="R63" s="488">
        <f t="shared" si="49"/>
        <v>66404219</v>
      </c>
      <c r="S63" s="451"/>
      <c r="T63" s="451"/>
    </row>
    <row r="64" spans="3:22" ht="15" customHeight="1" x14ac:dyDescent="0.3">
      <c r="C64" s="641" t="s">
        <v>18</v>
      </c>
      <c r="D64" s="641"/>
      <c r="E64" s="641"/>
      <c r="F64" s="641"/>
      <c r="G64" s="481">
        <v>0.28999999999999998</v>
      </c>
      <c r="H64" s="475">
        <f>+ROUND($H$63*G64,0)</f>
        <v>67949162</v>
      </c>
      <c r="I64" s="433"/>
      <c r="J64" s="433"/>
      <c r="M64" s="435"/>
      <c r="N64" s="435"/>
      <c r="O64" s="435"/>
      <c r="P64" s="435"/>
      <c r="Q64" s="435"/>
      <c r="R64" s="435"/>
      <c r="S64" s="457"/>
      <c r="T64" s="433"/>
    </row>
    <row r="65" spans="3:22" ht="15" customHeight="1" x14ac:dyDescent="0.3">
      <c r="C65" s="641" t="s">
        <v>19</v>
      </c>
      <c r="D65" s="641"/>
      <c r="E65" s="641"/>
      <c r="F65" s="641"/>
      <c r="G65" s="481">
        <v>0.01</v>
      </c>
      <c r="H65" s="475">
        <f>+ROUND($H$63*G65,0)</f>
        <v>2343075</v>
      </c>
      <c r="I65" s="433"/>
      <c r="J65" s="433"/>
      <c r="M65" s="435"/>
      <c r="N65" s="435"/>
      <c r="O65" s="435"/>
      <c r="P65" s="435"/>
      <c r="Q65" s="435"/>
      <c r="R65" s="435"/>
      <c r="S65" s="482"/>
      <c r="T65" s="433"/>
    </row>
    <row r="66" spans="3:22" ht="15" customHeight="1" x14ac:dyDescent="0.3">
      <c r="C66" s="641" t="s">
        <v>20</v>
      </c>
      <c r="D66" s="641"/>
      <c r="E66" s="641"/>
      <c r="F66" s="641"/>
      <c r="G66" s="481">
        <v>0.05</v>
      </c>
      <c r="H66" s="475">
        <f>+ROUND($H$63*G66,0)</f>
        <v>11715373</v>
      </c>
      <c r="I66" s="433"/>
      <c r="J66" s="433"/>
      <c r="L66" s="483"/>
      <c r="M66" s="435"/>
      <c r="N66" s="435"/>
      <c r="O66" s="435"/>
      <c r="P66" s="435"/>
      <c r="Q66" s="435"/>
      <c r="R66" s="435"/>
      <c r="S66" s="457"/>
      <c r="T66" s="433"/>
    </row>
    <row r="67" spans="3:22" ht="15" hidden="1" customHeight="1" x14ac:dyDescent="0.3">
      <c r="C67" s="641" t="s">
        <v>21</v>
      </c>
      <c r="D67" s="641"/>
      <c r="E67" s="641"/>
      <c r="F67" s="641"/>
      <c r="G67" s="481"/>
      <c r="H67" s="475">
        <f>+ROUND(H66*G67,$Q$3)</f>
        <v>0</v>
      </c>
      <c r="I67" s="433"/>
      <c r="J67" s="433"/>
      <c r="K67" s="484"/>
      <c r="L67" s="483"/>
      <c r="M67" s="435"/>
      <c r="N67" s="435"/>
      <c r="O67" s="435"/>
      <c r="P67" s="435"/>
      <c r="Q67" s="435"/>
      <c r="R67" s="435"/>
      <c r="S67" s="457"/>
      <c r="T67" s="433"/>
    </row>
    <row r="68" spans="3:22" ht="15" customHeight="1" x14ac:dyDescent="0.3">
      <c r="C68" s="640" t="s">
        <v>960</v>
      </c>
      <c r="D68" s="640"/>
      <c r="E68" s="640"/>
      <c r="F68" s="640"/>
      <c r="G68" s="640"/>
      <c r="H68" s="479">
        <f>+SUM(H64:H67)</f>
        <v>82007610</v>
      </c>
      <c r="I68" s="433"/>
      <c r="J68" s="433"/>
      <c r="K68" s="484"/>
      <c r="L68" s="483"/>
      <c r="M68" s="435"/>
      <c r="N68" s="435"/>
      <c r="O68" s="435"/>
      <c r="P68" s="435"/>
      <c r="Q68" s="435"/>
      <c r="R68" s="435"/>
      <c r="S68" s="457"/>
      <c r="T68" s="433"/>
    </row>
    <row r="69" spans="3:22" ht="8.4" customHeight="1" x14ac:dyDescent="0.3">
      <c r="C69" s="454"/>
      <c r="D69" s="454"/>
      <c r="E69" s="454"/>
      <c r="F69" s="454"/>
      <c r="G69" s="485"/>
      <c r="H69" s="486"/>
      <c r="I69" s="433"/>
      <c r="J69" s="433"/>
      <c r="K69" s="484"/>
      <c r="L69" s="483"/>
      <c r="M69" s="435"/>
      <c r="N69" s="435"/>
      <c r="O69" s="435"/>
      <c r="P69" s="435"/>
      <c r="Q69" s="435"/>
      <c r="R69" s="435"/>
      <c r="S69" s="457"/>
      <c r="T69" s="433"/>
    </row>
    <row r="70" spans="3:22" x14ac:dyDescent="0.3">
      <c r="C70" s="640" t="s">
        <v>961</v>
      </c>
      <c r="D70" s="640"/>
      <c r="E70" s="640"/>
      <c r="F70" s="640"/>
      <c r="G70" s="640"/>
      <c r="H70" s="479">
        <f>H63+H68</f>
        <v>316315064</v>
      </c>
      <c r="I70" s="433"/>
      <c r="J70" s="433"/>
      <c r="K70" s="484"/>
      <c r="L70" s="545"/>
      <c r="M70" s="435"/>
      <c r="N70" s="435"/>
      <c r="O70" s="435"/>
      <c r="P70" s="435"/>
      <c r="Q70" s="435"/>
      <c r="R70" s="435"/>
      <c r="S70" s="457"/>
      <c r="T70" s="433"/>
      <c r="V70" s="487"/>
    </row>
    <row r="71" spans="3:22" ht="15" hidden="1" customHeight="1" x14ac:dyDescent="0.3">
      <c r="C71" s="655" t="s">
        <v>499</v>
      </c>
      <c r="D71" s="655"/>
      <c r="E71" s="655"/>
      <c r="F71" s="655"/>
      <c r="G71" s="655"/>
      <c r="H71" s="488"/>
      <c r="I71" s="433"/>
      <c r="J71" s="433"/>
      <c r="K71" s="483">
        <f>$H$63*1%</f>
        <v>2343074.54</v>
      </c>
      <c r="L71" s="483"/>
      <c r="M71" s="435"/>
      <c r="N71" s="435"/>
      <c r="O71" s="489"/>
      <c r="P71" s="435"/>
      <c r="Q71" s="435"/>
      <c r="R71" s="435"/>
      <c r="S71" s="457"/>
      <c r="T71" s="433"/>
    </row>
    <row r="72" spans="3:22" ht="15" hidden="1" customHeight="1" x14ac:dyDescent="0.3">
      <c r="C72" s="655" t="s">
        <v>47</v>
      </c>
      <c r="D72" s="655"/>
      <c r="E72" s="655"/>
      <c r="F72" s="655"/>
      <c r="G72" s="655"/>
      <c r="H72" s="488"/>
      <c r="I72" s="433"/>
      <c r="J72" s="433"/>
      <c r="K72" s="483">
        <f>$H$63*7%</f>
        <v>16401521.780000001</v>
      </c>
      <c r="L72" s="483"/>
      <c r="M72" s="435"/>
      <c r="N72" s="435"/>
      <c r="O72" s="435"/>
      <c r="P72" s="435"/>
      <c r="Q72" s="435"/>
      <c r="R72" s="435"/>
      <c r="S72" s="457"/>
      <c r="T72" s="433"/>
    </row>
    <row r="73" spans="3:22" ht="15" hidden="1" customHeight="1" x14ac:dyDescent="0.3">
      <c r="C73" s="654" t="s">
        <v>24</v>
      </c>
      <c r="D73" s="654"/>
      <c r="E73" s="654"/>
      <c r="F73" s="654"/>
      <c r="G73" s="654"/>
      <c r="H73" s="490">
        <f>SUM(H70:H72)</f>
        <v>316315064</v>
      </c>
      <c r="I73" s="433"/>
      <c r="J73" s="433"/>
      <c r="K73" s="491">
        <f>H70+K71+K72</f>
        <v>335059660.32000005</v>
      </c>
      <c r="L73" s="483"/>
      <c r="M73" s="435"/>
      <c r="N73" s="435"/>
      <c r="O73" s="435"/>
      <c r="P73" s="435"/>
      <c r="Q73" s="435"/>
      <c r="R73" s="435"/>
      <c r="S73" s="457"/>
      <c r="T73" s="433"/>
      <c r="V73" s="487"/>
    </row>
    <row r="74" spans="3:22" ht="7.5" customHeight="1" x14ac:dyDescent="0.3">
      <c r="C74" s="431"/>
      <c r="D74" s="432"/>
      <c r="E74" s="431"/>
      <c r="F74" s="433"/>
      <c r="G74" s="433"/>
      <c r="H74" s="434"/>
      <c r="I74" s="433"/>
      <c r="J74" s="433"/>
      <c r="K74" s="492"/>
      <c r="L74" s="483"/>
      <c r="M74" s="435"/>
      <c r="N74" s="435"/>
      <c r="O74" s="435"/>
      <c r="P74" s="435"/>
      <c r="Q74" s="435"/>
      <c r="R74" s="435"/>
      <c r="S74" s="457"/>
      <c r="T74" s="433"/>
    </row>
    <row r="75" spans="3:22" ht="15.6" customHeight="1" x14ac:dyDescent="0.3">
      <c r="C75" s="653" t="s">
        <v>962</v>
      </c>
      <c r="D75" s="653"/>
      <c r="E75" s="653"/>
      <c r="F75" s="653"/>
      <c r="G75" s="653"/>
      <c r="H75" s="622">
        <f>H51+H70+H30</f>
        <v>442901434</v>
      </c>
      <c r="I75" s="433"/>
      <c r="J75" s="433"/>
      <c r="K75" s="492"/>
      <c r="L75" s="483"/>
      <c r="M75" s="435"/>
      <c r="N75" s="435"/>
      <c r="O75" s="435"/>
      <c r="P75" s="435"/>
      <c r="Q75" s="435"/>
      <c r="R75" s="435"/>
      <c r="S75" s="457"/>
      <c r="T75" s="433"/>
    </row>
    <row r="76" spans="3:22" ht="10.8" customHeight="1" x14ac:dyDescent="0.3">
      <c r="C76" s="431"/>
      <c r="D76" s="432"/>
      <c r="E76" s="431"/>
      <c r="F76" s="433"/>
      <c r="G76" s="433"/>
      <c r="H76" s="434"/>
      <c r="I76" s="433"/>
      <c r="J76" s="433"/>
      <c r="K76" s="492"/>
      <c r="L76" s="483"/>
      <c r="M76" s="435"/>
      <c r="N76" s="435"/>
      <c r="O76" s="435"/>
      <c r="P76" s="435"/>
      <c r="Q76" s="435"/>
      <c r="R76" s="435"/>
      <c r="S76" s="457"/>
      <c r="T76" s="433"/>
    </row>
    <row r="77" spans="3:22" ht="15" customHeight="1" x14ac:dyDescent="0.3">
      <c r="C77" s="458" t="s">
        <v>131</v>
      </c>
      <c r="D77" s="432"/>
      <c r="E77" s="493" t="s">
        <v>129</v>
      </c>
      <c r="F77" s="494"/>
      <c r="G77" s="433"/>
      <c r="H77" s="434"/>
      <c r="I77" s="433"/>
      <c r="J77" s="433"/>
      <c r="K77" s="492">
        <v>38486260.450000003</v>
      </c>
      <c r="L77" s="436"/>
      <c r="M77" s="435"/>
      <c r="N77" s="435"/>
      <c r="O77" s="435"/>
      <c r="P77" s="435"/>
      <c r="Q77" s="435"/>
      <c r="R77" s="435"/>
      <c r="S77" s="457"/>
      <c r="T77" s="433"/>
    </row>
    <row r="78" spans="3:22" x14ac:dyDescent="0.3">
      <c r="C78" s="431"/>
      <c r="D78" s="432"/>
      <c r="E78" s="431"/>
      <c r="F78" s="433"/>
      <c r="G78" s="433"/>
      <c r="H78" s="434"/>
      <c r="I78" s="433"/>
      <c r="J78" s="433"/>
      <c r="K78" s="492">
        <f>K77-H73</f>
        <v>-277828803.55000001</v>
      </c>
      <c r="L78" s="492">
        <f>K77-L77</f>
        <v>38486260.450000003</v>
      </c>
      <c r="M78" s="435"/>
      <c r="N78" s="435"/>
      <c r="O78" s="435"/>
      <c r="P78" s="435"/>
      <c r="Q78" s="435"/>
      <c r="R78" s="435"/>
      <c r="S78" s="457"/>
      <c r="T78" s="433"/>
    </row>
    <row r="79" spans="3:22" x14ac:dyDescent="0.3">
      <c r="C79" s="431"/>
      <c r="D79" s="432"/>
      <c r="E79" s="431"/>
      <c r="F79" s="433"/>
      <c r="G79" s="495"/>
      <c r="H79" s="496"/>
      <c r="I79" s="433"/>
      <c r="J79" s="433"/>
      <c r="K79" s="435"/>
      <c r="L79" s="436"/>
      <c r="M79" s="437"/>
      <c r="N79" s="435"/>
      <c r="O79" s="438"/>
      <c r="P79" s="439"/>
      <c r="Q79" s="439"/>
      <c r="R79" s="435"/>
      <c r="S79" s="435"/>
      <c r="T79" s="433"/>
    </row>
    <row r="80" spans="3:22" x14ac:dyDescent="0.3">
      <c r="C80" s="497"/>
      <c r="D80" s="432"/>
      <c r="E80" s="431"/>
      <c r="F80" s="433"/>
      <c r="G80" s="433"/>
      <c r="H80" s="434"/>
      <c r="I80" s="433"/>
      <c r="J80" s="433"/>
      <c r="K80" s="435"/>
      <c r="L80" s="436"/>
      <c r="M80" s="437"/>
      <c r="N80" s="435"/>
      <c r="O80" s="438"/>
      <c r="P80" s="439"/>
      <c r="Q80" s="439"/>
      <c r="R80" s="435"/>
      <c r="S80" s="435"/>
      <c r="T80" s="433"/>
    </row>
    <row r="81" spans="3:11" x14ac:dyDescent="0.25">
      <c r="C81" s="271" t="str">
        <f>INFORMACION!C25</f>
        <v>ING. JEYSON JULIAN LEON RUEDA</v>
      </c>
      <c r="D81" s="271"/>
      <c r="E81" s="271" t="str">
        <f>INFORMACION!C14</f>
        <v>ARQ. YASMID ROCÍO CARRILLO MORA</v>
      </c>
      <c r="F81" s="271"/>
      <c r="G81" s="271"/>
      <c r="H81" s="271"/>
      <c r="K81" s="492"/>
    </row>
    <row r="82" spans="3:11" x14ac:dyDescent="0.25">
      <c r="C82" s="272" t="str">
        <f>INFORMACION!C26</f>
        <v>MP. 68202-416348 STD</v>
      </c>
      <c r="D82" s="272"/>
      <c r="E82" s="272" t="str">
        <f>INFORMACION!$C$15</f>
        <v>SECRETARIA DE PLANEACIÓN Y OBRAS PÚBLICAS</v>
      </c>
      <c r="F82" s="272"/>
      <c r="G82" s="272"/>
      <c r="H82" s="272"/>
      <c r="K82" s="483"/>
    </row>
    <row r="83" spans="3:11" ht="14.4" x14ac:dyDescent="0.3">
      <c r="C83" s="498"/>
      <c r="E83" s="272" t="str">
        <f>INFORMACION!$C$16</f>
        <v>MUNICIPIO DE PINCHOTE</v>
      </c>
      <c r="F83" s="272"/>
      <c r="G83" s="272"/>
      <c r="H83" s="272"/>
    </row>
  </sheetData>
  <mergeCells count="31">
    <mergeCell ref="C63:G63"/>
    <mergeCell ref="D53:G53"/>
    <mergeCell ref="C75:G75"/>
    <mergeCell ref="C64:F64"/>
    <mergeCell ref="C73:G73"/>
    <mergeCell ref="C65:F65"/>
    <mergeCell ref="C66:F66"/>
    <mergeCell ref="C67:F67"/>
    <mergeCell ref="C68:G68"/>
    <mergeCell ref="C70:G70"/>
    <mergeCell ref="C71:G71"/>
    <mergeCell ref="C72:G72"/>
    <mergeCell ref="H3:H5"/>
    <mergeCell ref="D4:G4"/>
    <mergeCell ref="C3:G3"/>
    <mergeCell ref="C5:E5"/>
    <mergeCell ref="D10:G10"/>
    <mergeCell ref="C49:G49"/>
    <mergeCell ref="C51:G51"/>
    <mergeCell ref="D32:H32"/>
    <mergeCell ref="C45:G45"/>
    <mergeCell ref="C46:F46"/>
    <mergeCell ref="C47:F47"/>
    <mergeCell ref="C48:F48"/>
    <mergeCell ref="C50:H50"/>
    <mergeCell ref="D30:G30"/>
    <mergeCell ref="C25:G25"/>
    <mergeCell ref="C26:F26"/>
    <mergeCell ref="C27:F27"/>
    <mergeCell ref="C28:F28"/>
    <mergeCell ref="C29:G29"/>
  </mergeCells>
  <phoneticPr fontId="21" type="noConversion"/>
  <dataValidations disablePrompts="1" count="1">
    <dataValidation type="list" allowBlank="1" showInputMessage="1" showErrorMessage="1" promptTitle="Seleccione" prompt="Escoja una de las opciones" sqref="Q2" xr:uid="{00000000-0002-0000-0100-000000000000}">
      <formula1>$S$2:$S$3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671B-88F3-4B10-909A-AE3D8F22B815}">
  <dimension ref="B2:L76"/>
  <sheetViews>
    <sheetView workbookViewId="0"/>
  </sheetViews>
  <sheetFormatPr baseColWidth="10" defaultColWidth="11.44140625" defaultRowHeight="14.4" x14ac:dyDescent="0.3"/>
  <cols>
    <col min="1" max="1" width="1.5546875" style="1" customWidth="1"/>
    <col min="2" max="2" width="6.6640625" style="1" customWidth="1"/>
    <col min="3" max="3" width="76.44140625" style="1" customWidth="1"/>
    <col min="4" max="4" width="6.6640625" style="1" customWidth="1"/>
    <col min="5" max="5" width="10.109375" style="1" customWidth="1"/>
    <col min="6" max="7" width="13.5546875" style="49" customWidth="1"/>
    <col min="8" max="9" width="10.109375" style="49" bestFit="1" customWidth="1"/>
    <col min="10" max="10" width="2.109375" style="1" customWidth="1"/>
    <col min="11" max="11" width="13.5546875" style="1" bestFit="1" customWidth="1"/>
    <col min="12" max="12" width="62.5546875" style="37" customWidth="1"/>
    <col min="13" max="16384" width="11.44140625" style="1"/>
  </cols>
  <sheetData>
    <row r="2" spans="2:12" ht="15" thickBot="1" x14ac:dyDescent="0.35"/>
    <row r="3" spans="2:12" ht="18.75" customHeight="1" x14ac:dyDescent="0.3">
      <c r="B3" s="659" t="s">
        <v>5</v>
      </c>
      <c r="C3" s="661" t="s">
        <v>26</v>
      </c>
      <c r="D3" s="661" t="s">
        <v>6</v>
      </c>
      <c r="E3" s="663" t="s">
        <v>7</v>
      </c>
      <c r="F3" s="661" t="s">
        <v>493</v>
      </c>
      <c r="G3" s="661"/>
      <c r="H3" s="661" t="s">
        <v>16</v>
      </c>
      <c r="I3" s="665"/>
      <c r="K3" s="14"/>
      <c r="L3" s="12"/>
    </row>
    <row r="4" spans="2:12" ht="18.75" customHeight="1" thickBot="1" x14ac:dyDescent="0.35">
      <c r="B4" s="660"/>
      <c r="C4" s="662"/>
      <c r="D4" s="662"/>
      <c r="E4" s="664"/>
      <c r="F4" s="104" t="s">
        <v>496</v>
      </c>
      <c r="G4" s="104" t="s">
        <v>495</v>
      </c>
      <c r="H4" s="104" t="s">
        <v>494</v>
      </c>
      <c r="I4" s="105" t="s">
        <v>441</v>
      </c>
      <c r="K4" s="14"/>
      <c r="L4" s="12"/>
    </row>
    <row r="5" spans="2:12" ht="15" thickBot="1" x14ac:dyDescent="0.35"/>
    <row r="6" spans="2:12" ht="18.75" customHeight="1" x14ac:dyDescent="0.3">
      <c r="B6" s="666" t="e">
        <f>PPTO!#REF!</f>
        <v>#REF!</v>
      </c>
      <c r="C6" s="667"/>
      <c r="D6" s="667"/>
      <c r="E6" s="667"/>
      <c r="F6" s="667"/>
      <c r="G6" s="668"/>
      <c r="H6" s="668"/>
      <c r="I6" s="669"/>
      <c r="L6" s="107"/>
    </row>
    <row r="7" spans="2:12" x14ac:dyDescent="0.3">
      <c r="B7" s="42" t="s">
        <v>28</v>
      </c>
      <c r="C7" s="656" t="str">
        <f>VLOOKUP(B7,PPTO!$C$7:$H$59,2,0)</f>
        <v>COMPONENTE  ALCANTARILLADO</v>
      </c>
      <c r="D7" s="657"/>
      <c r="E7" s="657"/>
      <c r="F7" s="657"/>
      <c r="G7" s="657"/>
      <c r="H7" s="657"/>
      <c r="I7" s="658"/>
      <c r="L7" s="107" t="str">
        <f t="shared" ref="L7" si="0">CONCATENATE(B7," ","-"," ",C7)</f>
        <v>CAP.1 - COMPONENTE  ALCANTARILLADO</v>
      </c>
    </row>
    <row r="8" spans="2:12" x14ac:dyDescent="0.3">
      <c r="B8" s="43" t="s">
        <v>53</v>
      </c>
      <c r="C8" s="40" t="str">
        <f>VLOOKUP(B8,PPTO!$C$7:$H$59,2,0)</f>
        <v>Localización y Replanteo con equipos topográficos</v>
      </c>
      <c r="D8" s="41" t="str">
        <f>VLOOKUP(B8,PPTO!$C$7:$H$59,3,0)</f>
        <v>m2</v>
      </c>
      <c r="E8" s="66">
        <f>VLOOKUP(B8,PPTO!$C$7:$H$59,4,0)</f>
        <v>99.1</v>
      </c>
      <c r="F8" s="66">
        <f>ROUND(VLOOKUP(B8,APUS!$J$10:$Z$1486,8,0),2)</f>
        <v>150</v>
      </c>
      <c r="G8" s="103">
        <v>2</v>
      </c>
      <c r="H8" s="103">
        <f>ROUNDUP(E8/(F8*G8),0)</f>
        <v>1</v>
      </c>
      <c r="I8" s="102">
        <f>ROUND(H8/30,2)</f>
        <v>0.03</v>
      </c>
      <c r="L8" s="107" t="str">
        <f>CONCATENATE(B8," ","-"," ",C8)</f>
        <v>1.1 - Localización y Replanteo con equipos topográficos</v>
      </c>
    </row>
    <row r="9" spans="2:12" ht="28.8" x14ac:dyDescent="0.3">
      <c r="B9" s="43" t="s">
        <v>48</v>
      </c>
      <c r="C9" s="40" t="str">
        <f>VLOOKUP(B9,PPTO!$C$7:$H$59,2,0)</f>
        <v>Desmonte de pavimento en piedra labor (Incluye retiro y disposición final)</v>
      </c>
      <c r="D9" s="41" t="str">
        <f>VLOOKUP(B9,PPTO!$C$7:$H$59,3,0)</f>
        <v>m2</v>
      </c>
      <c r="E9" s="66">
        <f>VLOOKUP(B9,PPTO!$C$7:$H$59,4,0)</f>
        <v>99.1</v>
      </c>
      <c r="F9" s="66">
        <f>ROUND(VLOOKUP(B9,APUS!$J$10:$Z$1486,8,0),2)</f>
        <v>20</v>
      </c>
      <c r="G9" s="103">
        <v>4</v>
      </c>
      <c r="H9" s="103">
        <f>ROUNDUP(E9/(F9*G9),0)</f>
        <v>2</v>
      </c>
      <c r="I9" s="102">
        <f>ROUND(H9/30,2)</f>
        <v>7.0000000000000007E-2</v>
      </c>
      <c r="L9" s="107" t="str">
        <f>CONCATENATE(B9," ","-"," ",C9)</f>
        <v>1.2 - Desmonte de pavimento en piedra labor (Incluye retiro y disposición final)</v>
      </c>
    </row>
    <row r="10" spans="2:12" ht="28.8" x14ac:dyDescent="0.3">
      <c r="B10" s="43" t="s">
        <v>54</v>
      </c>
      <c r="C10" s="40" t="str">
        <f>VLOOKUP(B10,PPTO!$C$7:$H$59,2,0)</f>
        <v>Retiro de tubería existente de alcantarillado (Incluye retiro y disposición final)</v>
      </c>
      <c r="D10" s="41" t="str">
        <f>VLOOKUP(B10,PPTO!$C$7:$H$59,3,0)</f>
        <v>ml</v>
      </c>
      <c r="E10" s="66">
        <f>VLOOKUP(B10,PPTO!$C$7:$H$59,4,0)</f>
        <v>98.61</v>
      </c>
      <c r="F10" s="66">
        <f>ROUND(VLOOKUP(B10,APUS!$J$10:$Z$1486,8,0),2)</f>
        <v>20</v>
      </c>
      <c r="G10" s="103">
        <v>2</v>
      </c>
      <c r="H10" s="103">
        <f t="shared" ref="H10:H15" si="1">ROUNDUP(E10/(F10*G10),0)</f>
        <v>3</v>
      </c>
      <c r="I10" s="102">
        <f t="shared" ref="I10:I15" si="2">ROUND(H10/30,2)</f>
        <v>0.1</v>
      </c>
      <c r="L10" s="107" t="str">
        <f t="shared" ref="L10:L45" si="3">CONCATENATE(B10," ","-"," ",C10)</f>
        <v>1.3 - Retiro de tubería existente de alcantarillado (Incluye retiro y disposición final)</v>
      </c>
    </row>
    <row r="11" spans="2:12" x14ac:dyDescent="0.3">
      <c r="B11" s="43" t="s">
        <v>55</v>
      </c>
      <c r="C11" s="40" t="e">
        <f>VLOOKUP(B11,PPTO!$C$7:$H$59,2,0)</f>
        <v>#N/A</v>
      </c>
      <c r="D11" s="41" t="e">
        <f>VLOOKUP(B11,PPTO!$C$7:$H$59,3,0)</f>
        <v>#N/A</v>
      </c>
      <c r="E11" s="66" t="e">
        <f>VLOOKUP(B11,PPTO!$C$7:$H$59,4,0)</f>
        <v>#N/A</v>
      </c>
      <c r="F11" s="66" t="e">
        <f>ROUND(VLOOKUP(B11,APUS!$J$10:$Z$1486,8,0),2)</f>
        <v>#N/A</v>
      </c>
      <c r="G11" s="103">
        <v>1</v>
      </c>
      <c r="H11" s="103" t="e">
        <f t="shared" si="1"/>
        <v>#N/A</v>
      </c>
      <c r="I11" s="102" t="e">
        <f t="shared" si="2"/>
        <v>#N/A</v>
      </c>
      <c r="L11" s="107" t="e">
        <f t="shared" si="3"/>
        <v>#N/A</v>
      </c>
    </row>
    <row r="12" spans="2:12" x14ac:dyDescent="0.3">
      <c r="B12" s="43" t="s">
        <v>56</v>
      </c>
      <c r="C12" s="40" t="e">
        <f>VLOOKUP(B12,PPTO!$C$7:$H$59,2,0)</f>
        <v>#N/A</v>
      </c>
      <c r="D12" s="41" t="e">
        <f>VLOOKUP(B12,PPTO!$C$7:$H$59,3,0)</f>
        <v>#N/A</v>
      </c>
      <c r="E12" s="66" t="e">
        <f>VLOOKUP(B12,PPTO!$C$7:$H$59,4,0)</f>
        <v>#N/A</v>
      </c>
      <c r="F12" s="66" t="e">
        <f>ROUND(VLOOKUP(B12,APUS!$J$10:$Z$1486,8,0),2)</f>
        <v>#N/A</v>
      </c>
      <c r="G12" s="103">
        <v>1</v>
      </c>
      <c r="H12" s="103" t="e">
        <f t="shared" si="1"/>
        <v>#N/A</v>
      </c>
      <c r="I12" s="102" t="e">
        <f t="shared" si="2"/>
        <v>#N/A</v>
      </c>
      <c r="L12" s="107" t="e">
        <f t="shared" si="3"/>
        <v>#N/A</v>
      </c>
    </row>
    <row r="13" spans="2:12" x14ac:dyDescent="0.3">
      <c r="B13" s="43" t="s">
        <v>58</v>
      </c>
      <c r="C13" s="40" t="e">
        <f>VLOOKUP(B13,PPTO!$C$7:$H$59,2,0)</f>
        <v>#N/A</v>
      </c>
      <c r="D13" s="41" t="e">
        <f>VLOOKUP(B13,PPTO!$C$7:$H$59,3,0)</f>
        <v>#N/A</v>
      </c>
      <c r="E13" s="66" t="e">
        <f>VLOOKUP(B13,PPTO!$C$7:$H$59,4,0)</f>
        <v>#N/A</v>
      </c>
      <c r="F13" s="66" t="e">
        <f>ROUND(VLOOKUP(B13,APUS!$J$10:$Z$1486,8,0),2)</f>
        <v>#N/A</v>
      </c>
      <c r="G13" s="103">
        <v>4</v>
      </c>
      <c r="H13" s="103" t="e">
        <f t="shared" si="1"/>
        <v>#N/A</v>
      </c>
      <c r="I13" s="102" t="e">
        <f t="shared" si="2"/>
        <v>#N/A</v>
      </c>
      <c r="L13" s="107" t="e">
        <f t="shared" si="3"/>
        <v>#N/A</v>
      </c>
    </row>
    <row r="14" spans="2:12" x14ac:dyDescent="0.3">
      <c r="B14" s="43" t="s">
        <v>59</v>
      </c>
      <c r="C14" s="40" t="e">
        <f>VLOOKUP(B14,PPTO!$C$7:$H$59,2,0)</f>
        <v>#N/A</v>
      </c>
      <c r="D14" s="41" t="e">
        <f>VLOOKUP(B14,PPTO!$C$7:$H$59,3,0)</f>
        <v>#N/A</v>
      </c>
      <c r="E14" s="66" t="e">
        <f>VLOOKUP(B14,PPTO!$C$7:$H$59,4,0)</f>
        <v>#N/A</v>
      </c>
      <c r="F14" s="66" t="e">
        <f>ROUND(VLOOKUP(B14,APUS!$J$10:$Z$1486,8,0),2)</f>
        <v>#N/A</v>
      </c>
      <c r="G14" s="103">
        <v>1</v>
      </c>
      <c r="H14" s="103" t="e">
        <f t="shared" si="1"/>
        <v>#N/A</v>
      </c>
      <c r="I14" s="102" t="e">
        <f t="shared" si="2"/>
        <v>#N/A</v>
      </c>
      <c r="L14" s="107" t="e">
        <f t="shared" si="3"/>
        <v>#N/A</v>
      </c>
    </row>
    <row r="15" spans="2:12" x14ac:dyDescent="0.3">
      <c r="B15" s="43" t="s">
        <v>60</v>
      </c>
      <c r="C15" s="40" t="e">
        <f>VLOOKUP(B15,PPTO!$C$7:$H$59,2,0)</f>
        <v>#N/A</v>
      </c>
      <c r="D15" s="41" t="e">
        <f>VLOOKUP(B15,PPTO!$C$7:$H$59,3,0)</f>
        <v>#N/A</v>
      </c>
      <c r="E15" s="66" t="e">
        <f>VLOOKUP(B15,PPTO!$C$7:$H$59,4,0)</f>
        <v>#N/A</v>
      </c>
      <c r="F15" s="66" t="e">
        <f>ROUND(VLOOKUP(B15,APUS!$J$10:$Z$1486,8,0),2)</f>
        <v>#N/A</v>
      </c>
      <c r="G15" s="103">
        <v>1</v>
      </c>
      <c r="H15" s="103" t="e">
        <f t="shared" si="1"/>
        <v>#N/A</v>
      </c>
      <c r="I15" s="102" t="e">
        <f t="shared" si="2"/>
        <v>#N/A</v>
      </c>
      <c r="L15" s="107" t="e">
        <f>CONCATENATE(B15," ","-"," ",C15)</f>
        <v>#N/A</v>
      </c>
    </row>
    <row r="16" spans="2:12" x14ac:dyDescent="0.3">
      <c r="B16" s="43" t="s">
        <v>61</v>
      </c>
      <c r="C16" s="40" t="e">
        <f>VLOOKUP(B16,PPTO!$C$7:$H$59,2,0)</f>
        <v>#N/A</v>
      </c>
      <c r="D16" s="41" t="e">
        <f>VLOOKUP(B16,PPTO!$C$7:$H$59,3,0)</f>
        <v>#N/A</v>
      </c>
      <c r="E16" s="66" t="e">
        <f>VLOOKUP(B16,PPTO!$C$7:$H$59,4,0)</f>
        <v>#N/A</v>
      </c>
      <c r="F16" s="66" t="e">
        <f>ROUND(VLOOKUP(B16,APUS!$J$10:$Z$1486,8,0),2)</f>
        <v>#N/A</v>
      </c>
      <c r="G16" s="103">
        <v>2</v>
      </c>
      <c r="H16" s="103" t="e">
        <f t="shared" ref="H16" si="4">ROUNDUP(E16/(F16*G16),0)</f>
        <v>#N/A</v>
      </c>
      <c r="I16" s="102" t="e">
        <f t="shared" ref="I16" si="5">ROUND(H16/30,2)</f>
        <v>#N/A</v>
      </c>
      <c r="L16" s="107" t="e">
        <f>CONCATENATE(B16," ","-"," ",C16)</f>
        <v>#N/A</v>
      </c>
    </row>
    <row r="17" spans="2:12" x14ac:dyDescent="0.3">
      <c r="B17" s="42" t="s">
        <v>29</v>
      </c>
      <c r="C17" s="656" t="str">
        <f>VLOOKUP(B17,PPTO!$C$7:$H$59,2,0)</f>
        <v>COMPONENTE ACUEDUCTO</v>
      </c>
      <c r="D17" s="657"/>
      <c r="E17" s="657"/>
      <c r="F17" s="657"/>
      <c r="G17" s="657"/>
      <c r="H17" s="657"/>
      <c r="I17" s="658"/>
      <c r="L17" s="107" t="str">
        <f t="shared" si="3"/>
        <v>CAP.2 - COMPONENTE ACUEDUCTO</v>
      </c>
    </row>
    <row r="18" spans="2:12" x14ac:dyDescent="0.3">
      <c r="B18" s="43" t="s">
        <v>49</v>
      </c>
      <c r="C18" s="40" t="e">
        <f>VLOOKUP(B18,PPTO!$C$7:$H$59,2,0)</f>
        <v>#N/A</v>
      </c>
      <c r="D18" s="41" t="e">
        <f>VLOOKUP(B18,PPTO!$C$7:$H$59,3,0)</f>
        <v>#N/A</v>
      </c>
      <c r="E18" s="66" t="e">
        <f>VLOOKUP(B18,PPTO!$C$7:$H$59,4,0)</f>
        <v>#N/A</v>
      </c>
      <c r="F18" s="66" t="e">
        <f>ROUND(VLOOKUP(B18,APUS!$J$10:$Z$1486,8,0),2)</f>
        <v>#N/A</v>
      </c>
      <c r="G18" s="103">
        <v>8</v>
      </c>
      <c r="H18" s="103" t="e">
        <f t="shared" ref="H18:H23" si="6">ROUNDUP(E18/(F18*G18),0)</f>
        <v>#N/A</v>
      </c>
      <c r="I18" s="102" t="e">
        <f t="shared" ref="I18:I23" si="7">ROUND(H18/30,2)</f>
        <v>#N/A</v>
      </c>
      <c r="L18" s="107" t="e">
        <f t="shared" si="3"/>
        <v>#N/A</v>
      </c>
    </row>
    <row r="19" spans="2:12" x14ac:dyDescent="0.3">
      <c r="B19" s="43" t="s">
        <v>51</v>
      </c>
      <c r="C19" s="40" t="e">
        <f>VLOOKUP(B19,PPTO!$C$7:$H$59,2,0)</f>
        <v>#N/A</v>
      </c>
      <c r="D19" s="41" t="e">
        <f>VLOOKUP(B19,PPTO!$C$7:$H$59,3,0)</f>
        <v>#N/A</v>
      </c>
      <c r="E19" s="66" t="e">
        <f>VLOOKUP(B19,PPTO!$C$7:$H$59,4,0)</f>
        <v>#N/A</v>
      </c>
      <c r="F19" s="66" t="e">
        <f>ROUND(VLOOKUP(B19,APUS!$J$10:$Z$1486,8,0),2)</f>
        <v>#N/A</v>
      </c>
      <c r="G19" s="103">
        <v>2</v>
      </c>
      <c r="H19" s="103" t="e">
        <f t="shared" si="6"/>
        <v>#N/A</v>
      </c>
      <c r="I19" s="102" t="e">
        <f t="shared" si="7"/>
        <v>#N/A</v>
      </c>
      <c r="L19" s="107" t="e">
        <f t="shared" si="3"/>
        <v>#N/A</v>
      </c>
    </row>
    <row r="20" spans="2:12" x14ac:dyDescent="0.3">
      <c r="B20" s="43" t="s">
        <v>50</v>
      </c>
      <c r="C20" s="40" t="e">
        <f>VLOOKUP(B20,PPTO!$C$7:$H$59,2,0)</f>
        <v>#N/A</v>
      </c>
      <c r="D20" s="41" t="e">
        <f>VLOOKUP(B20,PPTO!$C$7:$H$59,3,0)</f>
        <v>#N/A</v>
      </c>
      <c r="E20" s="66" t="e">
        <f>VLOOKUP(B20,PPTO!$C$7:$H$59,4,0)</f>
        <v>#N/A</v>
      </c>
      <c r="F20" s="66" t="e">
        <f>ROUND(VLOOKUP(B20,APUS!$J$10:$Z$1486,8,0),2)</f>
        <v>#N/A</v>
      </c>
      <c r="G20" s="103">
        <v>8</v>
      </c>
      <c r="H20" s="103" t="e">
        <f t="shared" si="6"/>
        <v>#N/A</v>
      </c>
      <c r="I20" s="102" t="e">
        <f t="shared" si="7"/>
        <v>#N/A</v>
      </c>
      <c r="L20" s="107" t="e">
        <f t="shared" si="3"/>
        <v>#N/A</v>
      </c>
    </row>
    <row r="21" spans="2:12" x14ac:dyDescent="0.3">
      <c r="B21" s="43" t="s">
        <v>52</v>
      </c>
      <c r="C21" s="40" t="e">
        <f>VLOOKUP(B21,PPTO!$C$7:$H$59,2,0)</f>
        <v>#N/A</v>
      </c>
      <c r="D21" s="41" t="e">
        <f>VLOOKUP(B21,PPTO!$C$7:$H$59,3,0)</f>
        <v>#N/A</v>
      </c>
      <c r="E21" s="66" t="e">
        <f>VLOOKUP(B21,PPTO!$C$7:$H$59,4,0)</f>
        <v>#N/A</v>
      </c>
      <c r="F21" s="66" t="e">
        <f>ROUND(VLOOKUP(B21,APUS!$J$10:$Z$1486,8,0),2)</f>
        <v>#N/A</v>
      </c>
      <c r="G21" s="103">
        <v>10</v>
      </c>
      <c r="H21" s="103" t="e">
        <f t="shared" si="6"/>
        <v>#N/A</v>
      </c>
      <c r="I21" s="102" t="e">
        <f t="shared" si="7"/>
        <v>#N/A</v>
      </c>
      <c r="L21" s="107" t="e">
        <f t="shared" si="3"/>
        <v>#N/A</v>
      </c>
    </row>
    <row r="22" spans="2:12" x14ac:dyDescent="0.3">
      <c r="B22" s="43" t="s">
        <v>57</v>
      </c>
      <c r="C22" s="40" t="e">
        <f>VLOOKUP(B22,PPTO!$C$7:$H$59,2,0)</f>
        <v>#N/A</v>
      </c>
      <c r="D22" s="41" t="e">
        <f>VLOOKUP(B22,PPTO!$C$7:$H$59,3,0)</f>
        <v>#N/A</v>
      </c>
      <c r="E22" s="66" t="e">
        <f>VLOOKUP(B22,PPTO!$C$7:$H$59,4,0)</f>
        <v>#N/A</v>
      </c>
      <c r="F22" s="66" t="e">
        <f>ROUND(VLOOKUP(B22,APUS!$J$10:$Z$1486,8,0),2)</f>
        <v>#N/A</v>
      </c>
      <c r="G22" s="103">
        <v>15</v>
      </c>
      <c r="H22" s="103" t="e">
        <f t="shared" si="6"/>
        <v>#N/A</v>
      </c>
      <c r="I22" s="102" t="e">
        <f t="shared" si="7"/>
        <v>#N/A</v>
      </c>
      <c r="L22" s="107" t="e">
        <f t="shared" si="3"/>
        <v>#N/A</v>
      </c>
    </row>
    <row r="23" spans="2:12" x14ac:dyDescent="0.3">
      <c r="B23" s="43" t="s">
        <v>513</v>
      </c>
      <c r="C23" s="40" t="e">
        <f>VLOOKUP(B23,PPTO!$C$7:$H$59,2,0)</f>
        <v>#N/A</v>
      </c>
      <c r="D23" s="41" t="e">
        <f>VLOOKUP(B23,PPTO!$C$7:$H$59,3,0)</f>
        <v>#N/A</v>
      </c>
      <c r="E23" s="66" t="e">
        <f>VLOOKUP(B23,PPTO!$C$7:$H$59,4,0)</f>
        <v>#N/A</v>
      </c>
      <c r="F23" s="66" t="e">
        <f>ROUND(VLOOKUP(B23,APUS!$J$10:$Z$1486,8,0),2)</f>
        <v>#N/A</v>
      </c>
      <c r="G23" s="103">
        <v>2</v>
      </c>
      <c r="H23" s="103" t="e">
        <f t="shared" si="6"/>
        <v>#N/A</v>
      </c>
      <c r="I23" s="102" t="e">
        <f t="shared" si="7"/>
        <v>#N/A</v>
      </c>
      <c r="L23" s="107" t="e">
        <f t="shared" si="3"/>
        <v>#N/A</v>
      </c>
    </row>
    <row r="24" spans="2:12" x14ac:dyDescent="0.3">
      <c r="B24" s="42" t="s">
        <v>30</v>
      </c>
      <c r="C24" s="656" t="str">
        <f>VLOOKUP(B24,PPTO!$C$7:$H$59,2,0)</f>
        <v>ESTRUCTURA VIAL EN PIEDRA LABOR</v>
      </c>
      <c r="D24" s="657"/>
      <c r="E24" s="657"/>
      <c r="F24" s="657"/>
      <c r="G24" s="657"/>
      <c r="H24" s="657"/>
      <c r="I24" s="658"/>
      <c r="L24" s="107" t="str">
        <f t="shared" si="3"/>
        <v>CAP.3 - ESTRUCTURA VIAL EN PIEDRA LABOR</v>
      </c>
    </row>
    <row r="25" spans="2:12" x14ac:dyDescent="0.3">
      <c r="B25" s="43" t="s">
        <v>62</v>
      </c>
      <c r="C25" s="40" t="e">
        <f>VLOOKUP(B25,PPTO!$C$7:$H$59,2,0)</f>
        <v>#N/A</v>
      </c>
      <c r="D25" s="41" t="e">
        <f>VLOOKUP(B25,PPTO!$C$7:$H$59,3,0)</f>
        <v>#N/A</v>
      </c>
      <c r="E25" s="66" t="e">
        <f>VLOOKUP(B25,PPTO!$C$7:$H$59,4,0)</f>
        <v>#N/A</v>
      </c>
      <c r="F25" s="66" t="e">
        <f>ROUND(VLOOKUP(B25,APUS!$J$10:$Z$1486,8,0),2)</f>
        <v>#N/A</v>
      </c>
      <c r="G25" s="103">
        <v>3</v>
      </c>
      <c r="H25" s="103" t="e">
        <f t="shared" ref="H25:H38" si="8">ROUNDUP(E25/(F25*G25),0)</f>
        <v>#N/A</v>
      </c>
      <c r="I25" s="102" t="e">
        <f t="shared" ref="I25:I38" si="9">ROUND(H25/30,2)</f>
        <v>#N/A</v>
      </c>
      <c r="L25" s="107" t="e">
        <f t="shared" si="3"/>
        <v>#N/A</v>
      </c>
    </row>
    <row r="26" spans="2:12" x14ac:dyDescent="0.3">
      <c r="B26" s="43" t="s">
        <v>63</v>
      </c>
      <c r="C26" s="40" t="e">
        <f>VLOOKUP(B26,PPTO!$C$7:$H$59,2,0)</f>
        <v>#N/A</v>
      </c>
      <c r="D26" s="41" t="e">
        <f>VLOOKUP(B26,PPTO!$C$7:$H$59,3,0)</f>
        <v>#N/A</v>
      </c>
      <c r="E26" s="66" t="e">
        <f>VLOOKUP(B26,PPTO!$C$7:$H$59,4,0)</f>
        <v>#N/A</v>
      </c>
      <c r="F26" s="66" t="e">
        <f>ROUND(VLOOKUP(B26,APUS!$J$10:$Z$1486,8,0),2)</f>
        <v>#N/A</v>
      </c>
      <c r="G26" s="103">
        <v>3</v>
      </c>
      <c r="H26" s="103" t="e">
        <f t="shared" si="8"/>
        <v>#N/A</v>
      </c>
      <c r="I26" s="102" t="e">
        <f t="shared" si="9"/>
        <v>#N/A</v>
      </c>
      <c r="L26" s="107" t="e">
        <f t="shared" si="3"/>
        <v>#N/A</v>
      </c>
    </row>
    <row r="27" spans="2:12" x14ac:dyDescent="0.3">
      <c r="B27" s="43" t="s">
        <v>64</v>
      </c>
      <c r="C27" s="40" t="e">
        <f>VLOOKUP(B27,PPTO!$C$7:$H$59,2,0)</f>
        <v>#N/A</v>
      </c>
      <c r="D27" s="41" t="e">
        <f>VLOOKUP(B27,PPTO!$C$7:$H$59,3,0)</f>
        <v>#N/A</v>
      </c>
      <c r="E27" s="66" t="e">
        <f>VLOOKUP(B27,PPTO!$C$7:$H$59,4,0)</f>
        <v>#N/A</v>
      </c>
      <c r="F27" s="66" t="e">
        <f>ROUND(VLOOKUP(B27,APUS!$J$10:$Z$1486,8,0),2)</f>
        <v>#N/A</v>
      </c>
      <c r="G27" s="103">
        <v>2</v>
      </c>
      <c r="H27" s="103" t="e">
        <f t="shared" si="8"/>
        <v>#N/A</v>
      </c>
      <c r="I27" s="102" t="e">
        <f t="shared" si="9"/>
        <v>#N/A</v>
      </c>
      <c r="L27" s="107" t="e">
        <f t="shared" si="3"/>
        <v>#N/A</v>
      </c>
    </row>
    <row r="28" spans="2:12" x14ac:dyDescent="0.3">
      <c r="B28" s="43" t="s">
        <v>65</v>
      </c>
      <c r="C28" s="40" t="e">
        <f>VLOOKUP(B28,PPTO!$C$7:$H$59,2,0)</f>
        <v>#N/A</v>
      </c>
      <c r="D28" s="41" t="e">
        <f>VLOOKUP(B28,PPTO!$C$7:$H$59,3,0)</f>
        <v>#N/A</v>
      </c>
      <c r="E28" s="66" t="e">
        <f>VLOOKUP(B28,PPTO!$C$7:$H$59,4,0)</f>
        <v>#N/A</v>
      </c>
      <c r="F28" s="66" t="e">
        <f>ROUND(VLOOKUP(B28,APUS!$J$10:$Z$1486,8,0),2)</f>
        <v>#N/A</v>
      </c>
      <c r="G28" s="103">
        <v>8</v>
      </c>
      <c r="H28" s="103" t="e">
        <f t="shared" si="8"/>
        <v>#N/A</v>
      </c>
      <c r="I28" s="102" t="e">
        <f t="shared" si="9"/>
        <v>#N/A</v>
      </c>
      <c r="L28" s="107" t="e">
        <f t="shared" si="3"/>
        <v>#N/A</v>
      </c>
    </row>
    <row r="29" spans="2:12" x14ac:dyDescent="0.3">
      <c r="B29" s="43" t="s">
        <v>66</v>
      </c>
      <c r="C29" s="40" t="e">
        <f>VLOOKUP(B29,PPTO!$C$7:$H$59,2,0)</f>
        <v>#N/A</v>
      </c>
      <c r="D29" s="41" t="e">
        <f>VLOOKUP(B29,PPTO!$C$7:$H$59,3,0)</f>
        <v>#N/A</v>
      </c>
      <c r="E29" s="66" t="e">
        <f>VLOOKUP(B29,PPTO!$C$7:$H$59,4,0)</f>
        <v>#N/A</v>
      </c>
      <c r="F29" s="66">
        <f>ROUND(VLOOKUP(B29,APUS!$J$10:$Z$1486,8,0),2)</f>
        <v>50</v>
      </c>
      <c r="G29" s="103">
        <v>2</v>
      </c>
      <c r="H29" s="103" t="e">
        <f t="shared" si="8"/>
        <v>#N/A</v>
      </c>
      <c r="I29" s="102" t="e">
        <f t="shared" si="9"/>
        <v>#N/A</v>
      </c>
      <c r="L29" s="107" t="e">
        <f t="shared" si="3"/>
        <v>#N/A</v>
      </c>
    </row>
    <row r="30" spans="2:12" x14ac:dyDescent="0.3">
      <c r="B30" s="43" t="s">
        <v>67</v>
      </c>
      <c r="C30" s="40" t="e">
        <f>VLOOKUP(B30,PPTO!$C$7:$H$59,2,0)</f>
        <v>#N/A</v>
      </c>
      <c r="D30" s="41" t="e">
        <f>VLOOKUP(B30,PPTO!$C$7:$H$59,3,0)</f>
        <v>#N/A</v>
      </c>
      <c r="E30" s="66" t="e">
        <f>VLOOKUP(B30,PPTO!$C$7:$H$59,4,0)</f>
        <v>#N/A</v>
      </c>
      <c r="F30" s="66">
        <f>ROUND(VLOOKUP(B30,APUS!$J$10:$Z$1486,8,0),2)</f>
        <v>20</v>
      </c>
      <c r="G30" s="103">
        <v>2</v>
      </c>
      <c r="H30" s="103" t="e">
        <f t="shared" si="8"/>
        <v>#N/A</v>
      </c>
      <c r="I30" s="102" t="e">
        <f t="shared" si="9"/>
        <v>#N/A</v>
      </c>
      <c r="L30" s="107" t="e">
        <f t="shared" si="3"/>
        <v>#N/A</v>
      </c>
    </row>
    <row r="31" spans="2:12" x14ac:dyDescent="0.3">
      <c r="B31" s="43" t="s">
        <v>68</v>
      </c>
      <c r="C31" s="40" t="e">
        <f>VLOOKUP(B31,PPTO!$C$7:$H$59,2,0)</f>
        <v>#N/A</v>
      </c>
      <c r="D31" s="41" t="e">
        <f>VLOOKUP(B31,PPTO!$C$7:$H$59,3,0)</f>
        <v>#N/A</v>
      </c>
      <c r="E31" s="66" t="e">
        <f>VLOOKUP(B31,PPTO!$C$7:$H$59,4,0)</f>
        <v>#N/A</v>
      </c>
      <c r="F31" s="66">
        <f>ROUND(VLOOKUP(B31,APUS!$J$10:$Z$1486,8,0),2)</f>
        <v>13</v>
      </c>
      <c r="G31" s="103">
        <v>3</v>
      </c>
      <c r="H31" s="103" t="e">
        <f t="shared" si="8"/>
        <v>#N/A</v>
      </c>
      <c r="I31" s="102" t="e">
        <f t="shared" si="9"/>
        <v>#N/A</v>
      </c>
      <c r="L31" s="107" t="e">
        <f t="shared" si="3"/>
        <v>#N/A</v>
      </c>
    </row>
    <row r="32" spans="2:12" x14ac:dyDescent="0.3">
      <c r="B32" s="43" t="s">
        <v>69</v>
      </c>
      <c r="C32" s="40" t="e">
        <f>VLOOKUP(B32,PPTO!$C$7:$H$59,2,0)</f>
        <v>#N/A</v>
      </c>
      <c r="D32" s="41" t="e">
        <f>VLOOKUP(B32,PPTO!$C$7:$H$59,3,0)</f>
        <v>#N/A</v>
      </c>
      <c r="E32" s="66" t="e">
        <f>VLOOKUP(B32,PPTO!$C$7:$H$59,4,0)</f>
        <v>#N/A</v>
      </c>
      <c r="F32" s="66">
        <f>ROUND(VLOOKUP(B32,APUS!$J$10:$Z$1486,8,0),2)</f>
        <v>15</v>
      </c>
      <c r="G32" s="103">
        <v>2</v>
      </c>
      <c r="H32" s="103" t="e">
        <f t="shared" si="8"/>
        <v>#N/A</v>
      </c>
      <c r="I32" s="102" t="e">
        <f t="shared" si="9"/>
        <v>#N/A</v>
      </c>
      <c r="L32" s="107" t="e">
        <f t="shared" si="3"/>
        <v>#N/A</v>
      </c>
    </row>
    <row r="33" spans="2:12" x14ac:dyDescent="0.3">
      <c r="B33" s="43" t="s">
        <v>70</v>
      </c>
      <c r="C33" s="40" t="e">
        <f>VLOOKUP(B33,PPTO!$C$7:$H$59,2,0)</f>
        <v>#N/A</v>
      </c>
      <c r="D33" s="41" t="e">
        <f>VLOOKUP(B33,PPTO!$C$7:$H$59,3,0)</f>
        <v>#N/A</v>
      </c>
      <c r="E33" s="66" t="e">
        <f>VLOOKUP(B33,PPTO!$C$7:$H$59,4,0)</f>
        <v>#N/A</v>
      </c>
      <c r="F33" s="66" t="e">
        <f>ROUND(VLOOKUP(B33,APUS!$J$10:$Z$1486,8,0),2)</f>
        <v>#N/A</v>
      </c>
      <c r="G33" s="103">
        <v>2</v>
      </c>
      <c r="H33" s="103" t="e">
        <f t="shared" si="8"/>
        <v>#N/A</v>
      </c>
      <c r="I33" s="102" t="e">
        <f t="shared" si="9"/>
        <v>#N/A</v>
      </c>
      <c r="L33" s="107" t="e">
        <f t="shared" si="3"/>
        <v>#N/A</v>
      </c>
    </row>
    <row r="34" spans="2:12" x14ac:dyDescent="0.3">
      <c r="B34" s="43" t="s">
        <v>71</v>
      </c>
      <c r="C34" s="40" t="e">
        <f>VLOOKUP(B34,PPTO!$C$7:$H$59,2,0)</f>
        <v>#N/A</v>
      </c>
      <c r="D34" s="41" t="e">
        <f>VLOOKUP(B34,PPTO!$C$7:$H$59,3,0)</f>
        <v>#N/A</v>
      </c>
      <c r="E34" s="66" t="e">
        <f>VLOOKUP(B34,PPTO!$C$7:$H$59,4,0)</f>
        <v>#N/A</v>
      </c>
      <c r="F34" s="66" t="e">
        <f>ROUND(VLOOKUP(B34,APUS!$J$10:$Z$1486,8,0),2)</f>
        <v>#N/A</v>
      </c>
      <c r="G34" s="103">
        <v>2</v>
      </c>
      <c r="H34" s="103" t="e">
        <f t="shared" si="8"/>
        <v>#N/A</v>
      </c>
      <c r="I34" s="102" t="e">
        <f t="shared" si="9"/>
        <v>#N/A</v>
      </c>
      <c r="L34" s="107" t="e">
        <f t="shared" si="3"/>
        <v>#N/A</v>
      </c>
    </row>
    <row r="35" spans="2:12" x14ac:dyDescent="0.3">
      <c r="B35" s="43" t="s">
        <v>72</v>
      </c>
      <c r="C35" s="40" t="e">
        <f>VLOOKUP(B35,PPTO!$C$7:$H$59,2,0)</f>
        <v>#N/A</v>
      </c>
      <c r="D35" s="41" t="e">
        <f>VLOOKUP(B35,PPTO!$C$7:$H$59,3,0)</f>
        <v>#N/A</v>
      </c>
      <c r="E35" s="66" t="e">
        <f>VLOOKUP(B35,PPTO!$C$7:$H$59,4,0)</f>
        <v>#N/A</v>
      </c>
      <c r="F35" s="66" t="e">
        <f>ROUND(VLOOKUP(B35,APUS!$J$10:$Z$1486,8,0),2)</f>
        <v>#N/A</v>
      </c>
      <c r="G35" s="103">
        <v>2</v>
      </c>
      <c r="H35" s="103" t="e">
        <f t="shared" si="8"/>
        <v>#N/A</v>
      </c>
      <c r="I35" s="102" t="e">
        <f t="shared" si="9"/>
        <v>#N/A</v>
      </c>
      <c r="L35" s="107" t="e">
        <f t="shared" si="3"/>
        <v>#N/A</v>
      </c>
    </row>
    <row r="36" spans="2:12" x14ac:dyDescent="0.3">
      <c r="B36" s="43" t="s">
        <v>73</v>
      </c>
      <c r="C36" s="40" t="e">
        <f>VLOOKUP(B36,PPTO!$C$7:$H$59,2,0)</f>
        <v>#N/A</v>
      </c>
      <c r="D36" s="41" t="e">
        <f>VLOOKUP(B36,PPTO!$C$7:$H$59,3,0)</f>
        <v>#N/A</v>
      </c>
      <c r="E36" s="66" t="e">
        <f>VLOOKUP(B36,PPTO!$C$7:$H$59,4,0)</f>
        <v>#N/A</v>
      </c>
      <c r="F36" s="66" t="e">
        <f>ROUND(VLOOKUP(B36,APUS!$J$10:$Z$1486,8,0),2)</f>
        <v>#N/A</v>
      </c>
      <c r="G36" s="103">
        <v>2</v>
      </c>
      <c r="H36" s="103" t="e">
        <f t="shared" si="8"/>
        <v>#N/A</v>
      </c>
      <c r="I36" s="102" t="e">
        <f t="shared" si="9"/>
        <v>#N/A</v>
      </c>
      <c r="L36" s="107" t="e">
        <f t="shared" si="3"/>
        <v>#N/A</v>
      </c>
    </row>
    <row r="37" spans="2:12" x14ac:dyDescent="0.3">
      <c r="B37" s="43" t="s">
        <v>74</v>
      </c>
      <c r="C37" s="40" t="e">
        <f>VLOOKUP(B37,PPTO!$C$7:$H$59,2,0)</f>
        <v>#N/A</v>
      </c>
      <c r="D37" s="41" t="e">
        <f>VLOOKUP(B37,PPTO!$C$7:$H$59,3,0)</f>
        <v>#N/A</v>
      </c>
      <c r="E37" s="66" t="e">
        <f>VLOOKUP(B37,PPTO!$C$7:$H$59,4,0)</f>
        <v>#N/A</v>
      </c>
      <c r="F37" s="66" t="e">
        <f>ROUND(VLOOKUP(B37,APUS!$J$10:$Z$1486,8,0),2)</f>
        <v>#N/A</v>
      </c>
      <c r="G37" s="103">
        <v>2</v>
      </c>
      <c r="H37" s="103" t="e">
        <f t="shared" si="8"/>
        <v>#N/A</v>
      </c>
      <c r="I37" s="102" t="e">
        <f t="shared" si="9"/>
        <v>#N/A</v>
      </c>
      <c r="L37" s="107" t="e">
        <f t="shared" si="3"/>
        <v>#N/A</v>
      </c>
    </row>
    <row r="38" spans="2:12" x14ac:dyDescent="0.3">
      <c r="B38" s="43" t="s">
        <v>75</v>
      </c>
      <c r="C38" s="40" t="e">
        <f>VLOOKUP(B38,PPTO!$C$7:$H$59,2,0)</f>
        <v>#N/A</v>
      </c>
      <c r="D38" s="41" t="e">
        <f>VLOOKUP(B38,PPTO!$C$7:$H$59,3,0)</f>
        <v>#N/A</v>
      </c>
      <c r="E38" s="66" t="e">
        <f>VLOOKUP(B38,PPTO!$C$7:$H$59,4,0)</f>
        <v>#N/A</v>
      </c>
      <c r="F38" s="66" t="e">
        <f>ROUND(VLOOKUP(B38,APUS!$J$10:$Z$1486,8,0),2)</f>
        <v>#N/A</v>
      </c>
      <c r="G38" s="103">
        <v>2</v>
      </c>
      <c r="H38" s="103" t="e">
        <f t="shared" si="8"/>
        <v>#N/A</v>
      </c>
      <c r="I38" s="102" t="e">
        <f t="shared" si="9"/>
        <v>#N/A</v>
      </c>
      <c r="L38" s="107" t="e">
        <f t="shared" si="3"/>
        <v>#N/A</v>
      </c>
    </row>
    <row r="39" spans="2:12" x14ac:dyDescent="0.3">
      <c r="B39" s="42" t="s">
        <v>40</v>
      </c>
      <c r="C39" s="656" t="e">
        <f>VLOOKUP(B39,PPTO!$C$7:$H$59,2,0)</f>
        <v>#N/A</v>
      </c>
      <c r="D39" s="657"/>
      <c r="E39" s="657"/>
      <c r="F39" s="657"/>
      <c r="G39" s="657"/>
      <c r="H39" s="657"/>
      <c r="I39" s="658"/>
      <c r="L39" s="107" t="e">
        <f t="shared" si="3"/>
        <v>#N/A</v>
      </c>
    </row>
    <row r="40" spans="2:12" x14ac:dyDescent="0.3">
      <c r="B40" s="43" t="s">
        <v>76</v>
      </c>
      <c r="C40" s="40" t="e">
        <f>VLOOKUP(B40,PPTO!$C$7:$H$59,2,0)</f>
        <v>#N/A</v>
      </c>
      <c r="D40" s="41" t="e">
        <f>VLOOKUP(B40,PPTO!$C$7:$H$59,3,0)</f>
        <v>#N/A</v>
      </c>
      <c r="E40" s="66" t="e">
        <f>VLOOKUP(B40,PPTO!$C$7:$H$59,4,0)</f>
        <v>#N/A</v>
      </c>
      <c r="F40" s="66" t="e">
        <f>ROUND(VLOOKUP(B40,APUS!$J$10:$Z$1486,8,0),2)</f>
        <v>#N/A</v>
      </c>
      <c r="G40" s="103">
        <v>2</v>
      </c>
      <c r="H40" s="103" t="e">
        <f t="shared" ref="H40:H45" si="10">ROUNDUP(E40/(F40*G40),0)</f>
        <v>#N/A</v>
      </c>
      <c r="I40" s="102" t="e">
        <f t="shared" ref="I40:I45" si="11">ROUND(H40/30,2)</f>
        <v>#N/A</v>
      </c>
      <c r="L40" s="107" t="e">
        <f t="shared" si="3"/>
        <v>#N/A</v>
      </c>
    </row>
    <row r="41" spans="2:12" x14ac:dyDescent="0.3">
      <c r="B41" s="43" t="s">
        <v>77</v>
      </c>
      <c r="C41" s="40" t="e">
        <f>VLOOKUP(B41,PPTO!$C$7:$H$59,2,0)</f>
        <v>#N/A</v>
      </c>
      <c r="D41" s="41" t="e">
        <f>VLOOKUP(B41,PPTO!$C$7:$H$59,3,0)</f>
        <v>#N/A</v>
      </c>
      <c r="E41" s="66" t="e">
        <f>VLOOKUP(B41,PPTO!$C$7:$H$59,4,0)</f>
        <v>#N/A</v>
      </c>
      <c r="F41" s="66" t="e">
        <f>ROUND(VLOOKUP(B41,APUS!$J$10:$Z$1486,8,0),2)</f>
        <v>#N/A</v>
      </c>
      <c r="G41" s="103">
        <v>2</v>
      </c>
      <c r="H41" s="103" t="e">
        <f t="shared" si="10"/>
        <v>#N/A</v>
      </c>
      <c r="I41" s="102" t="e">
        <f t="shared" si="11"/>
        <v>#N/A</v>
      </c>
      <c r="L41" s="107" t="e">
        <f t="shared" si="3"/>
        <v>#N/A</v>
      </c>
    </row>
    <row r="42" spans="2:12" x14ac:dyDescent="0.3">
      <c r="B42" s="43" t="s">
        <v>78</v>
      </c>
      <c r="C42" s="40" t="e">
        <f>VLOOKUP(B42,PPTO!$C$7:$H$59,2,0)</f>
        <v>#N/A</v>
      </c>
      <c r="D42" s="41" t="e">
        <f>VLOOKUP(B42,PPTO!$C$7:$H$59,3,0)</f>
        <v>#N/A</v>
      </c>
      <c r="E42" s="66" t="e">
        <f>VLOOKUP(B42,PPTO!$C$7:$H$59,4,0)</f>
        <v>#N/A</v>
      </c>
      <c r="F42" s="66" t="e">
        <f>ROUND(VLOOKUP(B42,APUS!$J$10:$Z$1486,8,0),2)</f>
        <v>#N/A</v>
      </c>
      <c r="G42" s="103">
        <v>2</v>
      </c>
      <c r="H42" s="103" t="e">
        <f t="shared" si="10"/>
        <v>#N/A</v>
      </c>
      <c r="I42" s="102" t="e">
        <f t="shared" si="11"/>
        <v>#N/A</v>
      </c>
      <c r="L42" s="107" t="e">
        <f t="shared" si="3"/>
        <v>#N/A</v>
      </c>
    </row>
    <row r="43" spans="2:12" x14ac:dyDescent="0.3">
      <c r="B43" s="43" t="s">
        <v>79</v>
      </c>
      <c r="C43" s="40" t="e">
        <f>VLOOKUP(B43,PPTO!$C$7:$H$59,2,0)</f>
        <v>#N/A</v>
      </c>
      <c r="D43" s="41" t="e">
        <f>VLOOKUP(B43,PPTO!$C$7:$H$59,3,0)</f>
        <v>#N/A</v>
      </c>
      <c r="E43" s="66" t="e">
        <f>VLOOKUP(B43,PPTO!$C$7:$H$59,4,0)</f>
        <v>#N/A</v>
      </c>
      <c r="F43" s="66" t="e">
        <f>ROUND(VLOOKUP(B43,APUS!$J$10:$Z$1486,8,0),2)</f>
        <v>#N/A</v>
      </c>
      <c r="G43" s="103">
        <v>2</v>
      </c>
      <c r="H43" s="103" t="e">
        <f t="shared" si="10"/>
        <v>#N/A</v>
      </c>
      <c r="I43" s="102" t="e">
        <f t="shared" si="11"/>
        <v>#N/A</v>
      </c>
      <c r="L43" s="107" t="e">
        <f t="shared" si="3"/>
        <v>#N/A</v>
      </c>
    </row>
    <row r="44" spans="2:12" x14ac:dyDescent="0.3">
      <c r="B44" s="43" t="s">
        <v>80</v>
      </c>
      <c r="C44" s="40" t="e">
        <f>VLOOKUP(B44,PPTO!$C$7:$H$59,2,0)</f>
        <v>#N/A</v>
      </c>
      <c r="D44" s="41" t="e">
        <f>VLOOKUP(B44,PPTO!$C$7:$H$59,3,0)</f>
        <v>#N/A</v>
      </c>
      <c r="E44" s="66" t="e">
        <f>VLOOKUP(B44,PPTO!$C$7:$H$59,4,0)</f>
        <v>#N/A</v>
      </c>
      <c r="F44" s="66" t="e">
        <f>ROUND(VLOOKUP(B44,APUS!$J$10:$Z$1486,8,0),2)</f>
        <v>#N/A</v>
      </c>
      <c r="G44" s="103">
        <v>2</v>
      </c>
      <c r="H44" s="103" t="e">
        <f t="shared" si="10"/>
        <v>#N/A</v>
      </c>
      <c r="I44" s="102" t="e">
        <f t="shared" si="11"/>
        <v>#N/A</v>
      </c>
      <c r="L44" s="107" t="e">
        <f t="shared" si="3"/>
        <v>#N/A</v>
      </c>
    </row>
    <row r="45" spans="2:12" x14ac:dyDescent="0.3">
      <c r="B45" s="43" t="s">
        <v>81</v>
      </c>
      <c r="C45" s="40" t="e">
        <f>VLOOKUP(B45,PPTO!$C$7:$H$59,2,0)</f>
        <v>#N/A</v>
      </c>
      <c r="D45" s="41" t="e">
        <f>VLOOKUP(B45,PPTO!$C$7:$H$59,3,0)</f>
        <v>#N/A</v>
      </c>
      <c r="E45" s="66" t="e">
        <f>VLOOKUP(B45,PPTO!$C$7:$H$59,4,0)</f>
        <v>#N/A</v>
      </c>
      <c r="F45" s="66" t="e">
        <f>ROUND(VLOOKUP(B45,APUS!$J$10:$Z$1486,8,0),2)</f>
        <v>#N/A</v>
      </c>
      <c r="G45" s="103">
        <v>2</v>
      </c>
      <c r="H45" s="103" t="e">
        <f t="shared" si="10"/>
        <v>#N/A</v>
      </c>
      <c r="I45" s="102" t="e">
        <f t="shared" si="11"/>
        <v>#N/A</v>
      </c>
      <c r="L45" s="107" t="e">
        <f t="shared" si="3"/>
        <v>#N/A</v>
      </c>
    </row>
    <row r="46" spans="2:12" x14ac:dyDescent="0.3">
      <c r="B46" s="42" t="s">
        <v>44</v>
      </c>
      <c r="C46" s="656" t="e">
        <f>VLOOKUP(B46,PPTO!$C$7:$H$59,2,0)</f>
        <v>#N/A</v>
      </c>
      <c r="D46" s="657"/>
      <c r="E46" s="657"/>
      <c r="F46" s="657"/>
      <c r="G46" s="657"/>
      <c r="H46" s="657"/>
      <c r="I46" s="658"/>
      <c r="L46" s="107" t="e">
        <f t="shared" ref="L46:L76" si="12">CONCATENATE(B46," ","-"," ",C46)</f>
        <v>#N/A</v>
      </c>
    </row>
    <row r="47" spans="2:12" x14ac:dyDescent="0.3">
      <c r="B47" s="65" t="s">
        <v>82</v>
      </c>
      <c r="C47" s="40" t="e">
        <f>VLOOKUP(B47,PPTO!$C$7:$H$59,2,0)</f>
        <v>#N/A</v>
      </c>
      <c r="D47" s="41" t="e">
        <f>VLOOKUP(B47,PPTO!$C$7:$H$59,3,0)</f>
        <v>#N/A</v>
      </c>
      <c r="E47" s="66" t="e">
        <f>VLOOKUP(B47,PPTO!$C$7:$H$59,4,0)</f>
        <v>#N/A</v>
      </c>
      <c r="F47" s="66" t="e">
        <f>ROUND(VLOOKUP(B47,APUS!$J$10:$Z$1486,8,0),2)</f>
        <v>#N/A</v>
      </c>
      <c r="G47" s="103">
        <v>4</v>
      </c>
      <c r="H47" s="103" t="e">
        <f t="shared" ref="H47:H54" si="13">ROUNDUP(E47/(F47*G47),0)</f>
        <v>#N/A</v>
      </c>
      <c r="I47" s="102" t="e">
        <f t="shared" ref="I47:I54" si="14">ROUND(H47/30,2)</f>
        <v>#N/A</v>
      </c>
      <c r="L47" s="107" t="e">
        <f t="shared" si="12"/>
        <v>#N/A</v>
      </c>
    </row>
    <row r="48" spans="2:12" x14ac:dyDescent="0.3">
      <c r="B48" s="65" t="s">
        <v>83</v>
      </c>
      <c r="C48" s="40" t="e">
        <f>VLOOKUP(B48,PPTO!$C$7:$H$59,2,0)</f>
        <v>#N/A</v>
      </c>
      <c r="D48" s="41" t="e">
        <f>VLOOKUP(B48,PPTO!$C$7:$H$59,3,0)</f>
        <v>#N/A</v>
      </c>
      <c r="E48" s="66" t="e">
        <f>VLOOKUP(B48,PPTO!$C$7:$H$59,4,0)</f>
        <v>#N/A</v>
      </c>
      <c r="F48" s="66" t="e">
        <f>ROUND(VLOOKUP(B48,APUS!$J$10:$Z$1486,8,0),2)</f>
        <v>#N/A</v>
      </c>
      <c r="G48" s="103">
        <v>2</v>
      </c>
      <c r="H48" s="103" t="e">
        <f t="shared" si="13"/>
        <v>#N/A</v>
      </c>
      <c r="I48" s="102" t="e">
        <f t="shared" si="14"/>
        <v>#N/A</v>
      </c>
      <c r="L48" s="107" t="e">
        <f t="shared" si="12"/>
        <v>#N/A</v>
      </c>
    </row>
    <row r="49" spans="2:12" x14ac:dyDescent="0.3">
      <c r="B49" s="65" t="s">
        <v>84</v>
      </c>
      <c r="C49" s="40" t="e">
        <f>VLOOKUP(B49,PPTO!$C$7:$H$59,2,0)</f>
        <v>#N/A</v>
      </c>
      <c r="D49" s="41" t="e">
        <f>VLOOKUP(B49,PPTO!$C$7:$H$59,3,0)</f>
        <v>#N/A</v>
      </c>
      <c r="E49" s="66" t="e">
        <f>VLOOKUP(B49,PPTO!$C$7:$H$59,4,0)</f>
        <v>#N/A</v>
      </c>
      <c r="F49" s="66" t="e">
        <f>ROUND(VLOOKUP(B49,APUS!$J$10:$Z$1486,8,0),2)</f>
        <v>#N/A</v>
      </c>
      <c r="G49" s="103">
        <v>2</v>
      </c>
      <c r="H49" s="103" t="e">
        <f t="shared" si="13"/>
        <v>#N/A</v>
      </c>
      <c r="I49" s="102" t="e">
        <f t="shared" si="14"/>
        <v>#N/A</v>
      </c>
      <c r="L49" s="107" t="e">
        <f t="shared" si="12"/>
        <v>#N/A</v>
      </c>
    </row>
    <row r="50" spans="2:12" x14ac:dyDescent="0.3">
      <c r="B50" s="65" t="s">
        <v>514</v>
      </c>
      <c r="C50" s="40" t="e">
        <f>VLOOKUP(B50,PPTO!$C$7:$H$59,2,0)</f>
        <v>#N/A</v>
      </c>
      <c r="D50" s="41" t="e">
        <f>VLOOKUP(B50,PPTO!$C$7:$H$59,3,0)</f>
        <v>#N/A</v>
      </c>
      <c r="E50" s="66" t="e">
        <f>VLOOKUP(B50,PPTO!$C$7:$H$59,4,0)</f>
        <v>#N/A</v>
      </c>
      <c r="F50" s="66" t="e">
        <f>ROUND(VLOOKUP(B50,APUS!$J$10:$Z$1486,8,0),2)</f>
        <v>#N/A</v>
      </c>
      <c r="G50" s="103">
        <v>15</v>
      </c>
      <c r="H50" s="103" t="e">
        <f t="shared" si="13"/>
        <v>#N/A</v>
      </c>
      <c r="I50" s="102" t="e">
        <f t="shared" si="14"/>
        <v>#N/A</v>
      </c>
      <c r="L50" s="107" t="e">
        <f t="shared" si="12"/>
        <v>#N/A</v>
      </c>
    </row>
    <row r="51" spans="2:12" x14ac:dyDescent="0.3">
      <c r="B51" s="65" t="s">
        <v>515</v>
      </c>
      <c r="C51" s="40" t="e">
        <f>VLOOKUP(B51,PPTO!$C$7:$H$59,2,0)</f>
        <v>#N/A</v>
      </c>
      <c r="D51" s="41" t="e">
        <f>VLOOKUP(B51,PPTO!$C$7:$H$59,3,0)</f>
        <v>#N/A</v>
      </c>
      <c r="E51" s="66" t="e">
        <f>VLOOKUP(B51,PPTO!$C$7:$H$59,4,0)</f>
        <v>#N/A</v>
      </c>
      <c r="F51" s="66" t="e">
        <f>ROUND(VLOOKUP(B51,APUS!$J$10:$Z$1486,8,0),2)</f>
        <v>#N/A</v>
      </c>
      <c r="G51" s="103">
        <v>2</v>
      </c>
      <c r="H51" s="103" t="e">
        <f t="shared" si="13"/>
        <v>#N/A</v>
      </c>
      <c r="I51" s="102" t="e">
        <f t="shared" si="14"/>
        <v>#N/A</v>
      </c>
      <c r="L51" s="107" t="e">
        <f t="shared" si="12"/>
        <v>#N/A</v>
      </c>
    </row>
    <row r="52" spans="2:12" x14ac:dyDescent="0.3">
      <c r="B52" s="65" t="s">
        <v>516</v>
      </c>
      <c r="C52" s="40" t="e">
        <f>VLOOKUP(B52,PPTO!$C$7:$H$59,2,0)</f>
        <v>#N/A</v>
      </c>
      <c r="D52" s="41" t="e">
        <f>VLOOKUP(B52,PPTO!$C$7:$H$59,3,0)</f>
        <v>#N/A</v>
      </c>
      <c r="E52" s="66" t="e">
        <f>VLOOKUP(B52,PPTO!$C$7:$H$59,4,0)</f>
        <v>#N/A</v>
      </c>
      <c r="F52" s="66" t="e">
        <f>ROUND(VLOOKUP(B52,APUS!$J$10:$Z$1486,8,0),2)</f>
        <v>#N/A</v>
      </c>
      <c r="G52" s="103">
        <v>1</v>
      </c>
      <c r="H52" s="103" t="e">
        <f t="shared" si="13"/>
        <v>#N/A</v>
      </c>
      <c r="I52" s="102" t="e">
        <f t="shared" si="14"/>
        <v>#N/A</v>
      </c>
      <c r="L52" s="107" t="e">
        <f t="shared" si="12"/>
        <v>#N/A</v>
      </c>
    </row>
    <row r="53" spans="2:12" x14ac:dyDescent="0.3">
      <c r="B53" s="65" t="s">
        <v>517</v>
      </c>
      <c r="C53" s="40" t="e">
        <f>VLOOKUP(B53,PPTO!$C$7:$H$59,2,0)</f>
        <v>#N/A</v>
      </c>
      <c r="D53" s="41" t="e">
        <f>VLOOKUP(B53,PPTO!$C$7:$H$59,3,0)</f>
        <v>#N/A</v>
      </c>
      <c r="E53" s="66" t="e">
        <f>VLOOKUP(B53,PPTO!$C$7:$H$59,4,0)</f>
        <v>#N/A</v>
      </c>
      <c r="F53" s="66" t="e">
        <f>ROUND(VLOOKUP(B53,APUS!$J$10:$Z$1486,8,0),2)</f>
        <v>#N/A</v>
      </c>
      <c r="G53" s="103">
        <v>2</v>
      </c>
      <c r="H53" s="103" t="e">
        <f t="shared" si="13"/>
        <v>#N/A</v>
      </c>
      <c r="I53" s="102" t="e">
        <f t="shared" si="14"/>
        <v>#N/A</v>
      </c>
      <c r="L53" s="107" t="e">
        <f t="shared" si="12"/>
        <v>#N/A</v>
      </c>
    </row>
    <row r="54" spans="2:12" x14ac:dyDescent="0.3">
      <c r="B54" s="65" t="s">
        <v>518</v>
      </c>
      <c r="C54" s="40" t="e">
        <f>VLOOKUP(B54,PPTO!$C$7:$H$59,2,0)</f>
        <v>#N/A</v>
      </c>
      <c r="D54" s="41" t="e">
        <f>VLOOKUP(B54,PPTO!$C$7:$H$59,3,0)</f>
        <v>#N/A</v>
      </c>
      <c r="E54" s="66" t="e">
        <f>VLOOKUP(B54,PPTO!$C$7:$H$59,4,0)</f>
        <v>#N/A</v>
      </c>
      <c r="F54" s="66" t="e">
        <f>ROUND(VLOOKUP(B54,APUS!$J$10:$Z$1486,8,0),2)</f>
        <v>#N/A</v>
      </c>
      <c r="G54" s="103">
        <v>2</v>
      </c>
      <c r="H54" s="103" t="e">
        <f t="shared" si="13"/>
        <v>#N/A</v>
      </c>
      <c r="I54" s="102" t="e">
        <f t="shared" si="14"/>
        <v>#N/A</v>
      </c>
      <c r="L54" s="107" t="e">
        <f t="shared" si="12"/>
        <v>#N/A</v>
      </c>
    </row>
    <row r="55" spans="2:12" x14ac:dyDescent="0.3">
      <c r="B55" s="42" t="s">
        <v>45</v>
      </c>
      <c r="C55" s="656" t="e">
        <f>VLOOKUP(B55,PPTO!$C$7:$H$59,2,0)</f>
        <v>#N/A</v>
      </c>
      <c r="D55" s="657"/>
      <c r="E55" s="657"/>
      <c r="F55" s="657"/>
      <c r="G55" s="657"/>
      <c r="H55" s="657"/>
      <c r="I55" s="658"/>
      <c r="L55" s="107" t="e">
        <f t="shared" si="12"/>
        <v>#N/A</v>
      </c>
    </row>
    <row r="56" spans="2:12" x14ac:dyDescent="0.3">
      <c r="B56" s="65" t="s">
        <v>85</v>
      </c>
      <c r="C56" s="40" t="e">
        <f>VLOOKUP(B56,PPTO!$C$7:$H$59,2,0)</f>
        <v>#N/A</v>
      </c>
      <c r="D56" s="41" t="e">
        <f>VLOOKUP(B56,PPTO!$C$7:$H$59,3,0)</f>
        <v>#N/A</v>
      </c>
      <c r="E56" s="66" t="e">
        <f>VLOOKUP(B56,PPTO!$C$7:$H$59,4,0)</f>
        <v>#N/A</v>
      </c>
      <c r="F56" s="66" t="e">
        <f>ROUND(VLOOKUP(B56,APUS!$J$10:$Z$1486,8,0),2)</f>
        <v>#N/A</v>
      </c>
      <c r="G56" s="103">
        <v>2</v>
      </c>
      <c r="H56" s="103" t="e">
        <f t="shared" ref="H56:H75" si="15">ROUNDUP(E56/(F56*G56),0)</f>
        <v>#N/A</v>
      </c>
      <c r="I56" s="102" t="e">
        <f t="shared" ref="I56:I75" si="16">ROUND(H56/30,2)</f>
        <v>#N/A</v>
      </c>
      <c r="L56" s="107" t="e">
        <f t="shared" si="12"/>
        <v>#N/A</v>
      </c>
    </row>
    <row r="57" spans="2:12" x14ac:dyDescent="0.3">
      <c r="B57" s="65" t="s">
        <v>86</v>
      </c>
      <c r="C57" s="40" t="e">
        <f>VLOOKUP(B57,PPTO!$C$7:$H$59,2,0)</f>
        <v>#N/A</v>
      </c>
      <c r="D57" s="41" t="e">
        <f>VLOOKUP(B57,PPTO!$C$7:$H$59,3,0)</f>
        <v>#N/A</v>
      </c>
      <c r="E57" s="66" t="e">
        <f>VLOOKUP(B57,PPTO!$C$7:$H$59,4,0)</f>
        <v>#N/A</v>
      </c>
      <c r="F57" s="66" t="e">
        <f>ROUND(VLOOKUP(B57,APUS!$J$10:$Z$1486,8,0),2)</f>
        <v>#N/A</v>
      </c>
      <c r="G57" s="103">
        <v>2</v>
      </c>
      <c r="H57" s="103" t="e">
        <f t="shared" si="15"/>
        <v>#N/A</v>
      </c>
      <c r="I57" s="102" t="e">
        <f t="shared" si="16"/>
        <v>#N/A</v>
      </c>
      <c r="L57" s="107" t="e">
        <f t="shared" si="12"/>
        <v>#N/A</v>
      </c>
    </row>
    <row r="58" spans="2:12" x14ac:dyDescent="0.3">
      <c r="B58" s="65" t="s">
        <v>87</v>
      </c>
      <c r="C58" s="40" t="e">
        <f>VLOOKUP(B58,PPTO!$C$7:$H$59,2,0)</f>
        <v>#N/A</v>
      </c>
      <c r="D58" s="41" t="e">
        <f>VLOOKUP(B58,PPTO!$C$7:$H$59,3,0)</f>
        <v>#N/A</v>
      </c>
      <c r="E58" s="66" t="e">
        <f>VLOOKUP(B58,PPTO!$C$7:$H$59,4,0)</f>
        <v>#N/A</v>
      </c>
      <c r="F58" s="66" t="e">
        <f>ROUND(VLOOKUP(B58,APUS!$J$10:$Z$1486,8,0),2)</f>
        <v>#N/A</v>
      </c>
      <c r="G58" s="103">
        <v>2</v>
      </c>
      <c r="H58" s="103" t="e">
        <f t="shared" si="15"/>
        <v>#N/A</v>
      </c>
      <c r="I58" s="102" t="e">
        <f t="shared" si="16"/>
        <v>#N/A</v>
      </c>
      <c r="L58" s="107" t="e">
        <f t="shared" si="12"/>
        <v>#N/A</v>
      </c>
    </row>
    <row r="59" spans="2:12" x14ac:dyDescent="0.3">
      <c r="B59" s="65" t="s">
        <v>474</v>
      </c>
      <c r="C59" s="40" t="e">
        <f>VLOOKUP(B59,PPTO!$C$7:$H$59,2,0)</f>
        <v>#N/A</v>
      </c>
      <c r="D59" s="41" t="e">
        <f>VLOOKUP(B59,PPTO!$C$7:$H$59,3,0)</f>
        <v>#N/A</v>
      </c>
      <c r="E59" s="66" t="e">
        <f>VLOOKUP(B59,PPTO!$C$7:$H$59,4,0)</f>
        <v>#N/A</v>
      </c>
      <c r="F59" s="66" t="e">
        <f>ROUND(VLOOKUP(B59,APUS!$J$10:$Z$1486,8,0),2)</f>
        <v>#N/A</v>
      </c>
      <c r="G59" s="103">
        <v>2</v>
      </c>
      <c r="H59" s="103" t="e">
        <f t="shared" si="15"/>
        <v>#N/A</v>
      </c>
      <c r="I59" s="102" t="e">
        <f t="shared" si="16"/>
        <v>#N/A</v>
      </c>
      <c r="L59" s="107" t="e">
        <f t="shared" si="12"/>
        <v>#N/A</v>
      </c>
    </row>
    <row r="60" spans="2:12" x14ac:dyDescent="0.3">
      <c r="B60" s="65" t="s">
        <v>475</v>
      </c>
      <c r="C60" s="40" t="e">
        <f>VLOOKUP(B60,PPTO!$C$7:$H$59,2,0)</f>
        <v>#N/A</v>
      </c>
      <c r="D60" s="41" t="e">
        <f>VLOOKUP(B60,PPTO!$C$7:$H$59,3,0)</f>
        <v>#N/A</v>
      </c>
      <c r="E60" s="66" t="e">
        <f>VLOOKUP(B60,PPTO!$C$7:$H$59,4,0)</f>
        <v>#N/A</v>
      </c>
      <c r="F60" s="66" t="e">
        <f>ROUND(VLOOKUP(B60,APUS!$J$10:$Z$1486,8,0),2)</f>
        <v>#N/A</v>
      </c>
      <c r="G60" s="103">
        <v>2</v>
      </c>
      <c r="H60" s="103" t="e">
        <f t="shared" si="15"/>
        <v>#N/A</v>
      </c>
      <c r="I60" s="102" t="e">
        <f t="shared" si="16"/>
        <v>#N/A</v>
      </c>
      <c r="L60" s="107" t="e">
        <f t="shared" si="12"/>
        <v>#N/A</v>
      </c>
    </row>
    <row r="61" spans="2:12" x14ac:dyDescent="0.3">
      <c r="B61" s="65" t="s">
        <v>476</v>
      </c>
      <c r="C61" s="40" t="e">
        <f>VLOOKUP(B61,PPTO!$C$7:$H$59,2,0)</f>
        <v>#N/A</v>
      </c>
      <c r="D61" s="41" t="e">
        <f>VLOOKUP(B61,PPTO!$C$7:$H$59,3,0)</f>
        <v>#N/A</v>
      </c>
      <c r="E61" s="66" t="e">
        <f>VLOOKUP(B61,PPTO!$C$7:$H$59,4,0)</f>
        <v>#N/A</v>
      </c>
      <c r="F61" s="66" t="e">
        <f>ROUND(VLOOKUP(B61,APUS!$J$10:$Z$1486,8,0),2)</f>
        <v>#N/A</v>
      </c>
      <c r="G61" s="103">
        <v>2</v>
      </c>
      <c r="H61" s="103" t="e">
        <f t="shared" si="15"/>
        <v>#N/A</v>
      </c>
      <c r="I61" s="102" t="e">
        <f t="shared" si="16"/>
        <v>#N/A</v>
      </c>
      <c r="L61" s="107" t="e">
        <f t="shared" si="12"/>
        <v>#N/A</v>
      </c>
    </row>
    <row r="62" spans="2:12" x14ac:dyDescent="0.3">
      <c r="B62" s="65" t="s">
        <v>477</v>
      </c>
      <c r="C62" s="40" t="e">
        <f>VLOOKUP(B62,PPTO!$C$7:$H$59,2,0)</f>
        <v>#N/A</v>
      </c>
      <c r="D62" s="41" t="e">
        <f>VLOOKUP(B62,PPTO!$C$7:$H$59,3,0)</f>
        <v>#N/A</v>
      </c>
      <c r="E62" s="66" t="e">
        <f>VLOOKUP(B62,PPTO!$C$7:$H$59,4,0)</f>
        <v>#N/A</v>
      </c>
      <c r="F62" s="66" t="e">
        <f>ROUND(VLOOKUP(B62,APUS!$J$10:$Z$1486,8,0),2)</f>
        <v>#N/A</v>
      </c>
      <c r="G62" s="103">
        <v>2</v>
      </c>
      <c r="H62" s="103" t="e">
        <f t="shared" si="15"/>
        <v>#N/A</v>
      </c>
      <c r="I62" s="102" t="e">
        <f t="shared" si="16"/>
        <v>#N/A</v>
      </c>
      <c r="L62" s="107" t="e">
        <f t="shared" si="12"/>
        <v>#N/A</v>
      </c>
    </row>
    <row r="63" spans="2:12" x14ac:dyDescent="0.3">
      <c r="B63" s="65" t="s">
        <v>478</v>
      </c>
      <c r="C63" s="40" t="e">
        <f>VLOOKUP(B63,PPTO!$C$7:$H$59,2,0)</f>
        <v>#N/A</v>
      </c>
      <c r="D63" s="41" t="e">
        <f>VLOOKUP(B63,PPTO!$C$7:$H$59,3,0)</f>
        <v>#N/A</v>
      </c>
      <c r="E63" s="66" t="e">
        <f>VLOOKUP(B63,PPTO!$C$7:$H$59,4,0)</f>
        <v>#N/A</v>
      </c>
      <c r="F63" s="66" t="e">
        <f>ROUND(VLOOKUP(B63,APUS!$J$10:$Z$1486,8,0),2)</f>
        <v>#N/A</v>
      </c>
      <c r="G63" s="103">
        <v>2</v>
      </c>
      <c r="H63" s="103" t="e">
        <f t="shared" si="15"/>
        <v>#N/A</v>
      </c>
      <c r="I63" s="102" t="e">
        <f t="shared" si="16"/>
        <v>#N/A</v>
      </c>
      <c r="L63" s="107" t="e">
        <f t="shared" si="12"/>
        <v>#N/A</v>
      </c>
    </row>
    <row r="64" spans="2:12" x14ac:dyDescent="0.3">
      <c r="B64" s="65" t="s">
        <v>479</v>
      </c>
      <c r="C64" s="40" t="e">
        <f>VLOOKUP(B64,PPTO!$C$7:$H$59,2,0)</f>
        <v>#N/A</v>
      </c>
      <c r="D64" s="41" t="e">
        <f>VLOOKUP(B64,PPTO!$C$7:$H$59,3,0)</f>
        <v>#N/A</v>
      </c>
      <c r="E64" s="66" t="e">
        <f>VLOOKUP(B64,PPTO!$C$7:$H$59,4,0)</f>
        <v>#N/A</v>
      </c>
      <c r="F64" s="66" t="e">
        <f>ROUND(VLOOKUP(B64,APUS!$J$10:$Z$1486,8,0),2)</f>
        <v>#N/A</v>
      </c>
      <c r="G64" s="103">
        <v>2</v>
      </c>
      <c r="H64" s="103" t="e">
        <f t="shared" si="15"/>
        <v>#N/A</v>
      </c>
      <c r="I64" s="102" t="e">
        <f t="shared" si="16"/>
        <v>#N/A</v>
      </c>
      <c r="L64" s="107" t="e">
        <f t="shared" si="12"/>
        <v>#N/A</v>
      </c>
    </row>
    <row r="65" spans="2:12" x14ac:dyDescent="0.3">
      <c r="B65" s="65" t="s">
        <v>480</v>
      </c>
      <c r="C65" s="40" t="e">
        <f>VLOOKUP(B65,PPTO!$C$7:$H$59,2,0)</f>
        <v>#N/A</v>
      </c>
      <c r="D65" s="41" t="e">
        <f>VLOOKUP(B65,PPTO!$C$7:$H$59,3,0)</f>
        <v>#N/A</v>
      </c>
      <c r="E65" s="66" t="e">
        <f>VLOOKUP(B65,PPTO!$C$7:$H$59,4,0)</f>
        <v>#N/A</v>
      </c>
      <c r="F65" s="66" t="e">
        <f>ROUND(VLOOKUP(B65,APUS!$J$10:$Z$1486,8,0),2)</f>
        <v>#N/A</v>
      </c>
      <c r="G65" s="103">
        <v>2</v>
      </c>
      <c r="H65" s="103" t="e">
        <f t="shared" si="15"/>
        <v>#N/A</v>
      </c>
      <c r="I65" s="102" t="e">
        <f t="shared" si="16"/>
        <v>#N/A</v>
      </c>
      <c r="L65" s="107" t="e">
        <f t="shared" si="12"/>
        <v>#N/A</v>
      </c>
    </row>
    <row r="66" spans="2:12" x14ac:dyDescent="0.3">
      <c r="B66" s="65" t="s">
        <v>481</v>
      </c>
      <c r="C66" s="40" t="e">
        <f>VLOOKUP(B66,PPTO!$C$7:$H$59,2,0)</f>
        <v>#N/A</v>
      </c>
      <c r="D66" s="41" t="e">
        <f>VLOOKUP(B66,PPTO!$C$7:$H$59,3,0)</f>
        <v>#N/A</v>
      </c>
      <c r="E66" s="66" t="e">
        <f>VLOOKUP(B66,PPTO!$C$7:$H$59,4,0)</f>
        <v>#N/A</v>
      </c>
      <c r="F66" s="66" t="e">
        <f>ROUND(VLOOKUP(B66,APUS!$J$10:$Z$1486,8,0),2)</f>
        <v>#N/A</v>
      </c>
      <c r="G66" s="103">
        <v>2</v>
      </c>
      <c r="H66" s="103" t="e">
        <f t="shared" si="15"/>
        <v>#N/A</v>
      </c>
      <c r="I66" s="102" t="e">
        <f t="shared" si="16"/>
        <v>#N/A</v>
      </c>
      <c r="L66" s="107" t="e">
        <f t="shared" si="12"/>
        <v>#N/A</v>
      </c>
    </row>
    <row r="67" spans="2:12" x14ac:dyDescent="0.3">
      <c r="B67" s="65" t="s">
        <v>482</v>
      </c>
      <c r="C67" s="40" t="e">
        <f>VLOOKUP(B67,PPTO!$C$7:$H$59,2,0)</f>
        <v>#N/A</v>
      </c>
      <c r="D67" s="41" t="e">
        <f>VLOOKUP(B67,PPTO!$C$7:$H$59,3,0)</f>
        <v>#N/A</v>
      </c>
      <c r="E67" s="66" t="e">
        <f>VLOOKUP(B67,PPTO!$C$7:$H$59,4,0)</f>
        <v>#N/A</v>
      </c>
      <c r="F67" s="66" t="e">
        <f>ROUND(VLOOKUP(B67,APUS!$J$10:$Z$1486,8,0),2)</f>
        <v>#N/A</v>
      </c>
      <c r="G67" s="103">
        <v>2</v>
      </c>
      <c r="H67" s="103" t="e">
        <f t="shared" si="15"/>
        <v>#N/A</v>
      </c>
      <c r="I67" s="102" t="e">
        <f t="shared" si="16"/>
        <v>#N/A</v>
      </c>
      <c r="L67" s="107" t="e">
        <f t="shared" si="12"/>
        <v>#N/A</v>
      </c>
    </row>
    <row r="68" spans="2:12" x14ac:dyDescent="0.3">
      <c r="B68" s="65" t="s">
        <v>483</v>
      </c>
      <c r="C68" s="40" t="e">
        <f>VLOOKUP(B68,PPTO!$C$7:$H$59,2,0)</f>
        <v>#N/A</v>
      </c>
      <c r="D68" s="41" t="e">
        <f>VLOOKUP(B68,PPTO!$C$7:$H$59,3,0)</f>
        <v>#N/A</v>
      </c>
      <c r="E68" s="66" t="e">
        <f>VLOOKUP(B68,PPTO!$C$7:$H$59,4,0)</f>
        <v>#N/A</v>
      </c>
      <c r="F68" s="66" t="e">
        <f>ROUND(VLOOKUP(B68,APUS!$J$10:$Z$1486,8,0),2)</f>
        <v>#N/A</v>
      </c>
      <c r="G68" s="103">
        <v>2</v>
      </c>
      <c r="H68" s="103" t="e">
        <f t="shared" si="15"/>
        <v>#N/A</v>
      </c>
      <c r="I68" s="102" t="e">
        <f t="shared" si="16"/>
        <v>#N/A</v>
      </c>
      <c r="L68" s="107" t="e">
        <f t="shared" si="12"/>
        <v>#N/A</v>
      </c>
    </row>
    <row r="69" spans="2:12" x14ac:dyDescent="0.3">
      <c r="B69" s="65" t="s">
        <v>484</v>
      </c>
      <c r="C69" s="40" t="e">
        <f>VLOOKUP(B69,PPTO!$C$7:$H$59,2,0)</f>
        <v>#N/A</v>
      </c>
      <c r="D69" s="41" t="e">
        <f>VLOOKUP(B69,PPTO!$C$7:$H$59,3,0)</f>
        <v>#N/A</v>
      </c>
      <c r="E69" s="66" t="e">
        <f>VLOOKUP(B69,PPTO!$C$7:$H$59,4,0)</f>
        <v>#N/A</v>
      </c>
      <c r="F69" s="66" t="e">
        <f>ROUND(VLOOKUP(B69,APUS!$J$10:$Z$1486,8,0),2)</f>
        <v>#N/A</v>
      </c>
      <c r="G69" s="103">
        <v>2</v>
      </c>
      <c r="H69" s="103" t="e">
        <f t="shared" si="15"/>
        <v>#N/A</v>
      </c>
      <c r="I69" s="102" t="e">
        <f t="shared" si="16"/>
        <v>#N/A</v>
      </c>
      <c r="L69" s="107" t="e">
        <f t="shared" si="12"/>
        <v>#N/A</v>
      </c>
    </row>
    <row r="70" spans="2:12" x14ac:dyDescent="0.3">
      <c r="B70" s="65" t="s">
        <v>485</v>
      </c>
      <c r="C70" s="40" t="e">
        <f>VLOOKUP(B70,PPTO!$C$7:$H$59,2,0)</f>
        <v>#N/A</v>
      </c>
      <c r="D70" s="41" t="e">
        <f>VLOOKUP(B70,PPTO!$C$7:$H$59,3,0)</f>
        <v>#N/A</v>
      </c>
      <c r="E70" s="66" t="e">
        <f>VLOOKUP(B70,PPTO!$C$7:$H$59,4,0)</f>
        <v>#N/A</v>
      </c>
      <c r="F70" s="66" t="e">
        <f>ROUND(VLOOKUP(B70,APUS!$J$10:$Z$1486,8,0),2)</f>
        <v>#N/A</v>
      </c>
      <c r="G70" s="103">
        <v>2</v>
      </c>
      <c r="H70" s="103" t="e">
        <f t="shared" si="15"/>
        <v>#N/A</v>
      </c>
      <c r="I70" s="102" t="e">
        <f t="shared" si="16"/>
        <v>#N/A</v>
      </c>
      <c r="L70" s="107" t="e">
        <f t="shared" si="12"/>
        <v>#N/A</v>
      </c>
    </row>
    <row r="71" spans="2:12" x14ac:dyDescent="0.3">
      <c r="B71" s="65" t="s">
        <v>486</v>
      </c>
      <c r="C71" s="40" t="e">
        <f>VLOOKUP(B71,PPTO!$C$7:$H$59,2,0)</f>
        <v>#N/A</v>
      </c>
      <c r="D71" s="41" t="e">
        <f>VLOOKUP(B71,PPTO!$C$7:$H$59,3,0)</f>
        <v>#N/A</v>
      </c>
      <c r="E71" s="66" t="e">
        <f>VLOOKUP(B71,PPTO!$C$7:$H$59,4,0)</f>
        <v>#N/A</v>
      </c>
      <c r="F71" s="66" t="e">
        <f>ROUND(VLOOKUP(B71,APUS!$J$10:$Z$1486,8,0),2)</f>
        <v>#N/A</v>
      </c>
      <c r="G71" s="103">
        <v>2</v>
      </c>
      <c r="H71" s="103" t="e">
        <f t="shared" si="15"/>
        <v>#N/A</v>
      </c>
      <c r="I71" s="102" t="e">
        <f t="shared" si="16"/>
        <v>#N/A</v>
      </c>
      <c r="L71" s="107" t="e">
        <f t="shared" si="12"/>
        <v>#N/A</v>
      </c>
    </row>
    <row r="72" spans="2:12" x14ac:dyDescent="0.3">
      <c r="B72" s="65" t="s">
        <v>487</v>
      </c>
      <c r="C72" s="40" t="e">
        <f>VLOOKUP(B72,PPTO!$C$7:$H$59,2,0)</f>
        <v>#N/A</v>
      </c>
      <c r="D72" s="41" t="e">
        <f>VLOOKUP(B72,PPTO!$C$7:$H$59,3,0)</f>
        <v>#N/A</v>
      </c>
      <c r="E72" s="66" t="e">
        <f>VLOOKUP(B72,PPTO!$C$7:$H$59,4,0)</f>
        <v>#N/A</v>
      </c>
      <c r="F72" s="66" t="e">
        <f>ROUND(VLOOKUP(B72,APUS!$J$10:$Z$1486,8,0),2)</f>
        <v>#N/A</v>
      </c>
      <c r="G72" s="103">
        <v>2</v>
      </c>
      <c r="H72" s="103" t="e">
        <f t="shared" si="15"/>
        <v>#N/A</v>
      </c>
      <c r="I72" s="102" t="e">
        <f t="shared" si="16"/>
        <v>#N/A</v>
      </c>
      <c r="L72" s="107" t="e">
        <f t="shared" si="12"/>
        <v>#N/A</v>
      </c>
    </row>
    <row r="73" spans="2:12" x14ac:dyDescent="0.3">
      <c r="B73" s="65" t="s">
        <v>542</v>
      </c>
      <c r="C73" s="40" t="e">
        <f>VLOOKUP(B73,PPTO!$C$7:$H$59,2,0)</f>
        <v>#N/A</v>
      </c>
      <c r="D73" s="41" t="e">
        <f>VLOOKUP(B73,PPTO!$C$7:$H$59,3,0)</f>
        <v>#N/A</v>
      </c>
      <c r="E73" s="66" t="e">
        <f>VLOOKUP(B73,PPTO!$C$7:$H$59,4,0)</f>
        <v>#N/A</v>
      </c>
      <c r="F73" s="66" t="e">
        <f>ROUND(VLOOKUP(B73,APUS!$J$10:$Z$1486,8,0),2)</f>
        <v>#N/A</v>
      </c>
      <c r="G73" s="103">
        <v>2</v>
      </c>
      <c r="H73" s="103" t="e">
        <f t="shared" si="15"/>
        <v>#N/A</v>
      </c>
      <c r="I73" s="102" t="e">
        <f t="shared" si="16"/>
        <v>#N/A</v>
      </c>
      <c r="L73" s="107" t="e">
        <f t="shared" si="12"/>
        <v>#N/A</v>
      </c>
    </row>
    <row r="74" spans="2:12" x14ac:dyDescent="0.3">
      <c r="B74" s="65" t="s">
        <v>543</v>
      </c>
      <c r="C74" s="40" t="e">
        <f>VLOOKUP(B74,PPTO!$C$7:$H$59,2,0)</f>
        <v>#N/A</v>
      </c>
      <c r="D74" s="41" t="e">
        <f>VLOOKUP(B74,PPTO!$C$7:$H$59,3,0)</f>
        <v>#N/A</v>
      </c>
      <c r="E74" s="66" t="e">
        <f>VLOOKUP(B74,PPTO!$C$7:$H$59,4,0)</f>
        <v>#N/A</v>
      </c>
      <c r="F74" s="66" t="e">
        <f>ROUND(VLOOKUP(B74,APUS!$J$10:$Z$1486,8,0),2)</f>
        <v>#N/A</v>
      </c>
      <c r="G74" s="103">
        <v>2</v>
      </c>
      <c r="H74" s="103" t="e">
        <f t="shared" si="15"/>
        <v>#N/A</v>
      </c>
      <c r="I74" s="102" t="e">
        <f t="shared" si="16"/>
        <v>#N/A</v>
      </c>
      <c r="L74" s="107" t="e">
        <f t="shared" si="12"/>
        <v>#N/A</v>
      </c>
    </row>
    <row r="75" spans="2:12" x14ac:dyDescent="0.3">
      <c r="B75" s="65" t="s">
        <v>544</v>
      </c>
      <c r="C75" s="40" t="e">
        <f>VLOOKUP(B75,PPTO!$C$7:$H$59,2,0)</f>
        <v>#N/A</v>
      </c>
      <c r="D75" s="41" t="e">
        <f>VLOOKUP(B75,PPTO!$C$7:$H$59,3,0)</f>
        <v>#N/A</v>
      </c>
      <c r="E75" s="66" t="e">
        <f>VLOOKUP(B75,PPTO!$C$7:$H$59,4,0)</f>
        <v>#N/A</v>
      </c>
      <c r="F75" s="66" t="e">
        <f>ROUND(VLOOKUP(B75,APUS!$J$10:$Z$1486,8,0),2)</f>
        <v>#N/A</v>
      </c>
      <c r="G75" s="103">
        <v>2</v>
      </c>
      <c r="H75" s="103" t="e">
        <f t="shared" si="15"/>
        <v>#N/A</v>
      </c>
      <c r="I75" s="102" t="e">
        <f t="shared" si="16"/>
        <v>#N/A</v>
      </c>
      <c r="L75" s="107" t="e">
        <f t="shared" si="12"/>
        <v>#N/A</v>
      </c>
    </row>
    <row r="76" spans="2:12" x14ac:dyDescent="0.3">
      <c r="B76" s="65" t="s">
        <v>545</v>
      </c>
      <c r="C76" s="130" t="e">
        <f>VLOOKUP(B76,PPTO!$C$7:$H$59,2,0)</f>
        <v>#N/A</v>
      </c>
      <c r="D76" s="41" t="e">
        <f>VLOOKUP(B76,PPTO!$C$7:$H$59,3,0)</f>
        <v>#N/A</v>
      </c>
      <c r="E76" s="66" t="e">
        <f>VLOOKUP(B76,PPTO!$C$7:$H$59,4,0)</f>
        <v>#N/A</v>
      </c>
      <c r="F76" s="66" t="e">
        <f>ROUND(VLOOKUP(B76,APUS!$J$10:$Z$1486,8,0),2)</f>
        <v>#N/A</v>
      </c>
      <c r="G76" s="103">
        <v>3</v>
      </c>
      <c r="H76" s="103">
        <v>15</v>
      </c>
      <c r="I76" s="102"/>
      <c r="L76" s="107" t="e">
        <f t="shared" si="12"/>
        <v>#N/A</v>
      </c>
    </row>
  </sheetData>
  <mergeCells count="13">
    <mergeCell ref="C46:I46"/>
    <mergeCell ref="C55:I55"/>
    <mergeCell ref="C39:I39"/>
    <mergeCell ref="B3:B4"/>
    <mergeCell ref="C3:C4"/>
    <mergeCell ref="D3:D4"/>
    <mergeCell ref="E3:E4"/>
    <mergeCell ref="H3:I3"/>
    <mergeCell ref="C7:I7"/>
    <mergeCell ref="F3:G3"/>
    <mergeCell ref="B6:I6"/>
    <mergeCell ref="C17:I17"/>
    <mergeCell ref="C24:I24"/>
  </mergeCells>
  <phoneticPr fontId="2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1472-E836-4081-9DD1-516CE5C7147B}">
  <sheetPr>
    <pageSetUpPr fitToPage="1"/>
  </sheetPr>
  <dimension ref="C2:V114"/>
  <sheetViews>
    <sheetView workbookViewId="0"/>
  </sheetViews>
  <sheetFormatPr baseColWidth="10" defaultColWidth="11.44140625" defaultRowHeight="14.4" x14ac:dyDescent="0.3"/>
  <cols>
    <col min="1" max="1" width="1.6640625" style="37" customWidth="1"/>
    <col min="2" max="2" width="3.109375" style="37" customWidth="1"/>
    <col min="3" max="3" width="10" style="37" bestFit="1" customWidth="1"/>
    <col min="4" max="4" width="64.33203125" style="37" customWidth="1"/>
    <col min="5" max="5" width="5.5546875" style="37" bestFit="1" customWidth="1"/>
    <col min="6" max="6" width="10.109375" style="37" bestFit="1" customWidth="1"/>
    <col min="7" max="7" width="18.5546875" style="37" customWidth="1"/>
    <col min="8" max="8" width="23" style="37" bestFit="1" customWidth="1"/>
    <col min="9" max="9" width="2.88671875" style="37" customWidth="1"/>
    <col min="10" max="10" width="4.5546875" style="37" customWidth="1"/>
    <col min="11" max="11" width="26.5546875" style="37" bestFit="1" customWidth="1"/>
    <col min="12" max="12" width="23" style="38" bestFit="1" customWidth="1"/>
    <col min="13" max="13" width="20.5546875" style="37" bestFit="1" customWidth="1"/>
    <col min="14" max="15" width="19.44140625" style="37" customWidth="1"/>
    <col min="16" max="16" width="25.88671875" style="37" customWidth="1"/>
    <col min="17" max="17" width="19.109375" style="37" customWidth="1"/>
    <col min="18" max="18" width="19.5546875" style="37" customWidth="1"/>
    <col min="19" max="19" width="21.6640625" style="37" customWidth="1"/>
    <col min="20" max="20" width="3.33203125" style="37" customWidth="1"/>
    <col min="21" max="21" width="12.33203125" style="39" customWidth="1"/>
    <col min="22" max="22" width="15.33203125" style="37" customWidth="1"/>
    <col min="23" max="16384" width="11.44140625" style="37"/>
  </cols>
  <sheetData>
    <row r="2" spans="3:21" ht="15" thickBot="1" x14ac:dyDescent="0.35">
      <c r="C2" s="3"/>
      <c r="D2" s="4"/>
      <c r="E2" s="3"/>
      <c r="F2" s="5"/>
      <c r="G2" s="5"/>
      <c r="H2" s="6"/>
      <c r="I2" s="5"/>
      <c r="J2" s="5"/>
      <c r="K2" s="3"/>
      <c r="L2" s="7"/>
      <c r="M2" s="8"/>
      <c r="N2" s="5"/>
      <c r="O2" s="9"/>
      <c r="P2" s="6" t="s">
        <v>0</v>
      </c>
      <c r="Q2" s="6" t="s">
        <v>1</v>
      </c>
      <c r="R2" s="5"/>
      <c r="S2" s="10" t="s">
        <v>1</v>
      </c>
      <c r="T2" s="5"/>
    </row>
    <row r="3" spans="3:21" ht="62.25" customHeight="1" x14ac:dyDescent="0.3">
      <c r="C3" s="670" t="s">
        <v>2</v>
      </c>
      <c r="D3" s="671"/>
      <c r="E3" s="671"/>
      <c r="F3" s="671"/>
      <c r="G3" s="672"/>
      <c r="H3" s="676"/>
      <c r="I3" s="5"/>
      <c r="J3" s="5"/>
      <c r="M3" s="8"/>
      <c r="N3" s="6"/>
      <c r="O3" s="9"/>
      <c r="P3" s="6" t="s">
        <v>3</v>
      </c>
      <c r="Q3" s="11">
        <v>0</v>
      </c>
      <c r="R3" s="5"/>
      <c r="S3" s="10" t="s">
        <v>4</v>
      </c>
      <c r="T3" s="5"/>
    </row>
    <row r="4" spans="3:21" ht="35.25" customHeight="1" x14ac:dyDescent="0.3">
      <c r="C4" s="57" t="s">
        <v>27</v>
      </c>
      <c r="D4" s="673" t="str">
        <f>PRESENTACION!A13</f>
        <v>CONSTRUCCIÓN DE PAVIMENTO EN PIEDRA LABOR Y OPTIMIZACIÓN DE LA RED DE ALCANTARILLADO SANITARIO CALLE 5 ENTRE CARRERA 3 Y 4 DEL CASCO URBANO DEL MUNICIPIO DE PINCHOTE, DEPARTAMENTO DE SANTANDER</v>
      </c>
      <c r="E4" s="674"/>
      <c r="F4" s="674"/>
      <c r="G4" s="675"/>
      <c r="H4" s="677"/>
      <c r="I4" s="5"/>
      <c r="J4" s="5"/>
      <c r="M4" s="8"/>
      <c r="N4" s="12"/>
      <c r="O4" s="13"/>
      <c r="P4" s="14"/>
      <c r="Q4" s="15"/>
      <c r="R4" s="5"/>
      <c r="S4" s="5"/>
      <c r="T4" s="5"/>
    </row>
    <row r="5" spans="3:21" ht="15.75" customHeight="1" thickBot="1" x14ac:dyDescent="0.35">
      <c r="C5" s="680" t="str">
        <f>CONCATENATE(INFORMACION!A5,INFORMACION!A6)</f>
        <v>LOCALIZACIÓN:PINCHOTE, SANTANDER</v>
      </c>
      <c r="D5" s="681"/>
      <c r="E5" s="681"/>
      <c r="F5" s="681" t="s">
        <v>31</v>
      </c>
      <c r="G5" s="681"/>
      <c r="H5" s="31" t="str">
        <f>PRESENTACION!A43</f>
        <v>ABRIL DE 2026</v>
      </c>
      <c r="I5" s="5"/>
      <c r="J5" s="5"/>
      <c r="M5" s="8"/>
      <c r="N5" s="12"/>
      <c r="O5" s="13"/>
      <c r="P5" s="14"/>
      <c r="Q5" s="15"/>
      <c r="R5" s="5"/>
      <c r="S5" s="5"/>
      <c r="T5" s="5"/>
    </row>
    <row r="6" spans="3:21" ht="10.5" customHeight="1" thickBot="1" x14ac:dyDescent="0.35">
      <c r="C6" s="3"/>
      <c r="D6" s="16"/>
      <c r="E6" s="3"/>
      <c r="F6" s="3"/>
      <c r="G6" s="12"/>
      <c r="H6" s="15"/>
      <c r="I6" s="5"/>
      <c r="J6" s="5"/>
      <c r="K6" s="3"/>
      <c r="L6" s="7"/>
      <c r="M6" s="17"/>
      <c r="N6" s="12"/>
      <c r="O6" s="13"/>
      <c r="P6" s="14"/>
      <c r="Q6" s="15"/>
      <c r="R6" s="5"/>
      <c r="S6" s="2"/>
      <c r="T6" s="2"/>
    </row>
    <row r="7" spans="3:21" ht="18.75" customHeight="1" thickBot="1" x14ac:dyDescent="0.35">
      <c r="C7" s="58" t="s">
        <v>5</v>
      </c>
      <c r="D7" s="59" t="s">
        <v>26</v>
      </c>
      <c r="E7" s="59" t="s">
        <v>6</v>
      </c>
      <c r="F7" s="60" t="s">
        <v>7</v>
      </c>
      <c r="G7" s="59" t="s">
        <v>8</v>
      </c>
      <c r="H7" s="61" t="s">
        <v>9</v>
      </c>
      <c r="I7" s="5"/>
      <c r="J7" s="5"/>
      <c r="K7" s="68" t="s">
        <v>88</v>
      </c>
      <c r="L7" s="69" t="s">
        <v>89</v>
      </c>
      <c r="M7" s="70" t="s">
        <v>10</v>
      </c>
      <c r="N7" s="70" t="s">
        <v>11</v>
      </c>
      <c r="O7" s="70" t="s">
        <v>12</v>
      </c>
      <c r="P7" s="70" t="s">
        <v>13</v>
      </c>
      <c r="Q7" s="70" t="s">
        <v>14</v>
      </c>
      <c r="R7" s="70" t="s">
        <v>15</v>
      </c>
      <c r="S7" s="71" t="s">
        <v>16</v>
      </c>
      <c r="T7" s="5"/>
      <c r="U7" s="12"/>
    </row>
    <row r="8" spans="3:21" ht="15" customHeight="1" x14ac:dyDescent="0.3">
      <c r="C8" s="16"/>
      <c r="D8" s="12"/>
      <c r="E8" s="12"/>
      <c r="F8" s="51"/>
      <c r="G8" s="12"/>
      <c r="H8" s="14"/>
      <c r="I8" s="5"/>
      <c r="J8" s="5"/>
      <c r="K8" s="12"/>
      <c r="L8" s="18"/>
      <c r="M8" s="5"/>
      <c r="N8" s="5"/>
      <c r="O8" s="5"/>
      <c r="P8" s="5"/>
      <c r="Q8" s="5"/>
      <c r="R8" s="5"/>
      <c r="S8" s="19"/>
      <c r="T8" s="5"/>
      <c r="U8" s="12"/>
    </row>
    <row r="9" spans="3:21" x14ac:dyDescent="0.3">
      <c r="C9" s="42" t="s">
        <v>28</v>
      </c>
      <c r="D9" s="656" t="str">
        <f>VLOOKUP(C9,PPTO!$C$7:$H$59,2,0)</f>
        <v>COMPONENTE  ALCANTARILLADO</v>
      </c>
      <c r="E9" s="657"/>
      <c r="F9" s="657"/>
      <c r="G9" s="657"/>
      <c r="H9" s="658"/>
      <c r="I9" s="5"/>
      <c r="J9" s="5"/>
      <c r="K9" s="12"/>
      <c r="L9" s="18"/>
      <c r="M9" s="5"/>
      <c r="N9" s="5"/>
      <c r="O9" s="5"/>
      <c r="P9" s="5"/>
      <c r="Q9" s="5"/>
      <c r="R9" s="5"/>
      <c r="S9" s="19"/>
      <c r="T9" s="5"/>
      <c r="U9" s="12"/>
    </row>
    <row r="10" spans="3:21" ht="15" customHeight="1" x14ac:dyDescent="0.3">
      <c r="C10" s="43" t="s">
        <v>53</v>
      </c>
      <c r="D10" s="40" t="str">
        <f>VLOOKUP(C10,PPTO!$C$7:$H$59,2,0)</f>
        <v>Localización y Replanteo con equipos topográficos</v>
      </c>
      <c r="E10" s="41" t="str">
        <f>VLOOKUP(C10,PPTO!$C$7:$H$59,3,0)</f>
        <v>m2</v>
      </c>
      <c r="F10" s="66">
        <f>IFERROR(SUMIFS(PPTO!$F$7:$F$59,PPTO!$C$7:$C$59,ITEMS!C10),0)</f>
        <v>99.1</v>
      </c>
      <c r="G10" s="67">
        <f>VLOOKUP(C10,PPTO!$C$7:$H$59,5,0)</f>
        <v>4995</v>
      </c>
      <c r="H10" s="45">
        <f>+ROUND(F10*G10,$Q$3)</f>
        <v>495005</v>
      </c>
      <c r="I10" s="5"/>
      <c r="J10" s="5"/>
      <c r="K10" s="99">
        <f>ROUND(F10*M10,$Q$3)</f>
        <v>495005</v>
      </c>
      <c r="L10" s="99">
        <f>ROUND(F10*N10,$Q$3)</f>
        <v>658420</v>
      </c>
      <c r="M10" s="90">
        <f>ROUND(VLOOKUP(C10,APUS!$H$10:$V$1486,14,0),2)</f>
        <v>4995</v>
      </c>
      <c r="N10" s="90">
        <f>ROUND(VLOOKUP(C10,APUS!$I$10:$V$1486,13,0),2)</f>
        <v>6644</v>
      </c>
      <c r="O10" s="90">
        <f>ROUND(VLOOKUP(C10,APUS!$D$10:$Z$1486,23,0),2)</f>
        <v>18130</v>
      </c>
      <c r="P10" s="90">
        <f>ROUND(VLOOKUP(C10,APUS!$E$10:$Z$1486,22,0),2)</f>
        <v>114304</v>
      </c>
      <c r="Q10" s="90">
        <f>ROUND(VLOOKUP(C10,APUS!$F$10:$Z$1486,21,0),2)</f>
        <v>0</v>
      </c>
      <c r="R10" s="90">
        <f>ROUND(VLOOKUP(C10,APUS!$G$10:$Z$1486,20,0),2)</f>
        <v>362599</v>
      </c>
      <c r="S10" s="91">
        <f>ROUND(SUM(O10:R10),$Q$3)</f>
        <v>495033</v>
      </c>
      <c r="T10" s="5"/>
      <c r="U10" s="12"/>
    </row>
    <row r="11" spans="3:21" ht="15" customHeight="1" x14ac:dyDescent="0.3">
      <c r="C11" s="43" t="s">
        <v>48</v>
      </c>
      <c r="D11" s="40" t="str">
        <f>VLOOKUP(C11,PPTO!$C$7:$H$59,2,0)</f>
        <v>Desmonte de pavimento en piedra labor (Incluye retiro y disposición final)</v>
      </c>
      <c r="E11" s="41" t="str">
        <f>VLOOKUP(C11,PPTO!$C$7:$H$59,3,0)</f>
        <v>m2</v>
      </c>
      <c r="F11" s="66">
        <f>IFERROR(SUMIFS(PPTO!$F$7:$F$59,PPTO!$C$7:$C$59,ITEMS!C11),0)</f>
        <v>99.1</v>
      </c>
      <c r="G11" s="67">
        <f>VLOOKUP(C11,PPTO!$C$7:$H$59,5,0)</f>
        <v>26270</v>
      </c>
      <c r="H11" s="45">
        <f t="shared" ref="H11:H14" si="0">+ROUND(F11*G11,$Q$3)</f>
        <v>2603357</v>
      </c>
      <c r="I11" s="5"/>
      <c r="J11" s="5"/>
      <c r="K11" s="99">
        <f t="shared" ref="K11:K16" si="1">ROUND(F11*M11,$Q$3)</f>
        <v>2603357</v>
      </c>
      <c r="L11" s="99">
        <f t="shared" ref="L11:L16" si="2">ROUND(F11*N11,$Q$3)</f>
        <v>3462554</v>
      </c>
      <c r="M11" s="90">
        <f>ROUND(VLOOKUP(C11,APUS!$H$10:$V$1486,14,0),2)</f>
        <v>26270</v>
      </c>
      <c r="N11" s="90">
        <f>ROUND(VLOOKUP(C11,APUS!$I$10:$V$1486,13,0),2)</f>
        <v>34940</v>
      </c>
      <c r="O11" s="90">
        <f>ROUND(VLOOKUP(C11,APUS!$D$10:$Z$1486,23,0),2)</f>
        <v>841493</v>
      </c>
      <c r="P11" s="90">
        <f>ROUND(VLOOKUP(C11,APUS!$E$10:$Z$1486,22,0),2)</f>
        <v>0</v>
      </c>
      <c r="Q11" s="90">
        <f>ROUND(VLOOKUP(C11,APUS!$F$10:$Z$1486,21,0),2)</f>
        <v>67784</v>
      </c>
      <c r="R11" s="90">
        <f>ROUND(VLOOKUP(C11,APUS!$G$10:$Z$1486,20,0),2)</f>
        <v>1694075</v>
      </c>
      <c r="S11" s="91">
        <f t="shared" ref="S11:S16" si="3">ROUND(SUM(O11:R11),$Q$3)</f>
        <v>2603352</v>
      </c>
      <c r="T11" s="5"/>
      <c r="U11" s="12"/>
    </row>
    <row r="12" spans="3:21" ht="15" customHeight="1" x14ac:dyDescent="0.3">
      <c r="C12" s="43" t="s">
        <v>54</v>
      </c>
      <c r="D12" s="40" t="str">
        <f>VLOOKUP(C12,PPTO!$C$7:$H$59,2,0)</f>
        <v>Retiro de tubería existente de alcantarillado (Incluye retiro y disposición final)</v>
      </c>
      <c r="E12" s="41" t="str">
        <f>VLOOKUP(C12,PPTO!$C$7:$H$59,3,0)</f>
        <v>ml</v>
      </c>
      <c r="F12" s="66">
        <f>IFERROR(SUMIFS(PPTO!$F$7:$F$59,PPTO!$C$7:$C$59,ITEMS!C12),0)</f>
        <v>98.61</v>
      </c>
      <c r="G12" s="67">
        <f>VLOOKUP(C12,PPTO!$C$7:$H$59,5,0)</f>
        <v>23060</v>
      </c>
      <c r="H12" s="45">
        <f t="shared" si="0"/>
        <v>2273947</v>
      </c>
      <c r="I12" s="5"/>
      <c r="J12" s="5"/>
      <c r="K12" s="99">
        <f t="shared" si="1"/>
        <v>2273947</v>
      </c>
      <c r="L12" s="99">
        <f t="shared" si="2"/>
        <v>3024369</v>
      </c>
      <c r="M12" s="90">
        <f>ROUND(VLOOKUP(C12,APUS!$H$10:$V$1486,14,0),2)</f>
        <v>23060</v>
      </c>
      <c r="N12" s="90">
        <f>ROUND(VLOOKUP(C12,APUS!$I$10:$V$1486,13,0),2)</f>
        <v>30670</v>
      </c>
      <c r="O12" s="90">
        <f>ROUND(VLOOKUP(C12,APUS!$D$10:$Z$1486,23,0),2)</f>
        <v>554489</v>
      </c>
      <c r="P12" s="90">
        <f>ROUND(VLOOKUP(C12,APUS!$E$10:$Z$1486,22,0),2)</f>
        <v>0</v>
      </c>
      <c r="Q12" s="90">
        <f>ROUND(VLOOKUP(C12,APUS!$F$10:$Z$1486,21,0),2)</f>
        <v>33725</v>
      </c>
      <c r="R12" s="90">
        <f>ROUND(VLOOKUP(C12,APUS!$G$10:$Z$1486,20,0),2)</f>
        <v>1685699</v>
      </c>
      <c r="S12" s="91">
        <f t="shared" si="3"/>
        <v>2273913</v>
      </c>
      <c r="T12" s="5"/>
      <c r="U12" s="12"/>
    </row>
    <row r="13" spans="3:21" ht="15" customHeight="1" x14ac:dyDescent="0.3">
      <c r="C13" s="43" t="s">
        <v>55</v>
      </c>
      <c r="D13" s="40" t="e">
        <f>VLOOKUP(C13,PPTO!$C$7:$H$59,2,0)</f>
        <v>#N/A</v>
      </c>
      <c r="E13" s="41" t="e">
        <f>VLOOKUP(C13,PPTO!$C$7:$H$59,3,0)</f>
        <v>#N/A</v>
      </c>
      <c r="F13" s="66">
        <f>IFERROR(SUMIFS(PPTO!$F$7:$F$59,PPTO!$C$7:$C$59,ITEMS!C13),0)</f>
        <v>0</v>
      </c>
      <c r="G13" s="67" t="e">
        <f>VLOOKUP(C13,PPTO!$C$7:$H$59,5,0)</f>
        <v>#N/A</v>
      </c>
      <c r="H13" s="45" t="e">
        <f t="shared" si="0"/>
        <v>#N/A</v>
      </c>
      <c r="I13" s="5"/>
      <c r="J13" s="5"/>
      <c r="K13" s="99" t="e">
        <f t="shared" si="1"/>
        <v>#N/A</v>
      </c>
      <c r="L13" s="99" t="e">
        <f t="shared" si="2"/>
        <v>#N/A</v>
      </c>
      <c r="M13" s="90" t="e">
        <f>ROUND(VLOOKUP(C13,APUS!$H$10:$V$1486,14,0),2)</f>
        <v>#N/A</v>
      </c>
      <c r="N13" s="90" t="e">
        <f>ROUND(VLOOKUP(C13,APUS!$I$10:$V$1486,13,0),2)</f>
        <v>#N/A</v>
      </c>
      <c r="O13" s="90" t="e">
        <f>ROUND(VLOOKUP(C13,APUS!$D$10:$Z$1486,23,0),2)</f>
        <v>#N/A</v>
      </c>
      <c r="P13" s="90" t="e">
        <f>ROUND(VLOOKUP(C13,APUS!$E$10:$Z$1486,22,0),2)</f>
        <v>#N/A</v>
      </c>
      <c r="Q13" s="90" t="e">
        <f>ROUND(VLOOKUP(C13,APUS!$F$10:$Z$1486,21,0),2)</f>
        <v>#N/A</v>
      </c>
      <c r="R13" s="90" t="e">
        <f>ROUND(VLOOKUP(C13,APUS!$G$10:$Z$1486,20,0),2)</f>
        <v>#N/A</v>
      </c>
      <c r="S13" s="91" t="e">
        <f t="shared" si="3"/>
        <v>#N/A</v>
      </c>
      <c r="T13" s="5"/>
      <c r="U13" s="12"/>
    </row>
    <row r="14" spans="3:21" ht="15" customHeight="1" x14ac:dyDescent="0.3">
      <c r="C14" s="43" t="s">
        <v>56</v>
      </c>
      <c r="D14" s="40" t="e">
        <f>VLOOKUP(C14,PPTO!$C$7:$H$59,2,0)</f>
        <v>#N/A</v>
      </c>
      <c r="E14" s="41" t="e">
        <f>VLOOKUP(C14,PPTO!$C$7:$H$59,3,0)</f>
        <v>#N/A</v>
      </c>
      <c r="F14" s="66">
        <f>IFERROR(SUMIFS(PPTO!$F$7:$F$59,PPTO!$C$7:$C$59,ITEMS!C14),0)</f>
        <v>0</v>
      </c>
      <c r="G14" s="67" t="e">
        <f>VLOOKUP(C14,PPTO!$C$7:$H$59,5,0)</f>
        <v>#N/A</v>
      </c>
      <c r="H14" s="45" t="e">
        <f t="shared" si="0"/>
        <v>#N/A</v>
      </c>
      <c r="I14" s="5"/>
      <c r="J14" s="5"/>
      <c r="K14" s="99" t="e">
        <f t="shared" si="1"/>
        <v>#N/A</v>
      </c>
      <c r="L14" s="99" t="e">
        <f t="shared" si="2"/>
        <v>#N/A</v>
      </c>
      <c r="M14" s="90" t="e">
        <f>ROUND(VLOOKUP(C14,APUS!$H$10:$V$1486,14,0),2)</f>
        <v>#N/A</v>
      </c>
      <c r="N14" s="90" t="e">
        <f>ROUND(VLOOKUP(C14,APUS!$I$10:$V$1486,13,0),2)</f>
        <v>#N/A</v>
      </c>
      <c r="O14" s="90" t="e">
        <f>ROUND(VLOOKUP(C14,APUS!$D$10:$Z$1486,23,0),2)</f>
        <v>#N/A</v>
      </c>
      <c r="P14" s="90" t="e">
        <f>ROUND(VLOOKUP(C14,APUS!$E$10:$Z$1486,22,0),2)</f>
        <v>#N/A</v>
      </c>
      <c r="Q14" s="90" t="e">
        <f>ROUND(VLOOKUP(C14,APUS!$F$10:$Z$1486,21,0),2)</f>
        <v>#N/A</v>
      </c>
      <c r="R14" s="90" t="e">
        <f>ROUND(VLOOKUP(C14,APUS!$G$10:$Z$1486,20,0),2)</f>
        <v>#N/A</v>
      </c>
      <c r="S14" s="91" t="e">
        <f t="shared" si="3"/>
        <v>#N/A</v>
      </c>
      <c r="T14" s="5"/>
      <c r="U14" s="12"/>
    </row>
    <row r="15" spans="3:21" ht="15" customHeight="1" x14ac:dyDescent="0.3">
      <c r="C15" s="43" t="s">
        <v>58</v>
      </c>
      <c r="D15" s="40" t="e">
        <f>VLOOKUP(C15,PPTO!$C$7:$H$59,2,0)</f>
        <v>#N/A</v>
      </c>
      <c r="E15" s="41" t="e">
        <f>VLOOKUP(C15,PPTO!$C$7:$H$59,3,0)</f>
        <v>#N/A</v>
      </c>
      <c r="F15" s="66">
        <f>IFERROR(SUMIFS(PPTO!$F$7:$F$59,PPTO!$C$7:$C$59,ITEMS!C15),0)</f>
        <v>0</v>
      </c>
      <c r="G15" s="67" t="e">
        <f>VLOOKUP(C15,PPTO!$C$7:$H$59,5,0)</f>
        <v>#N/A</v>
      </c>
      <c r="H15" s="45" t="e">
        <f t="shared" ref="H15:H16" si="4">+ROUND(F15*G15,$Q$3)</f>
        <v>#N/A</v>
      </c>
      <c r="I15" s="5"/>
      <c r="J15" s="5"/>
      <c r="K15" s="99" t="e">
        <f t="shared" si="1"/>
        <v>#N/A</v>
      </c>
      <c r="L15" s="99" t="e">
        <f t="shared" si="2"/>
        <v>#N/A</v>
      </c>
      <c r="M15" s="90" t="e">
        <f>ROUND(VLOOKUP(C15,APUS!$H$10:$V$1486,14,0),2)</f>
        <v>#N/A</v>
      </c>
      <c r="N15" s="90" t="e">
        <f>ROUND(VLOOKUP(C15,APUS!$I$10:$V$1486,13,0),2)</f>
        <v>#N/A</v>
      </c>
      <c r="O15" s="90" t="e">
        <f>ROUND(VLOOKUP(C15,APUS!$D$10:$Z$1486,23,0),2)</f>
        <v>#N/A</v>
      </c>
      <c r="P15" s="90" t="e">
        <f>ROUND(VLOOKUP(C15,APUS!$E$10:$Z$1486,22,0),2)</f>
        <v>#N/A</v>
      </c>
      <c r="Q15" s="90" t="e">
        <f>ROUND(VLOOKUP(C15,APUS!$F$10:$Z$1486,21,0),2)</f>
        <v>#N/A</v>
      </c>
      <c r="R15" s="90" t="e">
        <f>ROUND(VLOOKUP(C15,APUS!$G$10:$Z$1486,20,0),2)</f>
        <v>#N/A</v>
      </c>
      <c r="S15" s="91" t="e">
        <f t="shared" si="3"/>
        <v>#N/A</v>
      </c>
      <c r="T15" s="5"/>
      <c r="U15" s="12"/>
    </row>
    <row r="16" spans="3:21" ht="15" customHeight="1" x14ac:dyDescent="0.3">
      <c r="C16" s="43" t="s">
        <v>59</v>
      </c>
      <c r="D16" s="40" t="e">
        <f>VLOOKUP(C16,PPTO!$C$7:$H$59,2,0)</f>
        <v>#N/A</v>
      </c>
      <c r="E16" s="41" t="e">
        <f>VLOOKUP(C16,PPTO!$C$7:$H$59,3,0)</f>
        <v>#N/A</v>
      </c>
      <c r="F16" s="66">
        <f>IFERROR(SUMIFS(PPTO!$F$7:$F$59,PPTO!$C$7:$C$59,ITEMS!C16),0)</f>
        <v>0</v>
      </c>
      <c r="G16" s="67" t="e">
        <f>VLOOKUP(C16,PPTO!$C$7:$H$59,5,0)</f>
        <v>#N/A</v>
      </c>
      <c r="H16" s="45" t="e">
        <f t="shared" si="4"/>
        <v>#N/A</v>
      </c>
      <c r="I16" s="5"/>
      <c r="J16" s="5"/>
      <c r="K16" s="99" t="e">
        <f t="shared" si="1"/>
        <v>#N/A</v>
      </c>
      <c r="L16" s="99" t="e">
        <f t="shared" si="2"/>
        <v>#N/A</v>
      </c>
      <c r="M16" s="90" t="e">
        <f>ROUND(VLOOKUP(C16,APUS!$H$10:$V$1486,14,0),2)</f>
        <v>#N/A</v>
      </c>
      <c r="N16" s="90" t="e">
        <f>ROUND(VLOOKUP(C16,APUS!$I$10:$V$1486,13,0),2)</f>
        <v>#N/A</v>
      </c>
      <c r="O16" s="90" t="e">
        <f>ROUND(VLOOKUP(C16,APUS!$D$10:$Z$1486,23,0),2)</f>
        <v>#N/A</v>
      </c>
      <c r="P16" s="90" t="e">
        <f>ROUND(VLOOKUP(C16,APUS!$E$10:$Z$1486,22,0),2)</f>
        <v>#N/A</v>
      </c>
      <c r="Q16" s="90" t="e">
        <f>ROUND(VLOOKUP(C16,APUS!$F$10:$Z$1486,21,0),2)</f>
        <v>#N/A</v>
      </c>
      <c r="R16" s="90" t="e">
        <f>ROUND(VLOOKUP(C16,APUS!$G$10:$Z$1486,20,0),2)</f>
        <v>#N/A</v>
      </c>
      <c r="S16" s="91" t="e">
        <f t="shared" si="3"/>
        <v>#N/A</v>
      </c>
      <c r="T16" s="5"/>
      <c r="U16" s="12"/>
    </row>
    <row r="17" spans="3:21" ht="15" customHeight="1" x14ac:dyDescent="0.3">
      <c r="C17" s="43" t="s">
        <v>60</v>
      </c>
      <c r="D17" s="40" t="e">
        <f>VLOOKUP(C17,PPTO!$C$7:$H$59,2,0)</f>
        <v>#N/A</v>
      </c>
      <c r="E17" s="41" t="e">
        <f>VLOOKUP(C17,PPTO!$C$7:$H$59,3,0)</f>
        <v>#N/A</v>
      </c>
      <c r="F17" s="66">
        <f>IFERROR(SUMIFS(PPTO!$F$7:$F$59,PPTO!$C$7:$C$59,ITEMS!C17),0)</f>
        <v>0</v>
      </c>
      <c r="G17" s="67" t="e">
        <f>VLOOKUP(C17,PPTO!$C$7:$H$59,5,0)</f>
        <v>#N/A</v>
      </c>
      <c r="H17" s="45" t="e">
        <f t="shared" ref="H17:H18" si="5">+ROUND(F17*G17,$Q$3)</f>
        <v>#N/A</v>
      </c>
      <c r="I17" s="5"/>
      <c r="J17" s="5"/>
      <c r="K17" s="99" t="e">
        <f t="shared" ref="K17:K18" si="6">ROUND(F17*M17,$Q$3)</f>
        <v>#N/A</v>
      </c>
      <c r="L17" s="99" t="e">
        <f t="shared" ref="L17:L18" si="7">ROUND(F17*N17,$Q$3)</f>
        <v>#N/A</v>
      </c>
      <c r="M17" s="90" t="e">
        <f>ROUND(VLOOKUP(C17,APUS!$H$10:$V$1486,14,0),2)</f>
        <v>#N/A</v>
      </c>
      <c r="N17" s="90" t="e">
        <f>ROUND(VLOOKUP(C17,APUS!$I$10:$V$1486,13,0),2)</f>
        <v>#N/A</v>
      </c>
      <c r="O17" s="90" t="e">
        <f>ROUND(VLOOKUP(C17,APUS!$D$10:$Z$1486,23,0),2)</f>
        <v>#N/A</v>
      </c>
      <c r="P17" s="90" t="e">
        <f>ROUND(VLOOKUP(C17,APUS!$E$10:$Z$1486,22,0),2)</f>
        <v>#N/A</v>
      </c>
      <c r="Q17" s="90" t="e">
        <f>ROUND(VLOOKUP(C17,APUS!$F$10:$Z$1486,21,0),2)</f>
        <v>#N/A</v>
      </c>
      <c r="R17" s="90" t="e">
        <f>ROUND(VLOOKUP(C17,APUS!$G$10:$Z$1486,20,0),2)</f>
        <v>#N/A</v>
      </c>
      <c r="S17" s="91" t="e">
        <f t="shared" ref="S17:S18" si="8">ROUND(SUM(O17:R17),$Q$3)</f>
        <v>#N/A</v>
      </c>
      <c r="T17" s="5"/>
      <c r="U17" s="12"/>
    </row>
    <row r="18" spans="3:21" ht="15" customHeight="1" x14ac:dyDescent="0.3">
      <c r="C18" s="43" t="s">
        <v>61</v>
      </c>
      <c r="D18" s="40" t="e">
        <f>VLOOKUP(C18,PPTO!$C$7:$H$59,2,0)</f>
        <v>#N/A</v>
      </c>
      <c r="E18" s="41" t="e">
        <f>VLOOKUP(C18,PPTO!$C$7:$H$59,3,0)</f>
        <v>#N/A</v>
      </c>
      <c r="F18" s="66">
        <f>IFERROR(SUMIFS(PPTO!$F$7:$F$59,PPTO!$C$7:$C$59,ITEMS!C18),0)</f>
        <v>0</v>
      </c>
      <c r="G18" s="67" t="e">
        <f>VLOOKUP(C18,PPTO!$C$7:$H$59,5,0)</f>
        <v>#N/A</v>
      </c>
      <c r="H18" s="45" t="e">
        <f t="shared" si="5"/>
        <v>#N/A</v>
      </c>
      <c r="I18" s="5"/>
      <c r="J18" s="5"/>
      <c r="K18" s="99" t="e">
        <f t="shared" si="6"/>
        <v>#N/A</v>
      </c>
      <c r="L18" s="99" t="e">
        <f t="shared" si="7"/>
        <v>#N/A</v>
      </c>
      <c r="M18" s="90" t="e">
        <f>ROUND(VLOOKUP(C18,APUS!$H$10:$V$1486,14,0),2)</f>
        <v>#N/A</v>
      </c>
      <c r="N18" s="90" t="e">
        <f>ROUND(VLOOKUP(C18,APUS!$I$10:$V$1486,13,0),2)</f>
        <v>#N/A</v>
      </c>
      <c r="O18" s="90" t="e">
        <f>ROUND(VLOOKUP(C18,APUS!$D$10:$Z$1486,23,0),2)</f>
        <v>#N/A</v>
      </c>
      <c r="P18" s="90" t="e">
        <f>ROUND(VLOOKUP(C18,APUS!$E$10:$Z$1486,22,0),2)</f>
        <v>#N/A</v>
      </c>
      <c r="Q18" s="90" t="e">
        <f>ROUND(VLOOKUP(C18,APUS!$F$10:$Z$1486,21,0),2)</f>
        <v>#N/A</v>
      </c>
      <c r="R18" s="90" t="e">
        <f>ROUND(VLOOKUP(C18,APUS!$G$10:$Z$1486,20,0),2)</f>
        <v>#N/A</v>
      </c>
      <c r="S18" s="91" t="e">
        <f t="shared" si="8"/>
        <v>#N/A</v>
      </c>
      <c r="T18" s="5"/>
      <c r="U18" s="12"/>
    </row>
    <row r="19" spans="3:21" ht="15" customHeight="1" x14ac:dyDescent="0.3">
      <c r="C19" s="43"/>
      <c r="D19" s="40"/>
      <c r="E19" s="41"/>
      <c r="F19" s="62"/>
      <c r="G19" s="62"/>
      <c r="H19" s="63"/>
      <c r="I19" s="5"/>
      <c r="J19" s="5"/>
      <c r="K19" s="12"/>
      <c r="L19" s="18"/>
      <c r="M19" s="5"/>
      <c r="N19" s="5"/>
      <c r="O19" s="5"/>
      <c r="P19" s="5"/>
      <c r="Q19" s="5"/>
      <c r="R19" s="5"/>
      <c r="S19" s="19"/>
      <c r="T19" s="5"/>
      <c r="U19" s="12"/>
    </row>
    <row r="20" spans="3:21" ht="15" customHeight="1" x14ac:dyDescent="0.3">
      <c r="C20" s="682" t="str">
        <f>+CONCATENATE("Subtotal ",D9)</f>
        <v>Subtotal COMPONENTE  ALCANTARILLADO</v>
      </c>
      <c r="D20" s="683"/>
      <c r="E20" s="683"/>
      <c r="F20" s="683"/>
      <c r="G20" s="683"/>
      <c r="H20" s="44" t="e">
        <f>+SUM(H9:H19)</f>
        <v>#N/A</v>
      </c>
      <c r="I20" s="5"/>
      <c r="J20" s="5"/>
      <c r="K20" s="50" t="e">
        <f t="shared" ref="K20:S20" si="9">+SUM(K9:K19)</f>
        <v>#N/A</v>
      </c>
      <c r="L20" s="50" t="e">
        <f t="shared" si="9"/>
        <v>#N/A</v>
      </c>
      <c r="M20" s="50" t="e">
        <f t="shared" si="9"/>
        <v>#N/A</v>
      </c>
      <c r="N20" s="50" t="e">
        <f t="shared" si="9"/>
        <v>#N/A</v>
      </c>
      <c r="O20" s="50" t="e">
        <f t="shared" si="9"/>
        <v>#N/A</v>
      </c>
      <c r="P20" s="50" t="e">
        <f t="shared" si="9"/>
        <v>#N/A</v>
      </c>
      <c r="Q20" s="50" t="e">
        <f t="shared" si="9"/>
        <v>#N/A</v>
      </c>
      <c r="R20" s="50" t="e">
        <f t="shared" si="9"/>
        <v>#N/A</v>
      </c>
      <c r="S20" s="50" t="e">
        <f t="shared" si="9"/>
        <v>#N/A</v>
      </c>
      <c r="T20" s="5"/>
      <c r="U20" s="12"/>
    </row>
    <row r="21" spans="3:21" x14ac:dyDescent="0.3">
      <c r="C21" s="42" t="s">
        <v>29</v>
      </c>
      <c r="D21" s="656" t="str">
        <f>VLOOKUP(C21,PPTO!$C$7:$H$59,2,0)</f>
        <v>COMPONENTE ACUEDUCTO</v>
      </c>
      <c r="E21" s="657"/>
      <c r="F21" s="657"/>
      <c r="G21" s="657"/>
      <c r="H21" s="658"/>
      <c r="I21" s="5"/>
      <c r="J21" s="5"/>
      <c r="K21" s="12"/>
      <c r="L21" s="18"/>
      <c r="M21" s="5"/>
      <c r="N21" s="5"/>
      <c r="O21" s="5"/>
      <c r="P21" s="5"/>
      <c r="Q21" s="5"/>
      <c r="R21" s="5"/>
      <c r="S21" s="19"/>
      <c r="T21" s="5"/>
      <c r="U21" s="12"/>
    </row>
    <row r="22" spans="3:21" ht="15" customHeight="1" x14ac:dyDescent="0.3">
      <c r="C22" s="43" t="s">
        <v>49</v>
      </c>
      <c r="D22" s="40" t="e">
        <f>VLOOKUP(C22,PPTO!$C$7:$H$59,2,0)</f>
        <v>#N/A</v>
      </c>
      <c r="E22" s="41" t="e">
        <f>VLOOKUP(C22,PPTO!$C$7:$H$59,3,0)</f>
        <v>#N/A</v>
      </c>
      <c r="F22" s="66">
        <f>IFERROR(SUMIFS(PPTO!$F$7:$F$59,PPTO!$C$7:$C$59,ITEMS!C22),0)</f>
        <v>0</v>
      </c>
      <c r="G22" s="67" t="e">
        <f>VLOOKUP(C22,PPTO!$C$7:$H$59,5,0)</f>
        <v>#N/A</v>
      </c>
      <c r="H22" s="45" t="e">
        <f t="shared" ref="H22:H26" si="10">+ROUND(F22*G22,$Q$3)</f>
        <v>#N/A</v>
      </c>
      <c r="I22" s="5"/>
      <c r="J22" s="5"/>
      <c r="K22" s="99" t="e">
        <f t="shared" ref="K22:K26" si="11">ROUND(F22*M22,$Q$3)</f>
        <v>#N/A</v>
      </c>
      <c r="L22" s="99" t="e">
        <f t="shared" ref="L22:L26" si="12">ROUND(F22*N22,$Q$3)</f>
        <v>#N/A</v>
      </c>
      <c r="M22" s="90" t="e">
        <f>ROUND(VLOOKUP(C22,APUS!$H$10:$V$1486,14,0),2)</f>
        <v>#N/A</v>
      </c>
      <c r="N22" s="90" t="e">
        <f>ROUND(VLOOKUP(C22,APUS!$I$10:$V$1486,13,0),2)</f>
        <v>#N/A</v>
      </c>
      <c r="O22" s="90" t="e">
        <f>ROUND(VLOOKUP(C22,APUS!$D$10:$Z$1486,23,0),2)</f>
        <v>#N/A</v>
      </c>
      <c r="P22" s="90" t="e">
        <f>ROUND(VLOOKUP(C22,APUS!$E$10:$Z$1486,22,0),2)</f>
        <v>#N/A</v>
      </c>
      <c r="Q22" s="90" t="e">
        <f>ROUND(VLOOKUP(C22,APUS!$F$10:$Z$1486,21,0),2)</f>
        <v>#N/A</v>
      </c>
      <c r="R22" s="90" t="e">
        <f>ROUND(VLOOKUP(C22,APUS!$G$10:$Z$1486,20,0),2)</f>
        <v>#N/A</v>
      </c>
      <c r="S22" s="91" t="e">
        <f t="shared" ref="S22:S26" si="13">ROUND(SUM(O22:R22),$Q$3)</f>
        <v>#N/A</v>
      </c>
      <c r="T22" s="5"/>
      <c r="U22" s="12"/>
    </row>
    <row r="23" spans="3:21" ht="15" customHeight="1" x14ac:dyDescent="0.3">
      <c r="C23" s="43" t="s">
        <v>51</v>
      </c>
      <c r="D23" s="40" t="e">
        <f>VLOOKUP(C23,PPTO!$C$7:$H$59,2,0)</f>
        <v>#N/A</v>
      </c>
      <c r="E23" s="41" t="e">
        <f>VLOOKUP(C23,PPTO!$C$7:$H$59,3,0)</f>
        <v>#N/A</v>
      </c>
      <c r="F23" s="66">
        <f>IFERROR(SUMIFS(PPTO!$F$7:$F$59,PPTO!$C$7:$C$59,ITEMS!C23),0)</f>
        <v>0</v>
      </c>
      <c r="G23" s="67" t="e">
        <f>VLOOKUP(C23,PPTO!$C$7:$H$59,5,0)</f>
        <v>#N/A</v>
      </c>
      <c r="H23" s="45" t="e">
        <f t="shared" si="10"/>
        <v>#N/A</v>
      </c>
      <c r="I23" s="5"/>
      <c r="J23" s="5"/>
      <c r="K23" s="99" t="e">
        <f t="shared" si="11"/>
        <v>#N/A</v>
      </c>
      <c r="L23" s="99" t="e">
        <f t="shared" si="12"/>
        <v>#N/A</v>
      </c>
      <c r="M23" s="90" t="e">
        <f>ROUND(VLOOKUP(C23,APUS!$H$10:$V$1486,14,0),2)</f>
        <v>#N/A</v>
      </c>
      <c r="N23" s="90" t="e">
        <f>ROUND(VLOOKUP(C23,APUS!$I$10:$V$1486,13,0),2)</f>
        <v>#N/A</v>
      </c>
      <c r="O23" s="90" t="e">
        <f>ROUND(VLOOKUP(C23,APUS!$D$10:$Z$1486,23,0),2)</f>
        <v>#N/A</v>
      </c>
      <c r="P23" s="90" t="e">
        <f>ROUND(VLOOKUP(C23,APUS!$E$10:$Z$1486,22,0),2)</f>
        <v>#N/A</v>
      </c>
      <c r="Q23" s="90" t="e">
        <f>ROUND(VLOOKUP(C23,APUS!$F$10:$Z$1486,21,0),2)</f>
        <v>#N/A</v>
      </c>
      <c r="R23" s="90" t="e">
        <f>ROUND(VLOOKUP(C23,APUS!$G$10:$Z$1486,20,0),2)</f>
        <v>#N/A</v>
      </c>
      <c r="S23" s="91" t="e">
        <f t="shared" si="13"/>
        <v>#N/A</v>
      </c>
      <c r="T23" s="5"/>
      <c r="U23" s="12"/>
    </row>
    <row r="24" spans="3:21" x14ac:dyDescent="0.3">
      <c r="C24" s="43" t="s">
        <v>50</v>
      </c>
      <c r="D24" s="40" t="e">
        <f>VLOOKUP(C24,PPTO!$C$7:$H$59,2,0)</f>
        <v>#N/A</v>
      </c>
      <c r="E24" s="41" t="e">
        <f>VLOOKUP(C24,PPTO!$C$7:$H$59,3,0)</f>
        <v>#N/A</v>
      </c>
      <c r="F24" s="66">
        <f>IFERROR(SUMIFS(PPTO!$F$7:$F$59,PPTO!$C$7:$C$59,ITEMS!C24),0)</f>
        <v>0</v>
      </c>
      <c r="G24" s="67" t="e">
        <f>VLOOKUP(C24,PPTO!$C$7:$H$59,5,0)</f>
        <v>#N/A</v>
      </c>
      <c r="H24" s="45" t="e">
        <f t="shared" si="10"/>
        <v>#N/A</v>
      </c>
      <c r="I24" s="5"/>
      <c r="J24" s="5"/>
      <c r="K24" s="99" t="e">
        <f t="shared" si="11"/>
        <v>#N/A</v>
      </c>
      <c r="L24" s="99" t="e">
        <f t="shared" si="12"/>
        <v>#N/A</v>
      </c>
      <c r="M24" s="90" t="e">
        <f>ROUND(VLOOKUP(C24,APUS!$H$10:$V$1486,14,0),2)</f>
        <v>#N/A</v>
      </c>
      <c r="N24" s="90" t="e">
        <f>ROUND(VLOOKUP(C24,APUS!$I$10:$V$1486,13,0),2)</f>
        <v>#N/A</v>
      </c>
      <c r="O24" s="90" t="e">
        <f>ROUND(VLOOKUP(C24,APUS!$D$10:$Z$1486,23,0),2)</f>
        <v>#N/A</v>
      </c>
      <c r="P24" s="90" t="e">
        <f>ROUND(VLOOKUP(C24,APUS!$E$10:$Z$1486,22,0),2)</f>
        <v>#N/A</v>
      </c>
      <c r="Q24" s="90" t="e">
        <f>ROUND(VLOOKUP(C24,APUS!$F$10:$Z$1486,21,0),2)</f>
        <v>#N/A</v>
      </c>
      <c r="R24" s="90" t="e">
        <f>ROUND(VLOOKUP(C24,APUS!$G$10:$Z$1486,20,0),2)</f>
        <v>#N/A</v>
      </c>
      <c r="S24" s="91" t="e">
        <f t="shared" si="13"/>
        <v>#N/A</v>
      </c>
      <c r="T24" s="5"/>
      <c r="U24" s="12"/>
    </row>
    <row r="25" spans="3:21" ht="15" customHeight="1" x14ac:dyDescent="0.3">
      <c r="C25" s="43" t="s">
        <v>52</v>
      </c>
      <c r="D25" s="40" t="e">
        <f>VLOOKUP(C25,PPTO!$C$7:$H$59,2,0)</f>
        <v>#N/A</v>
      </c>
      <c r="E25" s="41" t="e">
        <f>VLOOKUP(C25,PPTO!$C$7:$H$59,3,0)</f>
        <v>#N/A</v>
      </c>
      <c r="F25" s="66">
        <f>IFERROR(SUMIFS(PPTO!$F$7:$F$59,PPTO!$C$7:$C$59,ITEMS!C25),0)</f>
        <v>0</v>
      </c>
      <c r="G25" s="67" t="e">
        <f>VLOOKUP(C25,PPTO!$C$7:$H$59,5,0)</f>
        <v>#N/A</v>
      </c>
      <c r="H25" s="45" t="e">
        <f t="shared" ref="H25" si="14">+ROUND(F25*G25,$Q$3)</f>
        <v>#N/A</v>
      </c>
      <c r="I25" s="5"/>
      <c r="J25" s="5"/>
      <c r="K25" s="99" t="e">
        <f t="shared" si="11"/>
        <v>#N/A</v>
      </c>
      <c r="L25" s="99" t="e">
        <f t="shared" si="12"/>
        <v>#N/A</v>
      </c>
      <c r="M25" s="90" t="e">
        <f>ROUND(VLOOKUP(C25,APUS!$H$10:$V$1486,14,0),2)</f>
        <v>#N/A</v>
      </c>
      <c r="N25" s="90" t="e">
        <f>ROUND(VLOOKUP(C25,APUS!$I$10:$V$1486,13,0),2)</f>
        <v>#N/A</v>
      </c>
      <c r="O25" s="90" t="e">
        <f>ROUND(VLOOKUP(C25,APUS!$D$10:$Z$1486,23,0),2)</f>
        <v>#N/A</v>
      </c>
      <c r="P25" s="90" t="e">
        <f>ROUND(VLOOKUP(C25,APUS!$E$10:$Z$1486,22,0),2)</f>
        <v>#N/A</v>
      </c>
      <c r="Q25" s="90" t="e">
        <f>ROUND(VLOOKUP(C25,APUS!$F$10:$Z$1486,21,0),2)</f>
        <v>#N/A</v>
      </c>
      <c r="R25" s="90" t="e">
        <f>ROUND(VLOOKUP(C25,APUS!$G$10:$Z$1486,20,0),2)</f>
        <v>#N/A</v>
      </c>
      <c r="S25" s="91" t="e">
        <f t="shared" si="13"/>
        <v>#N/A</v>
      </c>
      <c r="T25" s="5"/>
      <c r="U25" s="12"/>
    </row>
    <row r="26" spans="3:21" ht="15" customHeight="1" x14ac:dyDescent="0.3">
      <c r="C26" s="43" t="s">
        <v>57</v>
      </c>
      <c r="D26" s="40" t="e">
        <f>VLOOKUP(C26,PPTO!$C$7:$H$59,2,0)</f>
        <v>#N/A</v>
      </c>
      <c r="E26" s="41" t="e">
        <f>VLOOKUP(C26,PPTO!$C$7:$H$59,3,0)</f>
        <v>#N/A</v>
      </c>
      <c r="F26" s="66">
        <f>IFERROR(SUMIFS(PPTO!$F$7:$F$59,PPTO!$C$7:$C$59,ITEMS!C26),0)</f>
        <v>0</v>
      </c>
      <c r="G26" s="67" t="e">
        <f>VLOOKUP(C26,PPTO!$C$7:$H$59,5,0)</f>
        <v>#N/A</v>
      </c>
      <c r="H26" s="45" t="e">
        <f t="shared" si="10"/>
        <v>#N/A</v>
      </c>
      <c r="I26" s="5"/>
      <c r="J26" s="5"/>
      <c r="K26" s="99" t="e">
        <f t="shared" si="11"/>
        <v>#N/A</v>
      </c>
      <c r="L26" s="99" t="e">
        <f t="shared" si="12"/>
        <v>#N/A</v>
      </c>
      <c r="M26" s="90" t="e">
        <f>ROUND(VLOOKUP(C26,APUS!$H$10:$V$1486,14,0),2)</f>
        <v>#N/A</v>
      </c>
      <c r="N26" s="90" t="e">
        <f>ROUND(VLOOKUP(C26,APUS!$I$10:$V$1486,13,0),2)</f>
        <v>#N/A</v>
      </c>
      <c r="O26" s="90" t="e">
        <f>ROUND(VLOOKUP(C26,APUS!$D$10:$Z$1486,23,0),2)</f>
        <v>#N/A</v>
      </c>
      <c r="P26" s="90" t="e">
        <f>ROUND(VLOOKUP(C26,APUS!$E$10:$Z$1486,22,0),2)</f>
        <v>#N/A</v>
      </c>
      <c r="Q26" s="90" t="e">
        <f>ROUND(VLOOKUP(C26,APUS!$F$10:$Z$1486,21,0),2)</f>
        <v>#N/A</v>
      </c>
      <c r="R26" s="90" t="e">
        <f>ROUND(VLOOKUP(C26,APUS!$G$10:$Z$1486,20,0),2)</f>
        <v>#N/A</v>
      </c>
      <c r="S26" s="91" t="e">
        <f t="shared" si="13"/>
        <v>#N/A</v>
      </c>
      <c r="T26" s="5"/>
      <c r="U26" s="12"/>
    </row>
    <row r="27" spans="3:21" ht="15" customHeight="1" x14ac:dyDescent="0.3">
      <c r="C27" s="43" t="s">
        <v>513</v>
      </c>
      <c r="D27" s="40" t="e">
        <f>VLOOKUP(C27,PPTO!$C$7:$H$59,2,0)</f>
        <v>#N/A</v>
      </c>
      <c r="E27" s="41" t="e">
        <f>VLOOKUP(C27,PPTO!$C$7:$H$59,3,0)</f>
        <v>#N/A</v>
      </c>
      <c r="F27" s="66">
        <f>IFERROR(SUMIFS(PPTO!$F$7:$F$59,PPTO!$C$7:$C$59,ITEMS!C27),0)</f>
        <v>0</v>
      </c>
      <c r="G27" s="67" t="e">
        <f>VLOOKUP(C27,PPTO!$C$7:$H$59,5,0)</f>
        <v>#N/A</v>
      </c>
      <c r="H27" s="45" t="e">
        <f t="shared" ref="H27" si="15">+ROUND(F27*G27,$Q$3)</f>
        <v>#N/A</v>
      </c>
      <c r="I27" s="5"/>
      <c r="J27" s="5"/>
      <c r="K27" s="99" t="e">
        <f t="shared" ref="K27" si="16">ROUND(F27*M27,$Q$3)</f>
        <v>#N/A</v>
      </c>
      <c r="L27" s="99" t="e">
        <f t="shared" ref="L27" si="17">ROUND(F27*N27,$Q$3)</f>
        <v>#N/A</v>
      </c>
      <c r="M27" s="90" t="e">
        <f>ROUND(VLOOKUP(C27,APUS!$H$10:$V$1486,14,0),2)</f>
        <v>#N/A</v>
      </c>
      <c r="N27" s="90" t="e">
        <f>ROUND(VLOOKUP(C27,APUS!$I$10:$V$1486,13,0),2)</f>
        <v>#N/A</v>
      </c>
      <c r="O27" s="90" t="e">
        <f>ROUND(VLOOKUP(C27,APUS!$D$10:$Z$1486,23,0),2)</f>
        <v>#N/A</v>
      </c>
      <c r="P27" s="90" t="e">
        <f>ROUND(VLOOKUP(C27,APUS!$E$10:$Z$1486,22,0),2)</f>
        <v>#N/A</v>
      </c>
      <c r="Q27" s="90" t="e">
        <f>ROUND(VLOOKUP(C27,APUS!$F$10:$Z$1486,21,0),2)</f>
        <v>#N/A</v>
      </c>
      <c r="R27" s="90" t="e">
        <f>ROUND(VLOOKUP(C27,APUS!$G$10:$Z$1486,20,0),2)</f>
        <v>#N/A</v>
      </c>
      <c r="S27" s="91" t="e">
        <f t="shared" ref="S27" si="18">ROUND(SUM(O27:R27),$Q$3)</f>
        <v>#N/A</v>
      </c>
      <c r="T27" s="5"/>
      <c r="U27" s="12"/>
    </row>
    <row r="28" spans="3:21" ht="15" customHeight="1" x14ac:dyDescent="0.3">
      <c r="C28" s="64"/>
      <c r="D28" s="62"/>
      <c r="E28" s="62"/>
      <c r="F28" s="62"/>
      <c r="G28" s="62"/>
      <c r="H28" s="63"/>
      <c r="I28" s="5"/>
      <c r="J28" s="5"/>
      <c r="K28" s="12"/>
      <c r="L28" s="18"/>
      <c r="M28" s="5"/>
      <c r="N28" s="5"/>
      <c r="O28" s="5"/>
      <c r="P28" s="5"/>
      <c r="Q28" s="5"/>
      <c r="R28" s="5"/>
      <c r="S28" s="19"/>
      <c r="T28" s="5"/>
      <c r="U28" s="12"/>
    </row>
    <row r="29" spans="3:21" x14ac:dyDescent="0.3">
      <c r="C29" s="682" t="str">
        <f>+CONCATENATE("Subtotal ",D21)</f>
        <v>Subtotal COMPONENTE ACUEDUCTO</v>
      </c>
      <c r="D29" s="683"/>
      <c r="E29" s="683"/>
      <c r="F29" s="683"/>
      <c r="G29" s="683"/>
      <c r="H29" s="44" t="e">
        <f>+SUM(H21:H28)</f>
        <v>#N/A</v>
      </c>
      <c r="I29" s="5"/>
      <c r="J29" s="5"/>
      <c r="K29" s="50" t="e">
        <f t="shared" ref="K29:L29" si="19">+SUM(K21:K28)</f>
        <v>#N/A</v>
      </c>
      <c r="L29" s="50" t="e">
        <f t="shared" si="19"/>
        <v>#N/A</v>
      </c>
      <c r="M29" s="50" t="e">
        <f t="shared" ref="M29" si="20">+SUM(M21:M28)</f>
        <v>#N/A</v>
      </c>
      <c r="N29" s="50" t="e">
        <f t="shared" ref="N29" si="21">+SUM(N21:N28)</f>
        <v>#N/A</v>
      </c>
      <c r="O29" s="50" t="e">
        <f t="shared" ref="O29" si="22">+SUM(O21:O28)</f>
        <v>#N/A</v>
      </c>
      <c r="P29" s="50" t="e">
        <f t="shared" ref="P29" si="23">+SUM(P21:P28)</f>
        <v>#N/A</v>
      </c>
      <c r="Q29" s="50" t="e">
        <f t="shared" ref="Q29" si="24">+SUM(Q21:Q28)</f>
        <v>#N/A</v>
      </c>
      <c r="R29" s="50" t="e">
        <f t="shared" ref="R29" si="25">+SUM(R21:R28)</f>
        <v>#N/A</v>
      </c>
      <c r="S29" s="50" t="e">
        <f t="shared" ref="S29" si="26">+SUM(S21:S28)</f>
        <v>#N/A</v>
      </c>
      <c r="T29" s="5"/>
      <c r="U29" s="12"/>
    </row>
    <row r="30" spans="3:21" x14ac:dyDescent="0.3">
      <c r="C30" s="42" t="s">
        <v>30</v>
      </c>
      <c r="D30" s="656" t="str">
        <f>VLOOKUP(C30,PPTO!$C$7:$H$59,2,0)</f>
        <v>ESTRUCTURA VIAL EN PIEDRA LABOR</v>
      </c>
      <c r="E30" s="657"/>
      <c r="F30" s="657"/>
      <c r="G30" s="657"/>
      <c r="H30" s="658"/>
      <c r="I30" s="5"/>
      <c r="J30" s="5"/>
      <c r="K30" s="12"/>
      <c r="L30" s="18"/>
      <c r="M30" s="5"/>
      <c r="N30" s="5"/>
      <c r="O30" s="5"/>
      <c r="P30" s="5"/>
      <c r="Q30" s="5"/>
      <c r="R30" s="5"/>
      <c r="S30" s="19"/>
      <c r="T30" s="5"/>
      <c r="U30" s="12"/>
    </row>
    <row r="31" spans="3:21" x14ac:dyDescent="0.3">
      <c r="C31" s="43" t="s">
        <v>62</v>
      </c>
      <c r="D31" s="40" t="e">
        <f>VLOOKUP(C31,PPTO!$C$7:$H$59,2,0)</f>
        <v>#N/A</v>
      </c>
      <c r="E31" s="41" t="e">
        <f>VLOOKUP(C31,PPTO!$C$7:$H$59,3,0)</f>
        <v>#N/A</v>
      </c>
      <c r="F31" s="66">
        <f>IFERROR(SUMIFS(PPTO!$F$7:$F$59,PPTO!$C$7:$C$59,ITEMS!C31),0)</f>
        <v>0</v>
      </c>
      <c r="G31" s="67" t="e">
        <f>VLOOKUP(C31,PPTO!$C$7:$H$59,5,0)</f>
        <v>#N/A</v>
      </c>
      <c r="H31" s="45" t="e">
        <f t="shared" ref="H31:H33" si="27">+ROUND(F31*G31,$Q$3)</f>
        <v>#N/A</v>
      </c>
      <c r="I31" s="5"/>
      <c r="J31" s="5"/>
      <c r="K31" s="99" t="e">
        <f t="shared" ref="K31:K44" si="28">ROUND(F31*M31,$Q$3)</f>
        <v>#N/A</v>
      </c>
      <c r="L31" s="99" t="e">
        <f t="shared" ref="L31:L44" si="29">ROUND(F31*N31,$Q$3)</f>
        <v>#N/A</v>
      </c>
      <c r="M31" s="90" t="e">
        <f>ROUND(VLOOKUP(C31,APUS!$H$10:$V$1486,14,0),2)</f>
        <v>#N/A</v>
      </c>
      <c r="N31" s="90" t="e">
        <f>ROUND(VLOOKUP(C31,APUS!$I$10:$V$1486,13,0),2)</f>
        <v>#N/A</v>
      </c>
      <c r="O31" s="90" t="e">
        <f>ROUND(VLOOKUP(C31,APUS!$D$10:$Z$1486,23,0),2)</f>
        <v>#N/A</v>
      </c>
      <c r="P31" s="90" t="e">
        <f>ROUND(VLOOKUP(C31,APUS!$E$10:$Z$1486,22,0),2)</f>
        <v>#N/A</v>
      </c>
      <c r="Q31" s="90" t="e">
        <f>ROUND(VLOOKUP(C31,APUS!$F$10:$Z$1486,21,0),2)</f>
        <v>#N/A</v>
      </c>
      <c r="R31" s="90" t="e">
        <f>ROUND(VLOOKUP(C31,APUS!$G$10:$Z$1486,20,0),2)</f>
        <v>#N/A</v>
      </c>
      <c r="S31" s="91" t="e">
        <f t="shared" ref="S31:S44" si="30">ROUND(SUM(O31:R31),$Q$3)</f>
        <v>#N/A</v>
      </c>
      <c r="T31" s="5"/>
      <c r="U31" s="12"/>
    </row>
    <row r="32" spans="3:21" ht="15" customHeight="1" x14ac:dyDescent="0.3">
      <c r="C32" s="43" t="s">
        <v>63</v>
      </c>
      <c r="D32" s="40" t="e">
        <f>VLOOKUP(C32,PPTO!$C$7:$H$59,2,0)</f>
        <v>#N/A</v>
      </c>
      <c r="E32" s="41" t="e">
        <f>VLOOKUP(C32,PPTO!$C$7:$H$59,3,0)</f>
        <v>#N/A</v>
      </c>
      <c r="F32" s="66">
        <f>IFERROR(SUMIFS(PPTO!$F$7:$F$59,PPTO!$C$7:$C$59,ITEMS!C32),0)</f>
        <v>0</v>
      </c>
      <c r="G32" s="67" t="e">
        <f>VLOOKUP(C32,PPTO!$C$7:$H$59,5,0)</f>
        <v>#N/A</v>
      </c>
      <c r="H32" s="45" t="e">
        <f t="shared" si="27"/>
        <v>#N/A</v>
      </c>
      <c r="I32" s="5"/>
      <c r="J32" s="5"/>
      <c r="K32" s="99" t="e">
        <f t="shared" si="28"/>
        <v>#N/A</v>
      </c>
      <c r="L32" s="99" t="e">
        <f t="shared" si="29"/>
        <v>#N/A</v>
      </c>
      <c r="M32" s="90" t="e">
        <f>ROUND(VLOOKUP(C32,APUS!$H$10:$V$1486,14,0),2)</f>
        <v>#N/A</v>
      </c>
      <c r="N32" s="90" t="e">
        <f>ROUND(VLOOKUP(C32,APUS!$I$10:$V$1486,13,0),2)</f>
        <v>#N/A</v>
      </c>
      <c r="O32" s="90" t="e">
        <f>ROUND(VLOOKUP(C32,APUS!$D$10:$Z$1486,23,0),2)</f>
        <v>#N/A</v>
      </c>
      <c r="P32" s="90" t="e">
        <f>ROUND(VLOOKUP(C32,APUS!$E$10:$Z$1486,22,0),2)</f>
        <v>#N/A</v>
      </c>
      <c r="Q32" s="90" t="e">
        <f>ROUND(VLOOKUP(C32,APUS!$F$10:$Z$1486,21,0),2)</f>
        <v>#N/A</v>
      </c>
      <c r="R32" s="90" t="e">
        <f>ROUND(VLOOKUP(C32,APUS!$G$10:$Z$1486,20,0),2)</f>
        <v>#N/A</v>
      </c>
      <c r="S32" s="91" t="e">
        <f t="shared" si="30"/>
        <v>#N/A</v>
      </c>
      <c r="T32" s="5"/>
      <c r="U32" s="12"/>
    </row>
    <row r="33" spans="3:21" ht="15" customHeight="1" x14ac:dyDescent="0.3">
      <c r="C33" s="43" t="s">
        <v>64</v>
      </c>
      <c r="D33" s="40" t="e">
        <f>VLOOKUP(C33,PPTO!$C$7:$H$59,2,0)</f>
        <v>#N/A</v>
      </c>
      <c r="E33" s="41" t="e">
        <f>VLOOKUP(C33,PPTO!$C$7:$H$59,3,0)</f>
        <v>#N/A</v>
      </c>
      <c r="F33" s="66">
        <f>IFERROR(SUMIFS(PPTO!$F$7:$F$59,PPTO!$C$7:$C$59,ITEMS!C33),0)</f>
        <v>0</v>
      </c>
      <c r="G33" s="67" t="e">
        <f>VLOOKUP(C33,PPTO!$C$7:$H$59,5,0)</f>
        <v>#N/A</v>
      </c>
      <c r="H33" s="45" t="e">
        <f t="shared" si="27"/>
        <v>#N/A</v>
      </c>
      <c r="I33" s="5"/>
      <c r="J33" s="5"/>
      <c r="K33" s="99" t="e">
        <f t="shared" si="28"/>
        <v>#N/A</v>
      </c>
      <c r="L33" s="99" t="e">
        <f t="shared" si="29"/>
        <v>#N/A</v>
      </c>
      <c r="M33" s="90" t="e">
        <f>ROUND(VLOOKUP(C33,APUS!$H$10:$V$1486,14,0),2)</f>
        <v>#N/A</v>
      </c>
      <c r="N33" s="90" t="e">
        <f>ROUND(VLOOKUP(C33,APUS!$I$10:$V$1486,13,0),2)</f>
        <v>#N/A</v>
      </c>
      <c r="O33" s="90" t="e">
        <f>ROUND(VLOOKUP(C33,APUS!$D$10:$Z$1486,23,0),2)</f>
        <v>#N/A</v>
      </c>
      <c r="P33" s="90" t="e">
        <f>ROUND(VLOOKUP(C33,APUS!$E$10:$Z$1486,22,0),2)</f>
        <v>#N/A</v>
      </c>
      <c r="Q33" s="90" t="e">
        <f>ROUND(VLOOKUP(C33,APUS!$F$10:$Z$1486,21,0),2)</f>
        <v>#N/A</v>
      </c>
      <c r="R33" s="90" t="e">
        <f>ROUND(VLOOKUP(C33,APUS!$G$10:$Z$1486,20,0),2)</f>
        <v>#N/A</v>
      </c>
      <c r="S33" s="91" t="e">
        <f t="shared" si="30"/>
        <v>#N/A</v>
      </c>
      <c r="T33" s="5"/>
      <c r="U33" s="12"/>
    </row>
    <row r="34" spans="3:21" ht="15" customHeight="1" x14ac:dyDescent="0.3">
      <c r="C34" s="43" t="s">
        <v>65</v>
      </c>
      <c r="D34" s="40" t="e">
        <f>VLOOKUP(C34,PPTO!$C$7:$H$59,2,0)</f>
        <v>#N/A</v>
      </c>
      <c r="E34" s="41" t="e">
        <f>VLOOKUP(C34,PPTO!$C$7:$H$59,3,0)</f>
        <v>#N/A</v>
      </c>
      <c r="F34" s="66">
        <f>IFERROR(SUMIFS(PPTO!$F$7:$F$59,PPTO!$C$7:$C$59,ITEMS!C34),0)</f>
        <v>0</v>
      </c>
      <c r="G34" s="67" t="e">
        <f>VLOOKUP(C34,PPTO!$C$7:$H$59,5,0)</f>
        <v>#N/A</v>
      </c>
      <c r="H34" s="45" t="e">
        <f t="shared" ref="H34:H39" si="31">+ROUND(F34*G34,$Q$3)</f>
        <v>#N/A</v>
      </c>
      <c r="I34" s="5"/>
      <c r="J34" s="5"/>
      <c r="K34" s="99" t="e">
        <f t="shared" si="28"/>
        <v>#N/A</v>
      </c>
      <c r="L34" s="99" t="e">
        <f t="shared" si="29"/>
        <v>#N/A</v>
      </c>
      <c r="M34" s="90" t="e">
        <f>ROUND(VLOOKUP(C34,APUS!$H$10:$V$1486,14,0),2)</f>
        <v>#N/A</v>
      </c>
      <c r="N34" s="90" t="e">
        <f>ROUND(VLOOKUP(C34,APUS!$I$10:$V$1486,13,0),2)</f>
        <v>#N/A</v>
      </c>
      <c r="O34" s="90" t="e">
        <f>ROUND(VLOOKUP(C34,APUS!$D$10:$Z$1486,23,0),2)</f>
        <v>#N/A</v>
      </c>
      <c r="P34" s="90" t="e">
        <f>ROUND(VLOOKUP(C34,APUS!$E$10:$Z$1486,22,0),2)</f>
        <v>#N/A</v>
      </c>
      <c r="Q34" s="90" t="e">
        <f>ROUND(VLOOKUP(C34,APUS!$F$10:$Z$1486,21,0),2)</f>
        <v>#N/A</v>
      </c>
      <c r="R34" s="90" t="e">
        <f>ROUND(VLOOKUP(C34,APUS!$G$10:$Z$1486,20,0),2)</f>
        <v>#N/A</v>
      </c>
      <c r="S34" s="91" t="e">
        <f t="shared" si="30"/>
        <v>#N/A</v>
      </c>
      <c r="T34" s="5"/>
      <c r="U34" s="12"/>
    </row>
    <row r="35" spans="3:21" ht="15" customHeight="1" x14ac:dyDescent="0.3">
      <c r="C35" s="43" t="s">
        <v>66</v>
      </c>
      <c r="D35" s="40" t="e">
        <f>VLOOKUP(C35,PPTO!$C$7:$H$59,2,0)</f>
        <v>#N/A</v>
      </c>
      <c r="E35" s="41" t="e">
        <f>VLOOKUP(C35,PPTO!$C$7:$H$59,3,0)</f>
        <v>#N/A</v>
      </c>
      <c r="F35" s="66">
        <f>IFERROR(SUMIFS(PPTO!$F$7:$F$59,PPTO!$C$7:$C$59,ITEMS!C35),0)</f>
        <v>0</v>
      </c>
      <c r="G35" s="67" t="e">
        <f>VLOOKUP(C35,PPTO!$C$7:$H$59,5,0)</f>
        <v>#N/A</v>
      </c>
      <c r="H35" s="45" t="e">
        <f t="shared" si="31"/>
        <v>#N/A</v>
      </c>
      <c r="I35" s="5"/>
      <c r="J35" s="5"/>
      <c r="K35" s="99">
        <f t="shared" si="28"/>
        <v>0</v>
      </c>
      <c r="L35" s="99">
        <f t="shared" si="29"/>
        <v>0</v>
      </c>
      <c r="M35" s="90">
        <f>ROUND(VLOOKUP(C35,APUS!$H$10:$V$1486,14,0),2)</f>
        <v>825784</v>
      </c>
      <c r="N35" s="90">
        <f>ROUND(VLOOKUP(C35,APUS!$I$10:$V$1486,13,0),2)</f>
        <v>1098293</v>
      </c>
      <c r="O35" s="90">
        <f>ROUND(VLOOKUP(C35,APUS!$D$10:$Z$1486,23,0),2)</f>
        <v>0</v>
      </c>
      <c r="P35" s="90">
        <f>ROUND(VLOOKUP(C35,APUS!$E$10:$Z$1486,22,0),2)</f>
        <v>0</v>
      </c>
      <c r="Q35" s="90">
        <f>ROUND(VLOOKUP(C35,APUS!$F$10:$Z$1486,21,0),2)</f>
        <v>0</v>
      </c>
      <c r="R35" s="90">
        <f>ROUND(VLOOKUP(C35,APUS!$G$10:$Z$1486,20,0),2)</f>
        <v>0</v>
      </c>
      <c r="S35" s="91">
        <f t="shared" si="30"/>
        <v>0</v>
      </c>
      <c r="T35" s="5"/>
      <c r="U35" s="12"/>
    </row>
    <row r="36" spans="3:21" ht="15" customHeight="1" x14ac:dyDescent="0.3">
      <c r="C36" s="43" t="s">
        <v>67</v>
      </c>
      <c r="D36" s="40" t="e">
        <f>VLOOKUP(C36,PPTO!$C$7:$H$59,2,0)</f>
        <v>#N/A</v>
      </c>
      <c r="E36" s="41" t="e">
        <f>VLOOKUP(C36,PPTO!$C$7:$H$59,3,0)</f>
        <v>#N/A</v>
      </c>
      <c r="F36" s="66">
        <f>IFERROR(SUMIFS(PPTO!$F$7:$F$59,PPTO!$C$7:$C$59,ITEMS!C36),0)</f>
        <v>0</v>
      </c>
      <c r="G36" s="67" t="e">
        <f>VLOOKUP(C36,PPTO!$C$7:$H$59,5,0)</f>
        <v>#N/A</v>
      </c>
      <c r="H36" s="45" t="e">
        <f t="shared" si="31"/>
        <v>#N/A</v>
      </c>
      <c r="I36" s="5"/>
      <c r="J36" s="5"/>
      <c r="K36" s="99">
        <f t="shared" si="28"/>
        <v>0</v>
      </c>
      <c r="L36" s="99">
        <f t="shared" si="29"/>
        <v>0</v>
      </c>
      <c r="M36" s="90">
        <f>ROUND(VLOOKUP(C36,APUS!$H$10:$V$1486,14,0),2)</f>
        <v>28814</v>
      </c>
      <c r="N36" s="90">
        <f>ROUND(VLOOKUP(C36,APUS!$I$10:$V$1486,13,0),2)</f>
        <v>38323</v>
      </c>
      <c r="O36" s="90">
        <f>ROUND(VLOOKUP(C36,APUS!$D$10:$Z$1486,23,0),2)</f>
        <v>0</v>
      </c>
      <c r="P36" s="90">
        <f>ROUND(VLOOKUP(C36,APUS!$E$10:$Z$1486,22,0),2)</f>
        <v>0</v>
      </c>
      <c r="Q36" s="90">
        <f>ROUND(VLOOKUP(C36,APUS!$F$10:$Z$1486,21,0),2)</f>
        <v>0</v>
      </c>
      <c r="R36" s="90">
        <f>ROUND(VLOOKUP(C36,APUS!$G$10:$Z$1486,20,0),2)</f>
        <v>0</v>
      </c>
      <c r="S36" s="91">
        <f t="shared" si="30"/>
        <v>0</v>
      </c>
      <c r="T36" s="5"/>
      <c r="U36" s="12"/>
    </row>
    <row r="37" spans="3:21" ht="15" customHeight="1" x14ac:dyDescent="0.3">
      <c r="C37" s="43" t="s">
        <v>68</v>
      </c>
      <c r="D37" s="40" t="e">
        <f>VLOOKUP(C37,PPTO!$C$7:$H$59,2,0)</f>
        <v>#N/A</v>
      </c>
      <c r="E37" s="41" t="e">
        <f>VLOOKUP(C37,PPTO!$C$7:$H$59,3,0)</f>
        <v>#N/A</v>
      </c>
      <c r="F37" s="66">
        <f>IFERROR(SUMIFS(PPTO!$F$7:$F$59,PPTO!$C$7:$C$59,ITEMS!C37),0)</f>
        <v>0</v>
      </c>
      <c r="G37" s="67" t="e">
        <f>VLOOKUP(C37,PPTO!$C$7:$H$59,5,0)</f>
        <v>#N/A</v>
      </c>
      <c r="H37" s="45" t="e">
        <f t="shared" si="31"/>
        <v>#N/A</v>
      </c>
      <c r="I37" s="5"/>
      <c r="J37" s="5"/>
      <c r="K37" s="99">
        <f t="shared" si="28"/>
        <v>0</v>
      </c>
      <c r="L37" s="99">
        <f t="shared" si="29"/>
        <v>0</v>
      </c>
      <c r="M37" s="90">
        <f>ROUND(VLOOKUP(C37,APUS!$H$10:$V$1486,14,0),2)</f>
        <v>228992</v>
      </c>
      <c r="N37" s="90">
        <f>ROUND(VLOOKUP(C37,APUS!$I$10:$V$1486,13,0),2)</f>
        <v>304560</v>
      </c>
      <c r="O37" s="90">
        <f>ROUND(VLOOKUP(C37,APUS!$D$10:$Z$1486,23,0),2)</f>
        <v>163751</v>
      </c>
      <c r="P37" s="90">
        <f>ROUND(VLOOKUP(C37,APUS!$E$10:$Z$1486,22,0),2)</f>
        <v>9236642</v>
      </c>
      <c r="Q37" s="90">
        <f>ROUND(VLOOKUP(C37,APUS!$F$10:$Z$1486,21,0),2)</f>
        <v>869505</v>
      </c>
      <c r="R37" s="90">
        <f>ROUND(VLOOKUP(C37,APUS!$G$10:$Z$1486,20,0),2)</f>
        <v>3275017</v>
      </c>
      <c r="S37" s="91">
        <f t="shared" si="30"/>
        <v>13544915</v>
      </c>
      <c r="T37" s="5"/>
      <c r="U37" s="12"/>
    </row>
    <row r="38" spans="3:21" ht="15" customHeight="1" x14ac:dyDescent="0.3">
      <c r="C38" s="43" t="s">
        <v>69</v>
      </c>
      <c r="D38" s="40" t="e">
        <f>VLOOKUP(C38,PPTO!$C$7:$H$59,2,0)</f>
        <v>#N/A</v>
      </c>
      <c r="E38" s="41" t="e">
        <f>VLOOKUP(C38,PPTO!$C$7:$H$59,3,0)</f>
        <v>#N/A</v>
      </c>
      <c r="F38" s="66">
        <f>IFERROR(SUMIFS(PPTO!$F$7:$F$59,PPTO!$C$7:$C$59,ITEMS!C38),0)</f>
        <v>0</v>
      </c>
      <c r="G38" s="67" t="e">
        <f>VLOOKUP(C38,PPTO!$C$7:$H$59,5,0)</f>
        <v>#N/A</v>
      </c>
      <c r="H38" s="45" t="e">
        <f t="shared" si="31"/>
        <v>#N/A</v>
      </c>
      <c r="I38" s="5"/>
      <c r="J38" s="5"/>
      <c r="K38" s="99">
        <f t="shared" si="28"/>
        <v>0</v>
      </c>
      <c r="L38" s="99">
        <f t="shared" si="29"/>
        <v>0</v>
      </c>
      <c r="M38" s="90">
        <f>ROUND(VLOOKUP(C38,APUS!$H$10:$V$1486,14,0),2)</f>
        <v>143721</v>
      </c>
      <c r="N38" s="90">
        <f>ROUND(VLOOKUP(C38,APUS!$I$10:$V$1486,13,0),2)</f>
        <v>191149</v>
      </c>
      <c r="O38" s="90">
        <f>ROUND(VLOOKUP(C38,APUS!$D$10:$Z$1486,23,0),2)</f>
        <v>218336</v>
      </c>
      <c r="P38" s="90">
        <f>ROUND(VLOOKUP(C38,APUS!$E$10:$Z$1486,22,0),2)</f>
        <v>7155866</v>
      </c>
      <c r="Q38" s="90">
        <f>ROUND(VLOOKUP(C38,APUS!$F$10:$Z$1486,21,0),2)</f>
        <v>1337700</v>
      </c>
      <c r="R38" s="90">
        <f>ROUND(VLOOKUP(C38,APUS!$G$10:$Z$1486,20,0),2)</f>
        <v>4366690</v>
      </c>
      <c r="S38" s="91">
        <f t="shared" si="30"/>
        <v>13078592</v>
      </c>
      <c r="T38" s="5"/>
      <c r="U38" s="12"/>
    </row>
    <row r="39" spans="3:21" ht="15" customHeight="1" x14ac:dyDescent="0.3">
      <c r="C39" s="43" t="s">
        <v>70</v>
      </c>
      <c r="D39" s="40" t="e">
        <f>VLOOKUP(C39,PPTO!$C$7:$H$59,2,0)</f>
        <v>#N/A</v>
      </c>
      <c r="E39" s="41" t="e">
        <f>VLOOKUP(C39,PPTO!$C$7:$H$59,3,0)</f>
        <v>#N/A</v>
      </c>
      <c r="F39" s="66">
        <f>IFERROR(SUMIFS(PPTO!$F$7:$F$59,PPTO!$C$7:$C$59,ITEMS!C39),0)</f>
        <v>0</v>
      </c>
      <c r="G39" s="67" t="e">
        <f>VLOOKUP(C39,PPTO!$C$7:$H$59,5,0)</f>
        <v>#N/A</v>
      </c>
      <c r="H39" s="45" t="e">
        <f t="shared" si="31"/>
        <v>#N/A</v>
      </c>
      <c r="I39" s="5"/>
      <c r="J39" s="5"/>
      <c r="K39" s="99" t="e">
        <f t="shared" si="28"/>
        <v>#N/A</v>
      </c>
      <c r="L39" s="99" t="e">
        <f t="shared" si="29"/>
        <v>#N/A</v>
      </c>
      <c r="M39" s="90" t="e">
        <f>ROUND(VLOOKUP(C39,APUS!$H$10:$V$1486,14,0),2)</f>
        <v>#N/A</v>
      </c>
      <c r="N39" s="90" t="e">
        <f>ROUND(VLOOKUP(C39,APUS!$I$10:$V$1486,13,0),2)</f>
        <v>#N/A</v>
      </c>
      <c r="O39" s="90" t="e">
        <f>ROUND(VLOOKUP(C39,APUS!$D$10:$Z$1486,23,0),2)</f>
        <v>#N/A</v>
      </c>
      <c r="P39" s="90" t="e">
        <f>ROUND(VLOOKUP(C39,APUS!$E$10:$Z$1486,22,0),2)</f>
        <v>#N/A</v>
      </c>
      <c r="Q39" s="90" t="e">
        <f>ROUND(VLOOKUP(C39,APUS!$F$10:$Z$1486,21,0),2)</f>
        <v>#N/A</v>
      </c>
      <c r="R39" s="90" t="e">
        <f>ROUND(VLOOKUP(C39,APUS!$G$10:$Z$1486,20,0),2)</f>
        <v>#N/A</v>
      </c>
      <c r="S39" s="91" t="e">
        <f t="shared" si="30"/>
        <v>#N/A</v>
      </c>
      <c r="T39" s="5"/>
      <c r="U39" s="12"/>
    </row>
    <row r="40" spans="3:21" ht="15" customHeight="1" x14ac:dyDescent="0.3">
      <c r="C40" s="43" t="s">
        <v>71</v>
      </c>
      <c r="D40" s="40" t="e">
        <f>VLOOKUP(C40,PPTO!$C$7:$H$59,2,0)</f>
        <v>#N/A</v>
      </c>
      <c r="E40" s="41" t="e">
        <f>VLOOKUP(C40,PPTO!$C$7:$H$59,3,0)</f>
        <v>#N/A</v>
      </c>
      <c r="F40" s="66">
        <f>IFERROR(SUMIFS(PPTO!$F$7:$F$59,PPTO!$C$7:$C$59,ITEMS!C40),0)</f>
        <v>0</v>
      </c>
      <c r="G40" s="67" t="e">
        <f>VLOOKUP(C40,PPTO!$C$7:$H$59,5,0)</f>
        <v>#N/A</v>
      </c>
      <c r="H40" s="45" t="e">
        <f t="shared" ref="H40:H44" si="32">+ROUND(F40*G40,$Q$3)</f>
        <v>#N/A</v>
      </c>
      <c r="I40" s="5"/>
      <c r="J40" s="5"/>
      <c r="K40" s="99" t="e">
        <f t="shared" si="28"/>
        <v>#N/A</v>
      </c>
      <c r="L40" s="99" t="e">
        <f t="shared" si="29"/>
        <v>#N/A</v>
      </c>
      <c r="M40" s="90" t="e">
        <f>ROUND(VLOOKUP(C40,APUS!$H$10:$V$1486,14,0),2)</f>
        <v>#N/A</v>
      </c>
      <c r="N40" s="90" t="e">
        <f>ROUND(VLOOKUP(C40,APUS!$I$10:$V$1486,13,0),2)</f>
        <v>#N/A</v>
      </c>
      <c r="O40" s="90" t="e">
        <f>ROUND(VLOOKUP(C40,APUS!$D$10:$Z$1486,23,0),2)</f>
        <v>#N/A</v>
      </c>
      <c r="P40" s="90" t="e">
        <f>ROUND(VLOOKUP(C40,APUS!$E$10:$Z$1486,22,0),2)</f>
        <v>#N/A</v>
      </c>
      <c r="Q40" s="90" t="e">
        <f>ROUND(VLOOKUP(C40,APUS!$F$10:$Z$1486,21,0),2)</f>
        <v>#N/A</v>
      </c>
      <c r="R40" s="90" t="e">
        <f>ROUND(VLOOKUP(C40,APUS!$G$10:$Z$1486,20,0),2)</f>
        <v>#N/A</v>
      </c>
      <c r="S40" s="91" t="e">
        <f t="shared" si="30"/>
        <v>#N/A</v>
      </c>
      <c r="T40" s="5"/>
      <c r="U40" s="12"/>
    </row>
    <row r="41" spans="3:21" ht="15" customHeight="1" x14ac:dyDescent="0.3">
      <c r="C41" s="43" t="s">
        <v>72</v>
      </c>
      <c r="D41" s="40" t="e">
        <f>VLOOKUP(C41,PPTO!$C$7:$H$59,2,0)</f>
        <v>#N/A</v>
      </c>
      <c r="E41" s="41" t="e">
        <f>VLOOKUP(C41,PPTO!$C$7:$H$59,3,0)</f>
        <v>#N/A</v>
      </c>
      <c r="F41" s="66">
        <f>IFERROR(SUMIFS(PPTO!$F$7:$F$59,PPTO!$C$7:$C$59,ITEMS!C41),0)</f>
        <v>0</v>
      </c>
      <c r="G41" s="67" t="e">
        <f>VLOOKUP(C41,PPTO!$C$7:$H$59,5,0)</f>
        <v>#N/A</v>
      </c>
      <c r="H41" s="45" t="e">
        <f t="shared" si="32"/>
        <v>#N/A</v>
      </c>
      <c r="I41" s="5"/>
      <c r="J41" s="5"/>
      <c r="K41" s="99" t="e">
        <f t="shared" si="28"/>
        <v>#N/A</v>
      </c>
      <c r="L41" s="99" t="e">
        <f t="shared" si="29"/>
        <v>#N/A</v>
      </c>
      <c r="M41" s="90" t="e">
        <f>ROUND(VLOOKUP(C41,APUS!$H$10:$V$1486,14,0),2)</f>
        <v>#N/A</v>
      </c>
      <c r="N41" s="90" t="e">
        <f>ROUND(VLOOKUP(C41,APUS!$I$10:$V$1486,13,0),2)</f>
        <v>#N/A</v>
      </c>
      <c r="O41" s="90" t="e">
        <f>ROUND(VLOOKUP(C41,APUS!$D$10:$Z$1486,23,0),2)</f>
        <v>#N/A</v>
      </c>
      <c r="P41" s="90" t="e">
        <f>ROUND(VLOOKUP(C41,APUS!$E$10:$Z$1486,22,0),2)</f>
        <v>#N/A</v>
      </c>
      <c r="Q41" s="90" t="e">
        <f>ROUND(VLOOKUP(C41,APUS!$F$10:$Z$1486,21,0),2)</f>
        <v>#N/A</v>
      </c>
      <c r="R41" s="90" t="e">
        <f>ROUND(VLOOKUP(C41,APUS!$G$10:$Z$1486,20,0),2)</f>
        <v>#N/A</v>
      </c>
      <c r="S41" s="91" t="e">
        <f t="shared" si="30"/>
        <v>#N/A</v>
      </c>
      <c r="T41" s="5"/>
      <c r="U41" s="12"/>
    </row>
    <row r="42" spans="3:21" ht="15" customHeight="1" x14ac:dyDescent="0.3">
      <c r="C42" s="43" t="s">
        <v>73</v>
      </c>
      <c r="D42" s="40" t="e">
        <f>VLOOKUP(C42,PPTO!$C$7:$H$59,2,0)</f>
        <v>#N/A</v>
      </c>
      <c r="E42" s="41" t="e">
        <f>VLOOKUP(C42,PPTO!$C$7:$H$59,3,0)</f>
        <v>#N/A</v>
      </c>
      <c r="F42" s="66">
        <f>IFERROR(SUMIFS(PPTO!$F$7:$F$59,PPTO!$C$7:$C$59,ITEMS!C42),0)</f>
        <v>0</v>
      </c>
      <c r="G42" s="67" t="e">
        <f>VLOOKUP(C42,PPTO!$C$7:$H$59,5,0)</f>
        <v>#N/A</v>
      </c>
      <c r="H42" s="45" t="e">
        <f t="shared" si="32"/>
        <v>#N/A</v>
      </c>
      <c r="I42" s="5"/>
      <c r="J42" s="5"/>
      <c r="K42" s="99" t="e">
        <f t="shared" si="28"/>
        <v>#N/A</v>
      </c>
      <c r="L42" s="99" t="e">
        <f t="shared" si="29"/>
        <v>#N/A</v>
      </c>
      <c r="M42" s="90" t="e">
        <f>ROUND(VLOOKUP(C42,APUS!$H$10:$V$1486,14,0),2)</f>
        <v>#N/A</v>
      </c>
      <c r="N42" s="90" t="e">
        <f>ROUND(VLOOKUP(C42,APUS!$I$10:$V$1486,13,0),2)</f>
        <v>#N/A</v>
      </c>
      <c r="O42" s="90" t="e">
        <f>ROUND(VLOOKUP(C42,APUS!$D$10:$Z$1486,23,0),2)</f>
        <v>#N/A</v>
      </c>
      <c r="P42" s="90" t="e">
        <f>ROUND(VLOOKUP(C42,APUS!$E$10:$Z$1486,22,0),2)</f>
        <v>#N/A</v>
      </c>
      <c r="Q42" s="90" t="e">
        <f>ROUND(VLOOKUP(C42,APUS!$F$10:$Z$1486,21,0),2)</f>
        <v>#N/A</v>
      </c>
      <c r="R42" s="90" t="e">
        <f>ROUND(VLOOKUP(C42,APUS!$G$10:$Z$1486,20,0),2)</f>
        <v>#N/A</v>
      </c>
      <c r="S42" s="91" t="e">
        <f t="shared" si="30"/>
        <v>#N/A</v>
      </c>
      <c r="T42" s="5"/>
      <c r="U42" s="12"/>
    </row>
    <row r="43" spans="3:21" ht="15" customHeight="1" x14ac:dyDescent="0.3">
      <c r="C43" s="43" t="s">
        <v>74</v>
      </c>
      <c r="D43" s="40" t="e">
        <f>VLOOKUP(C43,PPTO!$C$7:$H$59,2,0)</f>
        <v>#N/A</v>
      </c>
      <c r="E43" s="41" t="e">
        <f>VLOOKUP(C43,PPTO!$C$7:$H$59,3,0)</f>
        <v>#N/A</v>
      </c>
      <c r="F43" s="66">
        <f>IFERROR(SUMIFS(PPTO!$F$7:$F$59,PPTO!$C$7:$C$59,ITEMS!C43),0)</f>
        <v>0</v>
      </c>
      <c r="G43" s="67" t="e">
        <f>VLOOKUP(C43,PPTO!$C$7:$H$59,5,0)</f>
        <v>#N/A</v>
      </c>
      <c r="H43" s="45" t="e">
        <f t="shared" si="32"/>
        <v>#N/A</v>
      </c>
      <c r="I43" s="5"/>
      <c r="J43" s="5"/>
      <c r="K43" s="99" t="e">
        <f t="shared" si="28"/>
        <v>#N/A</v>
      </c>
      <c r="L43" s="99" t="e">
        <f t="shared" si="29"/>
        <v>#N/A</v>
      </c>
      <c r="M43" s="90" t="e">
        <f>ROUND(VLOOKUP(C43,APUS!$H$10:$V$1486,14,0),2)</f>
        <v>#N/A</v>
      </c>
      <c r="N43" s="90" t="e">
        <f>ROUND(VLOOKUP(C43,APUS!$I$10:$V$1486,13,0),2)</f>
        <v>#N/A</v>
      </c>
      <c r="O43" s="90" t="e">
        <f>ROUND(VLOOKUP(C43,APUS!$D$10:$Z$1486,23,0),2)</f>
        <v>#N/A</v>
      </c>
      <c r="P43" s="90" t="e">
        <f>ROUND(VLOOKUP(C43,APUS!$E$10:$Z$1486,22,0),2)</f>
        <v>#N/A</v>
      </c>
      <c r="Q43" s="90" t="e">
        <f>ROUND(VLOOKUP(C43,APUS!$F$10:$Z$1486,21,0),2)</f>
        <v>#N/A</v>
      </c>
      <c r="R43" s="90" t="e">
        <f>ROUND(VLOOKUP(C43,APUS!$G$10:$Z$1486,20,0),2)</f>
        <v>#N/A</v>
      </c>
      <c r="S43" s="91" t="e">
        <f t="shared" si="30"/>
        <v>#N/A</v>
      </c>
      <c r="T43" s="5"/>
      <c r="U43" s="12"/>
    </row>
    <row r="44" spans="3:21" ht="15" customHeight="1" x14ac:dyDescent="0.3">
      <c r="C44" s="43" t="s">
        <v>75</v>
      </c>
      <c r="D44" s="40" t="e">
        <f>VLOOKUP(C44,PPTO!$C$7:$H$59,2,0)</f>
        <v>#N/A</v>
      </c>
      <c r="E44" s="41" t="e">
        <f>VLOOKUP(C44,PPTO!$C$7:$H$59,3,0)</f>
        <v>#N/A</v>
      </c>
      <c r="F44" s="66">
        <f>IFERROR(SUMIFS(PPTO!$F$7:$F$59,PPTO!$C$7:$C$59,ITEMS!C44),0)</f>
        <v>0</v>
      </c>
      <c r="G44" s="67" t="e">
        <f>VLOOKUP(C44,PPTO!$C$7:$H$59,5,0)</f>
        <v>#N/A</v>
      </c>
      <c r="H44" s="45" t="e">
        <f t="shared" si="32"/>
        <v>#N/A</v>
      </c>
      <c r="I44" s="5"/>
      <c r="J44" s="5"/>
      <c r="K44" s="99" t="e">
        <f t="shared" si="28"/>
        <v>#N/A</v>
      </c>
      <c r="L44" s="99" t="e">
        <f t="shared" si="29"/>
        <v>#N/A</v>
      </c>
      <c r="M44" s="90" t="e">
        <f>ROUND(VLOOKUP(C44,APUS!$H$10:$V$1486,14,0),2)</f>
        <v>#N/A</v>
      </c>
      <c r="N44" s="90" t="e">
        <f>ROUND(VLOOKUP(C44,APUS!$I$10:$V$1486,13,0),2)</f>
        <v>#N/A</v>
      </c>
      <c r="O44" s="90" t="e">
        <f>ROUND(VLOOKUP(C44,APUS!$D$10:$Z$1486,23,0),2)</f>
        <v>#N/A</v>
      </c>
      <c r="P44" s="90" t="e">
        <f>ROUND(VLOOKUP(C44,APUS!$E$10:$Z$1486,22,0),2)</f>
        <v>#N/A</v>
      </c>
      <c r="Q44" s="90" t="e">
        <f>ROUND(VLOOKUP(C44,APUS!$F$10:$Z$1486,21,0),2)</f>
        <v>#N/A</v>
      </c>
      <c r="R44" s="90" t="e">
        <f>ROUND(VLOOKUP(C44,APUS!$G$10:$Z$1486,20,0),2)</f>
        <v>#N/A</v>
      </c>
      <c r="S44" s="91" t="e">
        <f t="shared" si="30"/>
        <v>#N/A</v>
      </c>
      <c r="T44" s="5"/>
      <c r="U44" s="12"/>
    </row>
    <row r="45" spans="3:21" ht="15" customHeight="1" x14ac:dyDescent="0.3">
      <c r="C45" s="64"/>
      <c r="D45" s="62"/>
      <c r="E45" s="62"/>
      <c r="F45" s="62"/>
      <c r="G45" s="62"/>
      <c r="H45" s="63"/>
      <c r="I45" s="5"/>
      <c r="J45" s="5"/>
      <c r="K45" s="12"/>
      <c r="L45" s="18"/>
      <c r="M45" s="5"/>
      <c r="N45" s="5"/>
      <c r="O45" s="5"/>
      <c r="P45" s="5"/>
      <c r="Q45" s="5"/>
      <c r="R45" s="5"/>
      <c r="S45" s="19"/>
      <c r="T45" s="5"/>
      <c r="U45" s="12"/>
    </row>
    <row r="46" spans="3:21" x14ac:dyDescent="0.3">
      <c r="C46" s="682" t="str">
        <f>+CONCATENATE("Subtotal ",D30)</f>
        <v>Subtotal ESTRUCTURA VIAL EN PIEDRA LABOR</v>
      </c>
      <c r="D46" s="683"/>
      <c r="E46" s="683"/>
      <c r="F46" s="683"/>
      <c r="G46" s="683"/>
      <c r="H46" s="44" t="e">
        <f>+SUM(H30:H45)</f>
        <v>#N/A</v>
      </c>
      <c r="I46" s="5"/>
      <c r="J46" s="5"/>
      <c r="K46" s="50" t="e">
        <f t="shared" ref="K46:S46" si="33">+SUM(K30:K45)</f>
        <v>#N/A</v>
      </c>
      <c r="L46" s="50" t="e">
        <f t="shared" si="33"/>
        <v>#N/A</v>
      </c>
      <c r="M46" s="50" t="e">
        <f t="shared" si="33"/>
        <v>#N/A</v>
      </c>
      <c r="N46" s="50" t="e">
        <f t="shared" si="33"/>
        <v>#N/A</v>
      </c>
      <c r="O46" s="50" t="e">
        <f t="shared" si="33"/>
        <v>#N/A</v>
      </c>
      <c r="P46" s="50" t="e">
        <f t="shared" si="33"/>
        <v>#N/A</v>
      </c>
      <c r="Q46" s="50" t="e">
        <f t="shared" si="33"/>
        <v>#N/A</v>
      </c>
      <c r="R46" s="50" t="e">
        <f t="shared" si="33"/>
        <v>#N/A</v>
      </c>
      <c r="S46" s="50" t="e">
        <f t="shared" si="33"/>
        <v>#N/A</v>
      </c>
      <c r="T46" s="5"/>
      <c r="U46" s="12"/>
    </row>
    <row r="47" spans="3:21" x14ac:dyDescent="0.3">
      <c r="C47" s="42" t="s">
        <v>40</v>
      </c>
      <c r="D47" s="656" t="e">
        <f>VLOOKUP(C47,PPTO!$C$7:$H$59,2,0)</f>
        <v>#N/A</v>
      </c>
      <c r="E47" s="657"/>
      <c r="F47" s="657"/>
      <c r="G47" s="657"/>
      <c r="H47" s="658"/>
      <c r="I47" s="5"/>
      <c r="J47" s="5"/>
      <c r="K47" s="12"/>
      <c r="L47" s="18"/>
      <c r="M47" s="5"/>
      <c r="N47" s="5"/>
      <c r="O47" s="5"/>
      <c r="P47" s="5"/>
      <c r="Q47" s="5"/>
      <c r="R47" s="5"/>
      <c r="S47" s="19"/>
      <c r="T47" s="5"/>
      <c r="U47" s="12"/>
    </row>
    <row r="48" spans="3:21" ht="15" customHeight="1" x14ac:dyDescent="0.3">
      <c r="C48" s="43" t="s">
        <v>76</v>
      </c>
      <c r="D48" s="40" t="e">
        <f>VLOOKUP(C48,PPTO!$C$7:$H$59,2,0)</f>
        <v>#N/A</v>
      </c>
      <c r="E48" s="41" t="e">
        <f>VLOOKUP(C48,PPTO!$C$7:$H$59,3,0)</f>
        <v>#N/A</v>
      </c>
      <c r="F48" s="66">
        <f>IFERROR(SUMIFS(PPTO!$F$7:$F$59,PPTO!$C$7:$C$59,ITEMS!C48),0)</f>
        <v>0</v>
      </c>
      <c r="G48" s="67" t="e">
        <f>VLOOKUP(C48,PPTO!$C$7:$H$59,5,0)</f>
        <v>#N/A</v>
      </c>
      <c r="H48" s="45" t="e">
        <f t="shared" ref="H48" si="34">+ROUND(F48*G48,$Q$3)</f>
        <v>#N/A</v>
      </c>
      <c r="I48" s="5"/>
      <c r="J48" s="5"/>
      <c r="K48" s="99" t="e">
        <f t="shared" ref="K48:K50" si="35">ROUND(F48*M48,$Q$3)</f>
        <v>#N/A</v>
      </c>
      <c r="L48" s="99" t="e">
        <f t="shared" ref="L48:L50" si="36">ROUND(F48*N48,$Q$3)</f>
        <v>#N/A</v>
      </c>
      <c r="M48" s="90" t="e">
        <f>ROUND(VLOOKUP(C48,APUS!$H$10:$V$1486,14,0),2)</f>
        <v>#N/A</v>
      </c>
      <c r="N48" s="90" t="e">
        <f>ROUND(VLOOKUP(C48,APUS!$I$10:$V$1486,13,0),2)</f>
        <v>#N/A</v>
      </c>
      <c r="O48" s="90" t="e">
        <f>ROUND(VLOOKUP(C48,APUS!$D$10:$Z$1486,23,0),2)</f>
        <v>#N/A</v>
      </c>
      <c r="P48" s="90" t="e">
        <f>ROUND(VLOOKUP(C48,APUS!$E$10:$Z$1486,22,0),2)</f>
        <v>#N/A</v>
      </c>
      <c r="Q48" s="90" t="e">
        <f>ROUND(VLOOKUP(C48,APUS!$F$10:$Z$1486,21,0),2)</f>
        <v>#N/A</v>
      </c>
      <c r="R48" s="90" t="e">
        <f>ROUND(VLOOKUP(C48,APUS!$G$10:$Z$1486,20,0),2)</f>
        <v>#N/A</v>
      </c>
      <c r="S48" s="91" t="e">
        <f t="shared" ref="S48:S50" si="37">ROUND(SUM(O48:R48),$Q$3)</f>
        <v>#N/A</v>
      </c>
      <c r="T48" s="5"/>
      <c r="U48" s="12"/>
    </row>
    <row r="49" spans="3:21" ht="15" customHeight="1" x14ac:dyDescent="0.3">
      <c r="C49" s="43" t="s">
        <v>77</v>
      </c>
      <c r="D49" s="40" t="e">
        <f>VLOOKUP(C49,PPTO!$C$7:$H$59,2,0)</f>
        <v>#N/A</v>
      </c>
      <c r="E49" s="41" t="e">
        <f>VLOOKUP(C49,PPTO!$C$7:$H$59,3,0)</f>
        <v>#N/A</v>
      </c>
      <c r="F49" s="66">
        <f>IFERROR(SUMIFS(PPTO!$F$7:$F$59,PPTO!$C$7:$C$59,ITEMS!C49),0)</f>
        <v>0</v>
      </c>
      <c r="G49" s="67" t="e">
        <f>VLOOKUP(C49,PPTO!$C$7:$H$59,5,0)</f>
        <v>#N/A</v>
      </c>
      <c r="H49" s="45" t="e">
        <f t="shared" ref="H49:H50" si="38">+ROUND(F49*G49,$Q$3)</f>
        <v>#N/A</v>
      </c>
      <c r="I49" s="5"/>
      <c r="J49" s="5"/>
      <c r="K49" s="99" t="e">
        <f t="shared" si="35"/>
        <v>#N/A</v>
      </c>
      <c r="L49" s="99" t="e">
        <f t="shared" si="36"/>
        <v>#N/A</v>
      </c>
      <c r="M49" s="90" t="e">
        <f>ROUND(VLOOKUP(C49,APUS!$H$10:$V$1486,14,0),2)</f>
        <v>#N/A</v>
      </c>
      <c r="N49" s="90" t="e">
        <f>ROUND(VLOOKUP(C49,APUS!$I$10:$V$1486,13,0),2)</f>
        <v>#N/A</v>
      </c>
      <c r="O49" s="90" t="e">
        <f>ROUND(VLOOKUP(C49,APUS!$D$10:$Z$1486,23,0),2)</f>
        <v>#N/A</v>
      </c>
      <c r="P49" s="90" t="e">
        <f>ROUND(VLOOKUP(C49,APUS!$E$10:$Z$1486,22,0),2)</f>
        <v>#N/A</v>
      </c>
      <c r="Q49" s="90" t="e">
        <f>ROUND(VLOOKUP(C49,APUS!$F$10:$Z$1486,21,0),2)</f>
        <v>#N/A</v>
      </c>
      <c r="R49" s="90" t="e">
        <f>ROUND(VLOOKUP(C49,APUS!$G$10:$Z$1486,20,0),2)</f>
        <v>#N/A</v>
      </c>
      <c r="S49" s="91" t="e">
        <f t="shared" si="37"/>
        <v>#N/A</v>
      </c>
      <c r="T49" s="5"/>
      <c r="U49" s="12"/>
    </row>
    <row r="50" spans="3:21" x14ac:dyDescent="0.3">
      <c r="C50" s="43" t="s">
        <v>78</v>
      </c>
      <c r="D50" s="40" t="e">
        <f>VLOOKUP(C50,PPTO!$C$7:$H$59,2,0)</f>
        <v>#N/A</v>
      </c>
      <c r="E50" s="41" t="e">
        <f>VLOOKUP(C50,PPTO!$C$7:$H$59,3,0)</f>
        <v>#N/A</v>
      </c>
      <c r="F50" s="66">
        <f>IFERROR(SUMIFS(PPTO!$F$7:$F$59,PPTO!$C$7:$C$59,ITEMS!C50),0)</f>
        <v>0</v>
      </c>
      <c r="G50" s="67" t="e">
        <f>VLOOKUP(C50,PPTO!$C$7:$H$59,5,0)</f>
        <v>#N/A</v>
      </c>
      <c r="H50" s="45" t="e">
        <f t="shared" si="38"/>
        <v>#N/A</v>
      </c>
      <c r="I50" s="5"/>
      <c r="J50" s="5"/>
      <c r="K50" s="99" t="e">
        <f t="shared" si="35"/>
        <v>#N/A</v>
      </c>
      <c r="L50" s="99" t="e">
        <f t="shared" si="36"/>
        <v>#N/A</v>
      </c>
      <c r="M50" s="90" t="e">
        <f>ROUND(VLOOKUP(C50,APUS!$H$10:$V$1486,14,0),2)</f>
        <v>#N/A</v>
      </c>
      <c r="N50" s="90" t="e">
        <f>ROUND(VLOOKUP(C50,APUS!$I$10:$V$1486,13,0),2)</f>
        <v>#N/A</v>
      </c>
      <c r="O50" s="90" t="e">
        <f>ROUND(VLOOKUP(C50,APUS!$D$10:$Z$1486,23,0),2)</f>
        <v>#N/A</v>
      </c>
      <c r="P50" s="90" t="e">
        <f>ROUND(VLOOKUP(C50,APUS!$E$10:$Z$1486,22,0),2)</f>
        <v>#N/A</v>
      </c>
      <c r="Q50" s="90" t="e">
        <f>ROUND(VLOOKUP(C50,APUS!$F$10:$Z$1486,21,0),2)</f>
        <v>#N/A</v>
      </c>
      <c r="R50" s="90" t="e">
        <f>ROUND(VLOOKUP(C50,APUS!$G$10:$Z$1486,20,0),2)</f>
        <v>#N/A</v>
      </c>
      <c r="S50" s="91" t="e">
        <f t="shared" si="37"/>
        <v>#N/A</v>
      </c>
      <c r="T50" s="5"/>
      <c r="U50" s="12"/>
    </row>
    <row r="51" spans="3:21" x14ac:dyDescent="0.3">
      <c r="C51" s="43" t="s">
        <v>79</v>
      </c>
      <c r="D51" s="40" t="e">
        <f>VLOOKUP(C51,PPTO!$C$7:$H$59,2,0)</f>
        <v>#N/A</v>
      </c>
      <c r="E51" s="41" t="e">
        <f>VLOOKUP(C51,PPTO!$C$7:$H$59,3,0)</f>
        <v>#N/A</v>
      </c>
      <c r="F51" s="66">
        <f>IFERROR(SUMIFS(PPTO!$F$7:$F$59,PPTO!$C$7:$C$59,ITEMS!C51),0)</f>
        <v>0</v>
      </c>
      <c r="G51" s="67" t="e">
        <f>VLOOKUP(C51,PPTO!$C$7:$H$59,5,0)</f>
        <v>#N/A</v>
      </c>
      <c r="H51" s="45" t="e">
        <f t="shared" ref="H51:H53" si="39">+ROUND(F51*G51,$Q$3)</f>
        <v>#N/A</v>
      </c>
      <c r="I51" s="5"/>
      <c r="J51" s="5"/>
      <c r="K51" s="99" t="e">
        <f t="shared" ref="K51:K53" si="40">ROUND(F51*M51,$Q$3)</f>
        <v>#N/A</v>
      </c>
      <c r="L51" s="99" t="e">
        <f t="shared" ref="L51:L53" si="41">ROUND(F51*N51,$Q$3)</f>
        <v>#N/A</v>
      </c>
      <c r="M51" s="90" t="e">
        <f>ROUND(VLOOKUP(C51,APUS!$H$10:$V$1486,14,0),2)</f>
        <v>#N/A</v>
      </c>
      <c r="N51" s="90" t="e">
        <f>ROUND(VLOOKUP(C51,APUS!$I$10:$V$1486,13,0),2)</f>
        <v>#N/A</v>
      </c>
      <c r="O51" s="90" t="e">
        <f>ROUND(VLOOKUP(C51,APUS!$D$10:$Z$1486,23,0),2)</f>
        <v>#N/A</v>
      </c>
      <c r="P51" s="90" t="e">
        <f>ROUND(VLOOKUP(C51,APUS!$E$10:$Z$1486,22,0),2)</f>
        <v>#N/A</v>
      </c>
      <c r="Q51" s="90" t="e">
        <f>ROUND(VLOOKUP(C51,APUS!$F$10:$Z$1486,21,0),2)</f>
        <v>#N/A</v>
      </c>
      <c r="R51" s="90" t="e">
        <f>ROUND(VLOOKUP(C51,APUS!$G$10:$Z$1486,20,0),2)</f>
        <v>#N/A</v>
      </c>
      <c r="S51" s="91" t="e">
        <f t="shared" ref="S51:S53" si="42">ROUND(SUM(O51:R51),$Q$3)</f>
        <v>#N/A</v>
      </c>
      <c r="T51" s="5"/>
      <c r="U51" s="12"/>
    </row>
    <row r="52" spans="3:21" x14ac:dyDescent="0.3">
      <c r="C52" s="43" t="s">
        <v>80</v>
      </c>
      <c r="D52" s="40" t="e">
        <f>VLOOKUP(C52,PPTO!$C$7:$H$59,2,0)</f>
        <v>#N/A</v>
      </c>
      <c r="E52" s="41" t="e">
        <f>VLOOKUP(C52,PPTO!$C$7:$H$59,3,0)</f>
        <v>#N/A</v>
      </c>
      <c r="F52" s="66">
        <f>IFERROR(SUMIFS(PPTO!$F$7:$F$59,PPTO!$C$7:$C$59,ITEMS!C52),0)</f>
        <v>0</v>
      </c>
      <c r="G52" s="67" t="e">
        <f>VLOOKUP(C52,PPTO!$C$7:$H$59,5,0)</f>
        <v>#N/A</v>
      </c>
      <c r="H52" s="45" t="e">
        <f t="shared" si="39"/>
        <v>#N/A</v>
      </c>
      <c r="I52" s="5"/>
      <c r="J52" s="5"/>
      <c r="K52" s="99" t="e">
        <f t="shared" si="40"/>
        <v>#N/A</v>
      </c>
      <c r="L52" s="99" t="e">
        <f t="shared" si="41"/>
        <v>#N/A</v>
      </c>
      <c r="M52" s="90" t="e">
        <f>ROUND(VLOOKUP(C52,APUS!$H$10:$V$1486,14,0),2)</f>
        <v>#N/A</v>
      </c>
      <c r="N52" s="90" t="e">
        <f>ROUND(VLOOKUP(C52,APUS!$I$10:$V$1486,13,0),2)</f>
        <v>#N/A</v>
      </c>
      <c r="O52" s="90" t="e">
        <f>ROUND(VLOOKUP(C52,APUS!$D$10:$Z$1486,23,0),2)</f>
        <v>#N/A</v>
      </c>
      <c r="P52" s="90" t="e">
        <f>ROUND(VLOOKUP(C52,APUS!$E$10:$Z$1486,22,0),2)</f>
        <v>#N/A</v>
      </c>
      <c r="Q52" s="90" t="e">
        <f>ROUND(VLOOKUP(C52,APUS!$F$10:$Z$1486,21,0),2)</f>
        <v>#N/A</v>
      </c>
      <c r="R52" s="90" t="e">
        <f>ROUND(VLOOKUP(C52,APUS!$G$10:$Z$1486,20,0),2)</f>
        <v>#N/A</v>
      </c>
      <c r="S52" s="91" t="e">
        <f t="shared" si="42"/>
        <v>#N/A</v>
      </c>
      <c r="T52" s="5"/>
      <c r="U52" s="12"/>
    </row>
    <row r="53" spans="3:21" x14ac:dyDescent="0.3">
      <c r="C53" s="43" t="s">
        <v>81</v>
      </c>
      <c r="D53" s="40" t="e">
        <f>VLOOKUP(C53,PPTO!$C$7:$H$59,2,0)</f>
        <v>#N/A</v>
      </c>
      <c r="E53" s="41" t="e">
        <f>VLOOKUP(C53,PPTO!$C$7:$H$59,3,0)</f>
        <v>#N/A</v>
      </c>
      <c r="F53" s="66">
        <f>IFERROR(SUMIFS(PPTO!$F$7:$F$59,PPTO!$C$7:$C$59,ITEMS!C53),0)</f>
        <v>0</v>
      </c>
      <c r="G53" s="67" t="e">
        <f>VLOOKUP(C53,PPTO!$C$7:$H$59,5,0)</f>
        <v>#N/A</v>
      </c>
      <c r="H53" s="45" t="e">
        <f t="shared" si="39"/>
        <v>#N/A</v>
      </c>
      <c r="I53" s="5"/>
      <c r="J53" s="5"/>
      <c r="K53" s="99" t="e">
        <f t="shared" si="40"/>
        <v>#N/A</v>
      </c>
      <c r="L53" s="99" t="e">
        <f t="shared" si="41"/>
        <v>#N/A</v>
      </c>
      <c r="M53" s="90" t="e">
        <f>ROUND(VLOOKUP(C53,APUS!$H$10:$V$1486,14,0),2)</f>
        <v>#N/A</v>
      </c>
      <c r="N53" s="90" t="e">
        <f>ROUND(VLOOKUP(C53,APUS!$I$10:$V$1486,13,0),2)</f>
        <v>#N/A</v>
      </c>
      <c r="O53" s="90" t="e">
        <f>ROUND(VLOOKUP(C53,APUS!$D$10:$Z$1486,23,0),2)</f>
        <v>#N/A</v>
      </c>
      <c r="P53" s="90" t="e">
        <f>ROUND(VLOOKUP(C53,APUS!$E$10:$Z$1486,22,0),2)</f>
        <v>#N/A</v>
      </c>
      <c r="Q53" s="90" t="e">
        <f>ROUND(VLOOKUP(C53,APUS!$F$10:$Z$1486,21,0),2)</f>
        <v>#N/A</v>
      </c>
      <c r="R53" s="90" t="e">
        <f>ROUND(VLOOKUP(C53,APUS!$G$10:$Z$1486,20,0),2)</f>
        <v>#N/A</v>
      </c>
      <c r="S53" s="91" t="e">
        <f t="shared" si="42"/>
        <v>#N/A</v>
      </c>
      <c r="T53" s="5"/>
      <c r="U53" s="12"/>
    </row>
    <row r="54" spans="3:21" ht="15" customHeight="1" x14ac:dyDescent="0.3">
      <c r="C54" s="64"/>
      <c r="D54" s="40"/>
      <c r="E54" s="41"/>
      <c r="F54" s="66"/>
      <c r="G54" s="67"/>
      <c r="H54" s="45"/>
      <c r="I54" s="5"/>
      <c r="J54" s="5"/>
      <c r="K54" s="12"/>
      <c r="L54" s="18"/>
      <c r="M54" s="5"/>
      <c r="N54" s="5"/>
      <c r="O54" s="5"/>
      <c r="P54" s="5"/>
      <c r="Q54" s="5"/>
      <c r="R54" s="5"/>
      <c r="S54" s="19"/>
      <c r="T54" s="5"/>
      <c r="U54" s="12"/>
    </row>
    <row r="55" spans="3:21" x14ac:dyDescent="0.3">
      <c r="C55" s="684" t="e">
        <f>+CONCATENATE("Subtotal ",D47)</f>
        <v>#N/A</v>
      </c>
      <c r="D55" s="685"/>
      <c r="E55" s="685"/>
      <c r="F55" s="685"/>
      <c r="G55" s="685"/>
      <c r="H55" s="129" t="e">
        <f>+SUM(H47:H54)</f>
        <v>#N/A</v>
      </c>
      <c r="I55" s="5"/>
      <c r="J55" s="5"/>
      <c r="K55" s="50" t="e">
        <f t="shared" ref="K55:S55" si="43">+SUM(K47:K54)</f>
        <v>#N/A</v>
      </c>
      <c r="L55" s="50" t="e">
        <f t="shared" si="43"/>
        <v>#N/A</v>
      </c>
      <c r="M55" s="50" t="e">
        <f t="shared" si="43"/>
        <v>#N/A</v>
      </c>
      <c r="N55" s="50" t="e">
        <f t="shared" si="43"/>
        <v>#N/A</v>
      </c>
      <c r="O55" s="50" t="e">
        <f t="shared" si="43"/>
        <v>#N/A</v>
      </c>
      <c r="P55" s="50" t="e">
        <f t="shared" si="43"/>
        <v>#N/A</v>
      </c>
      <c r="Q55" s="50" t="e">
        <f t="shared" si="43"/>
        <v>#N/A</v>
      </c>
      <c r="R55" s="50" t="e">
        <f t="shared" si="43"/>
        <v>#N/A</v>
      </c>
      <c r="S55" s="50" t="e">
        <f t="shared" si="43"/>
        <v>#N/A</v>
      </c>
      <c r="T55" s="5"/>
      <c r="U55" s="12"/>
    </row>
    <row r="56" spans="3:21" x14ac:dyDescent="0.3">
      <c r="C56" s="42" t="s">
        <v>44</v>
      </c>
      <c r="D56" s="656" t="e">
        <f>VLOOKUP(C56,PPTO!$C$7:$H$59,2,0)</f>
        <v>#N/A</v>
      </c>
      <c r="E56" s="657"/>
      <c r="F56" s="657"/>
      <c r="G56" s="657"/>
      <c r="H56" s="658"/>
      <c r="I56" s="5"/>
      <c r="J56" s="5"/>
      <c r="K56" s="34"/>
      <c r="L56" s="35"/>
      <c r="M56" s="29"/>
      <c r="N56" s="29"/>
      <c r="O56" s="29"/>
      <c r="P56" s="29"/>
      <c r="Q56" s="29"/>
      <c r="R56" s="29"/>
      <c r="S56" s="36"/>
      <c r="T56" s="5"/>
      <c r="U56" s="34"/>
    </row>
    <row r="57" spans="3:21" x14ac:dyDescent="0.3">
      <c r="C57" s="65" t="s">
        <v>82</v>
      </c>
      <c r="D57" s="40" t="e">
        <f>VLOOKUP(C57,PPTO!$C$7:$H$59,2,0)</f>
        <v>#N/A</v>
      </c>
      <c r="E57" s="41" t="e">
        <f>VLOOKUP(C57,PPTO!$C$7:$H$59,3,0)</f>
        <v>#N/A</v>
      </c>
      <c r="F57" s="66">
        <f>IFERROR(SUMIFS(PPTO!$F$7:$F$59,PPTO!$C$7:$C$59,ITEMS!C57),0)</f>
        <v>0</v>
      </c>
      <c r="G57" s="67" t="e">
        <f>VLOOKUP(C57,PPTO!$C$7:$H$59,5,0)</f>
        <v>#N/A</v>
      </c>
      <c r="H57" s="45" t="e">
        <f t="shared" ref="H57:H64" si="44">+ROUND(F57*G57,$Q$3)</f>
        <v>#N/A</v>
      </c>
      <c r="I57" s="5"/>
      <c r="J57" s="5"/>
      <c r="K57" s="99" t="e">
        <f t="shared" ref="K57:K64" si="45">ROUND(F57*M57,$Q$3)</f>
        <v>#N/A</v>
      </c>
      <c r="L57" s="99" t="e">
        <f t="shared" ref="L57:L64" si="46">ROUND(F57*N57,$Q$3)</f>
        <v>#N/A</v>
      </c>
      <c r="M57" s="90" t="e">
        <f>ROUND(VLOOKUP(C57,APUS!$H$10:$V$1486,14,0),2)</f>
        <v>#N/A</v>
      </c>
      <c r="N57" s="90" t="e">
        <f>ROUND(VLOOKUP(C57,APUS!$I$10:$V$1486,13,0),2)</f>
        <v>#N/A</v>
      </c>
      <c r="O57" s="90" t="e">
        <f>ROUND(VLOOKUP(C57,APUS!$D$10:$Z$1486,23,0),2)</f>
        <v>#N/A</v>
      </c>
      <c r="P57" s="90" t="e">
        <f>ROUND(VLOOKUP(C57,APUS!$E$10:$Z$1486,22,0),2)</f>
        <v>#N/A</v>
      </c>
      <c r="Q57" s="90" t="e">
        <f>ROUND(VLOOKUP(C57,APUS!$F$10:$Z$1486,21,0),2)</f>
        <v>#N/A</v>
      </c>
      <c r="R57" s="90" t="e">
        <f>ROUND(VLOOKUP(C57,APUS!$G$10:$Z$1486,20,0),2)</f>
        <v>#N/A</v>
      </c>
      <c r="S57" s="91" t="e">
        <f t="shared" ref="S57:S64" si="47">ROUND(SUM(O57:R57),$Q$3)</f>
        <v>#N/A</v>
      </c>
      <c r="T57" s="5"/>
      <c r="U57" s="34"/>
    </row>
    <row r="58" spans="3:21" x14ac:dyDescent="0.3">
      <c r="C58" s="65" t="s">
        <v>83</v>
      </c>
      <c r="D58" s="40" t="e">
        <f>VLOOKUP(C58,PPTO!$C$7:$H$59,2,0)</f>
        <v>#N/A</v>
      </c>
      <c r="E58" s="41" t="e">
        <f>VLOOKUP(C58,PPTO!$C$7:$H$59,3,0)</f>
        <v>#N/A</v>
      </c>
      <c r="F58" s="66">
        <f>IFERROR(SUMIFS(PPTO!$F$7:$F$59,PPTO!$C$7:$C$59,ITEMS!C58),0)</f>
        <v>0</v>
      </c>
      <c r="G58" s="67" t="e">
        <f>VLOOKUP(C58,PPTO!$C$7:$H$59,5,0)</f>
        <v>#N/A</v>
      </c>
      <c r="H58" s="45" t="e">
        <f t="shared" si="44"/>
        <v>#N/A</v>
      </c>
      <c r="I58" s="5"/>
      <c r="J58" s="5"/>
      <c r="K58" s="99" t="e">
        <f t="shared" si="45"/>
        <v>#N/A</v>
      </c>
      <c r="L58" s="99" t="e">
        <f t="shared" si="46"/>
        <v>#N/A</v>
      </c>
      <c r="M58" s="90" t="e">
        <f>ROUND(VLOOKUP(C58,APUS!$H$10:$V$1486,14,0),2)</f>
        <v>#N/A</v>
      </c>
      <c r="N58" s="90" t="e">
        <f>ROUND(VLOOKUP(C58,APUS!$I$10:$V$1486,13,0),2)</f>
        <v>#N/A</v>
      </c>
      <c r="O58" s="90" t="e">
        <f>ROUND(VLOOKUP(C58,APUS!$D$10:$Z$1486,23,0),2)</f>
        <v>#N/A</v>
      </c>
      <c r="P58" s="90" t="e">
        <f>ROUND(VLOOKUP(C58,APUS!$E$10:$Z$1486,22,0),2)</f>
        <v>#N/A</v>
      </c>
      <c r="Q58" s="90" t="e">
        <f>ROUND(VLOOKUP(C58,APUS!$F$10:$Z$1486,21,0),2)</f>
        <v>#N/A</v>
      </c>
      <c r="R58" s="90" t="e">
        <f>ROUND(VLOOKUP(C58,APUS!$G$10:$Z$1486,20,0),2)</f>
        <v>#N/A</v>
      </c>
      <c r="S58" s="91" t="e">
        <f t="shared" si="47"/>
        <v>#N/A</v>
      </c>
      <c r="T58" s="5"/>
      <c r="U58" s="34"/>
    </row>
    <row r="59" spans="3:21" x14ac:dyDescent="0.3">
      <c r="C59" s="65" t="s">
        <v>84</v>
      </c>
      <c r="D59" s="40" t="e">
        <f>VLOOKUP(C59,PPTO!$C$7:$H$59,2,0)</f>
        <v>#N/A</v>
      </c>
      <c r="E59" s="41" t="e">
        <f>VLOOKUP(C59,PPTO!$C$7:$H$59,3,0)</f>
        <v>#N/A</v>
      </c>
      <c r="F59" s="66">
        <f>IFERROR(SUMIFS(PPTO!$F$7:$F$59,PPTO!$C$7:$C$59,ITEMS!C59),0)</f>
        <v>0</v>
      </c>
      <c r="G59" s="67" t="e">
        <f>VLOOKUP(C59,PPTO!$C$7:$H$59,5,0)</f>
        <v>#N/A</v>
      </c>
      <c r="H59" s="45" t="e">
        <f t="shared" si="44"/>
        <v>#N/A</v>
      </c>
      <c r="I59" s="5"/>
      <c r="J59" s="5"/>
      <c r="K59" s="99" t="e">
        <f t="shared" si="45"/>
        <v>#N/A</v>
      </c>
      <c r="L59" s="99" t="e">
        <f t="shared" si="46"/>
        <v>#N/A</v>
      </c>
      <c r="M59" s="90" t="e">
        <f>ROUND(VLOOKUP(C59,APUS!$H$10:$V$1486,14,0),2)</f>
        <v>#N/A</v>
      </c>
      <c r="N59" s="90" t="e">
        <f>ROUND(VLOOKUP(C59,APUS!$I$10:$V$1486,13,0),2)</f>
        <v>#N/A</v>
      </c>
      <c r="O59" s="90" t="e">
        <f>ROUND(VLOOKUP(C59,APUS!$D$10:$Z$1486,23,0),2)</f>
        <v>#N/A</v>
      </c>
      <c r="P59" s="90" t="e">
        <f>ROUND(VLOOKUP(C59,APUS!$E$10:$Z$1486,22,0),2)</f>
        <v>#N/A</v>
      </c>
      <c r="Q59" s="90" t="e">
        <f>ROUND(VLOOKUP(C59,APUS!$F$10:$Z$1486,21,0),2)</f>
        <v>#N/A</v>
      </c>
      <c r="R59" s="90" t="e">
        <f>ROUND(VLOOKUP(C59,APUS!$G$10:$Z$1486,20,0),2)</f>
        <v>#N/A</v>
      </c>
      <c r="S59" s="91" t="e">
        <f t="shared" si="47"/>
        <v>#N/A</v>
      </c>
      <c r="T59" s="5"/>
      <c r="U59" s="34"/>
    </row>
    <row r="60" spans="3:21" x14ac:dyDescent="0.3">
      <c r="C60" s="65" t="s">
        <v>514</v>
      </c>
      <c r="D60" s="40" t="e">
        <f>VLOOKUP(C60,PPTO!$C$7:$H$59,2,0)</f>
        <v>#N/A</v>
      </c>
      <c r="E60" s="41" t="e">
        <f>VLOOKUP(C60,PPTO!$C$7:$H$59,3,0)</f>
        <v>#N/A</v>
      </c>
      <c r="F60" s="66">
        <f>IFERROR(SUMIFS(PPTO!$F$7:$F$59,PPTO!$C$7:$C$59,ITEMS!C60),0)</f>
        <v>0</v>
      </c>
      <c r="G60" s="67" t="e">
        <f>VLOOKUP(C60,PPTO!$C$7:$H$59,5,0)</f>
        <v>#N/A</v>
      </c>
      <c r="H60" s="45" t="e">
        <f t="shared" si="44"/>
        <v>#N/A</v>
      </c>
      <c r="I60" s="5"/>
      <c r="J60" s="5"/>
      <c r="K60" s="99" t="e">
        <f t="shared" si="45"/>
        <v>#N/A</v>
      </c>
      <c r="L60" s="99" t="e">
        <f t="shared" si="46"/>
        <v>#N/A</v>
      </c>
      <c r="M60" s="90" t="e">
        <f>ROUND(VLOOKUP(C60,APUS!$H$10:$V$1486,14,0),2)</f>
        <v>#N/A</v>
      </c>
      <c r="N60" s="90" t="e">
        <f>ROUND(VLOOKUP(C60,APUS!$I$10:$V$1486,13,0),2)</f>
        <v>#N/A</v>
      </c>
      <c r="O60" s="90" t="e">
        <f>ROUND(VLOOKUP(C60,APUS!$D$10:$Z$1486,23,0),2)</f>
        <v>#N/A</v>
      </c>
      <c r="P60" s="90" t="e">
        <f>ROUND(VLOOKUP(C60,APUS!$E$10:$Z$1486,22,0),2)</f>
        <v>#N/A</v>
      </c>
      <c r="Q60" s="90" t="e">
        <f>ROUND(VLOOKUP(C60,APUS!$F$10:$Z$1486,21,0),2)</f>
        <v>#N/A</v>
      </c>
      <c r="R60" s="90" t="e">
        <f>ROUND(VLOOKUP(C60,APUS!$G$10:$Z$1486,20,0),2)</f>
        <v>#N/A</v>
      </c>
      <c r="S60" s="91" t="e">
        <f t="shared" si="47"/>
        <v>#N/A</v>
      </c>
      <c r="T60" s="5"/>
      <c r="U60" s="34"/>
    </row>
    <row r="61" spans="3:21" x14ac:dyDescent="0.3">
      <c r="C61" s="65" t="s">
        <v>515</v>
      </c>
      <c r="D61" s="40" t="e">
        <f>VLOOKUP(C61,PPTO!$C$7:$H$59,2,0)</f>
        <v>#N/A</v>
      </c>
      <c r="E61" s="41" t="e">
        <f>VLOOKUP(C61,PPTO!$C$7:$H$59,3,0)</f>
        <v>#N/A</v>
      </c>
      <c r="F61" s="66">
        <f>IFERROR(SUMIFS(PPTO!$F$7:$F$59,PPTO!$C$7:$C$59,ITEMS!C61),0)</f>
        <v>0</v>
      </c>
      <c r="G61" s="67" t="e">
        <f>VLOOKUP(C61,PPTO!$C$7:$H$59,5,0)</f>
        <v>#N/A</v>
      </c>
      <c r="H61" s="45" t="e">
        <f t="shared" si="44"/>
        <v>#N/A</v>
      </c>
      <c r="I61" s="5"/>
      <c r="J61" s="5"/>
      <c r="K61" s="99" t="e">
        <f t="shared" si="45"/>
        <v>#N/A</v>
      </c>
      <c r="L61" s="99" t="e">
        <f t="shared" si="46"/>
        <v>#N/A</v>
      </c>
      <c r="M61" s="90" t="e">
        <f>ROUND(VLOOKUP(C61,APUS!$H$10:$V$1486,14,0),2)</f>
        <v>#N/A</v>
      </c>
      <c r="N61" s="90" t="e">
        <f>ROUND(VLOOKUP(C61,APUS!$I$10:$V$1486,13,0),2)</f>
        <v>#N/A</v>
      </c>
      <c r="O61" s="90" t="e">
        <f>ROUND(VLOOKUP(C61,APUS!$D$10:$Z$1486,23,0),2)</f>
        <v>#N/A</v>
      </c>
      <c r="P61" s="90" t="e">
        <f>ROUND(VLOOKUP(C61,APUS!$E$10:$Z$1486,22,0),2)</f>
        <v>#N/A</v>
      </c>
      <c r="Q61" s="90" t="e">
        <f>ROUND(VLOOKUP(C61,APUS!$F$10:$Z$1486,21,0),2)</f>
        <v>#N/A</v>
      </c>
      <c r="R61" s="90" t="e">
        <f>ROUND(VLOOKUP(C61,APUS!$G$10:$Z$1486,20,0),2)</f>
        <v>#N/A</v>
      </c>
      <c r="S61" s="91" t="e">
        <f t="shared" si="47"/>
        <v>#N/A</v>
      </c>
      <c r="T61" s="5"/>
      <c r="U61" s="34"/>
    </row>
    <row r="62" spans="3:21" x14ac:dyDescent="0.3">
      <c r="C62" s="65" t="s">
        <v>516</v>
      </c>
      <c r="D62" s="40" t="e">
        <f>VLOOKUP(C62,PPTO!$C$7:$H$59,2,0)</f>
        <v>#N/A</v>
      </c>
      <c r="E62" s="41" t="e">
        <f>VLOOKUP(C62,PPTO!$C$7:$H$59,3,0)</f>
        <v>#N/A</v>
      </c>
      <c r="F62" s="66">
        <f>IFERROR(SUMIFS(PPTO!$F$7:$F$59,PPTO!$C$7:$C$59,ITEMS!C62),0)</f>
        <v>0</v>
      </c>
      <c r="G62" s="67" t="e">
        <f>VLOOKUP(C62,PPTO!$C$7:$H$59,5,0)</f>
        <v>#N/A</v>
      </c>
      <c r="H62" s="45" t="e">
        <f t="shared" si="44"/>
        <v>#N/A</v>
      </c>
      <c r="I62" s="5"/>
      <c r="J62" s="5"/>
      <c r="K62" s="99" t="e">
        <f t="shared" si="45"/>
        <v>#N/A</v>
      </c>
      <c r="L62" s="99" t="e">
        <f t="shared" si="46"/>
        <v>#N/A</v>
      </c>
      <c r="M62" s="90" t="e">
        <f>ROUND(VLOOKUP(C62,APUS!$H$10:$V$1486,14,0),2)</f>
        <v>#N/A</v>
      </c>
      <c r="N62" s="90" t="e">
        <f>ROUND(VLOOKUP(C62,APUS!$I$10:$V$1486,13,0),2)</f>
        <v>#N/A</v>
      </c>
      <c r="O62" s="90" t="e">
        <f>ROUND(VLOOKUP(C62,APUS!$D$10:$Z$1486,23,0),2)</f>
        <v>#N/A</v>
      </c>
      <c r="P62" s="90" t="e">
        <f>ROUND(VLOOKUP(C62,APUS!$E$10:$Z$1486,22,0),2)</f>
        <v>#N/A</v>
      </c>
      <c r="Q62" s="90" t="e">
        <f>ROUND(VLOOKUP(C62,APUS!$F$10:$Z$1486,21,0),2)</f>
        <v>#N/A</v>
      </c>
      <c r="R62" s="90" t="e">
        <f>ROUND(VLOOKUP(C62,APUS!$G$10:$Z$1486,20,0),2)</f>
        <v>#N/A</v>
      </c>
      <c r="S62" s="91" t="e">
        <f t="shared" si="47"/>
        <v>#N/A</v>
      </c>
      <c r="T62" s="5"/>
      <c r="U62" s="34"/>
    </row>
    <row r="63" spans="3:21" x14ac:dyDescent="0.3">
      <c r="C63" s="65" t="s">
        <v>517</v>
      </c>
      <c r="D63" s="40" t="e">
        <f>VLOOKUP(C63,PPTO!$C$7:$H$59,2,0)</f>
        <v>#N/A</v>
      </c>
      <c r="E63" s="41" t="e">
        <f>VLOOKUP(C63,PPTO!$C$7:$H$59,3,0)</f>
        <v>#N/A</v>
      </c>
      <c r="F63" s="66">
        <f>IFERROR(SUMIFS(PPTO!$F$7:$F$59,PPTO!$C$7:$C$59,ITEMS!C63),0)</f>
        <v>0</v>
      </c>
      <c r="G63" s="67" t="e">
        <f>VLOOKUP(C63,PPTO!$C$7:$H$59,5,0)</f>
        <v>#N/A</v>
      </c>
      <c r="H63" s="45" t="e">
        <f t="shared" si="44"/>
        <v>#N/A</v>
      </c>
      <c r="I63" s="5"/>
      <c r="J63" s="5"/>
      <c r="K63" s="99" t="e">
        <f t="shared" si="45"/>
        <v>#N/A</v>
      </c>
      <c r="L63" s="99" t="e">
        <f t="shared" si="46"/>
        <v>#N/A</v>
      </c>
      <c r="M63" s="90" t="e">
        <f>ROUND(VLOOKUP(C63,APUS!$H$10:$V$1486,14,0),2)</f>
        <v>#N/A</v>
      </c>
      <c r="N63" s="90" t="e">
        <f>ROUND(VLOOKUP(C63,APUS!$I$10:$V$1486,13,0),2)</f>
        <v>#N/A</v>
      </c>
      <c r="O63" s="90" t="e">
        <f>ROUND(VLOOKUP(C63,APUS!$D$10:$Z$1486,23,0),2)</f>
        <v>#N/A</v>
      </c>
      <c r="P63" s="90" t="e">
        <f>ROUND(VLOOKUP(C63,APUS!$E$10:$Z$1486,22,0),2)</f>
        <v>#N/A</v>
      </c>
      <c r="Q63" s="90" t="e">
        <f>ROUND(VLOOKUP(C63,APUS!$F$10:$Z$1486,21,0),2)</f>
        <v>#N/A</v>
      </c>
      <c r="R63" s="90" t="e">
        <f>ROUND(VLOOKUP(C63,APUS!$G$10:$Z$1486,20,0),2)</f>
        <v>#N/A</v>
      </c>
      <c r="S63" s="91" t="e">
        <f t="shared" si="47"/>
        <v>#N/A</v>
      </c>
      <c r="T63" s="5"/>
      <c r="U63" s="34"/>
    </row>
    <row r="64" spans="3:21" x14ac:dyDescent="0.3">
      <c r="C64" s="65" t="s">
        <v>518</v>
      </c>
      <c r="D64" s="40" t="e">
        <f>VLOOKUP(C64,PPTO!$C$7:$H$59,2,0)</f>
        <v>#N/A</v>
      </c>
      <c r="E64" s="41" t="e">
        <f>VLOOKUP(C64,PPTO!$C$7:$H$59,3,0)</f>
        <v>#N/A</v>
      </c>
      <c r="F64" s="66">
        <f>IFERROR(SUMIFS(PPTO!$F$7:$F$59,PPTO!$C$7:$C$59,ITEMS!C64),0)</f>
        <v>0</v>
      </c>
      <c r="G64" s="67" t="e">
        <f>VLOOKUP(C64,PPTO!$C$7:$H$59,5,0)</f>
        <v>#N/A</v>
      </c>
      <c r="H64" s="45" t="e">
        <f t="shared" si="44"/>
        <v>#N/A</v>
      </c>
      <c r="I64" s="5"/>
      <c r="J64" s="5"/>
      <c r="K64" s="99" t="e">
        <f t="shared" si="45"/>
        <v>#N/A</v>
      </c>
      <c r="L64" s="99" t="e">
        <f t="shared" si="46"/>
        <v>#N/A</v>
      </c>
      <c r="M64" s="90" t="e">
        <f>ROUND(VLOOKUP(C64,APUS!$H$10:$V$1486,14,0),2)</f>
        <v>#N/A</v>
      </c>
      <c r="N64" s="90" t="e">
        <f>ROUND(VLOOKUP(C64,APUS!$I$10:$V$1486,13,0),2)</f>
        <v>#N/A</v>
      </c>
      <c r="O64" s="90" t="e">
        <f>ROUND(VLOOKUP(C64,APUS!$D$10:$Z$1486,23,0),2)</f>
        <v>#N/A</v>
      </c>
      <c r="P64" s="90" t="e">
        <f>ROUND(VLOOKUP(C64,APUS!$E$10:$Z$1486,22,0),2)</f>
        <v>#N/A</v>
      </c>
      <c r="Q64" s="90" t="e">
        <f>ROUND(VLOOKUP(C64,APUS!$F$10:$Z$1486,21,0),2)</f>
        <v>#N/A</v>
      </c>
      <c r="R64" s="90" t="e">
        <f>ROUND(VLOOKUP(C64,APUS!$G$10:$Z$1486,20,0),2)</f>
        <v>#N/A</v>
      </c>
      <c r="S64" s="91" t="e">
        <f t="shared" si="47"/>
        <v>#N/A</v>
      </c>
      <c r="T64" s="5"/>
      <c r="U64" s="34"/>
    </row>
    <row r="65" spans="3:21" x14ac:dyDescent="0.3">
      <c r="C65" s="47"/>
      <c r="D65" s="40"/>
      <c r="E65" s="41"/>
      <c r="F65" s="46"/>
      <c r="G65" s="46"/>
      <c r="H65" s="48"/>
      <c r="I65" s="5"/>
      <c r="J65" s="5"/>
      <c r="K65" s="34"/>
      <c r="L65" s="35"/>
      <c r="M65" s="29"/>
      <c r="N65" s="29"/>
      <c r="O65" s="29"/>
      <c r="P65" s="29"/>
      <c r="Q65" s="29"/>
      <c r="R65" s="29"/>
      <c r="S65" s="36"/>
      <c r="T65" s="5"/>
      <c r="U65" s="34"/>
    </row>
    <row r="66" spans="3:21" x14ac:dyDescent="0.3">
      <c r="C66" s="682" t="e">
        <f>+CONCATENATE("Subtotal ",D56)</f>
        <v>#N/A</v>
      </c>
      <c r="D66" s="683"/>
      <c r="E66" s="683"/>
      <c r="F66" s="683"/>
      <c r="G66" s="683"/>
      <c r="H66" s="44" t="e">
        <f>+SUM(H56:H65)</f>
        <v>#N/A</v>
      </c>
      <c r="I66" s="5"/>
      <c r="J66" s="5"/>
      <c r="K66" s="50" t="e">
        <f t="shared" ref="K66:S66" si="48">+SUM(K56:K65)</f>
        <v>#N/A</v>
      </c>
      <c r="L66" s="50" t="e">
        <f t="shared" si="48"/>
        <v>#N/A</v>
      </c>
      <c r="M66" s="50" t="e">
        <f t="shared" si="48"/>
        <v>#N/A</v>
      </c>
      <c r="N66" s="50" t="e">
        <f t="shared" si="48"/>
        <v>#N/A</v>
      </c>
      <c r="O66" s="50" t="e">
        <f t="shared" si="48"/>
        <v>#N/A</v>
      </c>
      <c r="P66" s="50" t="e">
        <f t="shared" si="48"/>
        <v>#N/A</v>
      </c>
      <c r="Q66" s="50" t="e">
        <f t="shared" si="48"/>
        <v>#N/A</v>
      </c>
      <c r="R66" s="50" t="e">
        <f t="shared" si="48"/>
        <v>#N/A</v>
      </c>
      <c r="S66" s="50" t="e">
        <f t="shared" si="48"/>
        <v>#N/A</v>
      </c>
      <c r="T66" s="5"/>
      <c r="U66" s="34"/>
    </row>
    <row r="67" spans="3:21" x14ac:dyDescent="0.3">
      <c r="C67" s="42" t="s">
        <v>45</v>
      </c>
      <c r="D67" s="656" t="e">
        <f>VLOOKUP(C67,PPTO!$C$7:$H$59,2,0)</f>
        <v>#N/A</v>
      </c>
      <c r="E67" s="657"/>
      <c r="F67" s="657"/>
      <c r="G67" s="657"/>
      <c r="H67" s="658"/>
      <c r="I67" s="5"/>
      <c r="J67" s="5"/>
      <c r="K67" s="34"/>
      <c r="L67" s="35"/>
      <c r="M67" s="29"/>
      <c r="N67" s="29"/>
      <c r="O67" s="29"/>
      <c r="P67" s="29"/>
      <c r="Q67" s="29"/>
      <c r="R67" s="29"/>
      <c r="S67" s="36"/>
      <c r="T67" s="5"/>
      <c r="U67" s="34"/>
    </row>
    <row r="68" spans="3:21" x14ac:dyDescent="0.3">
      <c r="C68" s="65" t="s">
        <v>85</v>
      </c>
      <c r="D68" s="40" t="e">
        <f>VLOOKUP(C68,PPTO!$C$7:$H$59,2,0)</f>
        <v>#N/A</v>
      </c>
      <c r="E68" s="41" t="e">
        <f>VLOOKUP(C68,PPTO!$C$7:$H$59,3,0)</f>
        <v>#N/A</v>
      </c>
      <c r="F68" s="66">
        <f>IFERROR(SUMIFS(PPTO!$F$7:$F$59,PPTO!$C$7:$C$59,ITEMS!C68),0)</f>
        <v>0</v>
      </c>
      <c r="G68" s="67" t="e">
        <f>VLOOKUP(C68,PPTO!$C$7:$H$59,5,0)</f>
        <v>#N/A</v>
      </c>
      <c r="H68" s="45" t="e">
        <f t="shared" ref="H68" si="49">+ROUND(F68*G68,$Q$3)</f>
        <v>#N/A</v>
      </c>
      <c r="I68" s="5"/>
      <c r="J68" s="5"/>
      <c r="K68" s="99" t="e">
        <f t="shared" ref="K68:K88" si="50">ROUND(F68*M68,$Q$3)</f>
        <v>#N/A</v>
      </c>
      <c r="L68" s="99" t="e">
        <f t="shared" ref="L68:L88" si="51">ROUND(F68*N68,$Q$3)</f>
        <v>#N/A</v>
      </c>
      <c r="M68" s="90" t="e">
        <f>ROUND(VLOOKUP(C68,APUS!$H$10:$V$1486,14,0),2)</f>
        <v>#N/A</v>
      </c>
      <c r="N68" s="90" t="e">
        <f>ROUND(VLOOKUP(C68,APUS!$I$10:$V$1486,13,0),2)</f>
        <v>#N/A</v>
      </c>
      <c r="O68" s="90" t="e">
        <f>ROUND(VLOOKUP(C68,APUS!$D$10:$Z$1486,23,0),2)</f>
        <v>#N/A</v>
      </c>
      <c r="P68" s="90" t="e">
        <f>ROUND(VLOOKUP(C68,APUS!$E$10:$Z$1486,22,0),2)</f>
        <v>#N/A</v>
      </c>
      <c r="Q68" s="90" t="e">
        <f>ROUND(VLOOKUP(C68,APUS!$F$10:$Z$1486,21,0),2)</f>
        <v>#N/A</v>
      </c>
      <c r="R68" s="90" t="e">
        <f>ROUND(VLOOKUP(C68,APUS!$G$10:$Z$1486,20,0),2)</f>
        <v>#N/A</v>
      </c>
      <c r="S68" s="91" t="e">
        <f t="shared" ref="S68:S88" si="52">ROUND(SUM(O68:R68),$Q$3)</f>
        <v>#N/A</v>
      </c>
      <c r="T68" s="5"/>
      <c r="U68" s="34"/>
    </row>
    <row r="69" spans="3:21" x14ac:dyDescent="0.3">
      <c r="C69" s="65" t="s">
        <v>86</v>
      </c>
      <c r="D69" s="40" t="e">
        <f>VLOOKUP(C69,PPTO!$C$7:$H$59,2,0)</f>
        <v>#N/A</v>
      </c>
      <c r="E69" s="41" t="e">
        <f>VLOOKUP(C69,PPTO!$C$7:$H$59,3,0)</f>
        <v>#N/A</v>
      </c>
      <c r="F69" s="66">
        <f>IFERROR(SUMIFS(PPTO!$F$7:$F$59,PPTO!$C$7:$C$59,ITEMS!C69),0)</f>
        <v>0</v>
      </c>
      <c r="G69" s="67" t="e">
        <f>VLOOKUP(C69,PPTO!$C$7:$H$59,5,0)</f>
        <v>#N/A</v>
      </c>
      <c r="H69" s="45" t="e">
        <f t="shared" ref="H69:H88" si="53">+ROUND(F69*G69,$Q$3)</f>
        <v>#N/A</v>
      </c>
      <c r="I69" s="5"/>
      <c r="J69" s="5"/>
      <c r="K69" s="99" t="e">
        <f t="shared" ref="K69:K80" si="54">ROUND(F69*M69,$Q$3)</f>
        <v>#N/A</v>
      </c>
      <c r="L69" s="99" t="e">
        <f t="shared" ref="L69:L80" si="55">ROUND(F69*N69,$Q$3)</f>
        <v>#N/A</v>
      </c>
      <c r="M69" s="90" t="e">
        <f>ROUND(VLOOKUP(C69,APUS!$H$10:$V$1486,14,0),2)</f>
        <v>#N/A</v>
      </c>
      <c r="N69" s="90" t="e">
        <f>ROUND(VLOOKUP(C69,APUS!$I$10:$V$1486,13,0),2)</f>
        <v>#N/A</v>
      </c>
      <c r="O69" s="90" t="e">
        <f>ROUND(VLOOKUP(C69,APUS!$D$10:$Z$1486,23,0),2)</f>
        <v>#N/A</v>
      </c>
      <c r="P69" s="90" t="e">
        <f>ROUND(VLOOKUP(C69,APUS!$E$10:$Z$1486,22,0),2)</f>
        <v>#N/A</v>
      </c>
      <c r="Q69" s="90" t="e">
        <f>ROUND(VLOOKUP(C69,APUS!$F$10:$Z$1486,21,0),2)</f>
        <v>#N/A</v>
      </c>
      <c r="R69" s="90" t="e">
        <f>ROUND(VLOOKUP(C69,APUS!$G$10:$Z$1486,20,0),2)</f>
        <v>#N/A</v>
      </c>
      <c r="S69" s="91" t="e">
        <f t="shared" ref="S69:S80" si="56">ROUND(SUM(O69:R69),$Q$3)</f>
        <v>#N/A</v>
      </c>
      <c r="T69" s="5"/>
      <c r="U69" s="34"/>
    </row>
    <row r="70" spans="3:21" x14ac:dyDescent="0.3">
      <c r="C70" s="65" t="s">
        <v>87</v>
      </c>
      <c r="D70" s="40" t="e">
        <f>VLOOKUP(C70,PPTO!$C$7:$H$59,2,0)</f>
        <v>#N/A</v>
      </c>
      <c r="E70" s="41" t="e">
        <f>VLOOKUP(C70,PPTO!$C$7:$H$59,3,0)</f>
        <v>#N/A</v>
      </c>
      <c r="F70" s="66">
        <f>IFERROR(SUMIFS(PPTO!$F$7:$F$59,PPTO!$C$7:$C$59,ITEMS!C70),0)</f>
        <v>0</v>
      </c>
      <c r="G70" s="67" t="e">
        <f>VLOOKUP(C70,PPTO!$C$7:$H$59,5,0)</f>
        <v>#N/A</v>
      </c>
      <c r="H70" s="45" t="e">
        <f t="shared" si="53"/>
        <v>#N/A</v>
      </c>
      <c r="I70" s="5"/>
      <c r="J70" s="5"/>
      <c r="K70" s="99" t="e">
        <f t="shared" si="54"/>
        <v>#N/A</v>
      </c>
      <c r="L70" s="99" t="e">
        <f t="shared" si="55"/>
        <v>#N/A</v>
      </c>
      <c r="M70" s="90" t="e">
        <f>ROUND(VLOOKUP(C70,APUS!$H$10:$V$1486,14,0),2)</f>
        <v>#N/A</v>
      </c>
      <c r="N70" s="90" t="e">
        <f>ROUND(VLOOKUP(C70,APUS!$I$10:$V$1486,13,0),2)</f>
        <v>#N/A</v>
      </c>
      <c r="O70" s="90" t="e">
        <f>ROUND(VLOOKUP(C70,APUS!$D$10:$Z$1486,23,0),2)</f>
        <v>#N/A</v>
      </c>
      <c r="P70" s="90" t="e">
        <f>ROUND(VLOOKUP(C70,APUS!$E$10:$Z$1486,22,0),2)</f>
        <v>#N/A</v>
      </c>
      <c r="Q70" s="90" t="e">
        <f>ROUND(VLOOKUP(C70,APUS!$F$10:$Z$1486,21,0),2)</f>
        <v>#N/A</v>
      </c>
      <c r="R70" s="90" t="e">
        <f>ROUND(VLOOKUP(C70,APUS!$G$10:$Z$1486,20,0),2)</f>
        <v>#N/A</v>
      </c>
      <c r="S70" s="91" t="e">
        <f t="shared" si="56"/>
        <v>#N/A</v>
      </c>
      <c r="T70" s="5"/>
      <c r="U70" s="34"/>
    </row>
    <row r="71" spans="3:21" x14ac:dyDescent="0.3">
      <c r="C71" s="65" t="s">
        <v>474</v>
      </c>
      <c r="D71" s="40" t="e">
        <f>VLOOKUP(C71,PPTO!$C$7:$H$59,2,0)</f>
        <v>#N/A</v>
      </c>
      <c r="E71" s="41" t="e">
        <f>VLOOKUP(C71,PPTO!$C$7:$H$59,3,0)</f>
        <v>#N/A</v>
      </c>
      <c r="F71" s="66">
        <f>IFERROR(SUMIFS(PPTO!$F$7:$F$59,PPTO!$C$7:$C$59,ITEMS!C71),0)</f>
        <v>0</v>
      </c>
      <c r="G71" s="67" t="e">
        <f>VLOOKUP(C71,PPTO!$C$7:$H$59,5,0)</f>
        <v>#N/A</v>
      </c>
      <c r="H71" s="45" t="e">
        <f t="shared" si="53"/>
        <v>#N/A</v>
      </c>
      <c r="I71" s="5"/>
      <c r="J71" s="5"/>
      <c r="K71" s="99" t="e">
        <f t="shared" si="54"/>
        <v>#N/A</v>
      </c>
      <c r="L71" s="99" t="e">
        <f t="shared" si="55"/>
        <v>#N/A</v>
      </c>
      <c r="M71" s="90" t="e">
        <f>ROUND(VLOOKUP(C71,APUS!$H$10:$V$1486,14,0),2)</f>
        <v>#N/A</v>
      </c>
      <c r="N71" s="90" t="e">
        <f>ROUND(VLOOKUP(C71,APUS!$I$10:$V$1486,13,0),2)</f>
        <v>#N/A</v>
      </c>
      <c r="O71" s="90" t="e">
        <f>ROUND(VLOOKUP(C71,APUS!$D$10:$Z$1486,23,0),2)</f>
        <v>#N/A</v>
      </c>
      <c r="P71" s="90" t="e">
        <f>ROUND(VLOOKUP(C71,APUS!$E$10:$Z$1486,22,0),2)</f>
        <v>#N/A</v>
      </c>
      <c r="Q71" s="90" t="e">
        <f>ROUND(VLOOKUP(C71,APUS!$F$10:$Z$1486,21,0),2)</f>
        <v>#N/A</v>
      </c>
      <c r="R71" s="90" t="e">
        <f>ROUND(VLOOKUP(C71,APUS!$G$10:$Z$1486,20,0),2)</f>
        <v>#N/A</v>
      </c>
      <c r="S71" s="91" t="e">
        <f t="shared" si="56"/>
        <v>#N/A</v>
      </c>
      <c r="T71" s="5"/>
      <c r="U71" s="34"/>
    </row>
    <row r="72" spans="3:21" x14ac:dyDescent="0.3">
      <c r="C72" s="65" t="s">
        <v>475</v>
      </c>
      <c r="D72" s="40" t="e">
        <f>VLOOKUP(C72,PPTO!$C$7:$H$59,2,0)</f>
        <v>#N/A</v>
      </c>
      <c r="E72" s="41" t="e">
        <f>VLOOKUP(C72,PPTO!$C$7:$H$59,3,0)</f>
        <v>#N/A</v>
      </c>
      <c r="F72" s="66">
        <f>IFERROR(SUMIFS(PPTO!$F$7:$F$59,PPTO!$C$7:$C$59,ITEMS!C72),0)</f>
        <v>0</v>
      </c>
      <c r="G72" s="67" t="e">
        <f>VLOOKUP(C72,PPTO!$C$7:$H$59,5,0)</f>
        <v>#N/A</v>
      </c>
      <c r="H72" s="45" t="e">
        <f t="shared" si="53"/>
        <v>#N/A</v>
      </c>
      <c r="I72" s="5"/>
      <c r="J72" s="5"/>
      <c r="K72" s="99" t="e">
        <f t="shared" si="54"/>
        <v>#N/A</v>
      </c>
      <c r="L72" s="99" t="e">
        <f t="shared" si="55"/>
        <v>#N/A</v>
      </c>
      <c r="M72" s="90" t="e">
        <f>ROUND(VLOOKUP(C72,APUS!$H$10:$V$1486,14,0),2)</f>
        <v>#N/A</v>
      </c>
      <c r="N72" s="90" t="e">
        <f>ROUND(VLOOKUP(C72,APUS!$I$10:$V$1486,13,0),2)</f>
        <v>#N/A</v>
      </c>
      <c r="O72" s="90" t="e">
        <f>ROUND(VLOOKUP(C72,APUS!$D$10:$Z$1486,23,0),2)</f>
        <v>#N/A</v>
      </c>
      <c r="P72" s="90" t="e">
        <f>ROUND(VLOOKUP(C72,APUS!$E$10:$Z$1486,22,0),2)</f>
        <v>#N/A</v>
      </c>
      <c r="Q72" s="90" t="e">
        <f>ROUND(VLOOKUP(C72,APUS!$F$10:$Z$1486,21,0),2)</f>
        <v>#N/A</v>
      </c>
      <c r="R72" s="90" t="e">
        <f>ROUND(VLOOKUP(C72,APUS!$G$10:$Z$1486,20,0),2)</f>
        <v>#N/A</v>
      </c>
      <c r="S72" s="91" t="e">
        <f t="shared" si="56"/>
        <v>#N/A</v>
      </c>
      <c r="T72" s="5"/>
      <c r="U72" s="34"/>
    </row>
    <row r="73" spans="3:21" x14ac:dyDescent="0.3">
      <c r="C73" s="65" t="s">
        <v>476</v>
      </c>
      <c r="D73" s="40" t="e">
        <f>VLOOKUP(C73,PPTO!$C$7:$H$59,2,0)</f>
        <v>#N/A</v>
      </c>
      <c r="E73" s="41" t="e">
        <f>VLOOKUP(C73,PPTO!$C$7:$H$59,3,0)</f>
        <v>#N/A</v>
      </c>
      <c r="F73" s="66">
        <f>IFERROR(SUMIFS(PPTO!$F$7:$F$59,PPTO!$C$7:$C$59,ITEMS!C73),0)</f>
        <v>0</v>
      </c>
      <c r="G73" s="67" t="e">
        <f>VLOOKUP(C73,PPTO!$C$7:$H$59,5,0)</f>
        <v>#N/A</v>
      </c>
      <c r="H73" s="45" t="e">
        <f t="shared" si="53"/>
        <v>#N/A</v>
      </c>
      <c r="I73" s="5"/>
      <c r="J73" s="5"/>
      <c r="K73" s="99" t="e">
        <f t="shared" si="54"/>
        <v>#N/A</v>
      </c>
      <c r="L73" s="99" t="e">
        <f t="shared" si="55"/>
        <v>#N/A</v>
      </c>
      <c r="M73" s="90" t="e">
        <f>ROUND(VLOOKUP(C73,APUS!$H$10:$V$1486,14,0),2)</f>
        <v>#N/A</v>
      </c>
      <c r="N73" s="90" t="e">
        <f>ROUND(VLOOKUP(C73,APUS!$I$10:$V$1486,13,0),2)</f>
        <v>#N/A</v>
      </c>
      <c r="O73" s="90" t="e">
        <f>ROUND(VLOOKUP(C73,APUS!$D$10:$Z$1486,23,0),2)</f>
        <v>#N/A</v>
      </c>
      <c r="P73" s="90" t="e">
        <f>ROUND(VLOOKUP(C73,APUS!$E$10:$Z$1486,22,0),2)</f>
        <v>#N/A</v>
      </c>
      <c r="Q73" s="90" t="e">
        <f>ROUND(VLOOKUP(C73,APUS!$F$10:$Z$1486,21,0),2)</f>
        <v>#N/A</v>
      </c>
      <c r="R73" s="90" t="e">
        <f>ROUND(VLOOKUP(C73,APUS!$G$10:$Z$1486,20,0),2)</f>
        <v>#N/A</v>
      </c>
      <c r="S73" s="91" t="e">
        <f t="shared" si="56"/>
        <v>#N/A</v>
      </c>
      <c r="T73" s="5"/>
      <c r="U73" s="34"/>
    </row>
    <row r="74" spans="3:21" x14ac:dyDescent="0.3">
      <c r="C74" s="65" t="s">
        <v>477</v>
      </c>
      <c r="D74" s="40" t="e">
        <f>VLOOKUP(C74,PPTO!$C$7:$H$59,2,0)</f>
        <v>#N/A</v>
      </c>
      <c r="E74" s="41" t="e">
        <f>VLOOKUP(C74,PPTO!$C$7:$H$59,3,0)</f>
        <v>#N/A</v>
      </c>
      <c r="F74" s="66">
        <f>IFERROR(SUMIFS(PPTO!$F$7:$F$59,PPTO!$C$7:$C$59,ITEMS!C74),0)</f>
        <v>0</v>
      </c>
      <c r="G74" s="67" t="e">
        <f>VLOOKUP(C74,PPTO!$C$7:$H$59,5,0)</f>
        <v>#N/A</v>
      </c>
      <c r="H74" s="45" t="e">
        <f t="shared" si="53"/>
        <v>#N/A</v>
      </c>
      <c r="I74" s="5"/>
      <c r="J74" s="5"/>
      <c r="K74" s="99" t="e">
        <f t="shared" si="54"/>
        <v>#N/A</v>
      </c>
      <c r="L74" s="99" t="e">
        <f t="shared" si="55"/>
        <v>#N/A</v>
      </c>
      <c r="M74" s="90" t="e">
        <f>ROUND(VLOOKUP(C74,APUS!$H$10:$V$1486,14,0),2)</f>
        <v>#N/A</v>
      </c>
      <c r="N74" s="90" t="e">
        <f>ROUND(VLOOKUP(C74,APUS!$I$10:$V$1486,13,0),2)</f>
        <v>#N/A</v>
      </c>
      <c r="O74" s="90" t="e">
        <f>ROUND(VLOOKUP(C74,APUS!$D$10:$Z$1486,23,0),2)</f>
        <v>#N/A</v>
      </c>
      <c r="P74" s="90" t="e">
        <f>ROUND(VLOOKUP(C74,APUS!$E$10:$Z$1486,22,0),2)</f>
        <v>#N/A</v>
      </c>
      <c r="Q74" s="90" t="e">
        <f>ROUND(VLOOKUP(C74,APUS!$F$10:$Z$1486,21,0),2)</f>
        <v>#N/A</v>
      </c>
      <c r="R74" s="90" t="e">
        <f>ROUND(VLOOKUP(C74,APUS!$G$10:$Z$1486,20,0),2)</f>
        <v>#N/A</v>
      </c>
      <c r="S74" s="91" t="e">
        <f t="shared" si="56"/>
        <v>#N/A</v>
      </c>
      <c r="T74" s="5"/>
      <c r="U74" s="34"/>
    </row>
    <row r="75" spans="3:21" x14ac:dyDescent="0.3">
      <c r="C75" s="65" t="s">
        <v>478</v>
      </c>
      <c r="D75" s="40" t="e">
        <f>VLOOKUP(C75,PPTO!$C$7:$H$59,2,0)</f>
        <v>#N/A</v>
      </c>
      <c r="E75" s="41" t="e">
        <f>VLOOKUP(C75,PPTO!$C$7:$H$59,3,0)</f>
        <v>#N/A</v>
      </c>
      <c r="F75" s="66">
        <f>IFERROR(SUMIFS(PPTO!$F$7:$F$59,PPTO!$C$7:$C$59,ITEMS!C75),0)</f>
        <v>0</v>
      </c>
      <c r="G75" s="67" t="e">
        <f>VLOOKUP(C75,PPTO!$C$7:$H$59,5,0)</f>
        <v>#N/A</v>
      </c>
      <c r="H75" s="45" t="e">
        <f t="shared" si="53"/>
        <v>#N/A</v>
      </c>
      <c r="I75" s="5"/>
      <c r="J75" s="5"/>
      <c r="K75" s="99" t="e">
        <f t="shared" si="54"/>
        <v>#N/A</v>
      </c>
      <c r="L75" s="99" t="e">
        <f t="shared" si="55"/>
        <v>#N/A</v>
      </c>
      <c r="M75" s="90" t="e">
        <f>ROUND(VLOOKUP(C75,APUS!$H$10:$V$1486,14,0),2)</f>
        <v>#N/A</v>
      </c>
      <c r="N75" s="90" t="e">
        <f>ROUND(VLOOKUP(C75,APUS!$I$10:$V$1486,13,0),2)</f>
        <v>#N/A</v>
      </c>
      <c r="O75" s="90" t="e">
        <f>ROUND(VLOOKUP(C75,APUS!$D$10:$Z$1486,23,0),2)</f>
        <v>#N/A</v>
      </c>
      <c r="P75" s="90" t="e">
        <f>ROUND(VLOOKUP(C75,APUS!$E$10:$Z$1486,22,0),2)</f>
        <v>#N/A</v>
      </c>
      <c r="Q75" s="90" t="e">
        <f>ROUND(VLOOKUP(C75,APUS!$F$10:$Z$1486,21,0),2)</f>
        <v>#N/A</v>
      </c>
      <c r="R75" s="90" t="e">
        <f>ROUND(VLOOKUP(C75,APUS!$G$10:$Z$1486,20,0),2)</f>
        <v>#N/A</v>
      </c>
      <c r="S75" s="91" t="e">
        <f t="shared" si="56"/>
        <v>#N/A</v>
      </c>
      <c r="T75" s="5"/>
      <c r="U75" s="34"/>
    </row>
    <row r="76" spans="3:21" x14ac:dyDescent="0.3">
      <c r="C76" s="65" t="s">
        <v>479</v>
      </c>
      <c r="D76" s="40" t="e">
        <f>VLOOKUP(C76,PPTO!$C$7:$H$59,2,0)</f>
        <v>#N/A</v>
      </c>
      <c r="E76" s="41" t="e">
        <f>VLOOKUP(C76,PPTO!$C$7:$H$59,3,0)</f>
        <v>#N/A</v>
      </c>
      <c r="F76" s="66">
        <f>IFERROR(SUMIFS(PPTO!$F$7:$F$59,PPTO!$C$7:$C$59,ITEMS!C76),0)</f>
        <v>0</v>
      </c>
      <c r="G76" s="67" t="e">
        <f>VLOOKUP(C76,PPTO!$C$7:$H$59,5,0)</f>
        <v>#N/A</v>
      </c>
      <c r="H76" s="45" t="e">
        <f t="shared" si="53"/>
        <v>#N/A</v>
      </c>
      <c r="I76" s="5"/>
      <c r="J76" s="5"/>
      <c r="K76" s="99" t="e">
        <f t="shared" si="54"/>
        <v>#N/A</v>
      </c>
      <c r="L76" s="99" t="e">
        <f t="shared" si="55"/>
        <v>#N/A</v>
      </c>
      <c r="M76" s="90" t="e">
        <f>ROUND(VLOOKUP(C76,APUS!$H$10:$V$1486,14,0),2)</f>
        <v>#N/A</v>
      </c>
      <c r="N76" s="90" t="e">
        <f>ROUND(VLOOKUP(C76,APUS!$I$10:$V$1486,13,0),2)</f>
        <v>#N/A</v>
      </c>
      <c r="O76" s="90" t="e">
        <f>ROUND(VLOOKUP(C76,APUS!$D$10:$Z$1486,23,0),2)</f>
        <v>#N/A</v>
      </c>
      <c r="P76" s="90" t="e">
        <f>ROUND(VLOOKUP(C76,APUS!$E$10:$Z$1486,22,0),2)</f>
        <v>#N/A</v>
      </c>
      <c r="Q76" s="90" t="e">
        <f>ROUND(VLOOKUP(C76,APUS!$F$10:$Z$1486,21,0),2)</f>
        <v>#N/A</v>
      </c>
      <c r="R76" s="90" t="e">
        <f>ROUND(VLOOKUP(C76,APUS!$G$10:$Z$1486,20,0),2)</f>
        <v>#N/A</v>
      </c>
      <c r="S76" s="91" t="e">
        <f t="shared" si="56"/>
        <v>#N/A</v>
      </c>
      <c r="T76" s="5"/>
      <c r="U76" s="34"/>
    </row>
    <row r="77" spans="3:21" x14ac:dyDescent="0.3">
      <c r="C77" s="65" t="s">
        <v>480</v>
      </c>
      <c r="D77" s="40" t="e">
        <f>VLOOKUP(C77,PPTO!$C$7:$H$59,2,0)</f>
        <v>#N/A</v>
      </c>
      <c r="E77" s="41" t="e">
        <f>VLOOKUP(C77,PPTO!$C$7:$H$59,3,0)</f>
        <v>#N/A</v>
      </c>
      <c r="F77" s="66">
        <f>IFERROR(SUMIFS(PPTO!$F$7:$F$59,PPTO!$C$7:$C$59,ITEMS!C77),0)</f>
        <v>0</v>
      </c>
      <c r="G77" s="67" t="e">
        <f>VLOOKUP(C77,PPTO!$C$7:$H$59,5,0)</f>
        <v>#N/A</v>
      </c>
      <c r="H77" s="45" t="e">
        <f t="shared" si="53"/>
        <v>#N/A</v>
      </c>
      <c r="I77" s="5"/>
      <c r="J77" s="5"/>
      <c r="K77" s="99" t="e">
        <f t="shared" si="54"/>
        <v>#N/A</v>
      </c>
      <c r="L77" s="99" t="e">
        <f t="shared" si="55"/>
        <v>#N/A</v>
      </c>
      <c r="M77" s="90" t="e">
        <f>ROUND(VLOOKUP(C77,APUS!$H$10:$V$1486,14,0),2)</f>
        <v>#N/A</v>
      </c>
      <c r="N77" s="90" t="e">
        <f>ROUND(VLOOKUP(C77,APUS!$I$10:$V$1486,13,0),2)</f>
        <v>#N/A</v>
      </c>
      <c r="O77" s="90" t="e">
        <f>ROUND(VLOOKUP(C77,APUS!$D$10:$Z$1486,23,0),2)</f>
        <v>#N/A</v>
      </c>
      <c r="P77" s="90" t="e">
        <f>ROUND(VLOOKUP(C77,APUS!$E$10:$Z$1486,22,0),2)</f>
        <v>#N/A</v>
      </c>
      <c r="Q77" s="90" t="e">
        <f>ROUND(VLOOKUP(C77,APUS!$F$10:$Z$1486,21,0),2)</f>
        <v>#N/A</v>
      </c>
      <c r="R77" s="90" t="e">
        <f>ROUND(VLOOKUP(C77,APUS!$G$10:$Z$1486,20,0),2)</f>
        <v>#N/A</v>
      </c>
      <c r="S77" s="91" t="e">
        <f t="shared" si="56"/>
        <v>#N/A</v>
      </c>
      <c r="T77" s="5"/>
      <c r="U77" s="34"/>
    </row>
    <row r="78" spans="3:21" x14ac:dyDescent="0.3">
      <c r="C78" s="65" t="s">
        <v>481</v>
      </c>
      <c r="D78" s="40" t="e">
        <f>VLOOKUP(C78,PPTO!$C$7:$H$59,2,0)</f>
        <v>#N/A</v>
      </c>
      <c r="E78" s="41" t="e">
        <f>VLOOKUP(C78,PPTO!$C$7:$H$59,3,0)</f>
        <v>#N/A</v>
      </c>
      <c r="F78" s="66">
        <f>IFERROR(SUMIFS(PPTO!$F$7:$F$59,PPTO!$C$7:$C$59,ITEMS!C78),0)</f>
        <v>0</v>
      </c>
      <c r="G78" s="67" t="e">
        <f>VLOOKUP(C78,PPTO!$C$7:$H$59,5,0)</f>
        <v>#N/A</v>
      </c>
      <c r="H78" s="45" t="e">
        <f t="shared" si="53"/>
        <v>#N/A</v>
      </c>
      <c r="I78" s="5"/>
      <c r="J78" s="5"/>
      <c r="K78" s="99" t="e">
        <f t="shared" si="54"/>
        <v>#N/A</v>
      </c>
      <c r="L78" s="99" t="e">
        <f t="shared" si="55"/>
        <v>#N/A</v>
      </c>
      <c r="M78" s="90" t="e">
        <f>ROUND(VLOOKUP(C78,APUS!$H$10:$V$1486,14,0),2)</f>
        <v>#N/A</v>
      </c>
      <c r="N78" s="90" t="e">
        <f>ROUND(VLOOKUP(C78,APUS!$I$10:$V$1486,13,0),2)</f>
        <v>#N/A</v>
      </c>
      <c r="O78" s="90" t="e">
        <f>ROUND(VLOOKUP(C78,APUS!$D$10:$Z$1486,23,0),2)</f>
        <v>#N/A</v>
      </c>
      <c r="P78" s="90" t="e">
        <f>ROUND(VLOOKUP(C78,APUS!$E$10:$Z$1486,22,0),2)</f>
        <v>#N/A</v>
      </c>
      <c r="Q78" s="90" t="e">
        <f>ROUND(VLOOKUP(C78,APUS!$F$10:$Z$1486,21,0),2)</f>
        <v>#N/A</v>
      </c>
      <c r="R78" s="90" t="e">
        <f>ROUND(VLOOKUP(C78,APUS!$G$10:$Z$1486,20,0),2)</f>
        <v>#N/A</v>
      </c>
      <c r="S78" s="91" t="e">
        <f t="shared" si="56"/>
        <v>#N/A</v>
      </c>
      <c r="T78" s="5"/>
      <c r="U78" s="34"/>
    </row>
    <row r="79" spans="3:21" x14ac:dyDescent="0.3">
      <c r="C79" s="65" t="s">
        <v>482</v>
      </c>
      <c r="D79" s="40" t="e">
        <f>VLOOKUP(C79,PPTO!$C$7:$H$59,2,0)</f>
        <v>#N/A</v>
      </c>
      <c r="E79" s="41" t="e">
        <f>VLOOKUP(C79,PPTO!$C$7:$H$59,3,0)</f>
        <v>#N/A</v>
      </c>
      <c r="F79" s="66">
        <f>IFERROR(SUMIFS(PPTO!$F$7:$F$59,PPTO!$C$7:$C$59,ITEMS!C79),0)</f>
        <v>0</v>
      </c>
      <c r="G79" s="67" t="e">
        <f>VLOOKUP(C79,PPTO!$C$7:$H$59,5,0)</f>
        <v>#N/A</v>
      </c>
      <c r="H79" s="45" t="e">
        <f t="shared" si="53"/>
        <v>#N/A</v>
      </c>
      <c r="I79" s="5"/>
      <c r="J79" s="5"/>
      <c r="K79" s="99" t="e">
        <f t="shared" si="54"/>
        <v>#N/A</v>
      </c>
      <c r="L79" s="99" t="e">
        <f t="shared" si="55"/>
        <v>#N/A</v>
      </c>
      <c r="M79" s="90" t="e">
        <f>ROUND(VLOOKUP(C79,APUS!$H$10:$V$1486,14,0),2)</f>
        <v>#N/A</v>
      </c>
      <c r="N79" s="90" t="e">
        <f>ROUND(VLOOKUP(C79,APUS!$I$10:$V$1486,13,0),2)</f>
        <v>#N/A</v>
      </c>
      <c r="O79" s="90" t="e">
        <f>ROUND(VLOOKUP(C79,APUS!$D$10:$Z$1486,23,0),2)</f>
        <v>#N/A</v>
      </c>
      <c r="P79" s="90" t="e">
        <f>ROUND(VLOOKUP(C79,APUS!$E$10:$Z$1486,22,0),2)</f>
        <v>#N/A</v>
      </c>
      <c r="Q79" s="90" t="e">
        <f>ROUND(VLOOKUP(C79,APUS!$F$10:$Z$1486,21,0),2)</f>
        <v>#N/A</v>
      </c>
      <c r="R79" s="90" t="e">
        <f>ROUND(VLOOKUP(C79,APUS!$G$10:$Z$1486,20,0),2)</f>
        <v>#N/A</v>
      </c>
      <c r="S79" s="91" t="e">
        <f t="shared" si="56"/>
        <v>#N/A</v>
      </c>
      <c r="T79" s="5"/>
      <c r="U79" s="34"/>
    </row>
    <row r="80" spans="3:21" x14ac:dyDescent="0.3">
      <c r="C80" s="65" t="s">
        <v>483</v>
      </c>
      <c r="D80" s="40" t="e">
        <f>VLOOKUP(C80,PPTO!$C$7:$H$59,2,0)</f>
        <v>#N/A</v>
      </c>
      <c r="E80" s="41" t="e">
        <f>VLOOKUP(C80,PPTO!$C$7:$H$59,3,0)</f>
        <v>#N/A</v>
      </c>
      <c r="F80" s="66">
        <f>IFERROR(SUMIFS(PPTO!$F$7:$F$59,PPTO!$C$7:$C$59,ITEMS!C80),0)</f>
        <v>0</v>
      </c>
      <c r="G80" s="67" t="e">
        <f>VLOOKUP(C80,PPTO!$C$7:$H$59,5,0)</f>
        <v>#N/A</v>
      </c>
      <c r="H80" s="45" t="e">
        <f t="shared" si="53"/>
        <v>#N/A</v>
      </c>
      <c r="I80" s="5"/>
      <c r="J80" s="5"/>
      <c r="K80" s="99" t="e">
        <f t="shared" si="54"/>
        <v>#N/A</v>
      </c>
      <c r="L80" s="99" t="e">
        <f t="shared" si="55"/>
        <v>#N/A</v>
      </c>
      <c r="M80" s="90" t="e">
        <f>ROUND(VLOOKUP(C80,APUS!$H$10:$V$1486,14,0),2)</f>
        <v>#N/A</v>
      </c>
      <c r="N80" s="90" t="e">
        <f>ROUND(VLOOKUP(C80,APUS!$I$10:$V$1486,13,0),2)</f>
        <v>#N/A</v>
      </c>
      <c r="O80" s="90" t="e">
        <f>ROUND(VLOOKUP(C80,APUS!$D$10:$Z$1486,23,0),2)</f>
        <v>#N/A</v>
      </c>
      <c r="P80" s="90" t="e">
        <f>ROUND(VLOOKUP(C80,APUS!$E$10:$Z$1486,22,0),2)</f>
        <v>#N/A</v>
      </c>
      <c r="Q80" s="90" t="e">
        <f>ROUND(VLOOKUP(C80,APUS!$F$10:$Z$1486,21,0),2)</f>
        <v>#N/A</v>
      </c>
      <c r="R80" s="90" t="e">
        <f>ROUND(VLOOKUP(C80,APUS!$G$10:$Z$1486,20,0),2)</f>
        <v>#N/A</v>
      </c>
      <c r="S80" s="91" t="e">
        <f t="shared" si="56"/>
        <v>#N/A</v>
      </c>
      <c r="T80" s="5"/>
      <c r="U80" s="34"/>
    </row>
    <row r="81" spans="3:22" x14ac:dyDescent="0.3">
      <c r="C81" s="65" t="s">
        <v>484</v>
      </c>
      <c r="D81" s="40" t="e">
        <f>VLOOKUP(C81,PPTO!$C$7:$H$59,2,0)</f>
        <v>#N/A</v>
      </c>
      <c r="E81" s="41" t="e">
        <f>VLOOKUP(C81,PPTO!$C$7:$H$59,3,0)</f>
        <v>#N/A</v>
      </c>
      <c r="F81" s="66">
        <f>IFERROR(SUMIFS(PPTO!$F$7:$F$59,PPTO!$C$7:$C$59,ITEMS!C81),0)</f>
        <v>0</v>
      </c>
      <c r="G81" s="67" t="e">
        <f>VLOOKUP(C81,PPTO!$C$7:$H$59,5,0)</f>
        <v>#N/A</v>
      </c>
      <c r="H81" s="45" t="e">
        <f t="shared" si="53"/>
        <v>#N/A</v>
      </c>
      <c r="I81" s="5"/>
      <c r="J81" s="5"/>
      <c r="K81" s="99" t="e">
        <f t="shared" si="50"/>
        <v>#N/A</v>
      </c>
      <c r="L81" s="99" t="e">
        <f t="shared" si="51"/>
        <v>#N/A</v>
      </c>
      <c r="M81" s="90" t="e">
        <f>ROUND(VLOOKUP(C81,APUS!$H$10:$V$1486,14,0),2)</f>
        <v>#N/A</v>
      </c>
      <c r="N81" s="90" t="e">
        <f>ROUND(VLOOKUP(C81,APUS!$I$10:$V$1486,13,0),2)</f>
        <v>#N/A</v>
      </c>
      <c r="O81" s="90" t="e">
        <f>ROUND(VLOOKUP(C81,APUS!$D$10:$Z$1486,23,0),2)</f>
        <v>#N/A</v>
      </c>
      <c r="P81" s="90" t="e">
        <f>ROUND(VLOOKUP(C81,APUS!$E$10:$Z$1486,22,0),2)</f>
        <v>#N/A</v>
      </c>
      <c r="Q81" s="90" t="e">
        <f>ROUND(VLOOKUP(C81,APUS!$F$10:$Z$1486,21,0),2)</f>
        <v>#N/A</v>
      </c>
      <c r="R81" s="90" t="e">
        <f>ROUND(VLOOKUP(C81,APUS!$G$10:$Z$1486,20,0),2)</f>
        <v>#N/A</v>
      </c>
      <c r="S81" s="91" t="e">
        <f t="shared" si="52"/>
        <v>#N/A</v>
      </c>
      <c r="T81" s="5"/>
      <c r="U81" s="34"/>
    </row>
    <row r="82" spans="3:22" x14ac:dyDescent="0.3">
      <c r="C82" s="65" t="s">
        <v>485</v>
      </c>
      <c r="D82" s="40" t="e">
        <f>VLOOKUP(C82,PPTO!$C$7:$H$59,2,0)</f>
        <v>#N/A</v>
      </c>
      <c r="E82" s="41" t="e">
        <f>VLOOKUP(C82,PPTO!$C$7:$H$59,3,0)</f>
        <v>#N/A</v>
      </c>
      <c r="F82" s="66">
        <f>IFERROR(SUMIFS(PPTO!$F$7:$F$59,PPTO!$C$7:$C$59,ITEMS!C82),0)</f>
        <v>0</v>
      </c>
      <c r="G82" s="67" t="e">
        <f>VLOOKUP(C82,PPTO!$C$7:$H$59,5,0)</f>
        <v>#N/A</v>
      </c>
      <c r="H82" s="45" t="e">
        <f t="shared" si="53"/>
        <v>#N/A</v>
      </c>
      <c r="I82" s="5"/>
      <c r="J82" s="5"/>
      <c r="K82" s="99" t="e">
        <f t="shared" ref="K82:K87" si="57">ROUND(F82*M82,$Q$3)</f>
        <v>#N/A</v>
      </c>
      <c r="L82" s="99" t="e">
        <f t="shared" ref="L82:L87" si="58">ROUND(F82*N82,$Q$3)</f>
        <v>#N/A</v>
      </c>
      <c r="M82" s="90" t="e">
        <f>ROUND(VLOOKUP(C82,APUS!$H$10:$V$1486,14,0),2)</f>
        <v>#N/A</v>
      </c>
      <c r="N82" s="90" t="e">
        <f>ROUND(VLOOKUP(C82,APUS!$I$10:$V$1486,13,0),2)</f>
        <v>#N/A</v>
      </c>
      <c r="O82" s="90" t="e">
        <f>ROUND(VLOOKUP(C82,APUS!$D$10:$Z$1486,23,0),2)</f>
        <v>#N/A</v>
      </c>
      <c r="P82" s="90" t="e">
        <f>ROUND(VLOOKUP(C82,APUS!$E$10:$Z$1486,22,0),2)</f>
        <v>#N/A</v>
      </c>
      <c r="Q82" s="90" t="e">
        <f>ROUND(VLOOKUP(C82,APUS!$F$10:$Z$1486,21,0),2)</f>
        <v>#N/A</v>
      </c>
      <c r="R82" s="90" t="e">
        <f>ROUND(VLOOKUP(C82,APUS!$G$10:$Z$1486,20,0),2)</f>
        <v>#N/A</v>
      </c>
      <c r="S82" s="91" t="e">
        <f t="shared" ref="S82:S87" si="59">ROUND(SUM(O82:R82),$Q$3)</f>
        <v>#N/A</v>
      </c>
      <c r="T82" s="5"/>
      <c r="U82" s="34"/>
    </row>
    <row r="83" spans="3:22" x14ac:dyDescent="0.3">
      <c r="C83" s="65" t="s">
        <v>486</v>
      </c>
      <c r="D83" s="40" t="e">
        <f>VLOOKUP(C83,PPTO!$C$7:$H$59,2,0)</f>
        <v>#N/A</v>
      </c>
      <c r="E83" s="41" t="e">
        <f>VLOOKUP(C83,PPTO!$C$7:$H$59,3,0)</f>
        <v>#N/A</v>
      </c>
      <c r="F83" s="66">
        <f>IFERROR(SUMIFS(PPTO!$F$7:$F$59,PPTO!$C$7:$C$59,ITEMS!C83),0)</f>
        <v>0</v>
      </c>
      <c r="G83" s="67" t="e">
        <f>VLOOKUP(C83,PPTO!$C$7:$H$59,5,0)</f>
        <v>#N/A</v>
      </c>
      <c r="H83" s="45" t="e">
        <f t="shared" si="53"/>
        <v>#N/A</v>
      </c>
      <c r="I83" s="5"/>
      <c r="J83" s="5"/>
      <c r="K83" s="99" t="e">
        <f t="shared" si="57"/>
        <v>#N/A</v>
      </c>
      <c r="L83" s="99" t="e">
        <f t="shared" si="58"/>
        <v>#N/A</v>
      </c>
      <c r="M83" s="90" t="e">
        <f>ROUND(VLOOKUP(C83,APUS!$H$10:$V$1486,14,0),2)</f>
        <v>#N/A</v>
      </c>
      <c r="N83" s="90" t="e">
        <f>ROUND(VLOOKUP(C83,APUS!$I$10:$V$1486,13,0),2)</f>
        <v>#N/A</v>
      </c>
      <c r="O83" s="90" t="e">
        <f>ROUND(VLOOKUP(C83,APUS!$D$10:$Z$1486,23,0),2)</f>
        <v>#N/A</v>
      </c>
      <c r="P83" s="90" t="e">
        <f>ROUND(VLOOKUP(C83,APUS!$E$10:$Z$1486,22,0),2)</f>
        <v>#N/A</v>
      </c>
      <c r="Q83" s="90" t="e">
        <f>ROUND(VLOOKUP(C83,APUS!$F$10:$Z$1486,21,0),2)</f>
        <v>#N/A</v>
      </c>
      <c r="R83" s="90" t="e">
        <f>ROUND(VLOOKUP(C83,APUS!$G$10:$Z$1486,20,0),2)</f>
        <v>#N/A</v>
      </c>
      <c r="S83" s="91" t="e">
        <f t="shared" si="59"/>
        <v>#N/A</v>
      </c>
      <c r="T83" s="5"/>
      <c r="U83" s="34"/>
    </row>
    <row r="84" spans="3:22" x14ac:dyDescent="0.3">
      <c r="C84" s="65" t="s">
        <v>487</v>
      </c>
      <c r="D84" s="40" t="e">
        <f>VLOOKUP(C84,PPTO!$C$7:$H$59,2,0)</f>
        <v>#N/A</v>
      </c>
      <c r="E84" s="41" t="e">
        <f>VLOOKUP(C84,PPTO!$C$7:$H$59,3,0)</f>
        <v>#N/A</v>
      </c>
      <c r="F84" s="66">
        <f>IFERROR(SUMIFS(PPTO!$F$7:$F$59,PPTO!$C$7:$C$59,ITEMS!C84),0)</f>
        <v>0</v>
      </c>
      <c r="G84" s="67" t="e">
        <f>VLOOKUP(C84,PPTO!$C$7:$H$59,5,0)</f>
        <v>#N/A</v>
      </c>
      <c r="H84" s="45" t="e">
        <f t="shared" si="53"/>
        <v>#N/A</v>
      </c>
      <c r="I84" s="5"/>
      <c r="J84" s="5"/>
      <c r="K84" s="99" t="e">
        <f t="shared" si="57"/>
        <v>#N/A</v>
      </c>
      <c r="L84" s="99" t="e">
        <f t="shared" si="58"/>
        <v>#N/A</v>
      </c>
      <c r="M84" s="90" t="e">
        <f>ROUND(VLOOKUP(C84,APUS!$H$10:$V$1486,14,0),2)</f>
        <v>#N/A</v>
      </c>
      <c r="N84" s="90" t="e">
        <f>ROUND(VLOOKUP(C84,APUS!$I$10:$V$1486,13,0),2)</f>
        <v>#N/A</v>
      </c>
      <c r="O84" s="90" t="e">
        <f>ROUND(VLOOKUP(C84,APUS!$D$10:$Z$1486,23,0),2)</f>
        <v>#N/A</v>
      </c>
      <c r="P84" s="90" t="e">
        <f>ROUND(VLOOKUP(C84,APUS!$E$10:$Z$1486,22,0),2)</f>
        <v>#N/A</v>
      </c>
      <c r="Q84" s="90" t="e">
        <f>ROUND(VLOOKUP(C84,APUS!$F$10:$Z$1486,21,0),2)</f>
        <v>#N/A</v>
      </c>
      <c r="R84" s="90" t="e">
        <f>ROUND(VLOOKUP(C84,APUS!$G$10:$Z$1486,20,0),2)</f>
        <v>#N/A</v>
      </c>
      <c r="S84" s="91" t="e">
        <f t="shared" si="59"/>
        <v>#N/A</v>
      </c>
      <c r="T84" s="5"/>
      <c r="U84" s="34"/>
    </row>
    <row r="85" spans="3:22" x14ac:dyDescent="0.3">
      <c r="C85" s="65" t="s">
        <v>542</v>
      </c>
      <c r="D85" s="40" t="e">
        <f>VLOOKUP(C85,PPTO!$C$7:$H$59,2,0)</f>
        <v>#N/A</v>
      </c>
      <c r="E85" s="41" t="e">
        <f>VLOOKUP(C85,PPTO!$C$7:$H$59,3,0)</f>
        <v>#N/A</v>
      </c>
      <c r="F85" s="66">
        <f>IFERROR(SUMIFS(PPTO!$F$7:$F$59,PPTO!$C$7:$C$59,ITEMS!C85),0)</f>
        <v>0</v>
      </c>
      <c r="G85" s="67" t="e">
        <f>VLOOKUP(C85,PPTO!$C$7:$H$59,5,0)</f>
        <v>#N/A</v>
      </c>
      <c r="H85" s="45" t="e">
        <f t="shared" si="53"/>
        <v>#N/A</v>
      </c>
      <c r="I85" s="5"/>
      <c r="J85" s="5"/>
      <c r="K85" s="99" t="e">
        <f t="shared" si="57"/>
        <v>#N/A</v>
      </c>
      <c r="L85" s="99" t="e">
        <f t="shared" si="58"/>
        <v>#N/A</v>
      </c>
      <c r="M85" s="90" t="e">
        <f>ROUND(VLOOKUP(C85,APUS!$H$10:$V$1486,14,0),2)</f>
        <v>#N/A</v>
      </c>
      <c r="N85" s="90" t="e">
        <f>ROUND(VLOOKUP(C85,APUS!$I$10:$V$1486,13,0),2)</f>
        <v>#N/A</v>
      </c>
      <c r="O85" s="90" t="e">
        <f>ROUND(VLOOKUP(C85,APUS!$D$10:$Z$1486,23,0),2)</f>
        <v>#N/A</v>
      </c>
      <c r="P85" s="90" t="e">
        <f>ROUND(VLOOKUP(C85,APUS!$E$10:$Z$1486,22,0),2)</f>
        <v>#N/A</v>
      </c>
      <c r="Q85" s="90" t="e">
        <f>ROUND(VLOOKUP(C85,APUS!$F$10:$Z$1486,21,0),2)</f>
        <v>#N/A</v>
      </c>
      <c r="R85" s="90" t="e">
        <f>ROUND(VLOOKUP(C85,APUS!$G$10:$Z$1486,20,0),2)</f>
        <v>#N/A</v>
      </c>
      <c r="S85" s="91" t="e">
        <f t="shared" si="59"/>
        <v>#N/A</v>
      </c>
      <c r="T85" s="5"/>
      <c r="U85" s="34"/>
    </row>
    <row r="86" spans="3:22" x14ac:dyDescent="0.3">
      <c r="C86" s="65" t="s">
        <v>543</v>
      </c>
      <c r="D86" s="40" t="e">
        <f>VLOOKUP(C86,PPTO!$C$7:$H$59,2,0)</f>
        <v>#N/A</v>
      </c>
      <c r="E86" s="41" t="e">
        <f>VLOOKUP(C86,PPTO!$C$7:$H$59,3,0)</f>
        <v>#N/A</v>
      </c>
      <c r="F86" s="66">
        <f>IFERROR(SUMIFS(PPTO!$F$7:$F$59,PPTO!$C$7:$C$59,ITEMS!C86),0)</f>
        <v>0</v>
      </c>
      <c r="G86" s="67" t="e">
        <f>VLOOKUP(C86,PPTO!$C$7:$H$59,5,0)</f>
        <v>#N/A</v>
      </c>
      <c r="H86" s="45" t="e">
        <f t="shared" si="53"/>
        <v>#N/A</v>
      </c>
      <c r="I86" s="5"/>
      <c r="J86" s="5"/>
      <c r="K86" s="99"/>
      <c r="L86" s="99"/>
      <c r="M86" s="90"/>
      <c r="N86" s="90"/>
      <c r="O86" s="90"/>
      <c r="P86" s="90"/>
      <c r="Q86" s="90"/>
      <c r="R86" s="90"/>
      <c r="S86" s="91"/>
      <c r="T86" s="5"/>
      <c r="U86" s="34"/>
    </row>
    <row r="87" spans="3:22" x14ac:dyDescent="0.3">
      <c r="C87" s="65" t="s">
        <v>544</v>
      </c>
      <c r="D87" s="40" t="e">
        <f>VLOOKUP(C87,PPTO!$C$7:$H$59,2,0)</f>
        <v>#N/A</v>
      </c>
      <c r="E87" s="41" t="e">
        <f>VLOOKUP(C87,PPTO!$C$7:$H$59,3,0)</f>
        <v>#N/A</v>
      </c>
      <c r="F87" s="66">
        <f>IFERROR(SUMIFS(PPTO!$F$7:$F$59,PPTO!$C$7:$C$59,ITEMS!C87),0)</f>
        <v>0</v>
      </c>
      <c r="G87" s="67" t="e">
        <f>VLOOKUP(C87,PPTO!$C$7:$H$59,5,0)</f>
        <v>#N/A</v>
      </c>
      <c r="H87" s="45" t="e">
        <f t="shared" si="53"/>
        <v>#N/A</v>
      </c>
      <c r="I87" s="5"/>
      <c r="J87" s="5"/>
      <c r="K87" s="99" t="e">
        <f t="shared" si="57"/>
        <v>#N/A</v>
      </c>
      <c r="L87" s="99" t="e">
        <f t="shared" si="58"/>
        <v>#N/A</v>
      </c>
      <c r="M87" s="90" t="e">
        <f>ROUND(VLOOKUP(C87,APUS!$H$10:$V$1486,14,0),2)</f>
        <v>#N/A</v>
      </c>
      <c r="N87" s="90" t="e">
        <f>ROUND(VLOOKUP(C87,APUS!$I$10:$V$1486,13,0),2)</f>
        <v>#N/A</v>
      </c>
      <c r="O87" s="90" t="e">
        <f>ROUND(VLOOKUP(C87,APUS!$D$10:$Z$1486,23,0),2)</f>
        <v>#N/A</v>
      </c>
      <c r="P87" s="90" t="e">
        <f>ROUND(VLOOKUP(C87,APUS!$E$10:$Z$1486,22,0),2)</f>
        <v>#N/A</v>
      </c>
      <c r="Q87" s="90" t="e">
        <f>ROUND(VLOOKUP(C87,APUS!$F$10:$Z$1486,21,0),2)</f>
        <v>#N/A</v>
      </c>
      <c r="R87" s="90" t="e">
        <f>ROUND(VLOOKUP(C87,APUS!$G$10:$Z$1486,20,0),2)</f>
        <v>#N/A</v>
      </c>
      <c r="S87" s="91" t="e">
        <f t="shared" si="59"/>
        <v>#N/A</v>
      </c>
      <c r="T87" s="5"/>
      <c r="U87" s="34"/>
    </row>
    <row r="88" spans="3:22" x14ac:dyDescent="0.3">
      <c r="C88" s="65" t="s">
        <v>545</v>
      </c>
      <c r="D88" s="40" t="e">
        <f>VLOOKUP(C88,PPTO!$C$7:$H$59,2,0)</f>
        <v>#N/A</v>
      </c>
      <c r="E88" s="41" t="e">
        <f>VLOOKUP(C88,PPTO!$C$7:$H$59,3,0)</f>
        <v>#N/A</v>
      </c>
      <c r="F88" s="66">
        <f>IFERROR(SUMIFS(PPTO!$F$7:$F$59,PPTO!$C$7:$C$59,ITEMS!C88),0)</f>
        <v>0</v>
      </c>
      <c r="G88" s="67" t="e">
        <f>VLOOKUP(C88,PPTO!$C$7:$H$59,5,0)</f>
        <v>#N/A</v>
      </c>
      <c r="H88" s="45" t="e">
        <f t="shared" si="53"/>
        <v>#N/A</v>
      </c>
      <c r="I88" s="5"/>
      <c r="J88" s="5"/>
      <c r="K88" s="99" t="e">
        <f t="shared" si="50"/>
        <v>#N/A</v>
      </c>
      <c r="L88" s="99" t="e">
        <f t="shared" si="51"/>
        <v>#N/A</v>
      </c>
      <c r="M88" s="90" t="e">
        <f>ROUND(VLOOKUP(C88,APUS!$H$10:$V$1486,14,0),2)</f>
        <v>#N/A</v>
      </c>
      <c r="N88" s="90" t="e">
        <f>ROUND(VLOOKUP(C88,APUS!$I$10:$V$1486,13,0),2)</f>
        <v>#N/A</v>
      </c>
      <c r="O88" s="90" t="e">
        <f>ROUND(VLOOKUP(C88,APUS!$D$10:$Z$1486,23,0),2)</f>
        <v>#N/A</v>
      </c>
      <c r="P88" s="90" t="e">
        <f>ROUND(VLOOKUP(C88,APUS!$E$10:$Z$1486,22,0),2)</f>
        <v>#N/A</v>
      </c>
      <c r="Q88" s="90" t="e">
        <f>ROUND(VLOOKUP(C88,APUS!$F$10:$Z$1486,21,0),2)</f>
        <v>#N/A</v>
      </c>
      <c r="R88" s="90" t="e">
        <f>ROUND(VLOOKUP(C88,APUS!$G$10:$Z$1486,20,0),2)</f>
        <v>#N/A</v>
      </c>
      <c r="S88" s="91" t="e">
        <f t="shared" si="52"/>
        <v>#N/A</v>
      </c>
      <c r="T88" s="5"/>
      <c r="U88" s="34"/>
    </row>
    <row r="89" spans="3:22" x14ac:dyDescent="0.3">
      <c r="C89" s="47"/>
      <c r="D89" s="40"/>
      <c r="E89" s="41"/>
      <c r="F89" s="46"/>
      <c r="G89" s="46"/>
      <c r="H89" s="48"/>
      <c r="I89" s="5"/>
      <c r="J89" s="5"/>
      <c r="K89" s="34"/>
      <c r="L89" s="35"/>
      <c r="M89" s="29"/>
      <c r="N89" s="29"/>
      <c r="O89" s="29"/>
      <c r="P89" s="29"/>
      <c r="Q89" s="29"/>
      <c r="R89" s="29"/>
      <c r="S89" s="36"/>
      <c r="T89" s="5"/>
      <c r="U89" s="34"/>
    </row>
    <row r="90" spans="3:22" x14ac:dyDescent="0.3">
      <c r="C90" s="682" t="e">
        <f>+CONCATENATE("Subtotal ",D67)</f>
        <v>#N/A</v>
      </c>
      <c r="D90" s="683"/>
      <c r="E90" s="683"/>
      <c r="F90" s="683"/>
      <c r="G90" s="683"/>
      <c r="H90" s="44" t="e">
        <f>+SUM(H67:H89)</f>
        <v>#N/A</v>
      </c>
      <c r="I90" s="5"/>
      <c r="J90" s="5"/>
      <c r="K90" s="50" t="e">
        <f t="shared" ref="K90:S90" si="60">+SUM(K67:K89)</f>
        <v>#N/A</v>
      </c>
      <c r="L90" s="50" t="e">
        <f t="shared" si="60"/>
        <v>#N/A</v>
      </c>
      <c r="M90" s="50" t="e">
        <f t="shared" si="60"/>
        <v>#N/A</v>
      </c>
      <c r="N90" s="50" t="e">
        <f t="shared" si="60"/>
        <v>#N/A</v>
      </c>
      <c r="O90" s="50" t="e">
        <f t="shared" si="60"/>
        <v>#N/A</v>
      </c>
      <c r="P90" s="50" t="e">
        <f t="shared" si="60"/>
        <v>#N/A</v>
      </c>
      <c r="Q90" s="50" t="e">
        <f t="shared" si="60"/>
        <v>#N/A</v>
      </c>
      <c r="R90" s="50" t="e">
        <f t="shared" si="60"/>
        <v>#N/A</v>
      </c>
      <c r="S90" s="50" t="e">
        <f t="shared" si="60"/>
        <v>#N/A</v>
      </c>
      <c r="T90" s="5"/>
      <c r="U90" s="34"/>
    </row>
    <row r="91" spans="3:22" s="39" customFormat="1" ht="15" customHeight="1" x14ac:dyDescent="0.3">
      <c r="C91" s="5"/>
      <c r="D91" s="5"/>
      <c r="E91" s="5"/>
      <c r="F91" s="5"/>
      <c r="G91" s="5"/>
      <c r="H91" s="5"/>
      <c r="I91" s="5"/>
      <c r="J91" s="5"/>
      <c r="K91" s="37"/>
      <c r="L91" s="38"/>
      <c r="M91" s="5"/>
      <c r="N91" s="5"/>
      <c r="O91" s="5"/>
      <c r="P91" s="5"/>
      <c r="Q91" s="5"/>
      <c r="R91" s="5"/>
      <c r="S91" s="19"/>
      <c r="T91" s="5"/>
      <c r="V91" s="37"/>
    </row>
    <row r="92" spans="3:22" s="39" customFormat="1" ht="15" customHeight="1" x14ac:dyDescent="0.3">
      <c r="C92" s="678" t="s">
        <v>17</v>
      </c>
      <c r="D92" s="678"/>
      <c r="E92" s="678"/>
      <c r="F92" s="678"/>
      <c r="G92" s="678"/>
      <c r="H92" s="50" t="e">
        <f>H20+H29+H46+H55+H66+H90</f>
        <v>#N/A</v>
      </c>
      <c r="I92" s="5"/>
      <c r="J92" s="5"/>
      <c r="K92" s="50" t="e">
        <f>K20+K29+K46+K55+K90</f>
        <v>#N/A</v>
      </c>
      <c r="L92" s="50" t="e">
        <f t="shared" ref="L92:S92" si="61">L20+L29+L46+L55+L90</f>
        <v>#N/A</v>
      </c>
      <c r="M92" s="50" t="e">
        <f t="shared" si="61"/>
        <v>#N/A</v>
      </c>
      <c r="N92" s="50" t="e">
        <f t="shared" si="61"/>
        <v>#N/A</v>
      </c>
      <c r="O92" s="50" t="e">
        <f t="shared" si="61"/>
        <v>#N/A</v>
      </c>
      <c r="P92" s="50" t="e">
        <f t="shared" si="61"/>
        <v>#N/A</v>
      </c>
      <c r="Q92" s="50" t="e">
        <f t="shared" si="61"/>
        <v>#N/A</v>
      </c>
      <c r="R92" s="50" t="e">
        <f t="shared" si="61"/>
        <v>#N/A</v>
      </c>
      <c r="S92" s="50" t="e">
        <f t="shared" si="61"/>
        <v>#N/A</v>
      </c>
      <c r="T92" s="5"/>
      <c r="V92" s="37"/>
    </row>
    <row r="93" spans="3:22" s="39" customFormat="1" ht="15" customHeight="1" x14ac:dyDescent="0.3">
      <c r="C93" s="679" t="s">
        <v>18</v>
      </c>
      <c r="D93" s="679"/>
      <c r="E93" s="679"/>
      <c r="F93" s="679"/>
      <c r="G93" s="52">
        <v>0.28999999999999998</v>
      </c>
      <c r="H93" s="20" t="e">
        <f>+ROUND($H$92*G93,$Q$3)</f>
        <v>#N/A</v>
      </c>
      <c r="I93" s="5"/>
      <c r="J93" s="5"/>
      <c r="K93" s="37"/>
      <c r="L93" s="38"/>
      <c r="M93" s="5"/>
      <c r="N93" s="5"/>
      <c r="O93" s="5"/>
      <c r="P93" s="5"/>
      <c r="Q93" s="5"/>
      <c r="R93" s="5"/>
      <c r="S93" s="19"/>
      <c r="T93" s="5"/>
      <c r="V93" s="37"/>
    </row>
    <row r="94" spans="3:22" s="39" customFormat="1" ht="15" customHeight="1" x14ac:dyDescent="0.3">
      <c r="C94" s="679" t="s">
        <v>19</v>
      </c>
      <c r="D94" s="679"/>
      <c r="E94" s="679"/>
      <c r="F94" s="679"/>
      <c r="G94" s="52">
        <v>0.01</v>
      </c>
      <c r="H94" s="20" t="e">
        <f>+ROUND($H$92*G94,$Q$3)</f>
        <v>#N/A</v>
      </c>
      <c r="I94" s="5"/>
      <c r="J94" s="5"/>
      <c r="K94" s="37"/>
      <c r="L94" s="38"/>
      <c r="M94" s="5"/>
      <c r="N94" s="5"/>
      <c r="O94" s="5"/>
      <c r="P94" s="5"/>
      <c r="Q94" s="5"/>
      <c r="R94" s="5"/>
      <c r="S94" s="25"/>
      <c r="T94" s="5"/>
      <c r="V94" s="37"/>
    </row>
    <row r="95" spans="3:22" s="39" customFormat="1" ht="15" customHeight="1" x14ac:dyDescent="0.3">
      <c r="C95" s="679" t="s">
        <v>20</v>
      </c>
      <c r="D95" s="679"/>
      <c r="E95" s="679"/>
      <c r="F95" s="679"/>
      <c r="G95" s="52">
        <v>0.05</v>
      </c>
      <c r="H95" s="20" t="e">
        <f>+ROUND($H$92*G95,$Q$3)</f>
        <v>#N/A</v>
      </c>
      <c r="I95" s="5"/>
      <c r="J95" s="5"/>
      <c r="K95" s="37"/>
      <c r="L95" s="38"/>
      <c r="M95" s="5"/>
      <c r="N95" s="5"/>
      <c r="O95" s="5"/>
      <c r="P95" s="5"/>
      <c r="Q95" s="5"/>
      <c r="R95" s="5"/>
      <c r="S95" s="19"/>
      <c r="T95" s="5"/>
      <c r="V95" s="37"/>
    </row>
    <row r="96" spans="3:22" s="39" customFormat="1" ht="15" customHeight="1" x14ac:dyDescent="0.3">
      <c r="C96" s="679" t="s">
        <v>21</v>
      </c>
      <c r="D96" s="679"/>
      <c r="E96" s="679"/>
      <c r="F96" s="679"/>
      <c r="G96" s="52"/>
      <c r="H96" s="20" t="e">
        <f>+ROUND(H95*G96,$Q$3)</f>
        <v>#N/A</v>
      </c>
      <c r="I96" s="5"/>
      <c r="J96" s="5"/>
      <c r="K96" s="53"/>
      <c r="L96" s="38"/>
      <c r="M96" s="5"/>
      <c r="N96" s="5"/>
      <c r="O96" s="5"/>
      <c r="P96" s="5"/>
      <c r="Q96" s="5"/>
      <c r="R96" s="5"/>
      <c r="S96" s="19"/>
      <c r="T96" s="5"/>
      <c r="V96" s="37"/>
    </row>
    <row r="97" spans="3:22" s="39" customFormat="1" ht="15" customHeight="1" x14ac:dyDescent="0.3">
      <c r="C97" s="687" t="s">
        <v>22</v>
      </c>
      <c r="D97" s="687"/>
      <c r="E97" s="687"/>
      <c r="F97" s="687"/>
      <c r="G97" s="687"/>
      <c r="H97" s="72" t="e">
        <f>+SUM(H93:H96)</f>
        <v>#N/A</v>
      </c>
      <c r="I97" s="5"/>
      <c r="J97" s="5"/>
      <c r="K97" s="53"/>
      <c r="L97" s="38"/>
      <c r="M97" s="5"/>
      <c r="N97" s="5"/>
      <c r="O97" s="5"/>
      <c r="P97" s="5"/>
      <c r="Q97" s="5"/>
      <c r="R97" s="5"/>
      <c r="S97" s="19"/>
      <c r="T97" s="5"/>
      <c r="V97" s="37"/>
    </row>
    <row r="98" spans="3:22" ht="15" customHeight="1" x14ac:dyDescent="0.3">
      <c r="C98" s="16"/>
      <c r="D98" s="16"/>
      <c r="E98" s="16"/>
      <c r="F98" s="16"/>
      <c r="G98" s="21"/>
      <c r="H98" s="20"/>
      <c r="I98" s="5"/>
      <c r="J98" s="5"/>
      <c r="K98" s="53"/>
      <c r="L98" s="22"/>
      <c r="M98" s="5"/>
      <c r="N98" s="5"/>
      <c r="O98" s="5"/>
      <c r="P98" s="5"/>
      <c r="Q98" s="5"/>
      <c r="R98" s="5"/>
      <c r="S98" s="19"/>
      <c r="T98" s="5"/>
    </row>
    <row r="99" spans="3:22" x14ac:dyDescent="0.3">
      <c r="C99" s="687" t="s">
        <v>23</v>
      </c>
      <c r="D99" s="687"/>
      <c r="E99" s="687"/>
      <c r="F99" s="687"/>
      <c r="G99" s="687"/>
      <c r="H99" s="72" t="e">
        <f>H92+H97</f>
        <v>#N/A</v>
      </c>
      <c r="I99" s="5"/>
      <c r="J99" s="5"/>
      <c r="K99" s="53"/>
      <c r="M99" s="5"/>
      <c r="N99" s="5"/>
      <c r="O99" s="5"/>
      <c r="P99" s="5"/>
      <c r="Q99" s="5"/>
      <c r="R99" s="5"/>
      <c r="S99" s="19"/>
      <c r="T99" s="5"/>
      <c r="V99" s="54"/>
    </row>
    <row r="100" spans="3:22" ht="15" customHeight="1" x14ac:dyDescent="0.3">
      <c r="C100" s="16"/>
      <c r="D100" s="23"/>
      <c r="E100" s="12"/>
      <c r="F100" s="23"/>
      <c r="G100" s="23"/>
      <c r="H100" s="24"/>
      <c r="I100" s="5"/>
      <c r="J100" s="5"/>
      <c r="K100" s="28"/>
      <c r="L100" s="18"/>
      <c r="M100" s="5"/>
      <c r="N100" s="5"/>
      <c r="O100" s="29"/>
      <c r="P100" s="5"/>
      <c r="Q100" s="5"/>
      <c r="R100" s="5"/>
      <c r="S100" s="19"/>
      <c r="T100" s="5"/>
    </row>
    <row r="101" spans="3:22" ht="15" customHeight="1" x14ac:dyDescent="0.3">
      <c r="C101" s="688" t="s">
        <v>46</v>
      </c>
      <c r="D101" s="688"/>
      <c r="E101" s="688"/>
      <c r="F101" s="688"/>
      <c r="G101" s="688"/>
      <c r="H101" s="24" t="e">
        <f>PPTO!#REF!</f>
        <v>#REF!</v>
      </c>
      <c r="I101" s="5"/>
      <c r="J101" s="5"/>
      <c r="M101" s="5"/>
      <c r="N101" s="5"/>
      <c r="O101" s="5"/>
      <c r="P101" s="5"/>
      <c r="Q101" s="5"/>
      <c r="R101" s="5"/>
      <c r="S101" s="19"/>
      <c r="T101" s="5"/>
    </row>
    <row r="102" spans="3:22" ht="15" customHeight="1" x14ac:dyDescent="0.3">
      <c r="C102" s="689" t="s">
        <v>47</v>
      </c>
      <c r="D102" s="689"/>
      <c r="E102" s="689"/>
      <c r="F102" s="689"/>
      <c r="G102" s="689"/>
      <c r="H102" s="24">
        <f>PPTO!H72</f>
        <v>0</v>
      </c>
      <c r="I102" s="5"/>
      <c r="J102" s="5"/>
      <c r="M102" s="5"/>
      <c r="N102" s="5"/>
      <c r="O102" s="5"/>
      <c r="P102" s="5"/>
      <c r="Q102" s="5"/>
      <c r="R102" s="5"/>
      <c r="S102" s="19"/>
      <c r="T102" s="5"/>
    </row>
    <row r="103" spans="3:22" ht="15" customHeight="1" x14ac:dyDescent="0.3">
      <c r="C103" s="678" t="s">
        <v>24</v>
      </c>
      <c r="D103" s="678"/>
      <c r="E103" s="678"/>
      <c r="F103" s="678"/>
      <c r="G103" s="678"/>
      <c r="H103" s="50" t="e">
        <f>SUM(H99:H102)</f>
        <v>#N/A</v>
      </c>
      <c r="I103" s="5"/>
      <c r="J103" s="5"/>
      <c r="K103" s="54"/>
      <c r="M103" s="5"/>
      <c r="N103" s="5"/>
      <c r="O103" s="5"/>
      <c r="P103" s="5"/>
      <c r="Q103" s="5"/>
      <c r="R103" s="5"/>
      <c r="S103" s="19"/>
      <c r="T103" s="5"/>
      <c r="V103" s="54"/>
    </row>
    <row r="104" spans="3:22" x14ac:dyDescent="0.3">
      <c r="C104" s="3"/>
      <c r="D104" s="4"/>
      <c r="E104" s="3"/>
      <c r="F104" s="5"/>
      <c r="G104" s="5"/>
      <c r="H104" s="6"/>
      <c r="I104" s="5"/>
      <c r="J104" s="5"/>
      <c r="K104" s="30"/>
      <c r="L104" s="7"/>
      <c r="M104" s="5"/>
      <c r="N104" s="5"/>
      <c r="O104" s="5"/>
      <c r="P104" s="5"/>
      <c r="Q104" s="5"/>
      <c r="R104" s="5"/>
      <c r="S104" s="19"/>
      <c r="T104" s="5"/>
    </row>
    <row r="105" spans="3:22" x14ac:dyDescent="0.3">
      <c r="C105" s="2" t="s">
        <v>131</v>
      </c>
      <c r="D105" s="4"/>
      <c r="E105" s="690" t="s">
        <v>129</v>
      </c>
      <c r="F105" s="690"/>
      <c r="G105" s="5"/>
      <c r="H105" s="6"/>
      <c r="I105" s="5"/>
      <c r="J105" s="5"/>
      <c r="K105" s="30"/>
      <c r="L105" s="7"/>
      <c r="M105" s="5"/>
      <c r="N105" s="5"/>
      <c r="O105" s="5"/>
      <c r="P105" s="5"/>
      <c r="Q105" s="5"/>
      <c r="R105" s="5"/>
      <c r="S105" s="19"/>
      <c r="T105" s="5"/>
    </row>
    <row r="106" spans="3:22" x14ac:dyDescent="0.3">
      <c r="C106" s="3"/>
      <c r="D106" s="4"/>
      <c r="E106" s="3"/>
      <c r="F106" s="5"/>
      <c r="G106" s="5"/>
      <c r="H106" s="6"/>
      <c r="I106" s="5"/>
      <c r="J106" s="5"/>
      <c r="K106" s="3"/>
      <c r="L106" s="7"/>
      <c r="M106" s="8"/>
      <c r="N106" s="5"/>
      <c r="O106" s="9"/>
      <c r="P106" s="6"/>
      <c r="Q106" s="6"/>
      <c r="R106" s="5"/>
      <c r="S106" s="5"/>
      <c r="T106" s="5"/>
    </row>
    <row r="107" spans="3:22" x14ac:dyDescent="0.3">
      <c r="C107" s="3"/>
      <c r="D107" s="4"/>
      <c r="E107" s="3"/>
      <c r="F107" s="5"/>
      <c r="G107" s="32"/>
      <c r="H107" s="33"/>
      <c r="I107" s="5"/>
      <c r="J107" s="5"/>
      <c r="K107" s="3"/>
      <c r="L107" s="7"/>
      <c r="M107" s="8"/>
      <c r="N107" s="5"/>
      <c r="O107" s="9"/>
      <c r="P107" s="6"/>
      <c r="Q107" s="6"/>
      <c r="R107" s="5"/>
      <c r="S107" s="5"/>
      <c r="T107" s="5"/>
    </row>
    <row r="108" spans="3:22" x14ac:dyDescent="0.3">
      <c r="C108" s="55"/>
      <c r="D108" s="4"/>
      <c r="E108" s="3"/>
      <c r="F108" s="5"/>
      <c r="G108" s="5"/>
      <c r="H108" s="6"/>
    </row>
    <row r="109" spans="3:22" x14ac:dyDescent="0.3">
      <c r="C109" s="691" t="s">
        <v>38</v>
      </c>
      <c r="D109" s="691"/>
      <c r="E109" s="691" t="str">
        <f>INFORMACION!$C$14</f>
        <v>ARQ. YASMID ROCÍO CARRILLO MORA</v>
      </c>
      <c r="F109" s="691"/>
      <c r="G109" s="691"/>
      <c r="H109" s="691"/>
    </row>
    <row r="110" spans="3:22" x14ac:dyDescent="0.3">
      <c r="C110" s="692" t="s">
        <v>39</v>
      </c>
      <c r="D110" s="692"/>
      <c r="E110" s="692" t="str">
        <f>INFORMACION!$C$15</f>
        <v>SECRETARIA DE PLANEACIÓN Y OBRAS PÚBLICAS</v>
      </c>
      <c r="F110" s="692"/>
      <c r="G110" s="692"/>
      <c r="H110" s="692"/>
    </row>
    <row r="111" spans="3:22" x14ac:dyDescent="0.25">
      <c r="C111" s="56"/>
      <c r="E111" s="686" t="str">
        <f>INFORMACION!$C$16</f>
        <v>MUNICIPIO DE PINCHOTE</v>
      </c>
      <c r="F111" s="686"/>
      <c r="G111" s="686"/>
      <c r="H111" s="686"/>
    </row>
    <row r="112" spans="3:22" x14ac:dyDescent="0.3">
      <c r="C112" s="73"/>
      <c r="D112" s="73"/>
      <c r="E112" s="73"/>
      <c r="F112" s="73"/>
      <c r="G112" s="73"/>
      <c r="H112" s="73"/>
    </row>
    <row r="113" spans="3:8" x14ac:dyDescent="0.3">
      <c r="C113" s="73"/>
      <c r="D113" s="73"/>
      <c r="E113" s="73"/>
      <c r="F113" s="73"/>
      <c r="G113" s="73"/>
      <c r="H113" s="73"/>
    </row>
    <row r="114" spans="3:8" x14ac:dyDescent="0.3">
      <c r="C114" s="73"/>
      <c r="D114" s="73"/>
      <c r="E114" s="73"/>
      <c r="F114" s="73"/>
      <c r="G114" s="73"/>
      <c r="H114" s="73"/>
    </row>
  </sheetData>
  <mergeCells count="33">
    <mergeCell ref="E111:H111"/>
    <mergeCell ref="C95:F95"/>
    <mergeCell ref="C96:F96"/>
    <mergeCell ref="C97:G97"/>
    <mergeCell ref="C99:G99"/>
    <mergeCell ref="C101:G101"/>
    <mergeCell ref="C102:G102"/>
    <mergeCell ref="C103:G103"/>
    <mergeCell ref="E105:F105"/>
    <mergeCell ref="C109:D109"/>
    <mergeCell ref="E109:H109"/>
    <mergeCell ref="C110:D110"/>
    <mergeCell ref="E110:H110"/>
    <mergeCell ref="C94:F94"/>
    <mergeCell ref="C29:G29"/>
    <mergeCell ref="D30:H30"/>
    <mergeCell ref="C46:G46"/>
    <mergeCell ref="D67:H67"/>
    <mergeCell ref="C90:G90"/>
    <mergeCell ref="C55:G55"/>
    <mergeCell ref="D47:H47"/>
    <mergeCell ref="D56:H56"/>
    <mergeCell ref="C66:G66"/>
    <mergeCell ref="C3:G3"/>
    <mergeCell ref="D4:G4"/>
    <mergeCell ref="H3:H4"/>
    <mergeCell ref="C92:G92"/>
    <mergeCell ref="C93:F93"/>
    <mergeCell ref="C5:E5"/>
    <mergeCell ref="F5:G5"/>
    <mergeCell ref="C20:G20"/>
    <mergeCell ref="D21:H21"/>
    <mergeCell ref="D9:H9"/>
  </mergeCells>
  <phoneticPr fontId="21" type="noConversion"/>
  <dataValidations disablePrompts="1" count="1">
    <dataValidation type="list" allowBlank="1" showInputMessage="1" showErrorMessage="1" promptTitle="Seleccione" prompt="Escoja una de las opciones" sqref="Q2" xr:uid="{8B76E90A-DB2E-46FA-884A-F053DC8D1397}">
      <formula1>$S$2:$S$3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rowBreaks count="1" manualBreakCount="1">
    <brk id="46" min="1" max="8" man="1"/>
  </rowBreaks>
  <ignoredErrors>
    <ignoredError sqref="H28:H29" evalError="1"/>
  </ignoredErrors>
  <drawing r:id="rId2"/>
  <legacyDrawing r:id="rId3"/>
  <oleObjects>
    <mc:AlternateContent xmlns:mc="http://schemas.openxmlformats.org/markup-compatibility/2006">
      <mc:Choice Requires="x14">
        <oleObject progId="PBrush" shapeId="22529" r:id="rId4">
          <objectPr defaultSize="0" autoPict="0" r:id="rId5">
            <anchor moveWithCells="1" sizeWithCells="1">
              <from>
                <xdr:col>2</xdr:col>
                <xdr:colOff>419100</xdr:colOff>
                <xdr:row>2</xdr:row>
                <xdr:rowOff>68580</xdr:rowOff>
              </from>
              <to>
                <xdr:col>3</xdr:col>
                <xdr:colOff>1508760</xdr:colOff>
                <xdr:row>2</xdr:row>
                <xdr:rowOff>754380</xdr:rowOff>
              </to>
            </anchor>
          </objectPr>
        </oleObject>
      </mc:Choice>
      <mc:Fallback>
        <oleObject progId="PBrush" shapeId="22529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8F163-A586-49D0-95FA-15EE8B7EC2F1}">
  <sheetPr>
    <pageSetUpPr fitToPage="1"/>
  </sheetPr>
  <dimension ref="C2:V72"/>
  <sheetViews>
    <sheetView view="pageBreakPreview" topLeftCell="A46" zoomScale="70" zoomScaleNormal="100" zoomScaleSheetLayoutView="70" workbookViewId="0">
      <selection activeCell="E79" sqref="E79"/>
    </sheetView>
  </sheetViews>
  <sheetFormatPr baseColWidth="10" defaultColWidth="11.44140625" defaultRowHeight="14.4" x14ac:dyDescent="0.3"/>
  <cols>
    <col min="1" max="1" width="1.6640625" style="37" customWidth="1"/>
    <col min="2" max="2" width="1.33203125" style="37" customWidth="1"/>
    <col min="3" max="3" width="13.109375" style="37" customWidth="1"/>
    <col min="4" max="4" width="79.5546875" style="37" customWidth="1"/>
    <col min="5" max="5" width="7.44140625" style="37" bestFit="1" customWidth="1"/>
    <col min="6" max="6" width="11.33203125" style="37" bestFit="1" customWidth="1"/>
    <col min="7" max="7" width="21.109375" style="37" customWidth="1"/>
    <col min="8" max="8" width="25.33203125" style="37" bestFit="1" customWidth="1"/>
    <col min="9" max="9" width="1.44140625" style="37" customWidth="1"/>
    <col min="10" max="10" width="4.5546875" style="37" customWidth="1"/>
    <col min="11" max="11" width="19.44140625" style="83" bestFit="1" customWidth="1"/>
    <col min="12" max="12" width="19.44140625" style="84" bestFit="1" customWidth="1"/>
    <col min="13" max="13" width="20.5546875" style="83" bestFit="1" customWidth="1"/>
    <col min="14" max="14" width="22.6640625" style="83" bestFit="1" customWidth="1"/>
    <col min="15" max="15" width="25.33203125" style="83" bestFit="1" customWidth="1"/>
    <col min="16" max="16" width="25.88671875" style="83" customWidth="1"/>
    <col min="17" max="19" width="25.33203125" style="83" bestFit="1" customWidth="1"/>
    <col min="20" max="20" width="3.33203125" style="37" customWidth="1"/>
    <col min="21" max="21" width="12.33203125" style="39" customWidth="1"/>
    <col min="22" max="22" width="117" style="37" bestFit="1" customWidth="1"/>
    <col min="23" max="32" width="11.44140625" style="37"/>
    <col min="33" max="33" width="13.6640625" style="37" bestFit="1" customWidth="1"/>
    <col min="34" max="16384" width="11.44140625" style="37"/>
  </cols>
  <sheetData>
    <row r="2" spans="3:22" ht="7.5" customHeight="1" x14ac:dyDescent="0.3">
      <c r="C2" s="3"/>
      <c r="D2" s="4"/>
      <c r="E2" s="3"/>
      <c r="F2" s="5"/>
      <c r="G2" s="5"/>
      <c r="H2" s="6"/>
      <c r="I2" s="5"/>
      <c r="J2" s="5"/>
      <c r="K2" s="78"/>
      <c r="L2" s="79"/>
      <c r="M2" s="80"/>
      <c r="N2" s="78"/>
      <c r="O2" s="81"/>
      <c r="P2" s="82" t="s">
        <v>0</v>
      </c>
      <c r="Q2" s="96" t="s">
        <v>4</v>
      </c>
      <c r="R2" s="3"/>
      <c r="S2" s="97" t="s">
        <v>1</v>
      </c>
      <c r="T2" s="5"/>
    </row>
    <row r="3" spans="3:22" ht="23.4" x14ac:dyDescent="0.3">
      <c r="C3" s="697" t="s">
        <v>2</v>
      </c>
      <c r="D3" s="697"/>
      <c r="E3" s="697"/>
      <c r="F3" s="697"/>
      <c r="G3" s="697"/>
      <c r="H3" s="697"/>
      <c r="I3" s="5"/>
      <c r="J3" s="5"/>
      <c r="M3" s="80"/>
      <c r="N3" s="82"/>
      <c r="O3" s="81"/>
      <c r="P3" s="82" t="s">
        <v>3</v>
      </c>
      <c r="Q3" s="98">
        <v>0</v>
      </c>
      <c r="R3" s="3"/>
      <c r="S3" s="97" t="s">
        <v>4</v>
      </c>
      <c r="T3" s="5"/>
    </row>
    <row r="4" spans="3:22" ht="38.25" customHeight="1" x14ac:dyDescent="0.3">
      <c r="C4" s="197" t="s">
        <v>27</v>
      </c>
      <c r="D4" s="698" t="str">
        <f>PRESENTACION!A13</f>
        <v>CONSTRUCCIÓN DE PAVIMENTO EN PIEDRA LABOR Y OPTIMIZACIÓN DE LA RED DE ALCANTARILLADO SANITARIO CALLE 5 ENTRE CARRERA 3 Y 4 DEL CASCO URBANO DEL MUNICIPIO DE PINCHOTE, DEPARTAMENTO DE SANTANDER</v>
      </c>
      <c r="E4" s="698"/>
      <c r="F4" s="698"/>
      <c r="G4" s="698"/>
      <c r="H4" s="697"/>
      <c r="I4" s="5"/>
      <c r="J4" s="5"/>
      <c r="M4" s="80"/>
      <c r="N4" s="23"/>
      <c r="O4" s="85"/>
      <c r="P4" s="86"/>
      <c r="Q4" s="24"/>
      <c r="R4" s="78"/>
      <c r="S4" s="78"/>
      <c r="T4" s="5"/>
    </row>
    <row r="5" spans="3:22" ht="15.75" customHeight="1" x14ac:dyDescent="0.3">
      <c r="C5" s="698" t="str">
        <f>CONCATENATE(INFORMACION!A5,INFORMACION!A6)</f>
        <v>LOCALIZACIÓN:PINCHOTE, SANTANDER</v>
      </c>
      <c r="D5" s="698"/>
      <c r="E5" s="698"/>
      <c r="F5" s="267" t="s">
        <v>31</v>
      </c>
      <c r="G5" s="198" t="str">
        <f>PRESENTACION!$A$43</f>
        <v>ABRIL DE 2026</v>
      </c>
      <c r="H5" s="697"/>
      <c r="I5" s="5"/>
      <c r="J5" s="5"/>
      <c r="M5" s="80"/>
      <c r="N5" s="23"/>
      <c r="O5" s="85"/>
      <c r="P5" s="86"/>
      <c r="Q5" s="24"/>
      <c r="R5" s="78"/>
      <c r="S5" s="78"/>
      <c r="T5" s="5"/>
    </row>
    <row r="6" spans="3:22" ht="10.5" customHeight="1" thickBot="1" x14ac:dyDescent="0.35">
      <c r="C6" s="3"/>
      <c r="D6" s="16"/>
      <c r="E6" s="3"/>
      <c r="F6" s="3"/>
      <c r="G6" s="12"/>
      <c r="H6" s="15"/>
      <c r="I6" s="5"/>
      <c r="J6" s="5"/>
      <c r="K6" s="78"/>
      <c r="L6" s="79"/>
      <c r="M6" s="80"/>
      <c r="N6" s="23"/>
      <c r="O6" s="85"/>
      <c r="P6" s="86"/>
      <c r="Q6" s="24"/>
      <c r="R6" s="78"/>
      <c r="S6" s="87"/>
      <c r="T6" s="2"/>
    </row>
    <row r="7" spans="3:22" ht="18.75" customHeight="1" thickBot="1" x14ac:dyDescent="0.35">
      <c r="C7" s="41" t="s">
        <v>5</v>
      </c>
      <c r="D7" s="268" t="s">
        <v>26</v>
      </c>
      <c r="E7" s="268" t="s">
        <v>6</v>
      </c>
      <c r="F7" s="195" t="s">
        <v>7</v>
      </c>
      <c r="G7" s="268" t="s">
        <v>8</v>
      </c>
      <c r="H7" s="196" t="s">
        <v>9</v>
      </c>
      <c r="I7" s="5"/>
      <c r="J7" s="5"/>
      <c r="K7" s="68" t="s">
        <v>88</v>
      </c>
      <c r="L7" s="69" t="s">
        <v>89</v>
      </c>
      <c r="M7" s="70" t="s">
        <v>10</v>
      </c>
      <c r="N7" s="70" t="s">
        <v>11</v>
      </c>
      <c r="O7" s="70" t="s">
        <v>12</v>
      </c>
      <c r="P7" s="70" t="s">
        <v>13</v>
      </c>
      <c r="Q7" s="70" t="s">
        <v>14</v>
      </c>
      <c r="R7" s="70" t="s">
        <v>15</v>
      </c>
      <c r="S7" s="71" t="s">
        <v>16</v>
      </c>
      <c r="T7" s="5"/>
      <c r="U7" s="12"/>
    </row>
    <row r="8" spans="3:22" ht="15" customHeight="1" x14ac:dyDescent="0.3">
      <c r="C8" s="16"/>
      <c r="D8" s="12"/>
      <c r="E8" s="12"/>
      <c r="F8" s="51"/>
      <c r="G8" s="12"/>
      <c r="H8" s="14"/>
      <c r="I8" s="5"/>
      <c r="J8" s="5"/>
      <c r="K8" s="23"/>
      <c r="L8" s="88"/>
      <c r="M8" s="78"/>
      <c r="N8" s="78"/>
      <c r="O8" s="78"/>
      <c r="P8" s="78"/>
      <c r="Q8" s="78"/>
      <c r="R8" s="78"/>
      <c r="S8" s="87"/>
      <c r="T8" s="5"/>
      <c r="U8" s="12"/>
    </row>
    <row r="9" spans="3:22" ht="21" customHeight="1" x14ac:dyDescent="0.3">
      <c r="C9" s="699" t="s">
        <v>676</v>
      </c>
      <c r="D9" s="699"/>
      <c r="E9" s="699"/>
      <c r="F9" s="699"/>
      <c r="G9" s="699"/>
      <c r="H9" s="699"/>
      <c r="I9" s="5"/>
      <c r="J9" s="5"/>
      <c r="K9" s="23"/>
      <c r="L9" s="88"/>
      <c r="M9" s="78"/>
      <c r="N9" s="78"/>
      <c r="O9" s="78"/>
      <c r="P9" s="78"/>
      <c r="Q9" s="78"/>
      <c r="R9" s="78"/>
      <c r="S9" s="87"/>
      <c r="T9" s="5"/>
      <c r="U9" s="12"/>
    </row>
    <row r="10" spans="3:22" x14ac:dyDescent="0.3">
      <c r="C10" s="189" t="s">
        <v>28</v>
      </c>
      <c r="D10" s="696" t="s">
        <v>32</v>
      </c>
      <c r="E10" s="696"/>
      <c r="F10" s="696"/>
      <c r="G10" s="696"/>
      <c r="H10" s="696"/>
      <c r="I10" s="5"/>
      <c r="J10" s="5"/>
      <c r="K10" s="23"/>
      <c r="L10" s="88"/>
      <c r="M10" s="78"/>
      <c r="N10" s="78"/>
      <c r="O10" s="78"/>
      <c r="P10" s="78"/>
      <c r="Q10" s="78"/>
      <c r="R10" s="78"/>
      <c r="S10" s="87"/>
      <c r="T10" s="5"/>
      <c r="U10" s="12"/>
      <c r="V10" s="37" t="str">
        <f>CONCATENATE(C10," ","-"," ",D10)</f>
        <v>CAP.1 - PRELIMINARES</v>
      </c>
    </row>
    <row r="11" spans="3:22" ht="15" customHeight="1" x14ac:dyDescent="0.3">
      <c r="C11" s="190" t="s">
        <v>53</v>
      </c>
      <c r="D11" s="40" t="s">
        <v>668</v>
      </c>
      <c r="E11" s="41" t="s">
        <v>35</v>
      </c>
      <c r="F11" s="191">
        <f>VLOOKUP(C11,[7]MC.!$B$6:$E$52,4,0)</f>
        <v>7914.57</v>
      </c>
      <c r="G11" s="67">
        <f>+IFERROR(IF($Q$2="UNITARIOS",VLOOKUP(C11,$C$9:$Y$59,11,FALSE),VLOOKUP(C11,$C$9:$Y$59,12,FALSE)),0)</f>
        <v>6644</v>
      </c>
      <c r="H11" s="184">
        <f>+ROUND(F11*G11,$Q$3)</f>
        <v>52584403</v>
      </c>
      <c r="I11" s="5"/>
      <c r="J11" s="5"/>
      <c r="K11" s="99">
        <f t="shared" ref="K11" si="0">ROUND(F11*M11,$Q$3)</f>
        <v>39533277</v>
      </c>
      <c r="L11" s="99">
        <f>ROUND(F11*N11,$Q$3)</f>
        <v>52584403</v>
      </c>
      <c r="M11" s="90">
        <f>ROUND(VLOOKUP(C11,APUS!$H$10:$V$1486,14,0),2)</f>
        <v>4995</v>
      </c>
      <c r="N11" s="90">
        <f>ROUND(VLOOKUP(C11,APUS!$I$10:$V$1486,13,0),2)</f>
        <v>6644</v>
      </c>
      <c r="O11" s="90">
        <f>ROUND(VLOOKUP(C11,APUS!$D$10:$Z$1486,23,0),2)</f>
        <v>18130</v>
      </c>
      <c r="P11" s="90">
        <f>ROUND(VLOOKUP(C11,APUS!$E$10:$Z$1486,22,0),2)</f>
        <v>114304</v>
      </c>
      <c r="Q11" s="90">
        <f>ROUND(VLOOKUP(C11,APUS!$F$10:$Z$1486,21,0),2)</f>
        <v>0</v>
      </c>
      <c r="R11" s="90">
        <f>ROUND(VLOOKUP(C11,APUS!$G$10:$Z$1486,20,0),2)</f>
        <v>362599</v>
      </c>
      <c r="S11" s="91">
        <f>SUM(O11:R11)</f>
        <v>495033</v>
      </c>
      <c r="T11" s="5"/>
      <c r="U11" s="12"/>
      <c r="V11" s="37" t="str">
        <f>CONCATENATE(C11," ","-"," ",D11)</f>
        <v>1.1 - Localización y replanteo con equipo topográfico</v>
      </c>
    </row>
    <row r="12" spans="3:22" x14ac:dyDescent="0.3">
      <c r="C12" s="190" t="s">
        <v>48</v>
      </c>
      <c r="D12" s="40" t="s">
        <v>677</v>
      </c>
      <c r="E12" s="41" t="s">
        <v>35</v>
      </c>
      <c r="F12" s="191">
        <f>VLOOKUP(C12,[7]MC.!$B$6:$E$52,4,0)</f>
        <v>216</v>
      </c>
      <c r="G12" s="67">
        <f>+IFERROR(IF($Q$2="UNITARIOS",VLOOKUP(C12,$C$9:$Y$59,11,FALSE),VLOOKUP(C12,$C$9:$Y$59,12,FALSE)),0)</f>
        <v>34940</v>
      </c>
      <c r="H12" s="184">
        <f>+ROUND(F12*G12,$Q$3)</f>
        <v>7547040</v>
      </c>
      <c r="I12" s="5"/>
      <c r="J12" s="5"/>
      <c r="K12" s="99">
        <f>ROUND(F12*M12,$Q$3)</f>
        <v>5674320</v>
      </c>
      <c r="L12" s="99">
        <f>ROUND(F12*N12,$Q$3)</f>
        <v>7547040</v>
      </c>
      <c r="M12" s="90">
        <f>ROUND(VLOOKUP(C12,APUS!$H$10:$V$1486,14,0),2)</f>
        <v>26270</v>
      </c>
      <c r="N12" s="90">
        <f>ROUND(VLOOKUP(C12,APUS!$I$10:$V$1486,13,0),2)</f>
        <v>34940</v>
      </c>
      <c r="O12" s="90">
        <f>ROUND(VLOOKUP(C12,APUS!$D$10:$Z$1486,23,0),2)</f>
        <v>841493</v>
      </c>
      <c r="P12" s="90">
        <f>ROUND(VLOOKUP(C12,APUS!$E$10:$Z$1486,22,0),2)</f>
        <v>0</v>
      </c>
      <c r="Q12" s="90">
        <f>ROUND(VLOOKUP(C12,APUS!$F$10:$Z$1486,21,0),2)</f>
        <v>67784</v>
      </c>
      <c r="R12" s="90">
        <f>ROUND(VLOOKUP(C12,APUS!$G$10:$Z$1486,20,0),2)</f>
        <v>1694075</v>
      </c>
      <c r="S12" s="91">
        <f>SUM(O12:R12)</f>
        <v>2603352</v>
      </c>
      <c r="T12" s="5"/>
      <c r="U12" s="12"/>
      <c r="V12" s="37" t="str">
        <f>CONCATENATE(C12," ","-"," ",D12)</f>
        <v>1.2 - Demolición de losa maciza (Incluye retiro y disposición final)</v>
      </c>
    </row>
    <row r="13" spans="3:22" x14ac:dyDescent="0.3">
      <c r="C13" s="190" t="s">
        <v>54</v>
      </c>
      <c r="D13" s="40" t="s">
        <v>715</v>
      </c>
      <c r="E13" s="41" t="s">
        <v>35</v>
      </c>
      <c r="F13" s="191">
        <f>VLOOKUP(C13,[7]MC.!$B$6:$E$52,4,0)</f>
        <v>27.5</v>
      </c>
      <c r="G13" s="67">
        <f>+IFERROR(IF($Q$2="UNITARIOS",VLOOKUP(C13,$C$9:$Y$59,11,FALSE),VLOOKUP(C13,$C$9:$Y$59,12,FALSE)),0)</f>
        <v>30670</v>
      </c>
      <c r="H13" s="184">
        <f>+ROUND(F13*G13,$Q$3)</f>
        <v>843425</v>
      </c>
      <c r="I13" s="5"/>
      <c r="J13" s="5"/>
      <c r="K13" s="99">
        <f>ROUND(F13*M13,$Q$3)</f>
        <v>634150</v>
      </c>
      <c r="L13" s="99">
        <f>ROUND(F13*N13,$Q$3)</f>
        <v>843425</v>
      </c>
      <c r="M13" s="90">
        <f>ROUND(VLOOKUP(C13,APUS!$H$10:$V$1486,14,0),2)</f>
        <v>23060</v>
      </c>
      <c r="N13" s="90">
        <f>ROUND(VLOOKUP(C13,APUS!$I$10:$V$1486,13,0),2)</f>
        <v>30670</v>
      </c>
      <c r="O13" s="90">
        <f>ROUND(VLOOKUP(C13,APUS!$D$10:$Z$1486,23,0),2)</f>
        <v>554489</v>
      </c>
      <c r="P13" s="90">
        <f>ROUND(VLOOKUP(C13,APUS!$E$10:$Z$1486,22,0),2)</f>
        <v>0</v>
      </c>
      <c r="Q13" s="90">
        <f>ROUND(VLOOKUP(C13,APUS!$F$10:$Z$1486,21,0),2)</f>
        <v>33725</v>
      </c>
      <c r="R13" s="90">
        <f>ROUND(VLOOKUP(C13,APUS!$G$10:$Z$1486,20,0),2)</f>
        <v>1685699</v>
      </c>
      <c r="S13" s="91">
        <f>SUM(O13:R13)</f>
        <v>2273913</v>
      </c>
      <c r="T13" s="5"/>
      <c r="U13" s="12"/>
      <c r="V13" s="37" t="str">
        <f>CONCATENATE(C13," ","-"," ",D13)</f>
        <v>1.3 - Retiro de piedra labor en zonas de zanja de tubería</v>
      </c>
    </row>
    <row r="14" spans="3:22" x14ac:dyDescent="0.3">
      <c r="C14" s="190"/>
      <c r="D14" s="40"/>
      <c r="E14" s="41"/>
      <c r="F14" s="191"/>
      <c r="G14" s="67"/>
      <c r="H14" s="184"/>
      <c r="I14" s="5"/>
      <c r="J14" s="5"/>
      <c r="K14" s="99"/>
      <c r="L14" s="99"/>
      <c r="M14" s="90"/>
      <c r="N14" s="90"/>
      <c r="O14" s="90"/>
      <c r="P14" s="90"/>
      <c r="Q14" s="90"/>
      <c r="R14" s="90"/>
      <c r="S14" s="91"/>
      <c r="T14" s="5"/>
      <c r="U14" s="12"/>
    </row>
    <row r="15" spans="3:22" ht="15" customHeight="1" x14ac:dyDescent="0.3">
      <c r="C15" s="695" t="str">
        <f>+CONCATENATE("Subtotal ",D10)</f>
        <v>Subtotal PRELIMINARES</v>
      </c>
      <c r="D15" s="695"/>
      <c r="E15" s="695"/>
      <c r="F15" s="695"/>
      <c r="G15" s="695"/>
      <c r="H15" s="181">
        <f>+SUM(H10:H14)</f>
        <v>60974868</v>
      </c>
      <c r="I15" s="5"/>
      <c r="J15" s="5"/>
      <c r="K15" s="50">
        <f>+SUM(K10:K14)</f>
        <v>45841747</v>
      </c>
      <c r="L15" s="50">
        <f>+SUM(L10:L14)</f>
        <v>60974868</v>
      </c>
      <c r="M15" s="50">
        <f t="shared" ref="M15:S15" si="1">+SUM(M10:M14)</f>
        <v>54325</v>
      </c>
      <c r="N15" s="50">
        <f t="shared" si="1"/>
        <v>72254</v>
      </c>
      <c r="O15" s="50">
        <f t="shared" si="1"/>
        <v>1414112</v>
      </c>
      <c r="P15" s="50">
        <f t="shared" si="1"/>
        <v>114304</v>
      </c>
      <c r="Q15" s="50">
        <f t="shared" si="1"/>
        <v>101509</v>
      </c>
      <c r="R15" s="50">
        <f t="shared" si="1"/>
        <v>3742373</v>
      </c>
      <c r="S15" s="50">
        <f t="shared" si="1"/>
        <v>5372298</v>
      </c>
      <c r="T15" s="5"/>
      <c r="U15" s="12"/>
    </row>
    <row r="16" spans="3:22" x14ac:dyDescent="0.3">
      <c r="C16" s="189" t="s">
        <v>29</v>
      </c>
      <c r="D16" s="696" t="s">
        <v>33</v>
      </c>
      <c r="E16" s="696"/>
      <c r="F16" s="696"/>
      <c r="G16" s="696"/>
      <c r="H16" s="696"/>
      <c r="I16" s="5"/>
      <c r="J16" s="5"/>
      <c r="K16" s="89"/>
      <c r="L16" s="89"/>
      <c r="M16" s="90"/>
      <c r="N16" s="90"/>
      <c r="O16" s="90"/>
      <c r="P16" s="90"/>
      <c r="Q16" s="90"/>
      <c r="R16" s="90"/>
      <c r="S16" s="91"/>
      <c r="T16" s="5"/>
      <c r="U16" s="12"/>
      <c r="V16" s="37" t="str">
        <f t="shared" ref="V16:V33" si="2">CONCATENATE(C16," ","-"," ",D16)</f>
        <v>CAP.2 - MOVIMIENTO DE TIERRAS</v>
      </c>
    </row>
    <row r="17" spans="3:22" x14ac:dyDescent="0.3">
      <c r="C17" s="190" t="s">
        <v>49</v>
      </c>
      <c r="D17" s="40" t="s">
        <v>740</v>
      </c>
      <c r="E17" s="41" t="s">
        <v>34</v>
      </c>
      <c r="F17" s="191">
        <f>VLOOKUP(C17,[7]MC.!$B$6:$E$52,4,0)</f>
        <v>1126.3699999999999</v>
      </c>
      <c r="G17" s="67">
        <f t="shared" ref="G17:G22" si="3">+IFERROR(IF($Q$2="UNITARIOS",VLOOKUP(C17,$C$9:$Y$59,11,FALSE),VLOOKUP(C17,$C$9:$Y$59,12,FALSE)),0)</f>
        <v>0</v>
      </c>
      <c r="H17" s="184">
        <f t="shared" ref="H17:H22" si="4">+ROUND(F17*G17,$Q$3)</f>
        <v>0</v>
      </c>
      <c r="I17" s="5"/>
      <c r="J17" s="5"/>
      <c r="K17" s="99" t="e">
        <f t="shared" ref="K17:K22" si="5">ROUND(F17*M17,$Q$3)</f>
        <v>#N/A</v>
      </c>
      <c r="L17" s="99" t="e">
        <f t="shared" ref="L17:L22" si="6">ROUND(F17*N17,$Q$3)</f>
        <v>#N/A</v>
      </c>
      <c r="M17" s="90" t="e">
        <f>ROUND(VLOOKUP(C17,APUS!$H$10:$V$1486,14,0),2)</f>
        <v>#N/A</v>
      </c>
      <c r="N17" s="90" t="e">
        <f>ROUND(VLOOKUP(C17,APUS!$I$10:$V$1486,13,0),2)</f>
        <v>#N/A</v>
      </c>
      <c r="O17" s="90" t="e">
        <f>ROUND(VLOOKUP(C17,APUS!$D$10:$Z$1486,23,0),2)</f>
        <v>#N/A</v>
      </c>
      <c r="P17" s="90" t="e">
        <f>ROUND(VLOOKUP(C17,APUS!$E$10:$Z$1486,22,0),2)</f>
        <v>#N/A</v>
      </c>
      <c r="Q17" s="90" t="e">
        <f>ROUND(VLOOKUP(C17,APUS!$F$10:$Z$1486,21,0),2)</f>
        <v>#N/A</v>
      </c>
      <c r="R17" s="90" t="e">
        <f>ROUND(VLOOKUP(C17,APUS!$G$10:$Z$1486,20,0),2)</f>
        <v>#N/A</v>
      </c>
      <c r="S17" s="91" t="e">
        <f t="shared" ref="S17:S33" si="7">SUM(O17:R17)</f>
        <v>#N/A</v>
      </c>
      <c r="T17" s="5"/>
      <c r="U17" s="12"/>
      <c r="V17" s="37" t="str">
        <f t="shared" si="2"/>
        <v>2.1 - Excavación en material común en seco a maquina</v>
      </c>
    </row>
    <row r="18" spans="3:22" x14ac:dyDescent="0.3">
      <c r="C18" s="190" t="s">
        <v>51</v>
      </c>
      <c r="D18" s="40" t="s">
        <v>741</v>
      </c>
      <c r="E18" s="41" t="s">
        <v>34</v>
      </c>
      <c r="F18" s="191">
        <f>VLOOKUP(C18,[7]MC.!$B$6:$E$52,4,0)</f>
        <v>422.64</v>
      </c>
      <c r="G18" s="67">
        <f t="shared" si="3"/>
        <v>0</v>
      </c>
      <c r="H18" s="184">
        <f t="shared" si="4"/>
        <v>0</v>
      </c>
      <c r="I18" s="5"/>
      <c r="J18" s="5"/>
      <c r="K18" s="99" t="e">
        <f t="shared" si="5"/>
        <v>#N/A</v>
      </c>
      <c r="L18" s="99" t="e">
        <f t="shared" si="6"/>
        <v>#N/A</v>
      </c>
      <c r="M18" s="90" t="e">
        <f>ROUND(VLOOKUP(C18,APUS!$H$10:$V$1486,14,0),2)</f>
        <v>#N/A</v>
      </c>
      <c r="N18" s="90" t="e">
        <f>ROUND(VLOOKUP(C18,APUS!$I$10:$V$1486,13,0),2)</f>
        <v>#N/A</v>
      </c>
      <c r="O18" s="90" t="e">
        <f>ROUND(VLOOKUP(C18,APUS!$D$10:$Z$1486,23,0),2)</f>
        <v>#N/A</v>
      </c>
      <c r="P18" s="90" t="e">
        <f>ROUND(VLOOKUP(C18,APUS!$E$10:$Z$1486,22,0),2)</f>
        <v>#N/A</v>
      </c>
      <c r="Q18" s="90" t="e">
        <f>ROUND(VLOOKUP(C18,APUS!$F$10:$Z$1486,21,0),2)</f>
        <v>#N/A</v>
      </c>
      <c r="R18" s="90" t="e">
        <f>ROUND(VLOOKUP(C18,APUS!$G$10:$Z$1486,20,0),2)</f>
        <v>#N/A</v>
      </c>
      <c r="S18" s="91" t="e">
        <f t="shared" si="7"/>
        <v>#N/A</v>
      </c>
      <c r="T18" s="5"/>
      <c r="U18" s="12"/>
      <c r="V18" s="37" t="str">
        <f t="shared" si="2"/>
        <v>2.2 - Excavación en material común en seco a mano</v>
      </c>
    </row>
    <row r="19" spans="3:22" x14ac:dyDescent="0.3">
      <c r="C19" s="190" t="s">
        <v>50</v>
      </c>
      <c r="D19" s="40" t="s">
        <v>742</v>
      </c>
      <c r="E19" s="41" t="s">
        <v>34</v>
      </c>
      <c r="F19" s="191">
        <f>VLOOKUP(C19,[7]MC.!$B$6:$E$52,4,0)</f>
        <v>387.25</v>
      </c>
      <c r="G19" s="67">
        <f t="shared" si="3"/>
        <v>0</v>
      </c>
      <c r="H19" s="184">
        <f t="shared" si="4"/>
        <v>0</v>
      </c>
      <c r="I19" s="5"/>
      <c r="J19" s="5"/>
      <c r="K19" s="99" t="e">
        <f t="shared" si="5"/>
        <v>#N/A</v>
      </c>
      <c r="L19" s="99" t="e">
        <f t="shared" si="6"/>
        <v>#N/A</v>
      </c>
      <c r="M19" s="90" t="e">
        <f>ROUND(VLOOKUP(C19,APUS!$H$10:$V$1486,14,0),2)</f>
        <v>#N/A</v>
      </c>
      <c r="N19" s="90" t="e">
        <f>ROUND(VLOOKUP(C19,APUS!$I$10:$V$1486,13,0),2)</f>
        <v>#N/A</v>
      </c>
      <c r="O19" s="90" t="e">
        <f>ROUND(VLOOKUP(C19,APUS!$D$10:$Z$1486,23,0),2)</f>
        <v>#N/A</v>
      </c>
      <c r="P19" s="90" t="e">
        <f>ROUND(VLOOKUP(C19,APUS!$E$10:$Z$1486,22,0),2)</f>
        <v>#N/A</v>
      </c>
      <c r="Q19" s="90" t="e">
        <f>ROUND(VLOOKUP(C19,APUS!$F$10:$Z$1486,21,0),2)</f>
        <v>#N/A</v>
      </c>
      <c r="R19" s="90" t="e">
        <f>ROUND(VLOOKUP(C19,APUS!$G$10:$Z$1486,20,0),2)</f>
        <v>#N/A</v>
      </c>
      <c r="S19" s="91" t="e">
        <f t="shared" si="7"/>
        <v>#N/A</v>
      </c>
      <c r="T19" s="5"/>
      <c r="U19" s="12"/>
      <c r="V19" s="37" t="str">
        <f t="shared" si="2"/>
        <v>2.3 - Excavación en roca</v>
      </c>
    </row>
    <row r="20" spans="3:22" x14ac:dyDescent="0.3">
      <c r="C20" s="190" t="s">
        <v>52</v>
      </c>
      <c r="D20" s="40" t="s">
        <v>678</v>
      </c>
      <c r="E20" s="41" t="s">
        <v>35</v>
      </c>
      <c r="F20" s="191">
        <f>VLOOKUP(C20,[7]MC.!$B$6:$E$52,4,0)</f>
        <v>791.45699999999999</v>
      </c>
      <c r="G20" s="67">
        <f t="shared" si="3"/>
        <v>0</v>
      </c>
      <c r="H20" s="184">
        <f t="shared" si="4"/>
        <v>0</v>
      </c>
      <c r="I20" s="5"/>
      <c r="J20" s="5"/>
      <c r="K20" s="99" t="e">
        <f t="shared" si="5"/>
        <v>#N/A</v>
      </c>
      <c r="L20" s="99" t="e">
        <f t="shared" si="6"/>
        <v>#N/A</v>
      </c>
      <c r="M20" s="90" t="e">
        <f>ROUND(VLOOKUP(C20,APUS!$H$10:$V$1486,14,0),2)</f>
        <v>#N/A</v>
      </c>
      <c r="N20" s="90" t="e">
        <f>ROUND(VLOOKUP(C20,APUS!$I$10:$V$1486,13,0),2)</f>
        <v>#N/A</v>
      </c>
      <c r="O20" s="90" t="e">
        <f>ROUND(VLOOKUP(C20,APUS!$D$10:$Z$1486,23,0),2)</f>
        <v>#N/A</v>
      </c>
      <c r="P20" s="90" t="e">
        <f>ROUND(VLOOKUP(C20,APUS!$E$10:$Z$1486,22,0),2)</f>
        <v>#N/A</v>
      </c>
      <c r="Q20" s="90" t="e">
        <f>ROUND(VLOOKUP(C20,APUS!$F$10:$Z$1486,21,0),2)</f>
        <v>#N/A</v>
      </c>
      <c r="R20" s="90" t="e">
        <f>ROUND(VLOOKUP(C20,APUS!$G$10:$Z$1486,20,0),2)</f>
        <v>#N/A</v>
      </c>
      <c r="S20" s="91" t="e">
        <f t="shared" si="7"/>
        <v>#N/A</v>
      </c>
      <c r="T20" s="5"/>
      <c r="U20" s="12"/>
      <c r="V20" s="37" t="str">
        <f t="shared" si="2"/>
        <v>2.4 - Conformación de la zanja con cama de arena o material granular fino</v>
      </c>
    </row>
    <row r="21" spans="3:22" ht="28.8" x14ac:dyDescent="0.3">
      <c r="C21" s="190" t="s">
        <v>57</v>
      </c>
      <c r="D21" s="40" t="s">
        <v>679</v>
      </c>
      <c r="E21" s="41" t="s">
        <v>34</v>
      </c>
      <c r="F21" s="191">
        <f>VLOOKUP(C21,[7]MC.!$B$6:$E$52,4,0)</f>
        <v>1352.0228</v>
      </c>
      <c r="G21" s="67">
        <f t="shared" si="3"/>
        <v>0</v>
      </c>
      <c r="H21" s="184">
        <f t="shared" si="4"/>
        <v>0</v>
      </c>
      <c r="I21" s="5"/>
      <c r="J21" s="5"/>
      <c r="K21" s="99" t="e">
        <f t="shared" si="5"/>
        <v>#N/A</v>
      </c>
      <c r="L21" s="99" t="e">
        <f t="shared" si="6"/>
        <v>#N/A</v>
      </c>
      <c r="M21" s="90" t="e">
        <f>ROUND(VLOOKUP(C21,APUS!$H$10:$V$1486,14,0),2)</f>
        <v>#N/A</v>
      </c>
      <c r="N21" s="90" t="e">
        <f>ROUND(VLOOKUP(C21,APUS!$I$10:$V$1486,13,0),2)</f>
        <v>#N/A</v>
      </c>
      <c r="O21" s="90" t="e">
        <f>ROUND(VLOOKUP(C21,APUS!$D$10:$Z$1486,23,0),2)</f>
        <v>#N/A</v>
      </c>
      <c r="P21" s="90" t="e">
        <f>ROUND(VLOOKUP(C21,APUS!$E$10:$Z$1486,22,0),2)</f>
        <v>#N/A</v>
      </c>
      <c r="Q21" s="90" t="e">
        <f>ROUND(VLOOKUP(C21,APUS!$F$10:$Z$1486,21,0),2)</f>
        <v>#N/A</v>
      </c>
      <c r="R21" s="90" t="e">
        <f>ROUND(VLOOKUP(C21,APUS!$G$10:$Z$1486,20,0),2)</f>
        <v>#N/A</v>
      </c>
      <c r="S21" s="91" t="e">
        <f t="shared" si="7"/>
        <v>#N/A</v>
      </c>
      <c r="T21" s="5"/>
      <c r="U21" s="12"/>
      <c r="V21" s="37" t="str">
        <f t="shared" si="2"/>
        <v>2.5 - Relleno para zanja con material seleccionado de la excavación compactado al 90% por capas no mayor a 10 cm</v>
      </c>
    </row>
    <row r="22" spans="3:22" ht="28.8" x14ac:dyDescent="0.3">
      <c r="C22" s="190" t="s">
        <v>513</v>
      </c>
      <c r="D22" s="40" t="s">
        <v>680</v>
      </c>
      <c r="E22" s="41" t="s">
        <v>34</v>
      </c>
      <c r="F22" s="191">
        <f>VLOOKUP(C22,[7]MC.!$B$6:$E$52,4,0)</f>
        <v>575.44280000000003</v>
      </c>
      <c r="G22" s="67">
        <f t="shared" si="3"/>
        <v>0</v>
      </c>
      <c r="H22" s="184">
        <f t="shared" si="4"/>
        <v>0</v>
      </c>
      <c r="I22" s="5"/>
      <c r="J22" s="5"/>
      <c r="K22" s="99" t="e">
        <f t="shared" si="5"/>
        <v>#N/A</v>
      </c>
      <c r="L22" s="99" t="e">
        <f t="shared" si="6"/>
        <v>#N/A</v>
      </c>
      <c r="M22" s="90" t="e">
        <f>ROUND(VLOOKUP(C22,APUS!$H$10:$V$1486,14,0),2)</f>
        <v>#N/A</v>
      </c>
      <c r="N22" s="90" t="e">
        <f>ROUND(VLOOKUP(C22,APUS!$I$10:$V$1486,13,0),2)</f>
        <v>#N/A</v>
      </c>
      <c r="O22" s="90" t="e">
        <f>ROUND(VLOOKUP(C22,APUS!$D$10:$Z$1486,23,0),2)</f>
        <v>#N/A</v>
      </c>
      <c r="P22" s="90" t="e">
        <f>ROUND(VLOOKUP(C22,APUS!$E$10:$Z$1486,22,0),2)</f>
        <v>#N/A</v>
      </c>
      <c r="Q22" s="90" t="e">
        <f>ROUND(VLOOKUP(C22,APUS!$F$10:$Z$1486,21,0),2)</f>
        <v>#N/A</v>
      </c>
      <c r="R22" s="90" t="e">
        <f>ROUND(VLOOKUP(C22,APUS!$G$10:$Z$1486,20,0),2)</f>
        <v>#N/A</v>
      </c>
      <c r="S22" s="91" t="e">
        <f t="shared" si="7"/>
        <v>#N/A</v>
      </c>
      <c r="T22" s="5"/>
      <c r="U22" s="12"/>
      <c r="V22" s="37" t="str">
        <f t="shared" si="2"/>
        <v>2.6 - Relleno para zanja con material de préstamo (recebo) compactado 90% por capas no mayor a 10 cm</v>
      </c>
    </row>
    <row r="23" spans="3:22" x14ac:dyDescent="0.3">
      <c r="C23" s="190"/>
      <c r="D23" s="40"/>
      <c r="E23" s="41"/>
      <c r="F23" s="191"/>
      <c r="G23" s="67"/>
      <c r="H23" s="184"/>
      <c r="I23" s="5"/>
      <c r="J23" s="5"/>
      <c r="K23" s="99"/>
      <c r="L23" s="99"/>
      <c r="M23" s="90"/>
      <c r="N23" s="90"/>
      <c r="O23" s="90"/>
      <c r="P23" s="90"/>
      <c r="Q23" s="90"/>
      <c r="R23" s="90"/>
      <c r="S23" s="91"/>
      <c r="T23" s="5"/>
      <c r="U23" s="12"/>
    </row>
    <row r="24" spans="3:22" x14ac:dyDescent="0.3">
      <c r="C24" s="695" t="str">
        <f>+CONCATENATE("Subtotal ",D16)</f>
        <v>Subtotal MOVIMIENTO DE TIERRAS</v>
      </c>
      <c r="D24" s="695"/>
      <c r="E24" s="695"/>
      <c r="F24" s="695"/>
      <c r="G24" s="695"/>
      <c r="H24" s="181">
        <f>+SUM(H16:H23)</f>
        <v>0</v>
      </c>
      <c r="I24" s="5"/>
      <c r="J24" s="5"/>
      <c r="K24" s="50" t="e">
        <f>+SUM(K16:K23)</f>
        <v>#N/A</v>
      </c>
      <c r="L24" s="50" t="e">
        <f>+SUM(L16:L23)</f>
        <v>#N/A</v>
      </c>
      <c r="M24" s="50" t="e">
        <f t="shared" ref="M24:S24" si="8">+SUM(M16:M22)</f>
        <v>#N/A</v>
      </c>
      <c r="N24" s="50" t="e">
        <f t="shared" si="8"/>
        <v>#N/A</v>
      </c>
      <c r="O24" s="50" t="e">
        <f t="shared" si="8"/>
        <v>#N/A</v>
      </c>
      <c r="P24" s="50" t="e">
        <f t="shared" si="8"/>
        <v>#N/A</v>
      </c>
      <c r="Q24" s="50" t="e">
        <f t="shared" si="8"/>
        <v>#N/A</v>
      </c>
      <c r="R24" s="50" t="e">
        <f t="shared" si="8"/>
        <v>#N/A</v>
      </c>
      <c r="S24" s="50" t="e">
        <f t="shared" si="8"/>
        <v>#N/A</v>
      </c>
      <c r="T24" s="5"/>
      <c r="U24" s="12"/>
    </row>
    <row r="25" spans="3:22" x14ac:dyDescent="0.3">
      <c r="C25" s="189" t="s">
        <v>30</v>
      </c>
      <c r="D25" s="696" t="s">
        <v>681</v>
      </c>
      <c r="E25" s="696"/>
      <c r="F25" s="696"/>
      <c r="G25" s="696"/>
      <c r="H25" s="696"/>
      <c r="I25" s="5"/>
      <c r="J25" s="5"/>
      <c r="K25" s="89"/>
      <c r="L25" s="89"/>
      <c r="M25" s="90"/>
      <c r="N25" s="90"/>
      <c r="O25" s="90"/>
      <c r="P25" s="90"/>
      <c r="Q25" s="90"/>
      <c r="R25" s="90"/>
      <c r="S25" s="91"/>
      <c r="T25" s="5"/>
      <c r="U25" s="12"/>
      <c r="V25" s="37" t="str">
        <f t="shared" si="2"/>
        <v>CAP.3 - RED DE DISTRIBUCION</v>
      </c>
    </row>
    <row r="26" spans="3:22" x14ac:dyDescent="0.3">
      <c r="C26" s="190" t="s">
        <v>62</v>
      </c>
      <c r="D26" s="40" t="s">
        <v>706</v>
      </c>
      <c r="E26" s="41" t="s">
        <v>35</v>
      </c>
      <c r="F26" s="191">
        <f>VLOOKUP(C26,[7]MC.!$B$6:$E$52,4,0)</f>
        <v>4911.21</v>
      </c>
      <c r="G26" s="67">
        <f t="shared" ref="G26:G33" si="9">+IFERROR(IF($Q$2="UNITARIOS",VLOOKUP(C26,$C$9:$Y$59,11,FALSE),VLOOKUP(C26,$C$9:$Y$59,12,FALSE)),0)</f>
        <v>0</v>
      </c>
      <c r="H26" s="184">
        <f>+ROUND(F26*G26,$Q$3)</f>
        <v>0</v>
      </c>
      <c r="I26" s="5"/>
      <c r="J26" s="5"/>
      <c r="K26" s="99" t="e">
        <f t="shared" ref="K26:K33" si="10">ROUND(F26*M26,$Q$3)</f>
        <v>#N/A</v>
      </c>
      <c r="L26" s="99" t="e">
        <f t="shared" ref="L26:L33" si="11">ROUND(F26*N26,$Q$3)</f>
        <v>#N/A</v>
      </c>
      <c r="M26" s="90" t="e">
        <f>ROUND(VLOOKUP(C26,APUS!$H$10:$V$1486,14,0),2)</f>
        <v>#N/A</v>
      </c>
      <c r="N26" s="90" t="e">
        <f>ROUND(VLOOKUP(C26,APUS!$I$10:$V$1486,13,0),2)</f>
        <v>#N/A</v>
      </c>
      <c r="O26" s="90" t="e">
        <f>ROUND(VLOOKUP(C26,APUS!$D$10:$Z$1486,23,0),2)</f>
        <v>#N/A</v>
      </c>
      <c r="P26" s="90" t="e">
        <f>ROUND(VLOOKUP(C26,APUS!$E$10:$Z$1486,22,0),2)</f>
        <v>#N/A</v>
      </c>
      <c r="Q26" s="90" t="e">
        <f>ROUND(VLOOKUP(C26,APUS!$F$10:$Z$1486,21,0),2)</f>
        <v>#N/A</v>
      </c>
      <c r="R26" s="90" t="e">
        <f>ROUND(VLOOKUP(C26,APUS!$G$10:$Z$1486,20,0),2)</f>
        <v>#N/A</v>
      </c>
      <c r="S26" s="91" t="e">
        <f t="shared" si="7"/>
        <v>#N/A</v>
      </c>
      <c r="T26" s="5"/>
      <c r="U26" s="12"/>
      <c r="V26" s="37" t="str">
        <f t="shared" si="2"/>
        <v>3.1 - Suministro e instalación de tubería de PVC Presión de 2" RDE 21</v>
      </c>
    </row>
    <row r="27" spans="3:22" x14ac:dyDescent="0.3">
      <c r="C27" s="190" t="s">
        <v>63</v>
      </c>
      <c r="D27" s="40" t="s">
        <v>707</v>
      </c>
      <c r="E27" s="41" t="s">
        <v>35</v>
      </c>
      <c r="F27" s="191">
        <f>VLOOKUP(C27,[7]MC.!$B$6:$E$52,4,0)</f>
        <v>117.22</v>
      </c>
      <c r="G27" s="67">
        <f t="shared" si="9"/>
        <v>0</v>
      </c>
      <c r="H27" s="184">
        <f t="shared" ref="H27:H33" si="12">+ROUND(F27*G27,$Q$3)</f>
        <v>0</v>
      </c>
      <c r="I27" s="5"/>
      <c r="J27" s="5"/>
      <c r="K27" s="99" t="e">
        <f t="shared" si="10"/>
        <v>#N/A</v>
      </c>
      <c r="L27" s="99" t="e">
        <f t="shared" si="11"/>
        <v>#N/A</v>
      </c>
      <c r="M27" s="90" t="e">
        <f>ROUND(VLOOKUP(C27,APUS!$H$10:$V$1486,14,0),2)</f>
        <v>#N/A</v>
      </c>
      <c r="N27" s="90" t="e">
        <f>ROUND(VLOOKUP(C27,APUS!$I$10:$V$1486,13,0),2)</f>
        <v>#N/A</v>
      </c>
      <c r="O27" s="90" t="e">
        <f>ROUND(VLOOKUP(C27,APUS!$D$10:$Z$1486,23,0),2)</f>
        <v>#N/A</v>
      </c>
      <c r="P27" s="90" t="e">
        <f>ROUND(VLOOKUP(C27,APUS!$E$10:$Z$1486,22,0),2)</f>
        <v>#N/A</v>
      </c>
      <c r="Q27" s="90" t="e">
        <f>ROUND(VLOOKUP(C27,APUS!$F$10:$Z$1486,21,0),2)</f>
        <v>#N/A</v>
      </c>
      <c r="R27" s="90" t="e">
        <f>ROUND(VLOOKUP(C27,APUS!$G$10:$Z$1486,20,0),2)</f>
        <v>#N/A</v>
      </c>
      <c r="S27" s="91" t="e">
        <f t="shared" si="7"/>
        <v>#N/A</v>
      </c>
      <c r="T27" s="5"/>
      <c r="U27" s="12"/>
      <c r="V27" s="37" t="str">
        <f t="shared" si="2"/>
        <v>3.2 - Suministro e instalación de tubería de PVC Presión de 1" RDE 21</v>
      </c>
    </row>
    <row r="28" spans="3:22" x14ac:dyDescent="0.3">
      <c r="C28" s="190" t="s">
        <v>64</v>
      </c>
      <c r="D28" s="40" t="s">
        <v>708</v>
      </c>
      <c r="E28" s="41" t="s">
        <v>35</v>
      </c>
      <c r="F28" s="191">
        <f>VLOOKUP(C28,[7]MC.!$B$6:$E$52,4,0)</f>
        <v>936.14</v>
      </c>
      <c r="G28" s="67">
        <f t="shared" si="9"/>
        <v>0</v>
      </c>
      <c r="H28" s="184">
        <f t="shared" si="12"/>
        <v>0</v>
      </c>
      <c r="I28" s="5"/>
      <c r="J28" s="5"/>
      <c r="K28" s="99" t="e">
        <f t="shared" si="10"/>
        <v>#N/A</v>
      </c>
      <c r="L28" s="99" t="e">
        <f t="shared" si="11"/>
        <v>#N/A</v>
      </c>
      <c r="M28" s="90" t="e">
        <f>ROUND(VLOOKUP(C28,APUS!$H$10:$V$1486,14,0),2)</f>
        <v>#N/A</v>
      </c>
      <c r="N28" s="90" t="e">
        <f>ROUND(VLOOKUP(C28,APUS!$I$10:$V$1486,13,0),2)</f>
        <v>#N/A</v>
      </c>
      <c r="O28" s="90" t="e">
        <f>ROUND(VLOOKUP(C28,APUS!$D$10:$Z$1486,23,0),2)</f>
        <v>#N/A</v>
      </c>
      <c r="P28" s="90" t="e">
        <f>ROUND(VLOOKUP(C28,APUS!$E$10:$Z$1486,22,0),2)</f>
        <v>#N/A</v>
      </c>
      <c r="Q28" s="90" t="e">
        <f>ROUND(VLOOKUP(C28,APUS!$F$10:$Z$1486,21,0),2)</f>
        <v>#N/A</v>
      </c>
      <c r="R28" s="90" t="e">
        <f>ROUND(VLOOKUP(C28,APUS!$G$10:$Z$1486,20,0),2)</f>
        <v>#N/A</v>
      </c>
      <c r="S28" s="91" t="e">
        <f t="shared" si="7"/>
        <v>#N/A</v>
      </c>
      <c r="T28" s="5"/>
      <c r="U28" s="12"/>
      <c r="V28" s="37" t="str">
        <f t="shared" si="2"/>
        <v>3.3 - Suministro e instalación de tubería de PVC Presión de 1/2" RDE 13,5</v>
      </c>
    </row>
    <row r="29" spans="3:22" ht="15" customHeight="1" x14ac:dyDescent="0.3">
      <c r="C29" s="190" t="s">
        <v>65</v>
      </c>
      <c r="D29" s="40" t="s">
        <v>709</v>
      </c>
      <c r="E29" s="41" t="s">
        <v>36</v>
      </c>
      <c r="F29" s="191">
        <f>VLOOKUP(C29,[7]MC.!$B$6:$E$52,4,0)</f>
        <v>6</v>
      </c>
      <c r="G29" s="67">
        <f t="shared" si="9"/>
        <v>0</v>
      </c>
      <c r="H29" s="184">
        <f t="shared" si="12"/>
        <v>0</v>
      </c>
      <c r="I29" s="5"/>
      <c r="J29" s="5"/>
      <c r="K29" s="99" t="e">
        <f t="shared" si="10"/>
        <v>#N/A</v>
      </c>
      <c r="L29" s="99" t="e">
        <f t="shared" si="11"/>
        <v>#N/A</v>
      </c>
      <c r="M29" s="90" t="e">
        <f>ROUND(VLOOKUP(C29,APUS!$H$10:$V$1486,14,0),2)</f>
        <v>#N/A</v>
      </c>
      <c r="N29" s="90" t="e">
        <f>ROUND(VLOOKUP(C29,APUS!$I$10:$V$1486,13,0),2)</f>
        <v>#N/A</v>
      </c>
      <c r="O29" s="90" t="e">
        <f>ROUND(VLOOKUP(C29,APUS!$D$10:$Z$1486,23,0),2)</f>
        <v>#N/A</v>
      </c>
      <c r="P29" s="90" t="e">
        <f>ROUND(VLOOKUP(C29,APUS!$E$10:$Z$1486,22,0),2)</f>
        <v>#N/A</v>
      </c>
      <c r="Q29" s="90" t="e">
        <f>ROUND(VLOOKUP(C29,APUS!$F$10:$Z$1486,21,0),2)</f>
        <v>#N/A</v>
      </c>
      <c r="R29" s="90" t="e">
        <f>ROUND(VLOOKUP(C29,APUS!$G$10:$Z$1486,20,0),2)</f>
        <v>#N/A</v>
      </c>
      <c r="S29" s="91" t="e">
        <f t="shared" si="7"/>
        <v>#N/A</v>
      </c>
      <c r="T29" s="5"/>
      <c r="U29" s="12"/>
      <c r="V29" s="37" t="str">
        <f t="shared" si="2"/>
        <v>3.4 - Válvula de cierre metálico 2"</v>
      </c>
    </row>
    <row r="30" spans="3:22" ht="15" customHeight="1" x14ac:dyDescent="0.3">
      <c r="C30" s="190" t="s">
        <v>66</v>
      </c>
      <c r="D30" s="40" t="s">
        <v>710</v>
      </c>
      <c r="E30" s="41" t="s">
        <v>36</v>
      </c>
      <c r="F30" s="191">
        <f>VLOOKUP(C30,[7]MC.!$B$6:$E$52,4,0)</f>
        <v>11</v>
      </c>
      <c r="G30" s="67">
        <f t="shared" si="9"/>
        <v>1098293</v>
      </c>
      <c r="H30" s="184">
        <f t="shared" si="12"/>
        <v>12081223</v>
      </c>
      <c r="I30" s="5"/>
      <c r="J30" s="5"/>
      <c r="K30" s="99">
        <f t="shared" si="10"/>
        <v>9083624</v>
      </c>
      <c r="L30" s="99">
        <f t="shared" si="11"/>
        <v>12081223</v>
      </c>
      <c r="M30" s="90">
        <f>ROUND(VLOOKUP(C30,APUS!$H$10:$V$1486,14,0),2)</f>
        <v>825784</v>
      </c>
      <c r="N30" s="90">
        <f>ROUND(VLOOKUP(C30,APUS!$I$10:$V$1486,13,0),2)</f>
        <v>1098293</v>
      </c>
      <c r="O30" s="90">
        <f>ROUND(VLOOKUP(C30,APUS!$D$10:$Z$1486,23,0),2)</f>
        <v>0</v>
      </c>
      <c r="P30" s="90">
        <f>ROUND(VLOOKUP(C30,APUS!$E$10:$Z$1486,22,0),2)</f>
        <v>0</v>
      </c>
      <c r="Q30" s="90">
        <f>ROUND(VLOOKUP(C30,APUS!$F$10:$Z$1486,21,0),2)</f>
        <v>0</v>
      </c>
      <c r="R30" s="90">
        <f>ROUND(VLOOKUP(C30,APUS!$G$10:$Z$1486,20,0),2)</f>
        <v>0</v>
      </c>
      <c r="S30" s="91">
        <f t="shared" si="7"/>
        <v>0</v>
      </c>
      <c r="T30" s="5"/>
      <c r="U30" s="12"/>
      <c r="V30" s="37" t="str">
        <f t="shared" si="2"/>
        <v>3.5 - Válvula ventosa para tubería de 2" doble efecto</v>
      </c>
    </row>
    <row r="31" spans="3:22" x14ac:dyDescent="0.3">
      <c r="C31" s="190" t="s">
        <v>67</v>
      </c>
      <c r="D31" s="40" t="s">
        <v>711</v>
      </c>
      <c r="E31" s="41" t="s">
        <v>36</v>
      </c>
      <c r="F31" s="191">
        <f>VLOOKUP(C31,[7]MC.!$B$6:$E$52,4,0)</f>
        <v>1</v>
      </c>
      <c r="G31" s="67">
        <f t="shared" si="9"/>
        <v>38323</v>
      </c>
      <c r="H31" s="184">
        <f t="shared" si="12"/>
        <v>38323</v>
      </c>
      <c r="I31" s="5"/>
      <c r="J31" s="5"/>
      <c r="K31" s="99">
        <f t="shared" si="10"/>
        <v>28814</v>
      </c>
      <c r="L31" s="99">
        <f t="shared" si="11"/>
        <v>38323</v>
      </c>
      <c r="M31" s="90">
        <f>ROUND(VLOOKUP(C31,APUS!$H$10:$V$1486,14,0),2)</f>
        <v>28814</v>
      </c>
      <c r="N31" s="90">
        <f>ROUND(VLOOKUP(C31,APUS!$I$10:$V$1486,13,0),2)</f>
        <v>38323</v>
      </c>
      <c r="O31" s="90">
        <f>ROUND(VLOOKUP(C31,APUS!$D$10:$Z$1486,23,0),2)</f>
        <v>0</v>
      </c>
      <c r="P31" s="90">
        <f>ROUND(VLOOKUP(C31,APUS!$E$10:$Z$1486,22,0),2)</f>
        <v>0</v>
      </c>
      <c r="Q31" s="90">
        <f>ROUND(VLOOKUP(C31,APUS!$F$10:$Z$1486,21,0),2)</f>
        <v>0</v>
      </c>
      <c r="R31" s="90">
        <f>ROUND(VLOOKUP(C31,APUS!$G$10:$Z$1486,20,0),2)</f>
        <v>0</v>
      </c>
      <c r="S31" s="91">
        <f t="shared" si="7"/>
        <v>0</v>
      </c>
      <c r="T31" s="5"/>
      <c r="U31" s="12"/>
      <c r="V31" s="37" t="str">
        <f t="shared" si="2"/>
        <v>3.6 - Macromedidor de agua 2" chorro único</v>
      </c>
    </row>
    <row r="32" spans="3:22" x14ac:dyDescent="0.3">
      <c r="C32" s="190" t="s">
        <v>68</v>
      </c>
      <c r="D32" s="40" t="s">
        <v>712</v>
      </c>
      <c r="E32" s="41" t="s">
        <v>36</v>
      </c>
      <c r="F32" s="191">
        <f>VLOOKUP(C32,[7]MC.!$B$6:$E$52,4,0)</f>
        <v>5</v>
      </c>
      <c r="G32" s="67">
        <f t="shared" si="9"/>
        <v>304560</v>
      </c>
      <c r="H32" s="184">
        <f t="shared" si="12"/>
        <v>1522800</v>
      </c>
      <c r="I32" s="5"/>
      <c r="J32" s="5"/>
      <c r="K32" s="99">
        <f t="shared" si="10"/>
        <v>1144960</v>
      </c>
      <c r="L32" s="99">
        <f t="shared" si="11"/>
        <v>1522800</v>
      </c>
      <c r="M32" s="90">
        <f>ROUND(VLOOKUP(C32,APUS!$H$10:$V$1486,14,0),2)</f>
        <v>228992</v>
      </c>
      <c r="N32" s="90">
        <f>ROUND(VLOOKUP(C32,APUS!$I$10:$V$1486,13,0),2)</f>
        <v>304560</v>
      </c>
      <c r="O32" s="90">
        <f>ROUND(VLOOKUP(C32,APUS!$D$10:$Z$1486,23,0),2)</f>
        <v>163751</v>
      </c>
      <c r="P32" s="90">
        <f>ROUND(VLOOKUP(C32,APUS!$E$10:$Z$1486,22,0),2)</f>
        <v>9236642</v>
      </c>
      <c r="Q32" s="90">
        <f>ROUND(VLOOKUP(C32,APUS!$F$10:$Z$1486,21,0),2)</f>
        <v>869505</v>
      </c>
      <c r="R32" s="90">
        <f>ROUND(VLOOKUP(C32,APUS!$G$10:$Z$1486,20,0),2)</f>
        <v>3275017</v>
      </c>
      <c r="S32" s="91">
        <f t="shared" si="7"/>
        <v>13544915</v>
      </c>
      <c r="T32" s="5"/>
      <c r="U32" s="12"/>
      <c r="V32" s="37" t="str">
        <f t="shared" si="2"/>
        <v>3.7 - Estación reguladora de presión Tipo 2</v>
      </c>
    </row>
    <row r="33" spans="3:22" ht="15" customHeight="1" x14ac:dyDescent="0.3">
      <c r="C33" s="190" t="s">
        <v>69</v>
      </c>
      <c r="D33" s="40" t="s">
        <v>720</v>
      </c>
      <c r="E33" s="41" t="s">
        <v>36</v>
      </c>
      <c r="F33" s="191">
        <f>VLOOKUP(C33,[7]MC.!$B$6:$E$52,4,0)</f>
        <v>23</v>
      </c>
      <c r="G33" s="67">
        <f t="shared" si="9"/>
        <v>191149</v>
      </c>
      <c r="H33" s="184">
        <f t="shared" si="12"/>
        <v>4396427</v>
      </c>
      <c r="I33" s="5"/>
      <c r="J33" s="5"/>
      <c r="K33" s="99">
        <f t="shared" si="10"/>
        <v>3305583</v>
      </c>
      <c r="L33" s="99">
        <f t="shared" si="11"/>
        <v>4396427</v>
      </c>
      <c r="M33" s="90">
        <f>ROUND(VLOOKUP(C33,APUS!$H$10:$V$1486,14,0),2)</f>
        <v>143721</v>
      </c>
      <c r="N33" s="90">
        <f>ROUND(VLOOKUP(C33,APUS!$I$10:$V$1486,13,0),2)</f>
        <v>191149</v>
      </c>
      <c r="O33" s="90">
        <f>ROUND(VLOOKUP(C33,APUS!$D$10:$Z$1486,23,0),2)</f>
        <v>218336</v>
      </c>
      <c r="P33" s="90">
        <f>ROUND(VLOOKUP(C33,APUS!$E$10:$Z$1486,22,0),2)</f>
        <v>7155866</v>
      </c>
      <c r="Q33" s="90">
        <f>ROUND(VLOOKUP(C33,APUS!$F$10:$Z$1486,21,0),2)</f>
        <v>1337700</v>
      </c>
      <c r="R33" s="90">
        <f>ROUND(VLOOKUP(C33,APUS!$G$10:$Z$1486,20,0),2)</f>
        <v>4366690</v>
      </c>
      <c r="S33" s="91">
        <f t="shared" si="7"/>
        <v>13078592</v>
      </c>
      <c r="T33" s="5"/>
      <c r="U33" s="12"/>
      <c r="V33" s="37" t="str">
        <f t="shared" si="2"/>
        <v>3.8 - Caja de inspección para válvulas 60x60 cm</v>
      </c>
    </row>
    <row r="34" spans="3:22" ht="15" customHeight="1" x14ac:dyDescent="0.3">
      <c r="C34" s="190"/>
      <c r="D34" s="40"/>
      <c r="E34" s="41"/>
      <c r="F34" s="191"/>
      <c r="G34" s="67"/>
      <c r="H34" s="184"/>
      <c r="I34" s="5"/>
      <c r="J34" s="5"/>
      <c r="K34" s="99"/>
      <c r="L34" s="99"/>
      <c r="M34" s="90"/>
      <c r="N34" s="90"/>
      <c r="O34" s="90"/>
      <c r="P34" s="90"/>
      <c r="Q34" s="90"/>
      <c r="R34" s="90"/>
      <c r="S34" s="91"/>
      <c r="T34" s="5"/>
      <c r="U34" s="12"/>
    </row>
    <row r="35" spans="3:22" x14ac:dyDescent="0.3">
      <c r="C35" s="695" t="str">
        <f>+CONCATENATE("Subtotal ",D25)</f>
        <v>Subtotal RED DE DISTRIBUCION</v>
      </c>
      <c r="D35" s="695"/>
      <c r="E35" s="695"/>
      <c r="F35" s="695"/>
      <c r="G35" s="695"/>
      <c r="H35" s="181">
        <f>+SUM(H25:H34)</f>
        <v>18038773</v>
      </c>
      <c r="I35" s="5"/>
      <c r="J35" s="5"/>
      <c r="K35" s="50" t="e">
        <f>+SUM(K25:K34)</f>
        <v>#N/A</v>
      </c>
      <c r="L35" s="50" t="e">
        <f>+SUM(L25:L34)</f>
        <v>#N/A</v>
      </c>
      <c r="M35" s="50" t="e">
        <f t="shared" ref="M35:S35" si="13">+SUM(M25:M33)</f>
        <v>#N/A</v>
      </c>
      <c r="N35" s="50" t="e">
        <f t="shared" si="13"/>
        <v>#N/A</v>
      </c>
      <c r="O35" s="50" t="e">
        <f t="shared" si="13"/>
        <v>#N/A</v>
      </c>
      <c r="P35" s="50" t="e">
        <f t="shared" si="13"/>
        <v>#N/A</v>
      </c>
      <c r="Q35" s="50" t="e">
        <f t="shared" si="13"/>
        <v>#N/A</v>
      </c>
      <c r="R35" s="50" t="e">
        <f t="shared" si="13"/>
        <v>#N/A</v>
      </c>
      <c r="S35" s="50" t="e">
        <f t="shared" si="13"/>
        <v>#N/A</v>
      </c>
      <c r="T35" s="5"/>
      <c r="U35" s="12"/>
    </row>
    <row r="36" spans="3:22" x14ac:dyDescent="0.3">
      <c r="C36" s="189" t="s">
        <v>40</v>
      </c>
      <c r="D36" s="696" t="s">
        <v>682</v>
      </c>
      <c r="E36" s="696"/>
      <c r="F36" s="696"/>
      <c r="G36" s="696"/>
      <c r="H36" s="696"/>
      <c r="I36" s="5"/>
      <c r="J36" s="5"/>
      <c r="K36" s="89"/>
      <c r="L36" s="89"/>
      <c r="M36" s="90"/>
      <c r="N36" s="90"/>
      <c r="O36" s="90"/>
      <c r="P36" s="90"/>
      <c r="Q36" s="90"/>
      <c r="R36" s="90"/>
      <c r="S36" s="91"/>
      <c r="T36" s="5"/>
      <c r="U36" s="12"/>
      <c r="V36" s="37" t="str">
        <f t="shared" ref="V36:V41" si="14">CONCATENATE(C36," ","-"," ",D36)</f>
        <v>CAP.4 - DOMICILIARIAS</v>
      </c>
    </row>
    <row r="37" spans="3:22" x14ac:dyDescent="0.3">
      <c r="C37" s="192" t="s">
        <v>76</v>
      </c>
      <c r="D37" s="40" t="s">
        <v>708</v>
      </c>
      <c r="E37" s="41" t="s">
        <v>35</v>
      </c>
      <c r="F37" s="191">
        <f>VLOOKUP(C37,[7]MC.!$B$6:$E$52,4,0)</f>
        <v>1950</v>
      </c>
      <c r="G37" s="67">
        <f>+IFERROR(IF($Q$2="UNITARIOS",VLOOKUP(C37,$C$9:$Y$59,11,FALSE),VLOOKUP(C37,$C$9:$Y$59,12,FALSE)),0)</f>
        <v>0</v>
      </c>
      <c r="H37" s="184">
        <f t="shared" ref="H37:H41" si="15">+ROUND(F37*G37,$Q$3)</f>
        <v>0</v>
      </c>
      <c r="I37" s="5"/>
      <c r="J37" s="5"/>
      <c r="K37" s="99" t="e">
        <f t="shared" ref="K37:K41" si="16">ROUND(F37*M37,$Q$3)</f>
        <v>#N/A</v>
      </c>
      <c r="L37" s="99" t="e">
        <f t="shared" ref="L37:L41" si="17">ROUND(F37*N37,$Q$3)</f>
        <v>#N/A</v>
      </c>
      <c r="M37" s="90" t="e">
        <f>ROUND(VLOOKUP(C37,APUS!$H$10:$V$1486,14,0),2)</f>
        <v>#N/A</v>
      </c>
      <c r="N37" s="90" t="e">
        <f>ROUND(VLOOKUP(C37,APUS!$I$10:$V$1486,13,0),2)</f>
        <v>#N/A</v>
      </c>
      <c r="O37" s="90" t="e">
        <f>ROUND(VLOOKUP(C37,APUS!$D$10:$Z$1486,23,0),2)</f>
        <v>#N/A</v>
      </c>
      <c r="P37" s="90" t="e">
        <f>ROUND(VLOOKUP(C37,APUS!$E$10:$Z$1486,22,0),2)</f>
        <v>#N/A</v>
      </c>
      <c r="Q37" s="90" t="e">
        <f>ROUND(VLOOKUP(C37,APUS!$F$10:$Z$1486,21,0),2)</f>
        <v>#N/A</v>
      </c>
      <c r="R37" s="90" t="e">
        <f>ROUND(VLOOKUP(C37,APUS!$G$10:$Z$1486,20,0),2)</f>
        <v>#N/A</v>
      </c>
      <c r="S37" s="91" t="e">
        <f t="shared" ref="S37:S41" si="18">SUM(O37:R37)</f>
        <v>#N/A</v>
      </c>
      <c r="T37" s="5"/>
      <c r="U37" s="12"/>
      <c r="V37" s="37" t="str">
        <f t="shared" si="14"/>
        <v>4.1 - Suministro e instalación de tubería de PVC Presión de 1/2" RDE 13,5</v>
      </c>
    </row>
    <row r="38" spans="3:22" ht="15" customHeight="1" x14ac:dyDescent="0.3">
      <c r="C38" s="192" t="s">
        <v>77</v>
      </c>
      <c r="D38" s="40" t="s">
        <v>713</v>
      </c>
      <c r="E38" s="41" t="s">
        <v>36</v>
      </c>
      <c r="F38" s="191">
        <f>VLOOKUP(C38,[7]MC.!$B$6:$E$52,4,0)</f>
        <v>50</v>
      </c>
      <c r="G38" s="67">
        <f>+IFERROR(IF($Q$2="UNITARIOS",VLOOKUP(C38,$C$9:$Y$59,11,FALSE),VLOOKUP(C38,$C$9:$Y$59,12,FALSE)),0)</f>
        <v>0</v>
      </c>
      <c r="H38" s="184">
        <f t="shared" si="15"/>
        <v>0</v>
      </c>
      <c r="I38" s="5"/>
      <c r="J38" s="5"/>
      <c r="K38" s="99" t="e">
        <f t="shared" si="16"/>
        <v>#N/A</v>
      </c>
      <c r="L38" s="99" t="e">
        <f t="shared" si="17"/>
        <v>#N/A</v>
      </c>
      <c r="M38" s="90" t="e">
        <f>ROUND(VLOOKUP(C38,APUS!$H$10:$V$1486,14,0),2)</f>
        <v>#N/A</v>
      </c>
      <c r="N38" s="90" t="e">
        <f>ROUND(VLOOKUP(C38,APUS!$I$10:$V$1486,13,0),2)</f>
        <v>#N/A</v>
      </c>
      <c r="O38" s="90" t="e">
        <f>ROUND(VLOOKUP(C38,APUS!$D$10:$Z$1486,23,0),2)</f>
        <v>#N/A</v>
      </c>
      <c r="P38" s="90" t="e">
        <f>ROUND(VLOOKUP(C38,APUS!$E$10:$Z$1486,22,0),2)</f>
        <v>#N/A</v>
      </c>
      <c r="Q38" s="90" t="e">
        <f>ROUND(VLOOKUP(C38,APUS!$F$10:$Z$1486,21,0),2)</f>
        <v>#N/A</v>
      </c>
      <c r="R38" s="90" t="e">
        <f>ROUND(VLOOKUP(C38,APUS!$G$10:$Z$1486,20,0),2)</f>
        <v>#N/A</v>
      </c>
      <c r="S38" s="91" t="e">
        <f t="shared" si="18"/>
        <v>#N/A</v>
      </c>
      <c r="T38" s="5"/>
      <c r="U38" s="12"/>
      <c r="V38" s="37" t="str">
        <f t="shared" si="14"/>
        <v>4.2 - Collarín Derivación PVC 2" A 1/2"</v>
      </c>
    </row>
    <row r="39" spans="3:22" ht="15" customHeight="1" x14ac:dyDescent="0.3">
      <c r="C39" s="192" t="s">
        <v>78</v>
      </c>
      <c r="D39" s="40" t="s">
        <v>714</v>
      </c>
      <c r="E39" s="41" t="s">
        <v>36</v>
      </c>
      <c r="F39" s="191">
        <f>VLOOKUP(C39,[7]MC.!$B$6:$E$52,4,0)</f>
        <v>50</v>
      </c>
      <c r="G39" s="67">
        <f>+IFERROR(IF($Q$2="UNITARIOS",VLOOKUP(C39,$C$9:$Y$59,11,FALSE),VLOOKUP(C39,$C$9:$Y$59,12,FALSE)),0)</f>
        <v>0</v>
      </c>
      <c r="H39" s="184">
        <f t="shared" si="15"/>
        <v>0</v>
      </c>
      <c r="I39" s="5"/>
      <c r="J39" s="5"/>
      <c r="K39" s="99" t="e">
        <f t="shared" si="16"/>
        <v>#N/A</v>
      </c>
      <c r="L39" s="99" t="e">
        <f t="shared" si="17"/>
        <v>#N/A</v>
      </c>
      <c r="M39" s="90" t="e">
        <f>ROUND(VLOOKUP(C39,APUS!$H$10:$V$1486,14,0),2)</f>
        <v>#N/A</v>
      </c>
      <c r="N39" s="90" t="e">
        <f>ROUND(VLOOKUP(C39,APUS!$I$10:$V$1486,13,0),2)</f>
        <v>#N/A</v>
      </c>
      <c r="O39" s="90" t="e">
        <f>ROUND(VLOOKUP(C39,APUS!$D$10:$Z$1486,23,0),2)</f>
        <v>#N/A</v>
      </c>
      <c r="P39" s="90" t="e">
        <f>ROUND(VLOOKUP(C39,APUS!$E$10:$Z$1486,22,0),2)</f>
        <v>#N/A</v>
      </c>
      <c r="Q39" s="90" t="e">
        <f>ROUND(VLOOKUP(C39,APUS!$F$10:$Z$1486,21,0),2)</f>
        <v>#N/A</v>
      </c>
      <c r="R39" s="90" t="e">
        <f>ROUND(VLOOKUP(C39,APUS!$G$10:$Z$1486,20,0),2)</f>
        <v>#N/A</v>
      </c>
      <c r="S39" s="91" t="e">
        <f t="shared" si="18"/>
        <v>#N/A</v>
      </c>
      <c r="T39" s="5"/>
      <c r="U39" s="12"/>
      <c r="V39" s="37" t="str">
        <f t="shared" si="14"/>
        <v>4.3 - Medidor de agua volumétrico JSM 1/2"</v>
      </c>
    </row>
    <row r="40" spans="3:22" ht="15" customHeight="1" x14ac:dyDescent="0.3">
      <c r="C40" s="192" t="s">
        <v>79</v>
      </c>
      <c r="D40" s="40" t="s">
        <v>683</v>
      </c>
      <c r="E40" s="41" t="s">
        <v>36</v>
      </c>
      <c r="F40" s="191">
        <f>VLOOKUP(C40,[7]MC.!$B$6:$E$52,4,0)</f>
        <v>50</v>
      </c>
      <c r="G40" s="67">
        <f>+IFERROR(IF($Q$2="UNITARIOS",VLOOKUP(C40,$C$9:$Y$59,11,FALSE),VLOOKUP(C40,$C$9:$Y$59,12,FALSE)),0)</f>
        <v>0</v>
      </c>
      <c r="H40" s="184">
        <f t="shared" si="15"/>
        <v>0</v>
      </c>
      <c r="I40" s="5"/>
      <c r="J40" s="5"/>
      <c r="K40" s="99" t="e">
        <f t="shared" si="16"/>
        <v>#N/A</v>
      </c>
      <c r="L40" s="99" t="e">
        <f t="shared" si="17"/>
        <v>#N/A</v>
      </c>
      <c r="M40" s="90" t="e">
        <f>ROUND(VLOOKUP(C40,APUS!$H$10:$V$1486,14,0),2)</f>
        <v>#N/A</v>
      </c>
      <c r="N40" s="90" t="e">
        <f>ROUND(VLOOKUP(C40,APUS!$I$10:$V$1486,13,0),2)</f>
        <v>#N/A</v>
      </c>
      <c r="O40" s="90" t="e">
        <f>ROUND(VLOOKUP(C40,APUS!$D$10:$Z$1486,23,0),2)</f>
        <v>#N/A</v>
      </c>
      <c r="P40" s="90" t="e">
        <f>ROUND(VLOOKUP(C40,APUS!$E$10:$Z$1486,22,0),2)</f>
        <v>#N/A</v>
      </c>
      <c r="Q40" s="90" t="e">
        <f>ROUND(VLOOKUP(C40,APUS!$F$10:$Z$1486,21,0),2)</f>
        <v>#N/A</v>
      </c>
      <c r="R40" s="90" t="e">
        <f>ROUND(VLOOKUP(C40,APUS!$G$10:$Z$1486,20,0),2)</f>
        <v>#N/A</v>
      </c>
      <c r="S40" s="91" t="e">
        <f t="shared" si="18"/>
        <v>#N/A</v>
      </c>
      <c r="T40" s="5"/>
      <c r="U40" s="12"/>
      <c r="V40" s="37" t="str">
        <f t="shared" si="14"/>
        <v>4.4 - Caja para medidor en concreto mas tapa en hierro</v>
      </c>
    </row>
    <row r="41" spans="3:22" ht="28.8" x14ac:dyDescent="0.3">
      <c r="C41" s="192" t="s">
        <v>80</v>
      </c>
      <c r="D41" s="40" t="s">
        <v>702</v>
      </c>
      <c r="E41" s="41" t="s">
        <v>36</v>
      </c>
      <c r="F41" s="191">
        <f>VLOOKUP(C41,[7]MC.!$B$6:$E$52,4,0)</f>
        <v>50</v>
      </c>
      <c r="G41" s="67">
        <f>+IFERROR(IF($Q$2="UNITARIOS",VLOOKUP(C41,$C$9:$Y$59,11,FALSE),VLOOKUP(C41,$C$9:$Y$59,12,FALSE)),0)</f>
        <v>0</v>
      </c>
      <c r="H41" s="184">
        <f t="shared" si="15"/>
        <v>0</v>
      </c>
      <c r="I41" s="5"/>
      <c r="J41" s="5"/>
      <c r="K41" s="99" t="e">
        <f t="shared" si="16"/>
        <v>#N/A</v>
      </c>
      <c r="L41" s="99" t="e">
        <f t="shared" si="17"/>
        <v>#N/A</v>
      </c>
      <c r="M41" s="90" t="e">
        <f>ROUND(VLOOKUP(C41,APUS!$H$10:$V$1486,14,0),2)</f>
        <v>#N/A</v>
      </c>
      <c r="N41" s="90" t="e">
        <f>ROUND(VLOOKUP(C41,APUS!$I$10:$V$1486,13,0),2)</f>
        <v>#N/A</v>
      </c>
      <c r="O41" s="90" t="e">
        <f>ROUND(VLOOKUP(C41,APUS!$D$10:$Z$1486,23,0),2)</f>
        <v>#N/A</v>
      </c>
      <c r="P41" s="90" t="e">
        <f>ROUND(VLOOKUP(C41,APUS!$E$10:$Z$1486,22,0),2)</f>
        <v>#N/A</v>
      </c>
      <c r="Q41" s="90" t="e">
        <f>ROUND(VLOOKUP(C41,APUS!$F$10:$Z$1486,21,0),2)</f>
        <v>#N/A</v>
      </c>
      <c r="R41" s="90" t="e">
        <f>ROUND(VLOOKUP(C41,APUS!$G$10:$Z$1486,20,0),2)</f>
        <v>#N/A</v>
      </c>
      <c r="S41" s="91" t="e">
        <f t="shared" si="18"/>
        <v>#N/A</v>
      </c>
      <c r="T41" s="5"/>
      <c r="U41" s="12"/>
      <c r="V41" s="37" t="str">
        <f t="shared" si="14"/>
        <v>4.5 - Válvulas para medidores 1/2" (Incluye registro de corte antifraude, check anti retorno y válvula de corte)</v>
      </c>
    </row>
    <row r="42" spans="3:22" ht="15" customHeight="1" x14ac:dyDescent="0.3">
      <c r="C42" s="192"/>
      <c r="D42" s="40"/>
      <c r="E42" s="41"/>
      <c r="F42" s="191"/>
      <c r="G42" s="67"/>
      <c r="H42" s="184"/>
      <c r="I42" s="5"/>
      <c r="J42" s="5"/>
      <c r="K42" s="99"/>
      <c r="L42" s="99"/>
      <c r="M42" s="90"/>
      <c r="N42" s="90"/>
      <c r="O42" s="90"/>
      <c r="P42" s="90"/>
      <c r="Q42" s="90"/>
      <c r="R42" s="90"/>
      <c r="S42" s="91"/>
      <c r="T42" s="5"/>
      <c r="U42" s="12"/>
    </row>
    <row r="43" spans="3:22" x14ac:dyDescent="0.3">
      <c r="C43" s="695" t="str">
        <f>+CONCATENATE("Subtotal ",D36)</f>
        <v>Subtotal DOMICILIARIAS</v>
      </c>
      <c r="D43" s="695"/>
      <c r="E43" s="695"/>
      <c r="F43" s="695"/>
      <c r="G43" s="695"/>
      <c r="H43" s="181">
        <f>+SUM(H36:H42)</f>
        <v>0</v>
      </c>
      <c r="I43" s="5"/>
      <c r="J43" s="5"/>
      <c r="K43" s="50" t="e">
        <f>+SUM(K36:K42)</f>
        <v>#N/A</v>
      </c>
      <c r="L43" s="50" t="e">
        <f>+SUM(L36:L42)</f>
        <v>#N/A</v>
      </c>
      <c r="M43" s="50" t="e">
        <f t="shared" ref="M43:S43" si="19">+SUM(M36:M42)</f>
        <v>#N/A</v>
      </c>
      <c r="N43" s="50" t="e">
        <f t="shared" si="19"/>
        <v>#N/A</v>
      </c>
      <c r="O43" s="50" t="e">
        <f t="shared" si="19"/>
        <v>#N/A</v>
      </c>
      <c r="P43" s="50" t="e">
        <f t="shared" si="19"/>
        <v>#N/A</v>
      </c>
      <c r="Q43" s="50" t="e">
        <f t="shared" si="19"/>
        <v>#N/A</v>
      </c>
      <c r="R43" s="50" t="e">
        <f t="shared" si="19"/>
        <v>#N/A</v>
      </c>
      <c r="S43" s="50" t="e">
        <f t="shared" si="19"/>
        <v>#N/A</v>
      </c>
      <c r="T43" s="5"/>
      <c r="U43" s="12"/>
    </row>
    <row r="44" spans="3:22" x14ac:dyDescent="0.3">
      <c r="C44" s="189" t="s">
        <v>44</v>
      </c>
      <c r="D44" s="696" t="s">
        <v>684</v>
      </c>
      <c r="E44" s="696"/>
      <c r="F44" s="696"/>
      <c r="G44" s="696"/>
      <c r="H44" s="696"/>
      <c r="I44" s="5"/>
      <c r="J44" s="5"/>
      <c r="K44" s="89"/>
      <c r="L44" s="89"/>
      <c r="M44" s="90"/>
      <c r="N44" s="90"/>
      <c r="O44" s="90"/>
      <c r="P44" s="90"/>
      <c r="Q44" s="90"/>
      <c r="R44" s="90"/>
      <c r="S44" s="91"/>
      <c r="T44" s="5"/>
      <c r="U44" s="12"/>
      <c r="V44" s="37" t="str">
        <f t="shared" ref="V44:V50" si="20">CONCATENATE(C44," ","-"," ",D44)</f>
        <v>CAP.5 - ESTRUCTURAS DE PASOS AEREOS</v>
      </c>
    </row>
    <row r="45" spans="3:22" x14ac:dyDescent="0.3">
      <c r="C45" s="190" t="s">
        <v>82</v>
      </c>
      <c r="D45" s="40" t="s">
        <v>703</v>
      </c>
      <c r="E45" s="41" t="s">
        <v>43</v>
      </c>
      <c r="F45" s="191">
        <f>VLOOKUP(C45,[7]MC.!$B$6:$E$52,4,0)</f>
        <v>6</v>
      </c>
      <c r="G45" s="67">
        <f t="shared" ref="G45:G50" si="21">+IFERROR(IF($Q$2="UNITARIOS",VLOOKUP(C45,$C$9:$Y$59,11,FALSE),VLOOKUP(C45,$C$9:$Y$59,12,FALSE)),0)</f>
        <v>0</v>
      </c>
      <c r="H45" s="184">
        <f t="shared" ref="H45:H50" si="22">+ROUND(F45*G45,$Q$3)</f>
        <v>0</v>
      </c>
      <c r="I45" s="5"/>
      <c r="J45" s="5"/>
      <c r="K45" s="99" t="e">
        <f t="shared" ref="K45:K50" si="23">ROUND(F45*M45,$Q$3)</f>
        <v>#N/A</v>
      </c>
      <c r="L45" s="99" t="e">
        <f t="shared" ref="L45:L50" si="24">ROUND(F45*N45,$Q$3)</f>
        <v>#N/A</v>
      </c>
      <c r="M45" s="90" t="e">
        <f>ROUND(VLOOKUP(C45,APUS!$H$10:$V$1486,14,0),2)</f>
        <v>#N/A</v>
      </c>
      <c r="N45" s="90" t="e">
        <f>ROUND(VLOOKUP(C45,APUS!$I$10:$V$1486,13,0),2)</f>
        <v>#N/A</v>
      </c>
      <c r="O45" s="90" t="e">
        <f>ROUND(VLOOKUP(C45,APUS!$D$10:$Z$1486,23,0),2)</f>
        <v>#N/A</v>
      </c>
      <c r="P45" s="90" t="e">
        <f>ROUND(VLOOKUP(C45,APUS!$E$10:$Z$1486,22,0),2)</f>
        <v>#N/A</v>
      </c>
      <c r="Q45" s="90" t="e">
        <f>ROUND(VLOOKUP(C45,APUS!$F$10:$Z$1486,21,0),2)</f>
        <v>#N/A</v>
      </c>
      <c r="R45" s="90" t="e">
        <f>ROUND(VLOOKUP(C45,APUS!$G$10:$Z$1486,20,0),2)</f>
        <v>#N/A</v>
      </c>
      <c r="S45" s="91" t="e">
        <f t="shared" ref="S45:S50" si="25">SUM(O45:R45)</f>
        <v>#N/A</v>
      </c>
      <c r="T45" s="5"/>
      <c r="U45" s="12"/>
      <c r="V45" s="37" t="str">
        <f t="shared" si="20"/>
        <v>5.1 - Concreto clase F para solado de limpieza espesor 0,05 cm</v>
      </c>
    </row>
    <row r="46" spans="3:22" x14ac:dyDescent="0.3">
      <c r="C46" s="190" t="s">
        <v>83</v>
      </c>
      <c r="D46" s="40" t="s">
        <v>733</v>
      </c>
      <c r="E46" s="41" t="s">
        <v>34</v>
      </c>
      <c r="F46" s="191">
        <f>VLOOKUP(C46,[7]MC.!$B$6:$E$52,4,0)</f>
        <v>3</v>
      </c>
      <c r="G46" s="67">
        <f t="shared" si="21"/>
        <v>0</v>
      </c>
      <c r="H46" s="184">
        <f t="shared" si="22"/>
        <v>0</v>
      </c>
      <c r="I46" s="5"/>
      <c r="J46" s="5"/>
      <c r="K46" s="99" t="e">
        <f t="shared" si="23"/>
        <v>#N/A</v>
      </c>
      <c r="L46" s="99" t="e">
        <f t="shared" si="24"/>
        <v>#N/A</v>
      </c>
      <c r="M46" s="90" t="e">
        <f>ROUND(VLOOKUP(C46,APUS!$H$10:$V$1486,14,0),2)</f>
        <v>#N/A</v>
      </c>
      <c r="N46" s="90" t="e">
        <f>ROUND(VLOOKUP(C46,APUS!$I$10:$V$1486,13,0),2)</f>
        <v>#N/A</v>
      </c>
      <c r="O46" s="90" t="e">
        <f>ROUND(VLOOKUP(C46,APUS!$D$10:$Z$1486,23,0),2)</f>
        <v>#N/A</v>
      </c>
      <c r="P46" s="90" t="e">
        <f>ROUND(VLOOKUP(C46,APUS!$E$10:$Z$1486,22,0),2)</f>
        <v>#N/A</v>
      </c>
      <c r="Q46" s="90" t="e">
        <f>ROUND(VLOOKUP(C46,APUS!$F$10:$Z$1486,21,0),2)</f>
        <v>#N/A</v>
      </c>
      <c r="R46" s="90" t="e">
        <f>ROUND(VLOOKUP(C46,APUS!$G$10:$Z$1486,20,0),2)</f>
        <v>#N/A</v>
      </c>
      <c r="S46" s="91" t="e">
        <f t="shared" si="25"/>
        <v>#N/A</v>
      </c>
      <c r="T46" s="5"/>
      <c r="U46" s="12"/>
      <c r="V46" s="37" t="str">
        <f t="shared" si="20"/>
        <v>5.2 - Concreto ciclópeo 60-40 (Concreto clase D 60% - Piedra rajón 40%)</v>
      </c>
    </row>
    <row r="47" spans="3:22" x14ac:dyDescent="0.3">
      <c r="C47" s="190" t="s">
        <v>84</v>
      </c>
      <c r="D47" s="40" t="s">
        <v>704</v>
      </c>
      <c r="E47" s="41" t="s">
        <v>34</v>
      </c>
      <c r="F47" s="191">
        <f>VLOOKUP(C47,[7]MC.!$B$6:$E$52,4,0)</f>
        <v>7</v>
      </c>
      <c r="G47" s="67">
        <f t="shared" si="21"/>
        <v>0</v>
      </c>
      <c r="H47" s="184">
        <f t="shared" si="22"/>
        <v>0</v>
      </c>
      <c r="I47" s="5"/>
      <c r="J47" s="5"/>
      <c r="K47" s="99" t="e">
        <f t="shared" si="23"/>
        <v>#N/A</v>
      </c>
      <c r="L47" s="99" t="e">
        <f t="shared" si="24"/>
        <v>#N/A</v>
      </c>
      <c r="M47" s="90" t="e">
        <f>ROUND(VLOOKUP(C47,APUS!$H$10:$V$1486,14,0),2)</f>
        <v>#N/A</v>
      </c>
      <c r="N47" s="90" t="e">
        <f>ROUND(VLOOKUP(C47,APUS!$I$10:$V$1486,13,0),2)</f>
        <v>#N/A</v>
      </c>
      <c r="O47" s="90" t="e">
        <f>ROUND(VLOOKUP(C47,APUS!$D$10:$Z$1486,23,0),2)</f>
        <v>#N/A</v>
      </c>
      <c r="P47" s="90" t="e">
        <f>ROUND(VLOOKUP(C47,APUS!$E$10:$Z$1486,22,0),2)</f>
        <v>#N/A</v>
      </c>
      <c r="Q47" s="90" t="e">
        <f>ROUND(VLOOKUP(C47,APUS!$F$10:$Z$1486,21,0),2)</f>
        <v>#N/A</v>
      </c>
      <c r="R47" s="90" t="e">
        <f>ROUND(VLOOKUP(C47,APUS!$G$10:$Z$1486,20,0),2)</f>
        <v>#N/A</v>
      </c>
      <c r="S47" s="91" t="e">
        <f t="shared" si="25"/>
        <v>#N/A</v>
      </c>
      <c r="T47" s="5"/>
      <c r="U47" s="12"/>
      <c r="V47" s="37" t="str">
        <f t="shared" si="20"/>
        <v>5.3 - Concreto clase D para cimentación, pedestal y macizo</v>
      </c>
    </row>
    <row r="48" spans="3:22" x14ac:dyDescent="0.3">
      <c r="C48" s="190" t="s">
        <v>514</v>
      </c>
      <c r="D48" s="40" t="s">
        <v>705</v>
      </c>
      <c r="E48" s="41" t="s">
        <v>35</v>
      </c>
      <c r="F48" s="191">
        <f>VLOOKUP(C48,[7]MC.!$B$6:$E$52,4,0)</f>
        <v>58</v>
      </c>
      <c r="G48" s="67">
        <f t="shared" si="21"/>
        <v>0</v>
      </c>
      <c r="H48" s="184">
        <f t="shared" si="22"/>
        <v>0</v>
      </c>
      <c r="I48" s="5"/>
      <c r="J48" s="5"/>
      <c r="K48" s="99" t="e">
        <f t="shared" si="23"/>
        <v>#N/A</v>
      </c>
      <c r="L48" s="99" t="e">
        <f t="shared" si="24"/>
        <v>#N/A</v>
      </c>
      <c r="M48" s="90" t="e">
        <f>ROUND(VLOOKUP(C48,APUS!$H$10:$V$1486,14,0),2)</f>
        <v>#N/A</v>
      </c>
      <c r="N48" s="90" t="e">
        <f>ROUND(VLOOKUP(C48,APUS!$I$10:$V$1486,13,0),2)</f>
        <v>#N/A</v>
      </c>
      <c r="O48" s="90" t="e">
        <f>ROUND(VLOOKUP(C48,APUS!$D$10:$Z$1486,23,0),2)</f>
        <v>#N/A</v>
      </c>
      <c r="P48" s="90" t="e">
        <f>ROUND(VLOOKUP(C48,APUS!$E$10:$Z$1486,22,0),2)</f>
        <v>#N/A</v>
      </c>
      <c r="Q48" s="90" t="e">
        <f>ROUND(VLOOKUP(C48,APUS!$F$10:$Z$1486,21,0),2)</f>
        <v>#N/A</v>
      </c>
      <c r="R48" s="90" t="e">
        <f>ROUND(VLOOKUP(C48,APUS!$G$10:$Z$1486,20,0),2)</f>
        <v>#N/A</v>
      </c>
      <c r="S48" s="91" t="e">
        <f t="shared" si="25"/>
        <v>#N/A</v>
      </c>
      <c r="T48" s="5"/>
      <c r="U48" s="12"/>
      <c r="V48" s="37" t="str">
        <f t="shared" si="20"/>
        <v>5.4 - Guaya de acero para paso aéreo</v>
      </c>
    </row>
    <row r="49" spans="3:22" x14ac:dyDescent="0.3">
      <c r="C49" s="190" t="s">
        <v>515</v>
      </c>
      <c r="D49" s="40" t="s">
        <v>729</v>
      </c>
      <c r="E49" s="41" t="s">
        <v>36</v>
      </c>
      <c r="F49" s="191">
        <v>4</v>
      </c>
      <c r="G49" s="67">
        <f t="shared" si="21"/>
        <v>0</v>
      </c>
      <c r="H49" s="184">
        <f t="shared" si="22"/>
        <v>0</v>
      </c>
      <c r="I49" s="5"/>
      <c r="J49" s="5"/>
      <c r="K49" s="99" t="e">
        <f t="shared" si="23"/>
        <v>#N/A</v>
      </c>
      <c r="L49" s="99" t="e">
        <f t="shared" si="24"/>
        <v>#N/A</v>
      </c>
      <c r="M49" s="90" t="e">
        <f>ROUND(VLOOKUP(C49,APUS!$H$10:$V$1486,14,0),2)</f>
        <v>#N/A</v>
      </c>
      <c r="N49" s="90" t="e">
        <f>ROUND(VLOOKUP(C49,APUS!$I$10:$V$1486,13,0),2)</f>
        <v>#N/A</v>
      </c>
      <c r="O49" s="90" t="e">
        <f>ROUND(VLOOKUP(C49,APUS!$D$10:$Z$1486,23,0),2)</f>
        <v>#N/A</v>
      </c>
      <c r="P49" s="90" t="e">
        <f>ROUND(VLOOKUP(C49,APUS!$E$10:$Z$1486,22,0),2)</f>
        <v>#N/A</v>
      </c>
      <c r="Q49" s="90" t="e">
        <f>ROUND(VLOOKUP(C49,APUS!$F$10:$Z$1486,21,0),2)</f>
        <v>#N/A</v>
      </c>
      <c r="R49" s="90" t="e">
        <f>ROUND(VLOOKUP(C49,APUS!$G$10:$Z$1486,20,0),2)</f>
        <v>#N/A</v>
      </c>
      <c r="S49" s="91" t="e">
        <f t="shared" si="25"/>
        <v>#N/A</v>
      </c>
      <c r="T49" s="5"/>
      <c r="U49" s="12"/>
      <c r="V49" s="37" t="str">
        <f t="shared" si="20"/>
        <v>5.5 - H metálica en tubo estructural 4" para paso aéreo</v>
      </c>
    </row>
    <row r="50" spans="3:22" x14ac:dyDescent="0.3">
      <c r="C50" s="190" t="s">
        <v>516</v>
      </c>
      <c r="D50" s="40" t="s">
        <v>685</v>
      </c>
      <c r="E50" s="41" t="s">
        <v>36</v>
      </c>
      <c r="F50" s="191">
        <f>VLOOKUP(C50,[7]MC.!$B$6:$E$52,4,0)</f>
        <v>201.76</v>
      </c>
      <c r="G50" s="67">
        <f t="shared" si="21"/>
        <v>0</v>
      </c>
      <c r="H50" s="184">
        <f t="shared" si="22"/>
        <v>0</v>
      </c>
      <c r="I50" s="5"/>
      <c r="J50" s="5"/>
      <c r="K50" s="99" t="e">
        <f t="shared" si="23"/>
        <v>#N/A</v>
      </c>
      <c r="L50" s="99" t="e">
        <f t="shared" si="24"/>
        <v>#N/A</v>
      </c>
      <c r="M50" s="90" t="e">
        <f>ROUND(VLOOKUP(C50,APUS!$H$10:$V$1486,14,0),2)</f>
        <v>#N/A</v>
      </c>
      <c r="N50" s="90" t="e">
        <f>ROUND(VLOOKUP(C50,APUS!$I$10:$V$1486,13,0),2)</f>
        <v>#N/A</v>
      </c>
      <c r="O50" s="90" t="e">
        <f>ROUND(VLOOKUP(C50,APUS!$D$10:$Z$1486,23,0),2)</f>
        <v>#N/A</v>
      </c>
      <c r="P50" s="90" t="e">
        <f>ROUND(VLOOKUP(C50,APUS!$E$10:$Z$1486,22,0),2)</f>
        <v>#N/A</v>
      </c>
      <c r="Q50" s="90" t="e">
        <f>ROUND(VLOOKUP(C50,APUS!$F$10:$Z$1486,21,0),2)</f>
        <v>#N/A</v>
      </c>
      <c r="R50" s="90" t="e">
        <f>ROUND(VLOOKUP(C50,APUS!$G$10:$Z$1486,20,0),2)</f>
        <v>#N/A</v>
      </c>
      <c r="S50" s="91" t="e">
        <f t="shared" si="25"/>
        <v>#N/A</v>
      </c>
      <c r="T50" s="5"/>
      <c r="U50" s="12"/>
      <c r="V50" s="37" t="str">
        <f t="shared" si="20"/>
        <v>5.6 - Acero de refuerzo de 60000 PSI - 420 Mpa</v>
      </c>
    </row>
    <row r="51" spans="3:22" x14ac:dyDescent="0.3">
      <c r="C51" s="190"/>
      <c r="D51" s="40"/>
      <c r="E51" s="41"/>
      <c r="F51" s="191"/>
      <c r="G51" s="67"/>
      <c r="H51" s="184"/>
      <c r="I51" s="5"/>
      <c r="J51" s="5"/>
      <c r="K51" s="99"/>
      <c r="L51" s="99"/>
      <c r="M51" s="90"/>
      <c r="N51" s="90"/>
      <c r="O51" s="90"/>
      <c r="P51" s="90"/>
      <c r="Q51" s="90"/>
      <c r="R51" s="90"/>
      <c r="S51" s="91"/>
      <c r="T51" s="5"/>
      <c r="U51" s="12"/>
    </row>
    <row r="52" spans="3:22" x14ac:dyDescent="0.3">
      <c r="C52" s="695" t="str">
        <f>+CONCATENATE("Subtotal ",D44)</f>
        <v>Subtotal ESTRUCTURAS DE PASOS AEREOS</v>
      </c>
      <c r="D52" s="695"/>
      <c r="E52" s="695"/>
      <c r="F52" s="695"/>
      <c r="G52" s="695"/>
      <c r="H52" s="181">
        <f>+SUM(H44:H51)</f>
        <v>0</v>
      </c>
      <c r="I52" s="5"/>
      <c r="J52" s="5"/>
      <c r="K52" s="50" t="e">
        <f>+SUM(K44:K51)</f>
        <v>#N/A</v>
      </c>
      <c r="L52" s="50" t="e">
        <f>+SUM(L44:L51)</f>
        <v>#N/A</v>
      </c>
      <c r="M52" s="50" t="e">
        <f t="shared" ref="M52:S52" si="26">+SUM(M44:M50)</f>
        <v>#N/A</v>
      </c>
      <c r="N52" s="50" t="e">
        <f t="shared" si="26"/>
        <v>#N/A</v>
      </c>
      <c r="O52" s="50" t="e">
        <f t="shared" si="26"/>
        <v>#N/A</v>
      </c>
      <c r="P52" s="50" t="e">
        <f t="shared" si="26"/>
        <v>#N/A</v>
      </c>
      <c r="Q52" s="50" t="e">
        <f t="shared" si="26"/>
        <v>#N/A</v>
      </c>
      <c r="R52" s="50" t="e">
        <f t="shared" si="26"/>
        <v>#N/A</v>
      </c>
      <c r="S52" s="50" t="e">
        <f t="shared" si="26"/>
        <v>#N/A</v>
      </c>
      <c r="T52" s="5"/>
      <c r="U52" s="12"/>
    </row>
    <row r="53" spans="3:22" x14ac:dyDescent="0.3">
      <c r="C53" s="189" t="s">
        <v>45</v>
      </c>
      <c r="D53" s="696" t="s">
        <v>717</v>
      </c>
      <c r="E53" s="696"/>
      <c r="F53" s="696"/>
      <c r="G53" s="696"/>
      <c r="H53" s="696"/>
      <c r="I53" s="5"/>
      <c r="J53" s="5"/>
      <c r="K53" s="89"/>
      <c r="L53" s="89"/>
      <c r="M53" s="90"/>
      <c r="N53" s="90"/>
      <c r="O53" s="90"/>
      <c r="P53" s="90"/>
      <c r="Q53" s="90"/>
      <c r="R53" s="90"/>
      <c r="S53" s="91"/>
      <c r="T53" s="5"/>
      <c r="U53" s="12"/>
      <c r="V53" s="37" t="str">
        <f t="shared" ref="V53:V55" si="27">CONCATENATE(C53," ","-"," ",D53)</f>
        <v>CAP.6 - COMPONENTE VARIOS</v>
      </c>
    </row>
    <row r="54" spans="3:22" x14ac:dyDescent="0.3">
      <c r="C54" s="190" t="s">
        <v>85</v>
      </c>
      <c r="D54" s="40" t="s">
        <v>718</v>
      </c>
      <c r="E54" s="41" t="s">
        <v>35</v>
      </c>
      <c r="F54" s="191">
        <f>VLOOKUP(C54,[7]MC.!$B$6:$E$52,4,0)</f>
        <v>27.5</v>
      </c>
      <c r="G54" s="67">
        <f>+IFERROR(IF($Q$2="UNITARIOS",VLOOKUP(C54,$C$9:$Y$59,11,FALSE),VLOOKUP(C54,$C$9:$Y$59,12,FALSE)),0)</f>
        <v>0</v>
      </c>
      <c r="H54" s="184">
        <f t="shared" ref="H54:H55" si="28">+ROUND(F54*G54,$Q$3)</f>
        <v>0</v>
      </c>
      <c r="I54" s="5"/>
      <c r="J54" s="5"/>
      <c r="K54" s="99" t="e">
        <f t="shared" ref="K54:K55" si="29">ROUND(F54*M54,$Q$3)</f>
        <v>#N/A</v>
      </c>
      <c r="L54" s="99" t="e">
        <f t="shared" ref="L54:L55" si="30">ROUND(F54*N54,$Q$3)</f>
        <v>#N/A</v>
      </c>
      <c r="M54" s="90" t="e">
        <f>ROUND(VLOOKUP(C54,APUS!$H$10:$V$1486,14,0),2)</f>
        <v>#N/A</v>
      </c>
      <c r="N54" s="90" t="e">
        <f>ROUND(VLOOKUP(C54,APUS!$I$10:$V$1486,13,0),2)</f>
        <v>#N/A</v>
      </c>
      <c r="O54" s="90" t="e">
        <f>ROUND(VLOOKUP(C54,APUS!$D$10:$Z$1486,23,0),2)</f>
        <v>#N/A</v>
      </c>
      <c r="P54" s="90" t="e">
        <f>ROUND(VLOOKUP(C54,APUS!$E$10:$Z$1486,22,0),2)</f>
        <v>#N/A</v>
      </c>
      <c r="Q54" s="90" t="e">
        <f>ROUND(VLOOKUP(C54,APUS!$F$10:$Z$1486,21,0),2)</f>
        <v>#N/A</v>
      </c>
      <c r="R54" s="90" t="e">
        <f>ROUND(VLOOKUP(C54,APUS!$G$10:$Z$1486,20,0),2)</f>
        <v>#N/A</v>
      </c>
      <c r="S54" s="91" t="e">
        <f t="shared" ref="S54:S55" si="31">SUM(O54:R54)</f>
        <v>#N/A</v>
      </c>
      <c r="T54" s="5"/>
      <c r="U54" s="12"/>
      <c r="V54" s="37" t="str">
        <f t="shared" si="27"/>
        <v>6.1 - Construcción de pavimento en piedra labor con ancho promedio de 70 cm</v>
      </c>
    </row>
    <row r="55" spans="3:22" x14ac:dyDescent="0.3">
      <c r="C55" s="190" t="s">
        <v>86</v>
      </c>
      <c r="D55" s="40" t="s">
        <v>716</v>
      </c>
      <c r="E55" s="41" t="s">
        <v>35</v>
      </c>
      <c r="F55" s="191">
        <f>VLOOKUP(C55,[7]MC.!$B$6:$E$52,4,0)</f>
        <v>216</v>
      </c>
      <c r="G55" s="67">
        <f>+IFERROR(IF($Q$2="UNITARIOS",VLOOKUP(C55,$C$9:$Y$59,11,FALSE),VLOOKUP(C55,$C$9:$Y$59,12,FALSE)),0)</f>
        <v>0</v>
      </c>
      <c r="H55" s="184">
        <f t="shared" si="28"/>
        <v>0</v>
      </c>
      <c r="I55" s="5"/>
      <c r="J55" s="5"/>
      <c r="K55" s="99" t="e">
        <f t="shared" si="29"/>
        <v>#N/A</v>
      </c>
      <c r="L55" s="99" t="e">
        <f t="shared" si="30"/>
        <v>#N/A</v>
      </c>
      <c r="M55" s="90" t="e">
        <f>ROUND(VLOOKUP(C55,APUS!$H$10:$V$1486,14,0),2)</f>
        <v>#N/A</v>
      </c>
      <c r="N55" s="90" t="e">
        <f>ROUND(VLOOKUP(C55,APUS!$I$10:$V$1486,13,0),2)</f>
        <v>#N/A</v>
      </c>
      <c r="O55" s="90" t="e">
        <f>ROUND(VLOOKUP(C55,APUS!$D$10:$Z$1486,23,0),2)</f>
        <v>#N/A</v>
      </c>
      <c r="P55" s="90" t="e">
        <f>ROUND(VLOOKUP(C55,APUS!$E$10:$Z$1486,22,0),2)</f>
        <v>#N/A</v>
      </c>
      <c r="Q55" s="90" t="e">
        <f>ROUND(VLOOKUP(C55,APUS!$F$10:$Z$1486,21,0),2)</f>
        <v>#N/A</v>
      </c>
      <c r="R55" s="90" t="e">
        <f>ROUND(VLOOKUP(C55,APUS!$G$10:$Z$1486,20,0),2)</f>
        <v>#N/A</v>
      </c>
      <c r="S55" s="91" t="e">
        <f t="shared" si="31"/>
        <v>#N/A</v>
      </c>
      <c r="T55" s="5"/>
      <c r="U55" s="12"/>
      <c r="V55" s="37" t="str">
        <f t="shared" si="27"/>
        <v>6.2 - Construcción de pavimento rígido con ancho promedio de 70 cm</v>
      </c>
    </row>
    <row r="56" spans="3:22" x14ac:dyDescent="0.3">
      <c r="C56" s="190"/>
      <c r="D56" s="40"/>
      <c r="E56" s="41"/>
      <c r="F56" s="191"/>
      <c r="G56" s="67"/>
      <c r="H56" s="184"/>
      <c r="I56" s="5"/>
      <c r="J56" s="5"/>
      <c r="K56" s="99"/>
      <c r="L56" s="99"/>
      <c r="M56" s="90"/>
      <c r="N56" s="90"/>
      <c r="O56" s="90"/>
      <c r="P56" s="90"/>
      <c r="Q56" s="90"/>
      <c r="R56" s="90"/>
      <c r="S56" s="91"/>
      <c r="T56" s="5"/>
      <c r="U56" s="12"/>
    </row>
    <row r="57" spans="3:22" x14ac:dyDescent="0.3">
      <c r="C57" s="695" t="str">
        <f>+CONCATENATE("Subtotal ",D49)</f>
        <v>Subtotal H metálica en tubo estructural 4" para paso aéreo</v>
      </c>
      <c r="D57" s="695"/>
      <c r="E57" s="695"/>
      <c r="F57" s="695"/>
      <c r="G57" s="695"/>
      <c r="H57" s="181">
        <f>+SUM(H53:H56)</f>
        <v>0</v>
      </c>
      <c r="I57" s="5"/>
      <c r="J57" s="5"/>
      <c r="K57" s="50" t="e">
        <f>+SUM(K53:K56)</f>
        <v>#N/A</v>
      </c>
      <c r="L57" s="50" t="e">
        <f>+SUM(L53:L56)</f>
        <v>#N/A</v>
      </c>
      <c r="M57" s="50" t="e">
        <f t="shared" ref="M57:S57" si="32">+SUM(M53:M56)</f>
        <v>#N/A</v>
      </c>
      <c r="N57" s="50" t="e">
        <f t="shared" si="32"/>
        <v>#N/A</v>
      </c>
      <c r="O57" s="50" t="e">
        <f t="shared" si="32"/>
        <v>#N/A</v>
      </c>
      <c r="P57" s="50" t="e">
        <f t="shared" si="32"/>
        <v>#N/A</v>
      </c>
      <c r="Q57" s="50" t="e">
        <f t="shared" si="32"/>
        <v>#N/A</v>
      </c>
      <c r="R57" s="50" t="e">
        <f t="shared" si="32"/>
        <v>#N/A</v>
      </c>
      <c r="S57" s="50" t="e">
        <f t="shared" si="32"/>
        <v>#N/A</v>
      </c>
      <c r="T57" s="5"/>
      <c r="U57" s="12"/>
    </row>
    <row r="58" spans="3:22" ht="8.1" customHeight="1" x14ac:dyDescent="0.3">
      <c r="C58" s="23"/>
      <c r="D58" s="23"/>
      <c r="E58" s="23"/>
      <c r="F58" s="23"/>
      <c r="G58" s="23"/>
      <c r="H58" s="24"/>
      <c r="I58" s="5"/>
      <c r="J58" s="5"/>
      <c r="K58" s="89"/>
      <c r="L58" s="89"/>
      <c r="M58" s="90"/>
      <c r="N58" s="90"/>
      <c r="O58" s="90"/>
      <c r="P58" s="90"/>
      <c r="Q58" s="90"/>
      <c r="R58" s="90"/>
      <c r="S58" s="91"/>
      <c r="T58" s="5"/>
      <c r="U58" s="12"/>
    </row>
    <row r="59" spans="3:22" ht="15" customHeight="1" x14ac:dyDescent="0.3">
      <c r="C59" s="695" t="s">
        <v>17</v>
      </c>
      <c r="D59" s="695"/>
      <c r="E59" s="695"/>
      <c r="F59" s="695"/>
      <c r="G59" s="695"/>
      <c r="H59" s="181">
        <f>H15+H24+H35+H43+H52+H57</f>
        <v>79013641</v>
      </c>
      <c r="I59" s="5"/>
      <c r="J59" s="5"/>
      <c r="K59" s="50" t="e">
        <f>K15+K24+K35+K43+K52+K57</f>
        <v>#N/A</v>
      </c>
      <c r="L59" s="50" t="e">
        <f>L15+L24+L35+L43+L52+L57</f>
        <v>#N/A</v>
      </c>
      <c r="M59" s="50" t="e">
        <f t="shared" ref="M59:S59" si="33">M15+M24+M35+M43+M52+M57</f>
        <v>#N/A</v>
      </c>
      <c r="N59" s="50" t="e">
        <f t="shared" si="33"/>
        <v>#N/A</v>
      </c>
      <c r="O59" s="50" t="e">
        <f t="shared" si="33"/>
        <v>#N/A</v>
      </c>
      <c r="P59" s="50" t="e">
        <f t="shared" si="33"/>
        <v>#N/A</v>
      </c>
      <c r="Q59" s="50" t="e">
        <f t="shared" si="33"/>
        <v>#N/A</v>
      </c>
      <c r="R59" s="50" t="e">
        <f t="shared" si="33"/>
        <v>#N/A</v>
      </c>
      <c r="S59" s="50" t="e">
        <f t="shared" si="33"/>
        <v>#N/A</v>
      </c>
      <c r="T59" s="50"/>
    </row>
    <row r="60" spans="3:22" ht="8.4" customHeight="1" x14ac:dyDescent="0.3">
      <c r="C60" s="16"/>
      <c r="D60" s="16"/>
      <c r="E60" s="16"/>
      <c r="F60" s="16"/>
      <c r="G60" s="21"/>
      <c r="H60" s="20"/>
      <c r="I60" s="5"/>
      <c r="J60" s="5"/>
      <c r="K60" s="92"/>
      <c r="L60" s="106"/>
      <c r="M60" s="78"/>
      <c r="N60" s="78"/>
      <c r="O60" s="78"/>
      <c r="P60" s="78"/>
      <c r="Q60" s="78"/>
      <c r="R60" s="78"/>
      <c r="S60" s="87"/>
      <c r="T60" s="5"/>
    </row>
    <row r="61" spans="3:22" x14ac:dyDescent="0.3">
      <c r="C61" s="695" t="s">
        <v>23</v>
      </c>
      <c r="D61" s="695"/>
      <c r="E61" s="695"/>
      <c r="F61" s="695"/>
      <c r="G61" s="695"/>
      <c r="H61" s="181">
        <f>H59</f>
        <v>79013641</v>
      </c>
      <c r="I61" s="5"/>
      <c r="J61" s="5"/>
      <c r="K61" s="92"/>
      <c r="L61" s="106"/>
      <c r="M61" s="78"/>
      <c r="N61" s="78"/>
      <c r="O61" s="78"/>
      <c r="P61" s="78"/>
      <c r="Q61" s="78"/>
      <c r="R61" s="78"/>
      <c r="S61" s="87"/>
      <c r="T61" s="5"/>
      <c r="V61" s="54"/>
    </row>
    <row r="62" spans="3:22" ht="15" customHeight="1" x14ac:dyDescent="0.3">
      <c r="C62" s="693" t="s">
        <v>499</v>
      </c>
      <c r="D62" s="693"/>
      <c r="E62" s="693"/>
      <c r="F62" s="693"/>
      <c r="G62" s="693"/>
      <c r="H62" s="182">
        <f>'PPTO PMA'!J44</f>
        <v>4721966</v>
      </c>
      <c r="I62" s="5"/>
      <c r="J62" s="5"/>
      <c r="K62" s="106">
        <f>$H$59*1%</f>
        <v>790136.41</v>
      </c>
      <c r="L62" s="106"/>
      <c r="M62" s="78"/>
      <c r="N62" s="78"/>
      <c r="O62" s="93"/>
      <c r="P62" s="78"/>
      <c r="Q62" s="78"/>
      <c r="R62" s="78"/>
      <c r="S62" s="87"/>
      <c r="T62" s="5"/>
    </row>
    <row r="63" spans="3:22" ht="15" customHeight="1" x14ac:dyDescent="0.3">
      <c r="C63" s="693" t="s">
        <v>47</v>
      </c>
      <c r="D63" s="693"/>
      <c r="E63" s="693"/>
      <c r="F63" s="693"/>
      <c r="G63" s="693"/>
      <c r="H63" s="182">
        <f>'PPTO INTERVENTORIA'!J38</f>
        <v>25820620</v>
      </c>
      <c r="I63" s="5"/>
      <c r="J63" s="5"/>
      <c r="K63" s="106">
        <f>$H$59*7%</f>
        <v>5530954.8700000001</v>
      </c>
      <c r="L63" s="106"/>
      <c r="M63" s="78"/>
      <c r="N63" s="78"/>
      <c r="O63" s="78"/>
      <c r="P63" s="78"/>
      <c r="Q63" s="78"/>
      <c r="R63" s="78"/>
      <c r="S63" s="87"/>
      <c r="T63" s="5"/>
    </row>
    <row r="64" spans="3:22" ht="15" customHeight="1" x14ac:dyDescent="0.3">
      <c r="C64" s="694" t="s">
        <v>24</v>
      </c>
      <c r="D64" s="694"/>
      <c r="E64" s="694"/>
      <c r="F64" s="694"/>
      <c r="G64" s="694"/>
      <c r="H64" s="183">
        <f>SUM(H61:H63)</f>
        <v>109556227</v>
      </c>
      <c r="I64" s="5"/>
      <c r="J64" s="5"/>
      <c r="K64" s="94">
        <f>H61+K62+K63</f>
        <v>85334732.280000001</v>
      </c>
      <c r="L64" s="106"/>
      <c r="M64" s="78"/>
      <c r="N64" s="78"/>
      <c r="O64" s="78"/>
      <c r="P64" s="78"/>
      <c r="Q64" s="78"/>
      <c r="R64" s="78"/>
      <c r="S64" s="87"/>
      <c r="T64" s="5"/>
      <c r="V64" s="54"/>
    </row>
    <row r="65" spans="3:20" ht="7.5" customHeight="1" x14ac:dyDescent="0.3">
      <c r="C65" s="3"/>
      <c r="D65" s="4"/>
      <c r="E65" s="3"/>
      <c r="F65" s="5"/>
      <c r="G65" s="5"/>
      <c r="H65" s="6"/>
      <c r="I65" s="5"/>
      <c r="J65" s="5"/>
      <c r="K65" s="95"/>
      <c r="L65" s="106"/>
      <c r="M65" s="78"/>
      <c r="N65" s="78"/>
      <c r="O65" s="78"/>
      <c r="P65" s="78"/>
      <c r="Q65" s="78"/>
      <c r="R65" s="78"/>
      <c r="S65" s="87"/>
      <c r="T65" s="5"/>
    </row>
    <row r="66" spans="3:20" ht="15" customHeight="1" x14ac:dyDescent="0.3">
      <c r="C66" s="2" t="s">
        <v>131</v>
      </c>
      <c r="D66" s="4"/>
      <c r="E66" s="134" t="s">
        <v>129</v>
      </c>
      <c r="F66" s="109"/>
      <c r="G66" s="5"/>
      <c r="H66" s="6"/>
      <c r="I66" s="5"/>
      <c r="J66" s="5"/>
      <c r="K66" s="95">
        <v>750000000</v>
      </c>
      <c r="L66" s="79"/>
      <c r="M66" s="78"/>
      <c r="N66" s="78"/>
      <c r="O66" s="78"/>
      <c r="P66" s="78"/>
      <c r="Q66" s="78"/>
      <c r="R66" s="78"/>
      <c r="S66" s="87"/>
      <c r="T66" s="5"/>
    </row>
    <row r="67" spans="3:20" x14ac:dyDescent="0.3">
      <c r="C67" s="3"/>
      <c r="D67" s="4"/>
      <c r="E67" s="3"/>
      <c r="F67" s="5"/>
      <c r="G67" s="5"/>
      <c r="H67" s="6"/>
      <c r="I67" s="5"/>
      <c r="J67" s="5"/>
      <c r="K67" s="95">
        <f>K66-H64</f>
        <v>640443773</v>
      </c>
      <c r="L67" s="79"/>
      <c r="M67" s="78"/>
      <c r="N67" s="78"/>
      <c r="O67" s="78"/>
      <c r="P67" s="78"/>
      <c r="Q67" s="78"/>
      <c r="R67" s="78"/>
      <c r="S67" s="87"/>
      <c r="T67" s="5"/>
    </row>
    <row r="68" spans="3:20" x14ac:dyDescent="0.3">
      <c r="C68" s="3"/>
      <c r="D68" s="4"/>
      <c r="E68" s="3"/>
      <c r="F68" s="5"/>
      <c r="G68" s="32"/>
      <c r="H68" s="33"/>
      <c r="I68" s="5"/>
      <c r="J68" s="5"/>
      <c r="K68" s="78"/>
      <c r="L68" s="79"/>
      <c r="M68" s="80"/>
      <c r="N68" s="78"/>
      <c r="O68" s="81"/>
      <c r="P68" s="82"/>
      <c r="Q68" s="82"/>
      <c r="R68" s="78"/>
      <c r="S68" s="78"/>
      <c r="T68" s="5"/>
    </row>
    <row r="69" spans="3:20" x14ac:dyDescent="0.3">
      <c r="C69" s="55"/>
      <c r="D69" s="4"/>
      <c r="E69" s="3"/>
      <c r="F69" s="5"/>
      <c r="G69" s="5"/>
      <c r="H69" s="6"/>
      <c r="I69" s="5"/>
      <c r="J69" s="5"/>
      <c r="K69" s="78"/>
      <c r="L69" s="79"/>
      <c r="M69" s="80"/>
      <c r="N69" s="78"/>
      <c r="O69" s="81"/>
      <c r="P69" s="82"/>
      <c r="Q69" s="82"/>
      <c r="R69" s="78"/>
      <c r="S69" s="78"/>
      <c r="T69" s="5"/>
    </row>
    <row r="70" spans="3:20" x14ac:dyDescent="0.3">
      <c r="C70" s="110" t="str">
        <f>INFORMACION!C25</f>
        <v>ING. JEYSON JULIAN LEON RUEDA</v>
      </c>
      <c r="D70" s="110"/>
      <c r="E70" s="110" t="str">
        <f>INFORMACION!C14</f>
        <v>ARQ. YASMID ROCÍO CARRILLO MORA</v>
      </c>
      <c r="F70" s="110"/>
      <c r="G70" s="110"/>
      <c r="H70" s="110"/>
      <c r="K70" s="95"/>
    </row>
    <row r="71" spans="3:20" x14ac:dyDescent="0.3">
      <c r="C71" s="111" t="str">
        <f>INFORMACION!C26</f>
        <v>MP. 68202-416348 STD</v>
      </c>
      <c r="D71" s="111"/>
      <c r="E71" s="111" t="str">
        <f>INFORMACION!$C$15</f>
        <v>SECRETARIA DE PLANEACIÓN Y OBRAS PÚBLICAS</v>
      </c>
      <c r="F71" s="111"/>
      <c r="G71" s="111"/>
      <c r="H71" s="111"/>
      <c r="K71" s="106"/>
    </row>
    <row r="72" spans="3:20" x14ac:dyDescent="0.3">
      <c r="C72" s="56"/>
      <c r="E72" s="111" t="str">
        <f>INFORMACION!$C$16</f>
        <v>MUNICIPIO DE PINCHOTE</v>
      </c>
      <c r="F72" s="111"/>
      <c r="G72" s="111"/>
      <c r="H72" s="111"/>
    </row>
  </sheetData>
  <mergeCells count="22">
    <mergeCell ref="D36:H36"/>
    <mergeCell ref="C3:G3"/>
    <mergeCell ref="H3:H5"/>
    <mergeCell ref="D4:G4"/>
    <mergeCell ref="C5:E5"/>
    <mergeCell ref="C9:H9"/>
    <mergeCell ref="D10:H10"/>
    <mergeCell ref="C15:G15"/>
    <mergeCell ref="D16:H16"/>
    <mergeCell ref="C24:G24"/>
    <mergeCell ref="D25:H25"/>
    <mergeCell ref="C35:G35"/>
    <mergeCell ref="C62:G62"/>
    <mergeCell ref="C63:G63"/>
    <mergeCell ref="C64:G64"/>
    <mergeCell ref="C61:G61"/>
    <mergeCell ref="C43:G43"/>
    <mergeCell ref="D44:H44"/>
    <mergeCell ref="C52:G52"/>
    <mergeCell ref="D53:H53"/>
    <mergeCell ref="C57:G57"/>
    <mergeCell ref="C59:G59"/>
  </mergeCells>
  <dataValidations count="1">
    <dataValidation type="list" allowBlank="1" showInputMessage="1" showErrorMessage="1" promptTitle="Seleccione" prompt="Escoja una de las opciones" sqref="Q2" xr:uid="{02724365-9EA8-41D0-950A-8F689D32C840}">
      <formula1>$S$2:$S$3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6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6D8A-40BA-4912-B804-B9B9A110CDDF}">
  <sheetPr>
    <pageSetUpPr fitToPage="1"/>
  </sheetPr>
  <dimension ref="C1:AE1643"/>
  <sheetViews>
    <sheetView view="pageBreakPreview" topLeftCell="G741" zoomScale="80" zoomScaleNormal="80" zoomScaleSheetLayoutView="80" workbookViewId="0">
      <selection activeCell="S767" sqref="S767"/>
    </sheetView>
  </sheetViews>
  <sheetFormatPr baseColWidth="10" defaultColWidth="10.88671875" defaultRowHeight="13.8" x14ac:dyDescent="0.25"/>
  <cols>
    <col min="1" max="2" width="3.44140625" style="270" customWidth="1"/>
    <col min="3" max="8" width="6" style="270" bestFit="1" customWidth="1"/>
    <col min="9" max="9" width="5.5546875" style="270" bestFit="1" customWidth="1"/>
    <col min="10" max="10" width="6" style="270" bestFit="1" customWidth="1"/>
    <col min="11" max="11" width="7.88671875" style="270" customWidth="1"/>
    <col min="12" max="12" width="2.109375" style="270" customWidth="1"/>
    <col min="13" max="13" width="10.88671875" style="270"/>
    <col min="14" max="14" width="16.33203125" style="270" customWidth="1"/>
    <col min="15" max="17" width="10.88671875" style="270"/>
    <col min="18" max="18" width="13" style="270" bestFit="1" customWidth="1"/>
    <col min="19" max="19" width="10.88671875" style="270"/>
    <col min="20" max="20" width="13.33203125" style="270" customWidth="1"/>
    <col min="21" max="21" width="14.109375" style="270" bestFit="1" customWidth="1"/>
    <col min="22" max="22" width="18.5546875" style="270" bestFit="1" customWidth="1"/>
    <col min="23" max="23" width="2.109375" style="270" customWidth="1"/>
    <col min="24" max="24" width="10.88671875" style="270"/>
    <col min="25" max="25" width="15.109375" style="270" bestFit="1" customWidth="1"/>
    <col min="26" max="26" width="21.6640625" style="270" bestFit="1" customWidth="1"/>
    <col min="27" max="27" width="10.88671875" style="270"/>
    <col min="28" max="28" width="21.6640625" style="270" bestFit="1" customWidth="1"/>
    <col min="29" max="29" width="14.33203125" style="270" bestFit="1" customWidth="1"/>
    <col min="30" max="30" width="12.6640625" style="270" customWidth="1"/>
    <col min="31" max="16384" width="10.88671875" style="270"/>
  </cols>
  <sheetData>
    <row r="1" spans="3:31" ht="7.5" customHeight="1" x14ac:dyDescent="0.25"/>
    <row r="2" spans="3:31" ht="20.399999999999999" x14ac:dyDescent="0.25">
      <c r="M2" s="273"/>
      <c r="N2" s="273"/>
      <c r="O2" s="787" t="s">
        <v>127</v>
      </c>
      <c r="P2" s="787"/>
      <c r="Q2" s="787"/>
      <c r="R2" s="787"/>
      <c r="S2" s="787"/>
      <c r="T2" s="787"/>
      <c r="U2" s="787"/>
      <c r="V2" s="787"/>
      <c r="Z2" s="274"/>
      <c r="AA2" s="377">
        <v>0</v>
      </c>
      <c r="AB2" s="720" t="s">
        <v>3</v>
      </c>
      <c r="AC2" s="720"/>
      <c r="AD2" s="720"/>
    </row>
    <row r="3" spans="3:31" ht="15" customHeight="1" x14ac:dyDescent="0.25">
      <c r="M3" s="776" t="s">
        <v>130</v>
      </c>
      <c r="N3" s="776"/>
      <c r="O3" s="778" t="str">
        <f>INFORMACION!A12</f>
        <v>ALCALDIA MUNICIPAL DE PINCHOTE</v>
      </c>
      <c r="P3" s="778"/>
      <c r="Q3" s="778"/>
      <c r="R3" s="778"/>
      <c r="S3" s="778"/>
      <c r="T3" s="778"/>
      <c r="U3" s="787"/>
      <c r="V3" s="787"/>
      <c r="AA3" s="419">
        <v>0.25</v>
      </c>
      <c r="AB3" s="720" t="s">
        <v>142</v>
      </c>
      <c r="AC3" s="720"/>
      <c r="AD3" s="720"/>
    </row>
    <row r="4" spans="3:31" ht="41.25" customHeight="1" x14ac:dyDescent="0.25">
      <c r="M4" s="776" t="s">
        <v>25</v>
      </c>
      <c r="N4" s="776"/>
      <c r="O4" s="706" t="str">
        <f>INFORMACION!A3</f>
        <v>CONSTRUCCIÓN DE PAVIMENTO EN PIEDRA LABOR Y OPTIMIZACIÓN DE LA RED DE ALCANTARILLADO SANITARIO CALLE 5 ENTRE CARRERA 3 Y 4 DEL CASCO URBANO DEL MUNICIPIO DE PINCHOTE, DEPARTAMENTO DE SANTANDER</v>
      </c>
      <c r="P4" s="706"/>
      <c r="Q4" s="706"/>
      <c r="R4" s="706"/>
      <c r="S4" s="706"/>
      <c r="T4" s="706"/>
      <c r="U4" s="787"/>
      <c r="V4" s="787"/>
      <c r="AA4" s="419">
        <v>0.03</v>
      </c>
      <c r="AB4" s="720" t="s">
        <v>19</v>
      </c>
      <c r="AC4" s="720"/>
      <c r="AD4" s="720"/>
    </row>
    <row r="5" spans="3:31" ht="15.75" customHeight="1" x14ac:dyDescent="0.25">
      <c r="M5" s="776" t="s">
        <v>41</v>
      </c>
      <c r="N5" s="776"/>
      <c r="O5" s="706" t="str">
        <f>INFORMACION!A6</f>
        <v>PINCHOTE, SANTANDER</v>
      </c>
      <c r="P5" s="706"/>
      <c r="Q5" s="706"/>
      <c r="R5" s="706"/>
      <c r="S5" s="776" t="s">
        <v>31</v>
      </c>
      <c r="T5" s="776"/>
      <c r="U5" s="734" t="str">
        <f>INFORMACION!A9</f>
        <v>ABRIL DE 2026</v>
      </c>
      <c r="V5" s="734"/>
      <c r="AA5" s="419">
        <v>0.05</v>
      </c>
      <c r="AB5" s="720" t="s">
        <v>143</v>
      </c>
      <c r="AC5" s="720"/>
      <c r="AD5" s="720"/>
    </row>
    <row r="6" spans="3:31" ht="14.4" x14ac:dyDescent="0.3">
      <c r="M6" s="779" t="s">
        <v>128</v>
      </c>
      <c r="N6" s="780" t="str">
        <f>INFORMACION!C25</f>
        <v>ING. JEYSON JULIAN LEON RUEDA</v>
      </c>
      <c r="O6" s="780"/>
      <c r="P6" s="780"/>
      <c r="Q6" s="780"/>
      <c r="R6" s="779" t="s">
        <v>129</v>
      </c>
      <c r="S6" s="780" t="str">
        <f>INFORMACION!C14</f>
        <v>ARQ. YASMID ROCÍO CARRILLO MORA</v>
      </c>
      <c r="T6" s="780"/>
      <c r="U6" s="780"/>
      <c r="V6" s="780"/>
      <c r="AA6" s="419">
        <v>0</v>
      </c>
      <c r="AB6" s="720" t="s">
        <v>141</v>
      </c>
      <c r="AC6" s="720"/>
      <c r="AD6" s="720"/>
    </row>
    <row r="7" spans="3:31" ht="14.4" x14ac:dyDescent="0.3">
      <c r="M7" s="779"/>
      <c r="N7" s="777" t="str">
        <f>INFORMACION!C26</f>
        <v>MP. 68202-416348 STD</v>
      </c>
      <c r="O7" s="777"/>
      <c r="P7" s="777"/>
      <c r="Q7" s="777"/>
      <c r="R7" s="779"/>
      <c r="S7" s="777" t="str">
        <f>INFORMACION!C15</f>
        <v>SECRETARIA DE PLANEACIÓN Y OBRAS PÚBLICAS</v>
      </c>
      <c r="T7" s="777"/>
      <c r="U7" s="777"/>
      <c r="V7" s="777"/>
      <c r="AA7" s="420">
        <v>5</v>
      </c>
      <c r="AB7" s="720" t="s">
        <v>144</v>
      </c>
      <c r="AC7" s="720"/>
      <c r="AD7" s="720"/>
    </row>
    <row r="8" spans="3:31" ht="14.4" x14ac:dyDescent="0.3">
      <c r="M8" s="779"/>
      <c r="N8" s="777"/>
      <c r="O8" s="777"/>
      <c r="P8" s="777"/>
      <c r="Q8" s="777"/>
      <c r="R8" s="779"/>
      <c r="S8" s="777" t="str">
        <f>INFORMACION!C16</f>
        <v>MUNICIPIO DE PINCHOTE</v>
      </c>
      <c r="T8" s="777"/>
      <c r="U8" s="777"/>
      <c r="V8" s="777"/>
      <c r="AA8" s="420">
        <v>5</v>
      </c>
      <c r="AB8" s="720" t="s">
        <v>146</v>
      </c>
      <c r="AC8" s="720"/>
      <c r="AD8" s="720"/>
    </row>
    <row r="9" spans="3:31" ht="15" customHeight="1" x14ac:dyDescent="0.25">
      <c r="M9" s="275"/>
      <c r="N9" s="276"/>
      <c r="O9" s="276"/>
      <c r="P9" s="276"/>
      <c r="Q9" s="275"/>
      <c r="R9" s="275"/>
      <c r="S9" s="275"/>
      <c r="T9" s="277"/>
      <c r="U9" s="277"/>
      <c r="V9" s="278"/>
      <c r="AA9" s="419">
        <v>0.05</v>
      </c>
      <c r="AB9" s="769" t="s">
        <v>102</v>
      </c>
      <c r="AC9" s="770"/>
      <c r="AD9" s="771"/>
    </row>
    <row r="10" spans="3:31" ht="14.4" thickBot="1" x14ac:dyDescent="0.3"/>
    <row r="11" spans="3:31" ht="15" thickBot="1" x14ac:dyDescent="0.35">
      <c r="M11" s="281" t="s">
        <v>90</v>
      </c>
      <c r="N11" s="282" t="s">
        <v>91</v>
      </c>
      <c r="O11" s="706" t="s">
        <v>92</v>
      </c>
      <c r="P11" s="706"/>
      <c r="Q11" s="706"/>
      <c r="R11" s="706"/>
      <c r="S11" s="706"/>
      <c r="T11" s="706"/>
      <c r="U11" s="706"/>
      <c r="V11" s="283" t="s">
        <v>93</v>
      </c>
      <c r="Y11" s="284" t="s">
        <v>107</v>
      </c>
      <c r="Z11" s="280"/>
      <c r="AA11" s="274"/>
      <c r="AB11" s="735"/>
      <c r="AC11" s="735"/>
      <c r="AD11" s="735"/>
      <c r="AE11" s="280"/>
    </row>
    <row r="12" spans="3:31" ht="15" thickBot="1" x14ac:dyDescent="0.35">
      <c r="C12" s="285" t="str">
        <f>+N12</f>
        <v>C3000</v>
      </c>
      <c r="D12" s="279"/>
      <c r="E12" s="279"/>
      <c r="F12" s="279"/>
      <c r="G12" s="279"/>
      <c r="H12" s="279"/>
      <c r="I12" s="279"/>
      <c r="J12" s="279"/>
      <c r="K12" s="286"/>
      <c r="M12" s="283" t="s">
        <v>94</v>
      </c>
      <c r="N12" s="287" t="s">
        <v>226</v>
      </c>
      <c r="O12" s="736" t="str">
        <f>IFERROR(VLOOKUP(N12,INSUMOS!$C$8:$K$934,2,0),"-----")</f>
        <v>Concreto de 3000 PSI (210 kg/cm2)</v>
      </c>
      <c r="P12" s="736"/>
      <c r="Q12" s="736"/>
      <c r="R12" s="736"/>
      <c r="S12" s="736"/>
      <c r="T12" s="736"/>
      <c r="U12" s="736"/>
      <c r="V12" s="288" t="str">
        <f>IFERROR(VLOOKUP(N12,INSUMOS!$C$8:$K$934,6,0),"-----")</f>
        <v>m3</v>
      </c>
      <c r="Y12" s="289">
        <f>SUMIFS($Y$310:$Y$1486,$M$310:$M$1486,N12)</f>
        <v>72.020025000000004</v>
      </c>
      <c r="Z12" s="280"/>
      <c r="AA12" s="279"/>
      <c r="AB12" s="280"/>
      <c r="AC12" s="280"/>
      <c r="AD12" s="280"/>
      <c r="AE12" s="280"/>
    </row>
    <row r="13" spans="3:31" ht="15" thickBot="1" x14ac:dyDescent="0.35">
      <c r="C13" s="292"/>
      <c r="D13" s="279"/>
      <c r="E13" s="279"/>
      <c r="F13" s="279"/>
      <c r="G13" s="279"/>
      <c r="H13" s="279"/>
      <c r="I13" s="279"/>
      <c r="J13" s="279"/>
      <c r="K13" s="293"/>
      <c r="M13" s="737"/>
      <c r="N13" s="737"/>
      <c r="O13" s="737"/>
      <c r="P13" s="737"/>
      <c r="Q13" s="737"/>
      <c r="R13" s="737"/>
      <c r="S13" s="737"/>
      <c r="T13" s="737"/>
      <c r="U13" s="737"/>
      <c r="V13" s="737"/>
      <c r="Y13" s="294"/>
      <c r="Z13" s="280"/>
      <c r="AA13" s="279"/>
      <c r="AB13" s="280"/>
      <c r="AC13" s="280"/>
      <c r="AD13" s="280"/>
      <c r="AE13" s="280"/>
    </row>
    <row r="14" spans="3:31" ht="15" thickBot="1" x14ac:dyDescent="0.35">
      <c r="C14" s="292"/>
      <c r="D14" s="295" t="s">
        <v>132</v>
      </c>
      <c r="E14" s="296" t="s">
        <v>133</v>
      </c>
      <c r="F14" s="296" t="s">
        <v>134</v>
      </c>
      <c r="G14" s="296" t="s">
        <v>135</v>
      </c>
      <c r="H14" s="296" t="s">
        <v>136</v>
      </c>
      <c r="I14" s="296" t="s">
        <v>137</v>
      </c>
      <c r="J14" s="297" t="s">
        <v>138</v>
      </c>
      <c r="K14" s="293"/>
      <c r="M14" s="738" t="s">
        <v>96</v>
      </c>
      <c r="N14" s="738"/>
      <c r="O14" s="738"/>
      <c r="P14" s="738"/>
      <c r="Q14" s="738"/>
      <c r="R14" s="738"/>
      <c r="S14" s="738"/>
      <c r="T14" s="738"/>
      <c r="U14" s="738"/>
      <c r="V14" s="738"/>
      <c r="Y14" s="298"/>
      <c r="Z14" s="299"/>
      <c r="AA14" s="279"/>
      <c r="AB14" s="731"/>
      <c r="AC14" s="732"/>
      <c r="AD14" s="280"/>
      <c r="AE14" s="303"/>
    </row>
    <row r="15" spans="3:31" ht="14.4" x14ac:dyDescent="0.3">
      <c r="C15" s="292"/>
      <c r="D15" s="304"/>
      <c r="E15" s="305"/>
      <c r="F15" s="305"/>
      <c r="G15" s="305"/>
      <c r="H15" s="305"/>
      <c r="I15" s="305"/>
      <c r="J15" s="306"/>
      <c r="K15" s="293"/>
      <c r="M15" s="307" t="s">
        <v>97</v>
      </c>
      <c r="N15" s="706" t="s">
        <v>98</v>
      </c>
      <c r="O15" s="706"/>
      <c r="P15" s="706"/>
      <c r="Q15" s="706"/>
      <c r="R15" s="307" t="s">
        <v>99</v>
      </c>
      <c r="S15" s="307" t="s">
        <v>100</v>
      </c>
      <c r="T15" s="734" t="s">
        <v>8</v>
      </c>
      <c r="U15" s="734"/>
      <c r="V15" s="307" t="s">
        <v>101</v>
      </c>
      <c r="Y15" s="308" t="s">
        <v>107</v>
      </c>
      <c r="Z15" s="309" t="s">
        <v>9</v>
      </c>
      <c r="AA15" s="279"/>
      <c r="AB15" s="290"/>
      <c r="AC15" s="291"/>
      <c r="AD15" s="280"/>
      <c r="AE15" s="310"/>
    </row>
    <row r="16" spans="3:31" ht="14.4" x14ac:dyDescent="0.3">
      <c r="C16" s="292"/>
      <c r="D16" s="311"/>
      <c r="E16" s="279"/>
      <c r="F16" s="279"/>
      <c r="G16" s="279"/>
      <c r="H16" s="279"/>
      <c r="I16" s="279"/>
      <c r="J16" s="312"/>
      <c r="K16" s="293"/>
      <c r="M16" s="313"/>
      <c r="N16" s="718" t="s">
        <v>102</v>
      </c>
      <c r="O16" s="718"/>
      <c r="P16" s="718"/>
      <c r="Q16" s="718"/>
      <c r="R16" s="314" t="s">
        <v>103</v>
      </c>
      <c r="S16" s="315">
        <f>$AA$9</f>
        <v>0.05</v>
      </c>
      <c r="T16" s="766">
        <f>V49</f>
        <v>205437</v>
      </c>
      <c r="U16" s="766"/>
      <c r="V16" s="316">
        <f>+IFERROR(T16*S16,0)</f>
        <v>10271.85</v>
      </c>
      <c r="Y16" s="317"/>
      <c r="Z16" s="318">
        <f>Y12*V16</f>
        <v>739778.89379625011</v>
      </c>
      <c r="AA16" s="279"/>
      <c r="AB16" s="290"/>
      <c r="AC16" s="291"/>
      <c r="AD16" s="280"/>
      <c r="AE16" s="310" t="str">
        <f>+IF(V16=0,"CERO","NO")</f>
        <v>NO</v>
      </c>
    </row>
    <row r="17" spans="3:31" ht="14.4" x14ac:dyDescent="0.3">
      <c r="C17" s="292"/>
      <c r="D17" s="311"/>
      <c r="E17" s="279"/>
      <c r="F17" s="279"/>
      <c r="G17" s="279"/>
      <c r="H17" s="279"/>
      <c r="I17" s="279"/>
      <c r="J17" s="312"/>
      <c r="K17" s="293"/>
      <c r="M17" s="319">
        <v>8</v>
      </c>
      <c r="N17" s="718" t="str">
        <f>IFERROR(VLOOKUP(M17,INSUMOS!$C$8:$K$934,2,0),"-----")</f>
        <v>Mezcladora de concreto</v>
      </c>
      <c r="O17" s="718"/>
      <c r="P17" s="718"/>
      <c r="Q17" s="718"/>
      <c r="R17" s="314" t="str">
        <f>IFERROR(VLOOKUP(M17,INSUMOS!$C$8:$K$934,6,0),"-----")</f>
        <v>dia</v>
      </c>
      <c r="S17" s="320">
        <v>0.1</v>
      </c>
      <c r="T17" s="767">
        <f>IFERROR(VLOOKUP(M17,INSUMOS!$C$8:$K$934,7,0),"0")</f>
        <v>70000</v>
      </c>
      <c r="U17" s="767"/>
      <c r="V17" s="316">
        <f>+IFERROR(T17*S17,0)</f>
        <v>7000</v>
      </c>
      <c r="Y17" s="321">
        <f>+IFERROR(Y12*S17,0)</f>
        <v>7.2020025000000008</v>
      </c>
      <c r="Z17" s="318">
        <f>Y12*V17</f>
        <v>504140.17500000005</v>
      </c>
      <c r="AA17" s="300"/>
      <c r="AB17" s="301">
        <f>+Y17*T17</f>
        <v>504140.17500000005</v>
      </c>
      <c r="AC17" s="302">
        <f>+AB17-Z17</f>
        <v>0</v>
      </c>
      <c r="AD17" s="280"/>
      <c r="AE17" s="310" t="str">
        <f>+IF(V17=0,"CERO","NO")</f>
        <v>NO</v>
      </c>
    </row>
    <row r="18" spans="3:31" ht="14.4" x14ac:dyDescent="0.3">
      <c r="C18" s="292"/>
      <c r="D18" s="311"/>
      <c r="E18" s="279"/>
      <c r="F18" s="279"/>
      <c r="G18" s="279"/>
      <c r="H18" s="279"/>
      <c r="I18" s="279"/>
      <c r="J18" s="312"/>
      <c r="K18" s="293"/>
      <c r="M18" s="313">
        <v>0</v>
      </c>
      <c r="N18" s="718"/>
      <c r="O18" s="718"/>
      <c r="P18" s="718"/>
      <c r="Q18" s="718"/>
      <c r="R18" s="314"/>
      <c r="S18" s="322"/>
      <c r="T18" s="767"/>
      <c r="U18" s="767"/>
      <c r="V18" s="323"/>
      <c r="Y18" s="321">
        <f>+IFERROR(Y12*S18,0)</f>
        <v>0</v>
      </c>
      <c r="Z18" s="318">
        <f>Y12*V18</f>
        <v>0</v>
      </c>
      <c r="AA18" s="300"/>
      <c r="AB18" s="301">
        <f>+Y18*T18</f>
        <v>0</v>
      </c>
      <c r="AC18" s="302">
        <f>+AB18-Z18</f>
        <v>0</v>
      </c>
      <c r="AD18" s="280"/>
      <c r="AE18" s="310" t="str">
        <f>+IF(V18=0,"CERO","NO")</f>
        <v>CERO</v>
      </c>
    </row>
    <row r="19" spans="3:31" ht="14.4" x14ac:dyDescent="0.3">
      <c r="C19" s="292"/>
      <c r="D19" s="311"/>
      <c r="E19" s="279"/>
      <c r="F19" s="279"/>
      <c r="G19" s="279"/>
      <c r="H19" s="279"/>
      <c r="I19" s="279"/>
      <c r="J19" s="312"/>
      <c r="K19" s="293"/>
      <c r="M19" s="313">
        <v>0</v>
      </c>
      <c r="N19" s="718"/>
      <c r="O19" s="718"/>
      <c r="P19" s="718"/>
      <c r="Q19" s="718"/>
      <c r="R19" s="314"/>
      <c r="S19" s="322"/>
      <c r="T19" s="767"/>
      <c r="U19" s="767"/>
      <c r="V19" s="323"/>
      <c r="Y19" s="321">
        <f>+IFERROR(Y12*S19,0)</f>
        <v>0</v>
      </c>
      <c r="Z19" s="318">
        <f>Y12*V19</f>
        <v>0</v>
      </c>
      <c r="AA19" s="300"/>
      <c r="AB19" s="301">
        <f>+Y19*T19</f>
        <v>0</v>
      </c>
      <c r="AC19" s="302">
        <f>+AB19-Z19</f>
        <v>0</v>
      </c>
      <c r="AD19" s="280"/>
      <c r="AE19" s="310" t="str">
        <f>+IF(V19=0,"CERO","NO")</f>
        <v>CERO</v>
      </c>
    </row>
    <row r="20" spans="3:31" ht="15" thickBot="1" x14ac:dyDescent="0.35">
      <c r="C20" s="292"/>
      <c r="D20" s="311"/>
      <c r="E20" s="279"/>
      <c r="F20" s="279"/>
      <c r="G20" s="279"/>
      <c r="H20" s="279"/>
      <c r="I20" s="279"/>
      <c r="J20" s="312"/>
      <c r="K20" s="293"/>
      <c r="M20" s="313">
        <v>0</v>
      </c>
      <c r="N20" s="727"/>
      <c r="O20" s="727"/>
      <c r="P20" s="727"/>
      <c r="Q20" s="727"/>
      <c r="R20" s="326"/>
      <c r="S20" s="326"/>
      <c r="T20" s="768"/>
      <c r="U20" s="768"/>
      <c r="V20" s="327"/>
      <c r="Y20" s="321">
        <f>+IFERROR(Y12*S20,0)</f>
        <v>0</v>
      </c>
      <c r="Z20" s="318">
        <f>Y12*V20</f>
        <v>0</v>
      </c>
      <c r="AA20" s="300"/>
      <c r="AB20" s="301">
        <f>+Y20*T20</f>
        <v>0</v>
      </c>
      <c r="AC20" s="302">
        <f>+AB20-Z20</f>
        <v>0</v>
      </c>
      <c r="AD20" s="280"/>
      <c r="AE20" s="310" t="str">
        <f>+IF(V20=0,"CERO","NO")</f>
        <v>CERO</v>
      </c>
    </row>
    <row r="21" spans="3:31" ht="15" thickBot="1" x14ac:dyDescent="0.35">
      <c r="C21" s="292"/>
      <c r="D21" s="295" t="s">
        <v>132</v>
      </c>
      <c r="E21" s="296" t="s">
        <v>133</v>
      </c>
      <c r="F21" s="296" t="s">
        <v>134</v>
      </c>
      <c r="G21" s="296" t="s">
        <v>135</v>
      </c>
      <c r="H21" s="296" t="s">
        <v>136</v>
      </c>
      <c r="I21" s="296" t="s">
        <v>137</v>
      </c>
      <c r="J21" s="297" t="s">
        <v>138</v>
      </c>
      <c r="K21" s="293"/>
      <c r="M21" s="724"/>
      <c r="N21" s="725" t="s">
        <v>104</v>
      </c>
      <c r="O21" s="725"/>
      <c r="P21" s="725"/>
      <c r="Q21" s="725"/>
      <c r="R21" s="725"/>
      <c r="S21" s="725"/>
      <c r="T21" s="725"/>
      <c r="U21" s="725"/>
      <c r="V21" s="316">
        <f>+SUM(V16:V20)</f>
        <v>17271.849999999999</v>
      </c>
      <c r="Y21" s="328" t="s">
        <v>139</v>
      </c>
      <c r="Z21" s="329">
        <f>+SUM(Z16:Z20)</f>
        <v>1243919.06879625</v>
      </c>
      <c r="AA21" s="279"/>
      <c r="AB21" s="290"/>
      <c r="AC21" s="291"/>
      <c r="AD21" s="280"/>
      <c r="AE21" s="330"/>
    </row>
    <row r="22" spans="3:31" ht="15" thickBot="1" x14ac:dyDescent="0.35">
      <c r="C22" s="292"/>
      <c r="D22" s="295" t="str">
        <f>C12</f>
        <v>C3000</v>
      </c>
      <c r="E22" s="296"/>
      <c r="F22" s="296"/>
      <c r="G22" s="296"/>
      <c r="H22" s="296"/>
      <c r="I22" s="296"/>
      <c r="J22" s="297"/>
      <c r="K22" s="293"/>
      <c r="M22" s="724"/>
      <c r="N22" s="726" t="s">
        <v>105</v>
      </c>
      <c r="O22" s="726"/>
      <c r="P22" s="726"/>
      <c r="Q22" s="726"/>
      <c r="R22" s="726"/>
      <c r="S22" s="726"/>
      <c r="T22" s="726"/>
      <c r="U22" s="726"/>
      <c r="V22" s="344">
        <f>+ROUND(V21,$AA$2)</f>
        <v>17272</v>
      </c>
      <c r="Y22" s="332" t="s">
        <v>140</v>
      </c>
      <c r="Z22" s="333">
        <f>+ROUND(Z21,$AA$2)</f>
        <v>1243919</v>
      </c>
      <c r="AA22" s="279"/>
      <c r="AB22" s="324">
        <f>+V22*Y12</f>
        <v>1243929.8718000001</v>
      </c>
      <c r="AC22" s="325">
        <f>+AB22-Z22</f>
        <v>10.871800000080839</v>
      </c>
      <c r="AD22" s="280"/>
      <c r="AE22" s="334"/>
    </row>
    <row r="23" spans="3:31" ht="14.4" x14ac:dyDescent="0.3">
      <c r="C23" s="292"/>
      <c r="D23" s="304"/>
      <c r="E23" s="305"/>
      <c r="F23" s="305"/>
      <c r="G23" s="305"/>
      <c r="H23" s="305"/>
      <c r="I23" s="305"/>
      <c r="J23" s="306"/>
      <c r="K23" s="293"/>
      <c r="M23" s="730" t="s">
        <v>106</v>
      </c>
      <c r="N23" s="730"/>
      <c r="O23" s="730"/>
      <c r="P23" s="730"/>
      <c r="Q23" s="730"/>
      <c r="R23" s="730"/>
      <c r="S23" s="730"/>
      <c r="T23" s="730"/>
      <c r="U23" s="730"/>
      <c r="V23" s="730"/>
      <c r="Y23" s="298"/>
      <c r="Z23" s="299"/>
      <c r="AA23" s="279"/>
      <c r="AB23" s="731"/>
      <c r="AC23" s="732"/>
      <c r="AD23" s="280"/>
      <c r="AE23" s="335"/>
    </row>
    <row r="24" spans="3:31" ht="27" customHeight="1" x14ac:dyDescent="0.3">
      <c r="C24" s="292"/>
      <c r="D24" s="311"/>
      <c r="E24" s="279"/>
      <c r="F24" s="279"/>
      <c r="G24" s="279"/>
      <c r="H24" s="279"/>
      <c r="I24" s="279"/>
      <c r="J24" s="312"/>
      <c r="K24" s="293"/>
      <c r="M24" s="307" t="s">
        <v>97</v>
      </c>
      <c r="N24" s="706" t="s">
        <v>98</v>
      </c>
      <c r="O24" s="706"/>
      <c r="P24" s="706"/>
      <c r="Q24" s="706"/>
      <c r="R24" s="307" t="s">
        <v>99</v>
      </c>
      <c r="S24" s="307" t="s">
        <v>107</v>
      </c>
      <c r="T24" s="336" t="s">
        <v>108</v>
      </c>
      <c r="U24" s="336" t="s">
        <v>8</v>
      </c>
      <c r="V24" s="307" t="s">
        <v>101</v>
      </c>
      <c r="Y24" s="308" t="s">
        <v>107</v>
      </c>
      <c r="Z24" s="309" t="s">
        <v>9</v>
      </c>
      <c r="AA24" s="279"/>
      <c r="AB24" s="290"/>
      <c r="AC24" s="291"/>
      <c r="AD24" s="280"/>
      <c r="AE24" s="337"/>
    </row>
    <row r="25" spans="3:31" ht="14.4" x14ac:dyDescent="0.3">
      <c r="C25" s="292"/>
      <c r="D25" s="311"/>
      <c r="E25" s="279"/>
      <c r="F25" s="279"/>
      <c r="G25" s="279"/>
      <c r="H25" s="279"/>
      <c r="I25" s="279"/>
      <c r="J25" s="312"/>
      <c r="K25" s="293"/>
      <c r="M25" s="313">
        <v>400</v>
      </c>
      <c r="N25" s="718" t="str">
        <f>IFERROR(VLOOKUP(M25,INSUMOS!$C$8:$K$934,2,0),"-----")</f>
        <v>Cemento gris</v>
      </c>
      <c r="O25" s="718"/>
      <c r="P25" s="718"/>
      <c r="Q25" s="718"/>
      <c r="R25" s="314" t="str">
        <f>IFERROR(VLOOKUP(M25,INSUMOS!$C$8:$K$934,6,0),"-----")</f>
        <v>kg</v>
      </c>
      <c r="S25" s="322">
        <v>350</v>
      </c>
      <c r="T25" s="315">
        <v>0.05</v>
      </c>
      <c r="U25" s="338">
        <f>IFERROR(VLOOKUP(M25,INSUMOS!$C$8:$K$934,7,0),"0")</f>
        <v>776.48</v>
      </c>
      <c r="V25" s="316">
        <f>+IFERROR(U25*(S25*(1+T25)),0)</f>
        <v>285356.40000000002</v>
      </c>
      <c r="Y25" s="321">
        <f>+IFERROR(Y12*(S25*(1+T25)),0)</f>
        <v>26467.359187500002</v>
      </c>
      <c r="Z25" s="318">
        <f>Y12*V25</f>
        <v>20551375.061910003</v>
      </c>
      <c r="AA25" s="300"/>
      <c r="AB25" s="301">
        <f>+Y25*U25</f>
        <v>20551375.061910003</v>
      </c>
      <c r="AC25" s="302">
        <f>+AB25-Z25</f>
        <v>0</v>
      </c>
      <c r="AD25" s="280"/>
      <c r="AE25" s="337" t="str">
        <f t="shared" ref="AE25:AE31" si="0">+IF(V25=0,"CERO","NO")</f>
        <v>NO</v>
      </c>
    </row>
    <row r="26" spans="3:31" ht="14.4" x14ac:dyDescent="0.3">
      <c r="C26" s="292"/>
      <c r="D26" s="311"/>
      <c r="E26" s="279"/>
      <c r="F26" s="279"/>
      <c r="G26" s="279"/>
      <c r="H26" s="279"/>
      <c r="I26" s="279"/>
      <c r="J26" s="312"/>
      <c r="K26" s="293"/>
      <c r="M26" s="313">
        <v>401</v>
      </c>
      <c r="N26" s="718" t="str">
        <f>IFERROR(VLOOKUP(M26,INSUMOS!$C$8:$K$934,2,0),"-----")</f>
        <v>Agua</v>
      </c>
      <c r="O26" s="718"/>
      <c r="P26" s="718"/>
      <c r="Q26" s="718"/>
      <c r="R26" s="314" t="str">
        <f>IFERROR(VLOOKUP(M26,INSUMOS!$C$8:$K$934,6,0),"-----")</f>
        <v>lt</v>
      </c>
      <c r="S26" s="322">
        <v>180</v>
      </c>
      <c r="T26" s="315">
        <v>0.05</v>
      </c>
      <c r="U26" s="338">
        <f>IFERROR(VLOOKUP(M26,INSUMOS!$C$8:$K$934,7,0),"0")</f>
        <v>5</v>
      </c>
      <c r="V26" s="316">
        <f>+IFERROR(U26*(S26*(1+T26)),0)</f>
        <v>945</v>
      </c>
      <c r="Y26" s="321">
        <f>+IFERROR(Y12*(S26*(1+T26)),0)</f>
        <v>13611.784725000001</v>
      </c>
      <c r="Z26" s="318">
        <f>Y12*V26</f>
        <v>68058.92362500001</v>
      </c>
      <c r="AA26" s="300"/>
      <c r="AB26" s="301">
        <f t="shared" ref="AB26:AB31" si="1">+Y26*U26</f>
        <v>68058.92362500001</v>
      </c>
      <c r="AC26" s="302">
        <f t="shared" ref="AC26:AC31" si="2">+AB26-Z26</f>
        <v>0</v>
      </c>
      <c r="AD26" s="280"/>
      <c r="AE26" s="337" t="str">
        <f t="shared" si="0"/>
        <v>NO</v>
      </c>
    </row>
    <row r="27" spans="3:31" ht="14.4" x14ac:dyDescent="0.3">
      <c r="C27" s="292"/>
      <c r="D27" s="311"/>
      <c r="E27" s="279"/>
      <c r="F27" s="279"/>
      <c r="G27" s="279"/>
      <c r="H27" s="279"/>
      <c r="I27" s="279"/>
      <c r="J27" s="312"/>
      <c r="K27" s="293"/>
      <c r="M27" s="313">
        <v>405</v>
      </c>
      <c r="N27" s="718" t="str">
        <f>IFERROR(VLOOKUP(M27,INSUMOS!$C$8:$K$934,2,0),"-----")</f>
        <v>Arena gruesa</v>
      </c>
      <c r="O27" s="718"/>
      <c r="P27" s="718"/>
      <c r="Q27" s="718"/>
      <c r="R27" s="314" t="str">
        <f>IFERROR(VLOOKUP(M27,INSUMOS!$C$8:$K$934,6,0),"-----")</f>
        <v>m3</v>
      </c>
      <c r="S27" s="322">
        <v>0.56000000000000005</v>
      </c>
      <c r="T27" s="315">
        <v>0.05</v>
      </c>
      <c r="U27" s="338">
        <f>IFERROR(VLOOKUP(M27,INSUMOS!$C$8:$K$934,7,0),"0")</f>
        <v>117647</v>
      </c>
      <c r="V27" s="316">
        <f>+IFERROR(U27*(S27*(1+T27)),0)</f>
        <v>69176.436000000016</v>
      </c>
      <c r="Y27" s="321">
        <f>+IFERROR(Y12*(S27*(1+T27)),0)</f>
        <v>42.347774700000009</v>
      </c>
      <c r="Z27" s="318">
        <f>Y12*V27</f>
        <v>4982088.6501309015</v>
      </c>
      <c r="AA27" s="300"/>
      <c r="AB27" s="301">
        <f t="shared" si="1"/>
        <v>4982088.6501309015</v>
      </c>
      <c r="AC27" s="302">
        <f t="shared" si="2"/>
        <v>0</v>
      </c>
      <c r="AD27" s="280"/>
      <c r="AE27" s="337" t="str">
        <f t="shared" si="0"/>
        <v>NO</v>
      </c>
    </row>
    <row r="28" spans="3:31" ht="14.4" x14ac:dyDescent="0.3">
      <c r="C28" s="292"/>
      <c r="D28" s="311"/>
      <c r="E28" s="279"/>
      <c r="F28" s="279"/>
      <c r="G28" s="279"/>
      <c r="H28" s="279"/>
      <c r="I28" s="279"/>
      <c r="J28" s="312"/>
      <c r="K28" s="293"/>
      <c r="M28" s="313">
        <v>411</v>
      </c>
      <c r="N28" s="718" t="str">
        <f>IFERROR(VLOOKUP(M28,INSUMOS!$C$8:$K$934,2,0),"-----")</f>
        <v>Triturado de 3/4"</v>
      </c>
      <c r="O28" s="718"/>
      <c r="P28" s="718"/>
      <c r="Q28" s="718"/>
      <c r="R28" s="314" t="str">
        <f>IFERROR(VLOOKUP(M28,INSUMOS!$C$8:$K$934,6,0),"-----")</f>
        <v>m3</v>
      </c>
      <c r="S28" s="322">
        <v>0.84</v>
      </c>
      <c r="T28" s="315">
        <v>0.05</v>
      </c>
      <c r="U28" s="338">
        <f>IFERROR(VLOOKUP(M28,INSUMOS!$C$8:$K$934,7,0),"0")</f>
        <v>128500</v>
      </c>
      <c r="V28" s="316">
        <f>+IFERROR(U28*(S28*(1+T28)),0)</f>
        <v>113337</v>
      </c>
      <c r="Y28" s="321">
        <f>+IFERROR(Y12*(S28*(1+T28)),0)</f>
        <v>63.521662050000003</v>
      </c>
      <c r="Z28" s="318">
        <f>Y12*V28</f>
        <v>8162533.5734250005</v>
      </c>
      <c r="AA28" s="300"/>
      <c r="AB28" s="301">
        <f t="shared" si="1"/>
        <v>8162533.5734250005</v>
      </c>
      <c r="AC28" s="302">
        <f t="shared" si="2"/>
        <v>0</v>
      </c>
      <c r="AD28" s="280"/>
      <c r="AE28" s="337" t="str">
        <f t="shared" si="0"/>
        <v>NO</v>
      </c>
    </row>
    <row r="29" spans="3:31" ht="14.4" x14ac:dyDescent="0.3">
      <c r="C29" s="292"/>
      <c r="D29" s="311"/>
      <c r="E29" s="279"/>
      <c r="F29" s="279"/>
      <c r="G29" s="279"/>
      <c r="H29" s="279"/>
      <c r="I29" s="279"/>
      <c r="J29" s="312"/>
      <c r="K29" s="293"/>
      <c r="M29" s="313">
        <v>0</v>
      </c>
      <c r="N29" s="718"/>
      <c r="O29" s="718"/>
      <c r="P29" s="718"/>
      <c r="Q29" s="718"/>
      <c r="R29" s="314"/>
      <c r="S29" s="322"/>
      <c r="T29" s="315"/>
      <c r="U29" s="338"/>
      <c r="V29" s="323"/>
      <c r="Y29" s="321">
        <f>+IFERROR(Y12*(S29*(1+T29)),0)</f>
        <v>0</v>
      </c>
      <c r="Z29" s="318">
        <f>Y12*V29</f>
        <v>0</v>
      </c>
      <c r="AA29" s="300"/>
      <c r="AB29" s="301">
        <f t="shared" si="1"/>
        <v>0</v>
      </c>
      <c r="AC29" s="302">
        <f t="shared" si="2"/>
        <v>0</v>
      </c>
      <c r="AD29" s="280"/>
      <c r="AE29" s="337" t="str">
        <f t="shared" si="0"/>
        <v>CERO</v>
      </c>
    </row>
    <row r="30" spans="3:31" ht="14.4" x14ac:dyDescent="0.3">
      <c r="C30" s="292"/>
      <c r="D30" s="311"/>
      <c r="E30" s="279"/>
      <c r="F30" s="279"/>
      <c r="G30" s="279"/>
      <c r="H30" s="279"/>
      <c r="I30" s="279"/>
      <c r="J30" s="312"/>
      <c r="K30" s="293"/>
      <c r="M30" s="313">
        <v>0</v>
      </c>
      <c r="N30" s="718"/>
      <c r="O30" s="718"/>
      <c r="P30" s="718"/>
      <c r="Q30" s="718"/>
      <c r="R30" s="314"/>
      <c r="S30" s="322"/>
      <c r="T30" s="315"/>
      <c r="U30" s="338"/>
      <c r="V30" s="323"/>
      <c r="Y30" s="321">
        <f>+IFERROR(Y12*(S30*(1+T30)),0)</f>
        <v>0</v>
      </c>
      <c r="Z30" s="318">
        <f>Y12*V30</f>
        <v>0</v>
      </c>
      <c r="AA30" s="300"/>
      <c r="AB30" s="301">
        <f t="shared" si="1"/>
        <v>0</v>
      </c>
      <c r="AC30" s="302">
        <f t="shared" si="2"/>
        <v>0</v>
      </c>
      <c r="AD30" s="280"/>
      <c r="AE30" s="337" t="str">
        <f t="shared" si="0"/>
        <v>CERO</v>
      </c>
    </row>
    <row r="31" spans="3:31" ht="15" thickBot="1" x14ac:dyDescent="0.35">
      <c r="C31" s="292"/>
      <c r="D31" s="311"/>
      <c r="E31" s="279"/>
      <c r="F31" s="279"/>
      <c r="G31" s="279"/>
      <c r="H31" s="279"/>
      <c r="I31" s="279"/>
      <c r="J31" s="312"/>
      <c r="K31" s="293"/>
      <c r="M31" s="313">
        <v>0</v>
      </c>
      <c r="N31" s="727"/>
      <c r="O31" s="727"/>
      <c r="P31" s="727"/>
      <c r="Q31" s="727"/>
      <c r="R31" s="326"/>
      <c r="S31" s="339"/>
      <c r="T31" s="340"/>
      <c r="U31" s="341"/>
      <c r="V31" s="323"/>
      <c r="Y31" s="321">
        <f>+IFERROR(Y12*(S31*(1+T31)),0)</f>
        <v>0</v>
      </c>
      <c r="Z31" s="318">
        <f>Y12*V31</f>
        <v>0</v>
      </c>
      <c r="AA31" s="300"/>
      <c r="AB31" s="301">
        <f t="shared" si="1"/>
        <v>0</v>
      </c>
      <c r="AC31" s="302">
        <f t="shared" si="2"/>
        <v>0</v>
      </c>
      <c r="AD31" s="280"/>
      <c r="AE31" s="337" t="str">
        <f t="shared" si="0"/>
        <v>CERO</v>
      </c>
    </row>
    <row r="32" spans="3:31" ht="15" thickBot="1" x14ac:dyDescent="0.35">
      <c r="C32" s="292"/>
      <c r="D32" s="295" t="s">
        <v>132</v>
      </c>
      <c r="E32" s="296" t="s">
        <v>133</v>
      </c>
      <c r="F32" s="296" t="s">
        <v>134</v>
      </c>
      <c r="G32" s="296" t="s">
        <v>135</v>
      </c>
      <c r="H32" s="296" t="s">
        <v>136</v>
      </c>
      <c r="I32" s="296" t="s">
        <v>137</v>
      </c>
      <c r="J32" s="297" t="s">
        <v>138</v>
      </c>
      <c r="K32" s="293"/>
      <c r="M32" s="724"/>
      <c r="N32" s="725" t="s">
        <v>109</v>
      </c>
      <c r="O32" s="725"/>
      <c r="P32" s="725"/>
      <c r="Q32" s="725"/>
      <c r="R32" s="725"/>
      <c r="S32" s="725"/>
      <c r="T32" s="725"/>
      <c r="U32" s="725"/>
      <c r="V32" s="316">
        <f>+SUM(V25:V31)</f>
        <v>468814.83600000001</v>
      </c>
      <c r="Y32" s="328" t="s">
        <v>139</v>
      </c>
      <c r="Z32" s="329">
        <f>+SUM(Z25:Z31)</f>
        <v>33764056.209090903</v>
      </c>
      <c r="AA32" s="279"/>
      <c r="AB32" s="290"/>
      <c r="AC32" s="291"/>
      <c r="AD32" s="280"/>
      <c r="AE32" s="330"/>
    </row>
    <row r="33" spans="3:31" ht="15" thickBot="1" x14ac:dyDescent="0.35">
      <c r="C33" s="292"/>
      <c r="D33" s="295"/>
      <c r="E33" s="343" t="str">
        <f>+D22</f>
        <v>C3000</v>
      </c>
      <c r="F33" s="296"/>
      <c r="G33" s="296"/>
      <c r="H33" s="296"/>
      <c r="I33" s="296"/>
      <c r="J33" s="297"/>
      <c r="K33" s="293"/>
      <c r="M33" s="724"/>
      <c r="N33" s="726" t="s">
        <v>110</v>
      </c>
      <c r="O33" s="726"/>
      <c r="P33" s="726"/>
      <c r="Q33" s="726"/>
      <c r="R33" s="726"/>
      <c r="S33" s="726"/>
      <c r="T33" s="726"/>
      <c r="U33" s="726"/>
      <c r="V33" s="344">
        <f>+ROUND(V32,$AA$2)</f>
        <v>468815</v>
      </c>
      <c r="Y33" s="332" t="s">
        <v>140</v>
      </c>
      <c r="Z33" s="333">
        <f>+ROUND(Z32,$AA$2)</f>
        <v>33764056</v>
      </c>
      <c r="AA33" s="279"/>
      <c r="AB33" s="324">
        <f>+V33*Y12</f>
        <v>33764068.020374998</v>
      </c>
      <c r="AC33" s="325">
        <f>+AB33-Z33</f>
        <v>12.020374998450279</v>
      </c>
      <c r="AD33" s="280"/>
      <c r="AE33" s="334"/>
    </row>
    <row r="34" spans="3:31" ht="14.4" x14ac:dyDescent="0.3">
      <c r="C34" s="292"/>
      <c r="D34" s="304"/>
      <c r="E34" s="305"/>
      <c r="F34" s="305"/>
      <c r="G34" s="305"/>
      <c r="H34" s="305"/>
      <c r="I34" s="305"/>
      <c r="J34" s="306"/>
      <c r="K34" s="293"/>
      <c r="M34" s="733" t="s">
        <v>111</v>
      </c>
      <c r="N34" s="733"/>
      <c r="O34" s="733"/>
      <c r="P34" s="733"/>
      <c r="Q34" s="733"/>
      <c r="R34" s="733"/>
      <c r="S34" s="733"/>
      <c r="T34" s="733"/>
      <c r="U34" s="733"/>
      <c r="V34" s="733"/>
      <c r="Y34" s="298"/>
      <c r="Z34" s="299"/>
      <c r="AA34" s="279"/>
      <c r="AB34" s="342"/>
      <c r="AC34" s="299"/>
      <c r="AD34" s="280"/>
      <c r="AE34" s="335"/>
    </row>
    <row r="35" spans="3:31" ht="27.6" x14ac:dyDescent="0.3">
      <c r="C35" s="292"/>
      <c r="D35" s="311"/>
      <c r="E35" s="279"/>
      <c r="F35" s="279"/>
      <c r="G35" s="279"/>
      <c r="H35" s="279"/>
      <c r="I35" s="279"/>
      <c r="J35" s="312"/>
      <c r="K35" s="293"/>
      <c r="M35" s="307" t="s">
        <v>97</v>
      </c>
      <c r="N35" s="706" t="s">
        <v>98</v>
      </c>
      <c r="O35" s="706"/>
      <c r="P35" s="706"/>
      <c r="Q35" s="307" t="s">
        <v>112</v>
      </c>
      <c r="R35" s="307" t="s">
        <v>113</v>
      </c>
      <c r="S35" s="307" t="s">
        <v>114</v>
      </c>
      <c r="T35" s="734" t="s">
        <v>115</v>
      </c>
      <c r="U35" s="734"/>
      <c r="V35" s="307" t="s">
        <v>101</v>
      </c>
      <c r="Y35" s="308" t="s">
        <v>107</v>
      </c>
      <c r="Z35" s="309" t="s">
        <v>9</v>
      </c>
      <c r="AA35" s="279"/>
      <c r="AB35" s="290"/>
      <c r="AC35" s="291"/>
      <c r="AD35" s="280"/>
      <c r="AE35" s="349"/>
    </row>
    <row r="36" spans="3:31" ht="14.4" x14ac:dyDescent="0.3">
      <c r="C36" s="350"/>
      <c r="D36" s="351"/>
      <c r="E36" s="345"/>
      <c r="F36" s="345"/>
      <c r="G36" s="345"/>
      <c r="H36" s="345"/>
      <c r="I36" s="345"/>
      <c r="J36" s="352"/>
      <c r="K36" s="353"/>
      <c r="M36" s="354">
        <v>120</v>
      </c>
      <c r="N36" s="718" t="str">
        <f>IFERROR(VLOOKUP(M36,INSUMOS!$C$8:$K$934,2,0),"-----")</f>
        <v>Transporte Cemento - San Gil</v>
      </c>
      <c r="O36" s="718"/>
      <c r="P36" s="718"/>
      <c r="Q36" s="314" t="str">
        <f>IFERROR(VLOOKUP(M36,INSUMOS!$C$8:$K$934,5,0),"-----")</f>
        <v>kg/km</v>
      </c>
      <c r="R36" s="355">
        <f>S25*(1+T25)</f>
        <v>367.5</v>
      </c>
      <c r="S36" s="355">
        <f>IFERROR(VLOOKUP(M36,INSUMOS!$C$8:$K$934,6,0),"0")</f>
        <v>4.87</v>
      </c>
      <c r="T36" s="719">
        <f>IFERROR(VLOOKUP(M36,INSUMOS!$C$8:$K$934,7,0),"0")</f>
        <v>10</v>
      </c>
      <c r="U36" s="719"/>
      <c r="V36" s="515">
        <f>+T36*S36*R36</f>
        <v>17897.25</v>
      </c>
      <c r="Y36" s="321">
        <f>+IFERROR((R36*S36)*Y12,0)</f>
        <v>128896.03924312502</v>
      </c>
      <c r="Z36" s="318">
        <f>Y12*V36</f>
        <v>1288960.3924312501</v>
      </c>
      <c r="AA36" s="345"/>
      <c r="AB36" s="346">
        <f>+Y36*T36</f>
        <v>1288960.3924312503</v>
      </c>
      <c r="AC36" s="347">
        <f>+AB36-Z36</f>
        <v>0</v>
      </c>
      <c r="AD36" s="348"/>
      <c r="AE36" s="337" t="str">
        <f t="shared" ref="AE36:AE40" si="3">+IF(V36=0,"CERO","NO")</f>
        <v>NO</v>
      </c>
    </row>
    <row r="37" spans="3:31" ht="14.4" x14ac:dyDescent="0.3">
      <c r="C37" s="350"/>
      <c r="D37" s="351"/>
      <c r="E37" s="345"/>
      <c r="F37" s="345"/>
      <c r="G37" s="345"/>
      <c r="H37" s="345"/>
      <c r="I37" s="345"/>
      <c r="J37" s="352"/>
      <c r="K37" s="353"/>
      <c r="M37" s="354">
        <v>100</v>
      </c>
      <c r="N37" s="718" t="str">
        <f>IFERROR(VLOOKUP(M37,INSUMOS!$C$8:$K$934,2,0),"-----")</f>
        <v>Transporte Arena - Pescadero</v>
      </c>
      <c r="O37" s="718"/>
      <c r="P37" s="718"/>
      <c r="Q37" s="314" t="str">
        <f>IFERROR(VLOOKUP(M37,INSUMOS!$C$8:$K$934,5,0),"-----")</f>
        <v>m3/km</v>
      </c>
      <c r="R37" s="355">
        <f>S27*(1+T27)</f>
        <v>0.58800000000000008</v>
      </c>
      <c r="S37" s="355">
        <f>IFERROR(VLOOKUP(M37,INSUMOS!$C$8:$K$934,6,0),"0")</f>
        <v>60.3</v>
      </c>
      <c r="T37" s="719">
        <f>IFERROR(VLOOKUP(M37,INSUMOS!$C$8:$K$934,7,0),"0")</f>
        <v>1800</v>
      </c>
      <c r="U37" s="719"/>
      <c r="V37" s="515">
        <f>+T37*S37*R37</f>
        <v>63821.520000000011</v>
      </c>
      <c r="Y37" s="321">
        <f>+IFERROR((R37*S37)*Y12,0)</f>
        <v>2553.5708144100004</v>
      </c>
      <c r="Z37" s="318">
        <f>Y12*V37</f>
        <v>4596427.4659380009</v>
      </c>
      <c r="AA37" s="345"/>
      <c r="AB37" s="346">
        <f>+Y37*T37</f>
        <v>4596427.4659380009</v>
      </c>
      <c r="AC37" s="347">
        <f>+AB37-Z37</f>
        <v>0</v>
      </c>
      <c r="AD37" s="348"/>
      <c r="AE37" s="337" t="str">
        <f t="shared" si="3"/>
        <v>NO</v>
      </c>
    </row>
    <row r="38" spans="3:31" ht="14.4" x14ac:dyDescent="0.3">
      <c r="C38" s="350"/>
      <c r="D38" s="351"/>
      <c r="E38" s="345"/>
      <c r="F38" s="345"/>
      <c r="G38" s="345"/>
      <c r="H38" s="345"/>
      <c r="I38" s="345"/>
      <c r="J38" s="352"/>
      <c r="K38" s="353"/>
      <c r="M38" s="354">
        <v>101</v>
      </c>
      <c r="N38" s="718" t="str">
        <f>IFERROR(VLOOKUP(M38,INSUMOS!$C$8:$K$934,2,0),"-----")</f>
        <v>Transporte Triturado - Pinchote</v>
      </c>
      <c r="O38" s="718"/>
      <c r="P38" s="718"/>
      <c r="Q38" s="314" t="str">
        <f>IFERROR(VLOOKUP(M38,INSUMOS!$C$8:$K$934,5,0),"-----")</f>
        <v>m3/km</v>
      </c>
      <c r="R38" s="355">
        <f>S28*(1+T28)</f>
        <v>0.88200000000000001</v>
      </c>
      <c r="S38" s="355">
        <f>IFERROR(VLOOKUP(M38,INSUMOS!$C$8:$K$934,6,0),"0")</f>
        <v>4.3099999999999996</v>
      </c>
      <c r="T38" s="719">
        <f>IFERROR(VLOOKUP(M38,INSUMOS!$C$8:$K$934,7,0),"0")</f>
        <v>1800</v>
      </c>
      <c r="U38" s="719"/>
      <c r="V38" s="515">
        <f>+T38*S38*R38</f>
        <v>6842.5559999999996</v>
      </c>
      <c r="Y38" s="321">
        <f>+IFERROR((R38*S38)*Y12,0)</f>
        <v>273.77836343550001</v>
      </c>
      <c r="Z38" s="318">
        <f>Y12*V38</f>
        <v>492801.05418390001</v>
      </c>
      <c r="AA38" s="345"/>
      <c r="AB38" s="346">
        <f t="shared" ref="AB38:AB39" si="4">+Y38*T38</f>
        <v>492801.05418390001</v>
      </c>
      <c r="AC38" s="347">
        <f t="shared" ref="AC38:AC39" si="5">+AB38-Z38</f>
        <v>0</v>
      </c>
      <c r="AD38" s="348"/>
      <c r="AE38" s="337" t="str">
        <f t="shared" si="3"/>
        <v>NO</v>
      </c>
    </row>
    <row r="39" spans="3:31" ht="14.4" x14ac:dyDescent="0.3">
      <c r="C39" s="350"/>
      <c r="D39" s="351"/>
      <c r="E39" s="345"/>
      <c r="F39" s="345"/>
      <c r="G39" s="345"/>
      <c r="H39" s="345"/>
      <c r="I39" s="345"/>
      <c r="J39" s="352"/>
      <c r="K39" s="353"/>
      <c r="M39" s="354">
        <v>0</v>
      </c>
      <c r="N39" s="718"/>
      <c r="O39" s="718"/>
      <c r="P39" s="718"/>
      <c r="Q39" s="357"/>
      <c r="R39" s="355"/>
      <c r="S39" s="358"/>
      <c r="T39" s="719"/>
      <c r="U39" s="719"/>
      <c r="V39" s="515"/>
      <c r="Y39" s="321">
        <f>+IFERROR((R39*S39)*Y12,0)</f>
        <v>0</v>
      </c>
      <c r="Z39" s="318">
        <f>Y12*V39</f>
        <v>0</v>
      </c>
      <c r="AA39" s="345"/>
      <c r="AB39" s="346">
        <f t="shared" si="4"/>
        <v>0</v>
      </c>
      <c r="AC39" s="347">
        <f t="shared" si="5"/>
        <v>0</v>
      </c>
      <c r="AD39" s="348"/>
      <c r="AE39" s="337" t="str">
        <f t="shared" si="3"/>
        <v>CERO</v>
      </c>
    </row>
    <row r="40" spans="3:31" ht="15" thickBot="1" x14ac:dyDescent="0.35">
      <c r="C40" s="350"/>
      <c r="D40" s="360"/>
      <c r="E40" s="361"/>
      <c r="F40" s="361"/>
      <c r="G40" s="361"/>
      <c r="H40" s="361"/>
      <c r="I40" s="361"/>
      <c r="J40" s="362"/>
      <c r="K40" s="353"/>
      <c r="M40" s="354">
        <v>0</v>
      </c>
      <c r="N40" s="718"/>
      <c r="O40" s="718"/>
      <c r="P40" s="718"/>
      <c r="Q40" s="357"/>
      <c r="R40" s="314"/>
      <c r="S40" s="358"/>
      <c r="T40" s="719"/>
      <c r="U40" s="719"/>
      <c r="V40" s="515"/>
      <c r="Y40" s="321">
        <f>+IFERROR((R40*S40)*Y12,0)</f>
        <v>0</v>
      </c>
      <c r="Z40" s="318">
        <f>Y12*V40</f>
        <v>0</v>
      </c>
      <c r="AA40" s="345"/>
      <c r="AB40" s="346">
        <f>+Y40*T40</f>
        <v>0</v>
      </c>
      <c r="AC40" s="347">
        <f>+AB40-Z40</f>
        <v>0</v>
      </c>
      <c r="AD40" s="348"/>
      <c r="AE40" s="337" t="str">
        <f t="shared" si="3"/>
        <v>CERO</v>
      </c>
    </row>
    <row r="41" spans="3:31" ht="15" thickBot="1" x14ac:dyDescent="0.35">
      <c r="C41" s="292"/>
      <c r="D41" s="295" t="s">
        <v>132</v>
      </c>
      <c r="E41" s="296" t="s">
        <v>133</v>
      </c>
      <c r="F41" s="296" t="s">
        <v>134</v>
      </c>
      <c r="G41" s="296" t="s">
        <v>135</v>
      </c>
      <c r="H41" s="296" t="s">
        <v>136</v>
      </c>
      <c r="I41" s="296" t="s">
        <v>137</v>
      </c>
      <c r="J41" s="297" t="s">
        <v>138</v>
      </c>
      <c r="K41" s="293"/>
      <c r="M41" s="720"/>
      <c r="N41" s="721" t="s">
        <v>116</v>
      </c>
      <c r="O41" s="721"/>
      <c r="P41" s="721"/>
      <c r="Q41" s="721"/>
      <c r="R41" s="721"/>
      <c r="S41" s="721"/>
      <c r="T41" s="721"/>
      <c r="U41" s="721"/>
      <c r="V41" s="499">
        <f>+SUM(V36:V40)</f>
        <v>88561.326000000015</v>
      </c>
      <c r="Y41" s="328" t="s">
        <v>139</v>
      </c>
      <c r="Z41" s="329">
        <f>+SUM(Z36:Z40)</f>
        <v>6378188.9125531511</v>
      </c>
      <c r="AA41" s="279"/>
      <c r="AB41" s="290"/>
      <c r="AC41" s="291"/>
      <c r="AD41" s="280"/>
      <c r="AE41" s="330"/>
    </row>
    <row r="42" spans="3:31" ht="15" thickBot="1" x14ac:dyDescent="0.35">
      <c r="C42" s="292"/>
      <c r="D42" s="363"/>
      <c r="E42" s="364"/>
      <c r="F42" s="365" t="str">
        <f>+E33</f>
        <v>C3000</v>
      </c>
      <c r="G42" s="364"/>
      <c r="H42" s="364"/>
      <c r="I42" s="364"/>
      <c r="J42" s="366"/>
      <c r="K42" s="293"/>
      <c r="M42" s="720"/>
      <c r="N42" s="722" t="s">
        <v>117</v>
      </c>
      <c r="O42" s="722"/>
      <c r="P42" s="722"/>
      <c r="Q42" s="722"/>
      <c r="R42" s="722"/>
      <c r="S42" s="722"/>
      <c r="T42" s="722"/>
      <c r="U42" s="722"/>
      <c r="V42" s="344">
        <f>+ROUND(V41,$AA$2)</f>
        <v>88561</v>
      </c>
      <c r="Y42" s="332" t="s">
        <v>140</v>
      </c>
      <c r="Z42" s="333">
        <f>+ROUND(Z41,$AA$2)</f>
        <v>6378189</v>
      </c>
      <c r="AA42" s="279"/>
      <c r="AB42" s="324">
        <f>+V42*Y12</f>
        <v>6378165.4340250008</v>
      </c>
      <c r="AC42" s="359"/>
      <c r="AD42" s="280"/>
      <c r="AE42" s="334"/>
    </row>
    <row r="43" spans="3:31" ht="15" thickBot="1" x14ac:dyDescent="0.35">
      <c r="C43" s="292"/>
      <c r="D43" s="369"/>
      <c r="E43" s="370"/>
      <c r="F43" s="370"/>
      <c r="G43" s="370"/>
      <c r="H43" s="370"/>
      <c r="I43" s="370"/>
      <c r="J43" s="371"/>
      <c r="K43" s="293"/>
      <c r="M43" s="723" t="s">
        <v>118</v>
      </c>
      <c r="N43" s="723"/>
      <c r="O43" s="723"/>
      <c r="P43" s="723"/>
      <c r="Q43" s="723"/>
      <c r="R43" s="723"/>
      <c r="S43" s="723"/>
      <c r="T43" s="723"/>
      <c r="U43" s="723"/>
      <c r="V43" s="723"/>
      <c r="Y43" s="298"/>
      <c r="Z43" s="299"/>
      <c r="AA43" s="279"/>
      <c r="AB43" s="342"/>
      <c r="AC43" s="299"/>
      <c r="AD43" s="280"/>
      <c r="AE43" s="335"/>
    </row>
    <row r="44" spans="3:31" ht="15" thickBot="1" x14ac:dyDescent="0.35">
      <c r="C44" s="292"/>
      <c r="D44" s="295" t="s">
        <v>132</v>
      </c>
      <c r="E44" s="296" t="s">
        <v>133</v>
      </c>
      <c r="F44" s="296" t="s">
        <v>134</v>
      </c>
      <c r="G44" s="296" t="s">
        <v>135</v>
      </c>
      <c r="H44" s="296" t="s">
        <v>136</v>
      </c>
      <c r="I44" s="296" t="s">
        <v>137</v>
      </c>
      <c r="J44" s="297" t="s">
        <v>138</v>
      </c>
      <c r="K44" s="293"/>
      <c r="M44" s="307" t="s">
        <v>97</v>
      </c>
      <c r="N44" s="372" t="s">
        <v>98</v>
      </c>
      <c r="O44" s="307" t="s">
        <v>99</v>
      </c>
      <c r="P44" s="396" t="s">
        <v>107</v>
      </c>
      <c r="Q44" s="307" t="s">
        <v>119</v>
      </c>
      <c r="R44" s="373" t="s">
        <v>120</v>
      </c>
      <c r="S44" s="307" t="s">
        <v>363</v>
      </c>
      <c r="T44" s="374" t="s">
        <v>121</v>
      </c>
      <c r="U44" s="375" t="s">
        <v>122</v>
      </c>
      <c r="V44" s="307" t="s">
        <v>101</v>
      </c>
      <c r="Y44" s="308" t="s">
        <v>107</v>
      </c>
      <c r="Z44" s="309" t="s">
        <v>9</v>
      </c>
      <c r="AA44" s="279"/>
      <c r="AB44" s="290"/>
      <c r="AC44" s="291"/>
      <c r="AD44" s="280"/>
      <c r="AE44" s="349"/>
    </row>
    <row r="45" spans="3:31" ht="14.4" x14ac:dyDescent="0.3">
      <c r="C45" s="292"/>
      <c r="D45" s="376"/>
      <c r="E45" s="377"/>
      <c r="F45" s="377"/>
      <c r="G45" s="377"/>
      <c r="H45" s="377"/>
      <c r="I45" s="377"/>
      <c r="J45" s="378" t="str">
        <f>+F42</f>
        <v>C3000</v>
      </c>
      <c r="K45" s="293"/>
      <c r="M45" s="313">
        <v>201</v>
      </c>
      <c r="N45" s="379" t="str">
        <f>IFERROR(VLOOKUP(M45,INSUMOS!$C$8:$K$934,2,0),"-----")</f>
        <v>Oficial Albañileria</v>
      </c>
      <c r="O45" s="314" t="str">
        <f>IFERROR(VLOOKUP(M45,INSUMOS!$C$8:$K$934,3,0),"-----")</f>
        <v>JORNAL+PS</v>
      </c>
      <c r="P45" s="355">
        <v>1</v>
      </c>
      <c r="Q45" s="339">
        <v>6</v>
      </c>
      <c r="R45" s="380">
        <f>IFERROR(VLOOKUP(M45,INSUMOS!$C$8:$K$934,4,0),"-----")</f>
        <v>114970</v>
      </c>
      <c r="S45" s="380">
        <f>IFERROR(VLOOKUP(M45,INSUMOS!$C$8:$K$934,6,0),"-----")</f>
        <v>91976</v>
      </c>
      <c r="T45" s="380">
        <f>IFERROR(VLOOKUP(M45,INSUMOS!$C$8:$K$934,5,0),"-----")</f>
        <v>0</v>
      </c>
      <c r="U45" s="338">
        <f>SUM(R45:T45)</f>
        <v>206946</v>
      </c>
      <c r="V45" s="316">
        <f>+IFERROR((P45/Q45)*U45,0)</f>
        <v>34491</v>
      </c>
      <c r="Y45" s="321">
        <f>+IFERROR((Y12/Q45*P45),0)</f>
        <v>12.003337500000001</v>
      </c>
      <c r="Z45" s="318">
        <f>Y12*V45</f>
        <v>2484042.682275</v>
      </c>
      <c r="AA45" s="279"/>
      <c r="AB45" s="367">
        <f>+(U45)*Y45</f>
        <v>2484042.682275</v>
      </c>
      <c r="AC45" s="302">
        <f>+AB45-Z45</f>
        <v>0</v>
      </c>
      <c r="AD45" s="368"/>
      <c r="AE45" s="349" t="str">
        <f>+IF(V45=0,"CERO","NO")</f>
        <v>NO</v>
      </c>
    </row>
    <row r="46" spans="3:31" ht="15" thickBot="1" x14ac:dyDescent="0.35">
      <c r="C46" s="292"/>
      <c r="D46" s="363"/>
      <c r="E46" s="364"/>
      <c r="F46" s="364"/>
      <c r="G46" s="364"/>
      <c r="H46" s="364"/>
      <c r="I46" s="364"/>
      <c r="J46" s="381" t="str">
        <f>+J45</f>
        <v>C3000</v>
      </c>
      <c r="K46" s="293"/>
      <c r="M46" s="313">
        <v>202</v>
      </c>
      <c r="N46" s="379" t="str">
        <f>IFERROR(VLOOKUP(M46,INSUMOS!$C$8:$K$934,2,0),"-----")</f>
        <v>Ayudante Albañileria</v>
      </c>
      <c r="O46" s="314" t="str">
        <f>IFERROR(VLOOKUP(M46,INSUMOS!$C$8:$K$934,3,0),"-----")</f>
        <v>JORNAL+PS</v>
      </c>
      <c r="P46" s="355">
        <v>6</v>
      </c>
      <c r="Q46" s="339">
        <v>6</v>
      </c>
      <c r="R46" s="380">
        <f>IFERROR(VLOOKUP(M46,INSUMOS!$C$8:$K$934,4,0),"-----")</f>
        <v>94970</v>
      </c>
      <c r="S46" s="380">
        <f>IFERROR(VLOOKUP(M46,INSUMOS!$C$8:$K$934,6,0),"-----")</f>
        <v>75976</v>
      </c>
      <c r="T46" s="380">
        <f>IFERROR(VLOOKUP(M46,INSUMOS!$C$8:$K$934,5,0),"-----")</f>
        <v>0</v>
      </c>
      <c r="U46" s="338">
        <f>SUM(R46:T46)</f>
        <v>170946</v>
      </c>
      <c r="V46" s="316">
        <f>+IFERROR((P46/Q46)*U46,0)</f>
        <v>170946</v>
      </c>
      <c r="Y46" s="321">
        <f>+IFERROR((Y12/Q46*P46),0)</f>
        <v>72.020025000000004</v>
      </c>
      <c r="Z46" s="318">
        <f>Y12*V46</f>
        <v>12311535.19365</v>
      </c>
      <c r="AA46" s="279"/>
      <c r="AB46" s="367">
        <f>+U46*Y46</f>
        <v>12311535.19365</v>
      </c>
      <c r="AC46" s="302">
        <f>+AB46-Z46</f>
        <v>0</v>
      </c>
      <c r="AD46" s="280"/>
      <c r="AE46" s="349" t="str">
        <f t="shared" ref="AE46:AE47" si="6">+IF(V46=0,"CERO","NO")</f>
        <v>NO</v>
      </c>
    </row>
    <row r="47" spans="3:31" ht="15" thickBot="1" x14ac:dyDescent="0.35">
      <c r="C47" s="292"/>
      <c r="D47" s="304"/>
      <c r="E47" s="305"/>
      <c r="F47" s="305"/>
      <c r="G47" s="305"/>
      <c r="H47" s="305"/>
      <c r="I47" s="305"/>
      <c r="J47" s="306"/>
      <c r="K47" s="293"/>
      <c r="M47" s="313">
        <v>0</v>
      </c>
      <c r="N47" s="379"/>
      <c r="O47" s="339"/>
      <c r="P47" s="382"/>
      <c r="Q47" s="319"/>
      <c r="R47" s="383"/>
      <c r="S47" s="384"/>
      <c r="T47" s="383"/>
      <c r="U47" s="338"/>
      <c r="V47" s="323"/>
      <c r="Y47" s="321">
        <f>+IFERROR((Y12/Q47*P47),0)</f>
        <v>0</v>
      </c>
      <c r="Z47" s="318">
        <f>Y12*V47</f>
        <v>0</v>
      </c>
      <c r="AA47" s="279"/>
      <c r="AB47" s="367">
        <f>+(U47)*Y47*P47</f>
        <v>0</v>
      </c>
      <c r="AC47" s="302">
        <f>+AB47-Z47</f>
        <v>0</v>
      </c>
      <c r="AD47" s="280"/>
      <c r="AE47" s="349" t="str">
        <f t="shared" si="6"/>
        <v>CERO</v>
      </c>
    </row>
    <row r="48" spans="3:31" ht="15" thickBot="1" x14ac:dyDescent="0.35">
      <c r="C48" s="292"/>
      <c r="D48" s="295" t="s">
        <v>132</v>
      </c>
      <c r="E48" s="296" t="s">
        <v>133</v>
      </c>
      <c r="F48" s="296" t="s">
        <v>134</v>
      </c>
      <c r="G48" s="296" t="s">
        <v>135</v>
      </c>
      <c r="H48" s="296" t="s">
        <v>136</v>
      </c>
      <c r="I48" s="296" t="s">
        <v>137</v>
      </c>
      <c r="J48" s="297" t="s">
        <v>138</v>
      </c>
      <c r="K48" s="293"/>
      <c r="M48" s="724"/>
      <c r="N48" s="725" t="s">
        <v>123</v>
      </c>
      <c r="O48" s="725"/>
      <c r="P48" s="725"/>
      <c r="Q48" s="725"/>
      <c r="R48" s="725"/>
      <c r="S48" s="725"/>
      <c r="T48" s="725"/>
      <c r="U48" s="725"/>
      <c r="V48" s="316">
        <f>+SUM(V45:V47)</f>
        <v>205437</v>
      </c>
      <c r="Y48" s="328" t="s">
        <v>139</v>
      </c>
      <c r="Z48" s="329">
        <f>+SUM(Z45:Z47)</f>
        <v>14795577.875925001</v>
      </c>
      <c r="AA48" s="279"/>
      <c r="AB48" s="290"/>
      <c r="AC48" s="291"/>
      <c r="AD48" s="280"/>
      <c r="AE48" s="330"/>
    </row>
    <row r="49" spans="3:31" ht="15" thickBot="1" x14ac:dyDescent="0.35">
      <c r="C49" s="292"/>
      <c r="D49" s="376"/>
      <c r="E49" s="377"/>
      <c r="F49" s="377"/>
      <c r="G49" s="386" t="str">
        <f>+F42</f>
        <v>C3000</v>
      </c>
      <c r="H49" s="377"/>
      <c r="I49" s="377"/>
      <c r="J49" s="387"/>
      <c r="K49" s="293"/>
      <c r="M49" s="724"/>
      <c r="N49" s="726" t="s">
        <v>124</v>
      </c>
      <c r="O49" s="726"/>
      <c r="P49" s="726"/>
      <c r="Q49" s="726"/>
      <c r="R49" s="726"/>
      <c r="S49" s="726"/>
      <c r="T49" s="726"/>
      <c r="U49" s="726"/>
      <c r="V49" s="344">
        <f>+ROUND(V48,$AA$2)</f>
        <v>205437</v>
      </c>
      <c r="Y49" s="332" t="s">
        <v>140</v>
      </c>
      <c r="Z49" s="333">
        <f>+ROUND(Z48,$AA$2)</f>
        <v>14795578</v>
      </c>
      <c r="AA49" s="279"/>
      <c r="AB49" s="324">
        <f>+V49*Y12</f>
        <v>14795577.875925001</v>
      </c>
      <c r="AC49" s="325">
        <f>+AB49-Z49</f>
        <v>-0.12407499924302101</v>
      </c>
      <c r="AD49" s="280"/>
      <c r="AE49" s="334"/>
    </row>
    <row r="50" spans="3:31" ht="15" thickBot="1" x14ac:dyDescent="0.35">
      <c r="C50" s="292"/>
      <c r="D50" s="295" t="s">
        <v>132</v>
      </c>
      <c r="E50" s="296" t="s">
        <v>133</v>
      </c>
      <c r="F50" s="296" t="s">
        <v>134</v>
      </c>
      <c r="G50" s="296" t="s">
        <v>135</v>
      </c>
      <c r="H50" s="296" t="s">
        <v>136</v>
      </c>
      <c r="I50" s="296" t="s">
        <v>137</v>
      </c>
      <c r="J50" s="297" t="s">
        <v>138</v>
      </c>
      <c r="K50" s="293"/>
      <c r="M50" s="727"/>
      <c r="N50" s="727"/>
      <c r="O50" s="727"/>
      <c r="P50" s="727"/>
      <c r="Q50" s="727"/>
      <c r="R50" s="727"/>
      <c r="S50" s="727"/>
      <c r="T50" s="727"/>
      <c r="U50" s="727"/>
      <c r="V50" s="727"/>
      <c r="Y50" s="298"/>
      <c r="Z50" s="299"/>
      <c r="AA50" s="279"/>
      <c r="AB50" s="342"/>
      <c r="AC50" s="299"/>
      <c r="AD50" s="280"/>
      <c r="AE50" s="388"/>
    </row>
    <row r="51" spans="3:31" ht="15" thickBot="1" x14ac:dyDescent="0.35">
      <c r="C51" s="292"/>
      <c r="D51" s="363"/>
      <c r="E51" s="364"/>
      <c r="F51" s="364"/>
      <c r="G51" s="364"/>
      <c r="H51" s="365" t="str">
        <f>G49</f>
        <v>C3000</v>
      </c>
      <c r="I51" s="365"/>
      <c r="J51" s="381"/>
      <c r="K51" s="293"/>
      <c r="M51" s="726" t="s">
        <v>125</v>
      </c>
      <c r="N51" s="726"/>
      <c r="O51" s="726"/>
      <c r="P51" s="726"/>
      <c r="Q51" s="726"/>
      <c r="R51" s="726"/>
      <c r="S51" s="726"/>
      <c r="T51" s="726"/>
      <c r="U51" s="728">
        <f>+V49+V42+V33+V22</f>
        <v>780085</v>
      </c>
      <c r="V51" s="728"/>
      <c r="Y51" s="389"/>
      <c r="Z51" s="390">
        <f>+Z49+Z42+Z33+Z22</f>
        <v>56181742</v>
      </c>
      <c r="AA51" s="279"/>
      <c r="AB51" s="385">
        <f>+AB49+AB42+AB33+AB22</f>
        <v>56181741.202124998</v>
      </c>
      <c r="AC51" s="325">
        <f>+AB51-Z51</f>
        <v>-0.79787500202655792</v>
      </c>
      <c r="AD51" s="280"/>
      <c r="AE51" s="391"/>
    </row>
    <row r="52" spans="3:31" ht="14.4" x14ac:dyDescent="0.3">
      <c r="C52" s="292"/>
      <c r="D52" s="279"/>
      <c r="E52" s="279"/>
      <c r="F52" s="279"/>
      <c r="G52" s="279"/>
      <c r="H52" s="397"/>
      <c r="I52" s="397"/>
      <c r="J52" s="397"/>
      <c r="K52" s="293"/>
      <c r="M52" s="705"/>
      <c r="N52" s="705"/>
      <c r="O52" s="705"/>
      <c r="P52" s="705"/>
      <c r="Q52" s="705"/>
      <c r="R52" s="706"/>
      <c r="S52" s="706"/>
      <c r="T52" s="706"/>
      <c r="U52" s="706"/>
      <c r="V52" s="706"/>
      <c r="Y52" s="294"/>
      <c r="Z52" s="398"/>
      <c r="AA52" s="279"/>
      <c r="AB52" s="399"/>
      <c r="AC52" s="399"/>
      <c r="AD52" s="280"/>
      <c r="AE52" s="400"/>
    </row>
    <row r="53" spans="3:31" ht="14.4" x14ac:dyDescent="0.3">
      <c r="C53" s="292"/>
      <c r="D53" s="279"/>
      <c r="E53" s="279"/>
      <c r="F53" s="279"/>
      <c r="G53" s="279"/>
      <c r="H53" s="397"/>
      <c r="I53" s="397"/>
      <c r="J53" s="397"/>
      <c r="K53" s="293"/>
      <c r="M53" s="705"/>
      <c r="N53" s="705"/>
      <c r="O53" s="705"/>
      <c r="P53" s="705"/>
      <c r="Q53" s="705"/>
      <c r="R53" s="706"/>
      <c r="S53" s="706"/>
      <c r="T53" s="706"/>
      <c r="U53" s="706"/>
      <c r="V53" s="706"/>
      <c r="Y53" s="294"/>
      <c r="Z53" s="398"/>
      <c r="AA53" s="279"/>
      <c r="AB53" s="399"/>
      <c r="AC53" s="399"/>
      <c r="AD53" s="280"/>
      <c r="AE53" s="400"/>
    </row>
    <row r="54" spans="3:31" ht="14.4" x14ac:dyDescent="0.3">
      <c r="C54" s="292"/>
      <c r="D54" s="279"/>
      <c r="E54" s="279"/>
      <c r="F54" s="279"/>
      <c r="G54" s="279"/>
      <c r="H54" s="397"/>
      <c r="I54" s="397"/>
      <c r="J54" s="397"/>
      <c r="K54" s="293"/>
      <c r="M54" s="705"/>
      <c r="N54" s="705"/>
      <c r="O54" s="705"/>
      <c r="P54" s="705"/>
      <c r="Q54" s="705"/>
      <c r="R54" s="706"/>
      <c r="S54" s="706"/>
      <c r="T54" s="706"/>
      <c r="U54" s="706"/>
      <c r="V54" s="706"/>
      <c r="Y54" s="294"/>
      <c r="Z54" s="398"/>
      <c r="AA54" s="279"/>
      <c r="AB54" s="399"/>
      <c r="AC54" s="399"/>
      <c r="AD54" s="280"/>
      <c r="AE54" s="400"/>
    </row>
    <row r="55" spans="3:31" ht="14.4" x14ac:dyDescent="0.3">
      <c r="C55" s="292"/>
      <c r="D55" s="279"/>
      <c r="E55" s="279"/>
      <c r="F55" s="279"/>
      <c r="G55" s="279"/>
      <c r="H55" s="397"/>
      <c r="I55" s="397"/>
      <c r="J55" s="397"/>
      <c r="K55" s="293"/>
      <c r="M55" s="705"/>
      <c r="N55" s="705"/>
      <c r="O55" s="705"/>
      <c r="P55" s="705"/>
      <c r="Q55" s="705"/>
      <c r="R55" s="706"/>
      <c r="S55" s="706"/>
      <c r="T55" s="706"/>
      <c r="U55" s="706"/>
      <c r="V55" s="706"/>
      <c r="Y55" s="294"/>
      <c r="Z55" s="398"/>
      <c r="AA55" s="279"/>
      <c r="AB55" s="399"/>
      <c r="AC55" s="399"/>
      <c r="AD55" s="280"/>
      <c r="AE55" s="400"/>
    </row>
    <row r="56" spans="3:31" ht="14.4" x14ac:dyDescent="0.3">
      <c r="C56" s="292"/>
      <c r="D56" s="279"/>
      <c r="E56" s="279"/>
      <c r="F56" s="279"/>
      <c r="G56" s="279"/>
      <c r="H56" s="397"/>
      <c r="I56" s="397"/>
      <c r="J56" s="397"/>
      <c r="K56" s="293"/>
      <c r="M56" s="707" t="s">
        <v>128</v>
      </c>
      <c r="N56" s="392" t="str">
        <f>$N$6</f>
        <v>ING. JEYSON JULIAN LEON RUEDA</v>
      </c>
      <c r="O56" s="393"/>
      <c r="P56" s="393"/>
      <c r="Q56" s="393"/>
      <c r="R56" s="711" t="s">
        <v>129</v>
      </c>
      <c r="S56" s="392" t="str">
        <f>$S$6</f>
        <v>ARQ. YASMID ROCÍO CARRILLO MORA</v>
      </c>
      <c r="T56" s="393"/>
      <c r="U56" s="394"/>
      <c r="V56" s="394"/>
      <c r="Y56" s="294"/>
      <c r="Z56" s="398"/>
      <c r="AA56" s="279"/>
      <c r="AB56" s="399"/>
      <c r="AC56" s="399"/>
      <c r="AD56" s="280"/>
      <c r="AE56" s="400"/>
    </row>
    <row r="57" spans="3:31" ht="14.4" x14ac:dyDescent="0.3">
      <c r="C57" s="292"/>
      <c r="D57" s="279"/>
      <c r="E57" s="279"/>
      <c r="F57" s="279"/>
      <c r="G57" s="279"/>
      <c r="H57" s="397"/>
      <c r="I57" s="397"/>
      <c r="J57" s="397"/>
      <c r="K57" s="293"/>
      <c r="M57" s="707"/>
      <c r="N57" s="395" t="str">
        <f>$N$7</f>
        <v>MP. 68202-416348 STD</v>
      </c>
      <c r="O57" s="393"/>
      <c r="P57" s="393"/>
      <c r="Q57" s="393"/>
      <c r="R57" s="711"/>
      <c r="S57" s="395" t="str">
        <f>$S$7</f>
        <v>SECRETARIA DE PLANEACIÓN Y OBRAS PÚBLICAS</v>
      </c>
      <c r="T57" s="393"/>
      <c r="U57" s="394"/>
      <c r="V57" s="394"/>
      <c r="Y57" s="294"/>
      <c r="Z57" s="398"/>
      <c r="AA57" s="279"/>
      <c r="AB57" s="399"/>
      <c r="AC57" s="399"/>
      <c r="AD57" s="280"/>
      <c r="AE57" s="400"/>
    </row>
    <row r="58" spans="3:31" ht="14.4" x14ac:dyDescent="0.3">
      <c r="C58" s="292"/>
      <c r="D58" s="279"/>
      <c r="E58" s="279"/>
      <c r="F58" s="279"/>
      <c r="G58" s="279"/>
      <c r="H58" s="397"/>
      <c r="I58" s="397"/>
      <c r="J58" s="397"/>
      <c r="K58" s="293"/>
      <c r="M58" s="707"/>
      <c r="N58" s="393"/>
      <c r="O58" s="393"/>
      <c r="P58" s="393"/>
      <c r="Q58" s="393"/>
      <c r="R58" s="711"/>
      <c r="S58" s="395" t="str">
        <f>$S$8</f>
        <v>MUNICIPIO DE PINCHOTE</v>
      </c>
      <c r="T58" s="393"/>
      <c r="U58" s="394"/>
      <c r="V58" s="394"/>
      <c r="Y58" s="294"/>
      <c r="Z58" s="398"/>
      <c r="AA58" s="279"/>
      <c r="AB58" s="399"/>
      <c r="AC58" s="399"/>
      <c r="AD58" s="280"/>
      <c r="AE58" s="400"/>
    </row>
    <row r="59" spans="3:31" ht="14.4" x14ac:dyDescent="0.3">
      <c r="C59" s="292"/>
      <c r="D59" s="279"/>
      <c r="E59" s="279"/>
      <c r="F59" s="279"/>
      <c r="G59" s="279"/>
      <c r="H59" s="397"/>
      <c r="I59" s="397"/>
      <c r="J59" s="397"/>
      <c r="K59" s="293"/>
      <c r="M59" s="401"/>
      <c r="N59" s="401"/>
      <c r="O59" s="401"/>
      <c r="P59" s="401"/>
      <c r="Q59" s="401"/>
      <c r="R59" s="401"/>
      <c r="S59" s="401"/>
      <c r="T59" s="401"/>
      <c r="U59" s="402"/>
      <c r="V59" s="402"/>
      <c r="Y59" s="294"/>
      <c r="Z59" s="398"/>
      <c r="AA59" s="279"/>
      <c r="AB59" s="399"/>
      <c r="AC59" s="399"/>
      <c r="AD59" s="280"/>
      <c r="AE59" s="400"/>
    </row>
    <row r="60" spans="3:31" ht="15" hidden="1" thickBot="1" x14ac:dyDescent="0.35">
      <c r="C60" s="292"/>
      <c r="D60" s="279"/>
      <c r="E60" s="279"/>
      <c r="F60" s="279"/>
      <c r="G60" s="397"/>
      <c r="H60" s="279"/>
      <c r="I60" s="279"/>
      <c r="J60" s="279"/>
      <c r="K60" s="293"/>
      <c r="M60" s="403"/>
      <c r="N60" s="772"/>
      <c r="O60" s="772"/>
      <c r="P60" s="772"/>
      <c r="Q60" s="772"/>
      <c r="R60" s="772"/>
      <c r="S60" s="772"/>
      <c r="T60" s="772"/>
      <c r="U60" s="772"/>
      <c r="V60" s="404"/>
      <c r="Y60" s="405"/>
      <c r="Z60" s="406"/>
      <c r="AA60" s="279"/>
      <c r="AB60" s="407"/>
      <c r="AC60" s="399"/>
      <c r="AD60" s="280"/>
      <c r="AE60" s="279"/>
    </row>
    <row r="61" spans="3:31" ht="15" hidden="1" thickBot="1" x14ac:dyDescent="0.35">
      <c r="M61" s="281" t="s">
        <v>90</v>
      </c>
      <c r="N61" s="282" t="s">
        <v>91</v>
      </c>
      <c r="O61" s="706" t="s">
        <v>92</v>
      </c>
      <c r="P61" s="706"/>
      <c r="Q61" s="706"/>
      <c r="R61" s="706"/>
      <c r="S61" s="706"/>
      <c r="T61" s="706"/>
      <c r="U61" s="706"/>
      <c r="V61" s="283" t="s">
        <v>93</v>
      </c>
      <c r="Y61" s="284" t="s">
        <v>107</v>
      </c>
      <c r="Z61" s="280"/>
      <c r="AA61" s="274"/>
      <c r="AB61" s="735"/>
      <c r="AC61" s="735"/>
      <c r="AD61" s="735"/>
      <c r="AE61" s="280"/>
    </row>
    <row r="62" spans="3:31" ht="15" hidden="1" thickBot="1" x14ac:dyDescent="0.35">
      <c r="C62" s="285" t="str">
        <f>+N62</f>
        <v>C4000</v>
      </c>
      <c r="D62" s="279"/>
      <c r="E62" s="279"/>
      <c r="F62" s="279"/>
      <c r="G62" s="279"/>
      <c r="H62" s="279"/>
      <c r="I62" s="279"/>
      <c r="J62" s="279"/>
      <c r="K62" s="286"/>
      <c r="M62" s="283" t="s">
        <v>94</v>
      </c>
      <c r="N62" s="287" t="s">
        <v>126</v>
      </c>
      <c r="O62" s="736" t="str">
        <f>IFERROR(VLOOKUP(N62,INSUMOS!$C$8:$K$934,2,0),"-----")</f>
        <v>CONCRETO DE 4.000 PSI</v>
      </c>
      <c r="P62" s="736"/>
      <c r="Q62" s="736"/>
      <c r="R62" s="736"/>
      <c r="S62" s="736"/>
      <c r="T62" s="736"/>
      <c r="U62" s="736"/>
      <c r="V62" s="288" t="str">
        <f>IFERROR(VLOOKUP(N62,INSUMOS!$C$8:$K$934,6,0),"-----")</f>
        <v>m3</v>
      </c>
      <c r="Y62" s="289">
        <f>SUMIFS($Y$310:$Y$1486,$M$310:$M$1486,N62)</f>
        <v>0</v>
      </c>
      <c r="Z62" s="280"/>
      <c r="AA62" s="279"/>
      <c r="AB62" s="280"/>
      <c r="AC62" s="280"/>
      <c r="AD62" s="280"/>
      <c r="AE62" s="280"/>
    </row>
    <row r="63" spans="3:31" ht="15" hidden="1" thickBot="1" x14ac:dyDescent="0.35">
      <c r="C63" s="292"/>
      <c r="D63" s="279"/>
      <c r="E63" s="279"/>
      <c r="F63" s="279"/>
      <c r="G63" s="279"/>
      <c r="H63" s="279"/>
      <c r="I63" s="279"/>
      <c r="J63" s="279"/>
      <c r="K63" s="293"/>
      <c r="M63" s="737"/>
      <c r="N63" s="737"/>
      <c r="O63" s="737"/>
      <c r="P63" s="737"/>
      <c r="Q63" s="737"/>
      <c r="R63" s="737"/>
      <c r="S63" s="737"/>
      <c r="T63" s="737"/>
      <c r="U63" s="737"/>
      <c r="V63" s="737"/>
      <c r="Y63" s="294"/>
      <c r="Z63" s="280"/>
      <c r="AA63" s="279"/>
      <c r="AB63" s="280"/>
      <c r="AC63" s="280"/>
      <c r="AD63" s="280"/>
      <c r="AE63" s="280"/>
    </row>
    <row r="64" spans="3:31" ht="15" hidden="1" thickBot="1" x14ac:dyDescent="0.35">
      <c r="C64" s="292"/>
      <c r="D64" s="295" t="s">
        <v>132</v>
      </c>
      <c r="E64" s="296" t="s">
        <v>133</v>
      </c>
      <c r="F64" s="296" t="s">
        <v>134</v>
      </c>
      <c r="G64" s="296" t="s">
        <v>135</v>
      </c>
      <c r="H64" s="296" t="s">
        <v>136</v>
      </c>
      <c r="I64" s="296" t="s">
        <v>137</v>
      </c>
      <c r="J64" s="297" t="s">
        <v>138</v>
      </c>
      <c r="K64" s="293"/>
      <c r="M64" s="738" t="s">
        <v>96</v>
      </c>
      <c r="N64" s="738"/>
      <c r="O64" s="738"/>
      <c r="P64" s="738"/>
      <c r="Q64" s="738"/>
      <c r="R64" s="738"/>
      <c r="S64" s="738"/>
      <c r="T64" s="738"/>
      <c r="U64" s="738"/>
      <c r="V64" s="738"/>
      <c r="Y64" s="298"/>
      <c r="Z64" s="299"/>
      <c r="AA64" s="279"/>
      <c r="AB64" s="731"/>
      <c r="AC64" s="732"/>
      <c r="AD64" s="280"/>
      <c r="AE64" s="303"/>
    </row>
    <row r="65" spans="3:31" ht="14.4" hidden="1" x14ac:dyDescent="0.3">
      <c r="C65" s="292"/>
      <c r="D65" s="304"/>
      <c r="E65" s="305"/>
      <c r="F65" s="305"/>
      <c r="G65" s="305"/>
      <c r="H65" s="305"/>
      <c r="I65" s="305"/>
      <c r="J65" s="306"/>
      <c r="K65" s="293"/>
      <c r="M65" s="307" t="s">
        <v>97</v>
      </c>
      <c r="N65" s="706" t="s">
        <v>98</v>
      </c>
      <c r="O65" s="706"/>
      <c r="P65" s="706"/>
      <c r="Q65" s="706"/>
      <c r="R65" s="307" t="s">
        <v>99</v>
      </c>
      <c r="S65" s="307" t="s">
        <v>100</v>
      </c>
      <c r="T65" s="734" t="s">
        <v>8</v>
      </c>
      <c r="U65" s="734"/>
      <c r="V65" s="307" t="s">
        <v>101</v>
      </c>
      <c r="Y65" s="308" t="s">
        <v>107</v>
      </c>
      <c r="Z65" s="309" t="s">
        <v>9</v>
      </c>
      <c r="AA65" s="279"/>
      <c r="AB65" s="290"/>
      <c r="AC65" s="291"/>
      <c r="AD65" s="280"/>
      <c r="AE65" s="310"/>
    </row>
    <row r="66" spans="3:31" ht="14.4" hidden="1" x14ac:dyDescent="0.3">
      <c r="C66" s="292"/>
      <c r="D66" s="311"/>
      <c r="E66" s="279"/>
      <c r="F66" s="279"/>
      <c r="G66" s="279"/>
      <c r="H66" s="279"/>
      <c r="I66" s="279"/>
      <c r="J66" s="312"/>
      <c r="K66" s="293"/>
      <c r="M66" s="313"/>
      <c r="N66" s="718" t="s">
        <v>102</v>
      </c>
      <c r="O66" s="718"/>
      <c r="P66" s="718"/>
      <c r="Q66" s="718"/>
      <c r="R66" s="314" t="s">
        <v>103</v>
      </c>
      <c r="S66" s="315">
        <f>$AA$9</f>
        <v>0.05</v>
      </c>
      <c r="T66" s="766">
        <f>V99</f>
        <v>154078</v>
      </c>
      <c r="U66" s="766"/>
      <c r="V66" s="316">
        <f>+IFERROR(T66*S66,0)</f>
        <v>7703.9000000000005</v>
      </c>
      <c r="Y66" s="317"/>
      <c r="Z66" s="318">
        <f>Y62*V66</f>
        <v>0</v>
      </c>
      <c r="AA66" s="279"/>
      <c r="AB66" s="290"/>
      <c r="AC66" s="291"/>
      <c r="AD66" s="280"/>
      <c r="AE66" s="310" t="str">
        <f>+IF(V66=0,"CERO","NO")</f>
        <v>NO</v>
      </c>
    </row>
    <row r="67" spans="3:31" ht="14.4" hidden="1" x14ac:dyDescent="0.3">
      <c r="C67" s="292"/>
      <c r="D67" s="311"/>
      <c r="E67" s="279"/>
      <c r="F67" s="279"/>
      <c r="G67" s="279"/>
      <c r="H67" s="279"/>
      <c r="I67" s="279"/>
      <c r="J67" s="312"/>
      <c r="K67" s="293"/>
      <c r="M67" s="319">
        <v>8</v>
      </c>
      <c r="N67" s="718" t="str">
        <f>IFERROR(VLOOKUP(M67,INSUMOS!$C$8:$K$934,2,0),"-----")</f>
        <v>Mezcladora de concreto</v>
      </c>
      <c r="O67" s="718"/>
      <c r="P67" s="718"/>
      <c r="Q67" s="718"/>
      <c r="R67" s="314" t="str">
        <f>IFERROR(VLOOKUP(M67,INSUMOS!$C$8:$K$934,6,0),"-----")</f>
        <v>dia</v>
      </c>
      <c r="S67" s="320">
        <v>0.1</v>
      </c>
      <c r="T67" s="767">
        <f>IFERROR(VLOOKUP(M67,INSUMOS!$C$8:$K$934,7,0),"0")</f>
        <v>70000</v>
      </c>
      <c r="U67" s="767"/>
      <c r="V67" s="316">
        <f>+IFERROR(T67*S67,0)</f>
        <v>7000</v>
      </c>
      <c r="Y67" s="321">
        <f>+IFERROR(Y62*S67,0)</f>
        <v>0</v>
      </c>
      <c r="Z67" s="318">
        <f>Y62*V67</f>
        <v>0</v>
      </c>
      <c r="AA67" s="300"/>
      <c r="AB67" s="301">
        <f>+Y67*T67</f>
        <v>0</v>
      </c>
      <c r="AC67" s="302">
        <f>+AB67-Z67</f>
        <v>0</v>
      </c>
      <c r="AD67" s="280"/>
      <c r="AE67" s="310" t="str">
        <f>+IF(V67=0,"CERO","NO")</f>
        <v>NO</v>
      </c>
    </row>
    <row r="68" spans="3:31" ht="14.4" hidden="1" x14ac:dyDescent="0.3">
      <c r="C68" s="292"/>
      <c r="D68" s="311"/>
      <c r="E68" s="279"/>
      <c r="F68" s="279"/>
      <c r="G68" s="279"/>
      <c r="H68" s="279"/>
      <c r="I68" s="279"/>
      <c r="J68" s="312"/>
      <c r="K68" s="293"/>
      <c r="M68" s="313">
        <v>0</v>
      </c>
      <c r="N68" s="718"/>
      <c r="O68" s="718"/>
      <c r="P68" s="718"/>
      <c r="Q68" s="718"/>
      <c r="R68" s="314"/>
      <c r="S68" s="322"/>
      <c r="T68" s="767"/>
      <c r="U68" s="767"/>
      <c r="V68" s="323"/>
      <c r="Y68" s="321">
        <f>+IFERROR(Y62*S68,0)</f>
        <v>0</v>
      </c>
      <c r="Z68" s="318">
        <f>Y62*V68</f>
        <v>0</v>
      </c>
      <c r="AA68" s="300"/>
      <c r="AB68" s="301">
        <f>+Y68*T68</f>
        <v>0</v>
      </c>
      <c r="AC68" s="302">
        <f>+AB68-Z68</f>
        <v>0</v>
      </c>
      <c r="AD68" s="280"/>
      <c r="AE68" s="310" t="str">
        <f>+IF(V68=0,"CERO","NO")</f>
        <v>CERO</v>
      </c>
    </row>
    <row r="69" spans="3:31" ht="14.4" hidden="1" x14ac:dyDescent="0.3">
      <c r="C69" s="292"/>
      <c r="D69" s="311"/>
      <c r="E69" s="279"/>
      <c r="F69" s="279"/>
      <c r="G69" s="279"/>
      <c r="H69" s="279"/>
      <c r="I69" s="279"/>
      <c r="J69" s="312"/>
      <c r="K69" s="293"/>
      <c r="M69" s="313">
        <v>0</v>
      </c>
      <c r="N69" s="718"/>
      <c r="O69" s="718"/>
      <c r="P69" s="718"/>
      <c r="Q69" s="718"/>
      <c r="R69" s="314"/>
      <c r="S69" s="322"/>
      <c r="T69" s="767"/>
      <c r="U69" s="767"/>
      <c r="V69" s="323"/>
      <c r="Y69" s="321">
        <f>+IFERROR(Y62*S69,0)</f>
        <v>0</v>
      </c>
      <c r="Z69" s="318">
        <f>Y62*V69</f>
        <v>0</v>
      </c>
      <c r="AA69" s="300"/>
      <c r="AB69" s="301">
        <f>+Y69*T69</f>
        <v>0</v>
      </c>
      <c r="AC69" s="302">
        <f>+AB69-Z69</f>
        <v>0</v>
      </c>
      <c r="AD69" s="280"/>
      <c r="AE69" s="310" t="str">
        <f>+IF(V69=0,"CERO","NO")</f>
        <v>CERO</v>
      </c>
    </row>
    <row r="70" spans="3:31" ht="15" hidden="1" thickBot="1" x14ac:dyDescent="0.35">
      <c r="C70" s="292"/>
      <c r="D70" s="311"/>
      <c r="E70" s="279"/>
      <c r="F70" s="279"/>
      <c r="G70" s="279"/>
      <c r="H70" s="279"/>
      <c r="I70" s="279"/>
      <c r="J70" s="312"/>
      <c r="K70" s="293"/>
      <c r="M70" s="313">
        <v>0</v>
      </c>
      <c r="N70" s="727"/>
      <c r="O70" s="727"/>
      <c r="P70" s="727"/>
      <c r="Q70" s="727"/>
      <c r="R70" s="326"/>
      <c r="S70" s="326"/>
      <c r="T70" s="768"/>
      <c r="U70" s="768"/>
      <c r="V70" s="327"/>
      <c r="Y70" s="321">
        <f>+IFERROR(Y62*S70,0)</f>
        <v>0</v>
      </c>
      <c r="Z70" s="318">
        <f>Y62*V70</f>
        <v>0</v>
      </c>
      <c r="AA70" s="300"/>
      <c r="AB70" s="301">
        <f>+Y70*T70</f>
        <v>0</v>
      </c>
      <c r="AC70" s="302">
        <f>+AB70-Z70</f>
        <v>0</v>
      </c>
      <c r="AD70" s="280"/>
      <c r="AE70" s="310" t="str">
        <f>+IF(V70=0,"CERO","NO")</f>
        <v>CERO</v>
      </c>
    </row>
    <row r="71" spans="3:31" ht="15" hidden="1" thickBot="1" x14ac:dyDescent="0.35">
      <c r="C71" s="292"/>
      <c r="D71" s="295" t="s">
        <v>132</v>
      </c>
      <c r="E71" s="296" t="s">
        <v>133</v>
      </c>
      <c r="F71" s="296" t="s">
        <v>134</v>
      </c>
      <c r="G71" s="296" t="s">
        <v>135</v>
      </c>
      <c r="H71" s="296" t="s">
        <v>136</v>
      </c>
      <c r="I71" s="296" t="s">
        <v>137</v>
      </c>
      <c r="J71" s="297" t="s">
        <v>138</v>
      </c>
      <c r="K71" s="293"/>
      <c r="M71" s="724"/>
      <c r="N71" s="725" t="s">
        <v>104</v>
      </c>
      <c r="O71" s="725"/>
      <c r="P71" s="725"/>
      <c r="Q71" s="725"/>
      <c r="R71" s="725"/>
      <c r="S71" s="725"/>
      <c r="T71" s="725"/>
      <c r="U71" s="725"/>
      <c r="V71" s="316">
        <f>+SUM(V66:V70)</f>
        <v>14703.900000000001</v>
      </c>
      <c r="Y71" s="328" t="s">
        <v>139</v>
      </c>
      <c r="Z71" s="329">
        <f>+SUM(Z66:Z70)</f>
        <v>0</v>
      </c>
      <c r="AA71" s="279"/>
      <c r="AB71" s="290"/>
      <c r="AC71" s="291"/>
      <c r="AD71" s="280"/>
      <c r="AE71" s="330"/>
    </row>
    <row r="72" spans="3:31" ht="15" hidden="1" thickBot="1" x14ac:dyDescent="0.35">
      <c r="C72" s="292"/>
      <c r="D72" s="295" t="str">
        <f>C62</f>
        <v>C4000</v>
      </c>
      <c r="E72" s="296"/>
      <c r="F72" s="296"/>
      <c r="G72" s="296"/>
      <c r="H72" s="296"/>
      <c r="I72" s="296"/>
      <c r="J72" s="297"/>
      <c r="K72" s="293"/>
      <c r="M72" s="724"/>
      <c r="N72" s="726" t="s">
        <v>105</v>
      </c>
      <c r="O72" s="726"/>
      <c r="P72" s="726"/>
      <c r="Q72" s="726"/>
      <c r="R72" s="726"/>
      <c r="S72" s="726"/>
      <c r="T72" s="726"/>
      <c r="U72" s="726"/>
      <c r="V72" s="344">
        <f>+ROUND(V71,$AA$2)</f>
        <v>14704</v>
      </c>
      <c r="Y72" s="332" t="s">
        <v>140</v>
      </c>
      <c r="Z72" s="333">
        <f>+ROUND(Z71,$AA$2)</f>
        <v>0</v>
      </c>
      <c r="AA72" s="279"/>
      <c r="AB72" s="324">
        <f>+V72*Y62</f>
        <v>0</v>
      </c>
      <c r="AC72" s="325">
        <f>+AB72-Z72</f>
        <v>0</v>
      </c>
      <c r="AD72" s="280"/>
      <c r="AE72" s="334"/>
    </row>
    <row r="73" spans="3:31" ht="14.4" hidden="1" x14ac:dyDescent="0.3">
      <c r="C73" s="292"/>
      <c r="D73" s="304"/>
      <c r="E73" s="305"/>
      <c r="F73" s="305"/>
      <c r="G73" s="305"/>
      <c r="H73" s="305"/>
      <c r="I73" s="305"/>
      <c r="J73" s="306"/>
      <c r="K73" s="293"/>
      <c r="M73" s="730" t="s">
        <v>106</v>
      </c>
      <c r="N73" s="730"/>
      <c r="O73" s="730"/>
      <c r="P73" s="730"/>
      <c r="Q73" s="730"/>
      <c r="R73" s="730"/>
      <c r="S73" s="730"/>
      <c r="T73" s="730"/>
      <c r="U73" s="730"/>
      <c r="V73" s="730"/>
      <c r="Y73" s="298"/>
      <c r="Z73" s="299"/>
      <c r="AA73" s="279"/>
      <c r="AB73" s="731"/>
      <c r="AC73" s="732"/>
      <c r="AD73" s="280"/>
      <c r="AE73" s="335"/>
    </row>
    <row r="74" spans="3:31" ht="27" hidden="1" customHeight="1" x14ac:dyDescent="0.3">
      <c r="C74" s="292"/>
      <c r="D74" s="311"/>
      <c r="E74" s="279"/>
      <c r="F74" s="279"/>
      <c r="G74" s="279"/>
      <c r="H74" s="279"/>
      <c r="I74" s="279"/>
      <c r="J74" s="312"/>
      <c r="K74" s="293"/>
      <c r="M74" s="307" t="s">
        <v>97</v>
      </c>
      <c r="N74" s="706" t="s">
        <v>98</v>
      </c>
      <c r="O74" s="706"/>
      <c r="P74" s="706"/>
      <c r="Q74" s="706"/>
      <c r="R74" s="307" t="s">
        <v>99</v>
      </c>
      <c r="S74" s="307" t="s">
        <v>107</v>
      </c>
      <c r="T74" s="336" t="s">
        <v>108</v>
      </c>
      <c r="U74" s="336" t="s">
        <v>8</v>
      </c>
      <c r="V74" s="307" t="s">
        <v>101</v>
      </c>
      <c r="Y74" s="308" t="s">
        <v>107</v>
      </c>
      <c r="Z74" s="309" t="s">
        <v>9</v>
      </c>
      <c r="AA74" s="279"/>
      <c r="AB74" s="290"/>
      <c r="AC74" s="291"/>
      <c r="AD74" s="280"/>
      <c r="AE74" s="337"/>
    </row>
    <row r="75" spans="3:31" ht="14.4" hidden="1" x14ac:dyDescent="0.3">
      <c r="C75" s="292"/>
      <c r="D75" s="311"/>
      <c r="E75" s="279"/>
      <c r="F75" s="279"/>
      <c r="G75" s="279"/>
      <c r="H75" s="279"/>
      <c r="I75" s="279"/>
      <c r="J75" s="312"/>
      <c r="K75" s="293"/>
      <c r="M75" s="313">
        <v>400</v>
      </c>
      <c r="N75" s="718" t="str">
        <f>IFERROR(VLOOKUP(M75,INSUMOS!$C$8:$K$934,2,0),"-----")</f>
        <v>Cemento gris</v>
      </c>
      <c r="O75" s="718"/>
      <c r="P75" s="718"/>
      <c r="Q75" s="718"/>
      <c r="R75" s="314" t="str">
        <f>IFERROR(VLOOKUP(M75,INSUMOS!$C$8:$K$934,6,0),"-----")</f>
        <v>kg</v>
      </c>
      <c r="S75" s="322">
        <v>420</v>
      </c>
      <c r="T75" s="315">
        <v>0.05</v>
      </c>
      <c r="U75" s="338">
        <f>IFERROR(VLOOKUP(M75,INSUMOS!$C$8:$K$934,7,0),"0")</f>
        <v>776.48</v>
      </c>
      <c r="V75" s="316">
        <f>+IFERROR(U75*(S75*(1+T75)),0)</f>
        <v>342427.68</v>
      </c>
      <c r="Y75" s="321">
        <f>+IFERROR(Y62*(S75*(1+T75)),0)</f>
        <v>0</v>
      </c>
      <c r="Z75" s="318">
        <f>Y62*V75</f>
        <v>0</v>
      </c>
      <c r="AA75" s="300"/>
      <c r="AB75" s="301">
        <f>+Y75*U75</f>
        <v>0</v>
      </c>
      <c r="AC75" s="302">
        <f>+AB75-Z75</f>
        <v>0</v>
      </c>
      <c r="AD75" s="280"/>
      <c r="AE75" s="337" t="str">
        <f t="shared" ref="AE75:AE81" si="7">+IF(V75=0,"CERO","NO")</f>
        <v>NO</v>
      </c>
    </row>
    <row r="76" spans="3:31" ht="14.4" hidden="1" x14ac:dyDescent="0.3">
      <c r="C76" s="292"/>
      <c r="D76" s="311"/>
      <c r="E76" s="279"/>
      <c r="F76" s="279"/>
      <c r="G76" s="279"/>
      <c r="H76" s="279"/>
      <c r="I76" s="279"/>
      <c r="J76" s="312"/>
      <c r="K76" s="293"/>
      <c r="M76" s="313">
        <v>401</v>
      </c>
      <c r="N76" s="718" t="str">
        <f>IFERROR(VLOOKUP(M76,INSUMOS!$C$8:$K$934,2,0),"-----")</f>
        <v>Agua</v>
      </c>
      <c r="O76" s="718"/>
      <c r="P76" s="718"/>
      <c r="Q76" s="718"/>
      <c r="R76" s="314" t="str">
        <f>IFERROR(VLOOKUP(M76,INSUMOS!$C$8:$K$934,6,0),"-----")</f>
        <v>lt</v>
      </c>
      <c r="S76" s="322">
        <v>190</v>
      </c>
      <c r="T76" s="315">
        <v>0.05</v>
      </c>
      <c r="U76" s="338">
        <f>IFERROR(VLOOKUP(M76,INSUMOS!$C$8:$K$934,7,0),"0")</f>
        <v>5</v>
      </c>
      <c r="V76" s="316">
        <f>+IFERROR(U76*(S76*(1+T76)),0)</f>
        <v>997.5</v>
      </c>
      <c r="Y76" s="321">
        <f>+IFERROR(Y62*(S76*(1+T76)),0)</f>
        <v>0</v>
      </c>
      <c r="Z76" s="318">
        <f>Y62*V76</f>
        <v>0</v>
      </c>
      <c r="AA76" s="300"/>
      <c r="AB76" s="301">
        <f t="shared" ref="AB76:AB81" si="8">+Y76*U76</f>
        <v>0</v>
      </c>
      <c r="AC76" s="302">
        <f t="shared" ref="AC76:AC81" si="9">+AB76-Z76</f>
        <v>0</v>
      </c>
      <c r="AD76" s="280"/>
      <c r="AE76" s="337" t="str">
        <f t="shared" si="7"/>
        <v>NO</v>
      </c>
    </row>
    <row r="77" spans="3:31" ht="14.4" hidden="1" x14ac:dyDescent="0.3">
      <c r="C77" s="292"/>
      <c r="D77" s="311"/>
      <c r="E77" s="279"/>
      <c r="F77" s="279"/>
      <c r="G77" s="279"/>
      <c r="H77" s="279"/>
      <c r="I77" s="279"/>
      <c r="J77" s="312"/>
      <c r="K77" s="293"/>
      <c r="M77" s="313">
        <v>405</v>
      </c>
      <c r="N77" s="718" t="str">
        <f>IFERROR(VLOOKUP(M77,INSUMOS!$C$8:$K$934,2,0),"-----")</f>
        <v>Arena gruesa</v>
      </c>
      <c r="O77" s="718"/>
      <c r="P77" s="718"/>
      <c r="Q77" s="718"/>
      <c r="R77" s="314" t="str">
        <f>IFERROR(VLOOKUP(M77,INSUMOS!$C$8:$K$934,6,0),"-----")</f>
        <v>m3</v>
      </c>
      <c r="S77" s="322">
        <v>0.67</v>
      </c>
      <c r="T77" s="315">
        <v>0.05</v>
      </c>
      <c r="U77" s="338">
        <f>IFERROR(VLOOKUP(M77,INSUMOS!$C$8:$K$934,7,0),"0")</f>
        <v>117647</v>
      </c>
      <c r="V77" s="316">
        <f>+IFERROR(U77*(S77*(1+T77)),0)</f>
        <v>82764.664500000014</v>
      </c>
      <c r="Y77" s="321">
        <f>+IFERROR(Y62*(S77*(1+T77)),0)</f>
        <v>0</v>
      </c>
      <c r="Z77" s="318">
        <f>Y62*V77</f>
        <v>0</v>
      </c>
      <c r="AA77" s="300"/>
      <c r="AB77" s="301">
        <f t="shared" si="8"/>
        <v>0</v>
      </c>
      <c r="AC77" s="302">
        <f t="shared" si="9"/>
        <v>0</v>
      </c>
      <c r="AD77" s="280"/>
      <c r="AE77" s="337" t="str">
        <f t="shared" si="7"/>
        <v>NO</v>
      </c>
    </row>
    <row r="78" spans="3:31" ht="14.4" hidden="1" x14ac:dyDescent="0.3">
      <c r="C78" s="292"/>
      <c r="D78" s="311"/>
      <c r="E78" s="279"/>
      <c r="F78" s="279"/>
      <c r="G78" s="279"/>
      <c r="H78" s="279"/>
      <c r="I78" s="279"/>
      <c r="J78" s="312"/>
      <c r="K78" s="293"/>
      <c r="M78" s="313">
        <v>411</v>
      </c>
      <c r="N78" s="718" t="str">
        <f>IFERROR(VLOOKUP(M78,INSUMOS!$C$8:$K$934,2,0),"-----")</f>
        <v>Triturado de 3/4"</v>
      </c>
      <c r="O78" s="718"/>
      <c r="P78" s="718"/>
      <c r="Q78" s="718"/>
      <c r="R78" s="314" t="str">
        <f>IFERROR(VLOOKUP(M78,INSUMOS!$C$8:$K$934,6,0),"-----")</f>
        <v>m3</v>
      </c>
      <c r="S78" s="322">
        <v>0.67</v>
      </c>
      <c r="T78" s="315">
        <v>0.05</v>
      </c>
      <c r="U78" s="338">
        <f>IFERROR(VLOOKUP(M78,INSUMOS!$C$8:$K$934,7,0),"0")</f>
        <v>128500</v>
      </c>
      <c r="V78" s="316">
        <f>+IFERROR(U78*(S78*(1+T78)),0)</f>
        <v>90399.750000000015</v>
      </c>
      <c r="Y78" s="321">
        <f>+IFERROR(Y62*(S78*(1+T78)),0)</f>
        <v>0</v>
      </c>
      <c r="Z78" s="318">
        <f>Y62*V78</f>
        <v>0</v>
      </c>
      <c r="AA78" s="300"/>
      <c r="AB78" s="301">
        <f t="shared" si="8"/>
        <v>0</v>
      </c>
      <c r="AC78" s="302">
        <f t="shared" si="9"/>
        <v>0</v>
      </c>
      <c r="AD78" s="280"/>
      <c r="AE78" s="337" t="str">
        <f t="shared" si="7"/>
        <v>NO</v>
      </c>
    </row>
    <row r="79" spans="3:31" ht="14.4" hidden="1" x14ac:dyDescent="0.3">
      <c r="C79" s="292"/>
      <c r="D79" s="311"/>
      <c r="E79" s="279"/>
      <c r="F79" s="279"/>
      <c r="G79" s="279"/>
      <c r="H79" s="279"/>
      <c r="I79" s="279"/>
      <c r="J79" s="312"/>
      <c r="K79" s="293"/>
      <c r="M79" s="313">
        <v>0</v>
      </c>
      <c r="N79" s="718"/>
      <c r="O79" s="718"/>
      <c r="P79" s="718"/>
      <c r="Q79" s="718"/>
      <c r="R79" s="314"/>
      <c r="S79" s="322"/>
      <c r="T79" s="315"/>
      <c r="U79" s="338"/>
      <c r="V79" s="323"/>
      <c r="Y79" s="321">
        <f>+IFERROR(Y62*(S79*(1+T79)),0)</f>
        <v>0</v>
      </c>
      <c r="Z79" s="318">
        <f>Y62*V79</f>
        <v>0</v>
      </c>
      <c r="AA79" s="300"/>
      <c r="AB79" s="301">
        <f t="shared" si="8"/>
        <v>0</v>
      </c>
      <c r="AC79" s="302">
        <f t="shared" si="9"/>
        <v>0</v>
      </c>
      <c r="AD79" s="280"/>
      <c r="AE79" s="337" t="str">
        <f t="shared" si="7"/>
        <v>CERO</v>
      </c>
    </row>
    <row r="80" spans="3:31" ht="14.4" hidden="1" x14ac:dyDescent="0.3">
      <c r="C80" s="292"/>
      <c r="D80" s="311"/>
      <c r="E80" s="279"/>
      <c r="F80" s="279"/>
      <c r="G80" s="279"/>
      <c r="H80" s="279"/>
      <c r="I80" s="279"/>
      <c r="J80" s="312"/>
      <c r="K80" s="293"/>
      <c r="M80" s="313">
        <v>0</v>
      </c>
      <c r="N80" s="718"/>
      <c r="O80" s="718"/>
      <c r="P80" s="718"/>
      <c r="Q80" s="718"/>
      <c r="R80" s="314"/>
      <c r="S80" s="322"/>
      <c r="T80" s="315"/>
      <c r="U80" s="338"/>
      <c r="V80" s="323"/>
      <c r="Y80" s="321">
        <f>+IFERROR(Y62*(S80*(1+T80)),0)</f>
        <v>0</v>
      </c>
      <c r="Z80" s="318">
        <f>Y62*V80</f>
        <v>0</v>
      </c>
      <c r="AA80" s="300"/>
      <c r="AB80" s="301">
        <f t="shared" si="8"/>
        <v>0</v>
      </c>
      <c r="AC80" s="302">
        <f t="shared" si="9"/>
        <v>0</v>
      </c>
      <c r="AD80" s="280"/>
      <c r="AE80" s="337" t="str">
        <f t="shared" si="7"/>
        <v>CERO</v>
      </c>
    </row>
    <row r="81" spans="3:31" ht="15" hidden="1" thickBot="1" x14ac:dyDescent="0.35">
      <c r="C81" s="292"/>
      <c r="D81" s="311"/>
      <c r="E81" s="279"/>
      <c r="F81" s="279"/>
      <c r="G81" s="279"/>
      <c r="H81" s="279"/>
      <c r="I81" s="279"/>
      <c r="J81" s="312"/>
      <c r="K81" s="293"/>
      <c r="M81" s="313">
        <v>0</v>
      </c>
      <c r="N81" s="727"/>
      <c r="O81" s="727"/>
      <c r="P81" s="727"/>
      <c r="Q81" s="727"/>
      <c r="R81" s="326"/>
      <c r="S81" s="339"/>
      <c r="T81" s="340"/>
      <c r="U81" s="341"/>
      <c r="V81" s="323"/>
      <c r="Y81" s="321">
        <f>+IFERROR(Y62*(S81*(1+T81)),0)</f>
        <v>0</v>
      </c>
      <c r="Z81" s="318">
        <f>Y62*V81</f>
        <v>0</v>
      </c>
      <c r="AA81" s="300"/>
      <c r="AB81" s="301">
        <f t="shared" si="8"/>
        <v>0</v>
      </c>
      <c r="AC81" s="302">
        <f t="shared" si="9"/>
        <v>0</v>
      </c>
      <c r="AD81" s="280"/>
      <c r="AE81" s="337" t="str">
        <f t="shared" si="7"/>
        <v>CERO</v>
      </c>
    </row>
    <row r="82" spans="3:31" ht="15" hidden="1" thickBot="1" x14ac:dyDescent="0.35">
      <c r="C82" s="292"/>
      <c r="D82" s="295" t="s">
        <v>132</v>
      </c>
      <c r="E82" s="296" t="s">
        <v>133</v>
      </c>
      <c r="F82" s="296" t="s">
        <v>134</v>
      </c>
      <c r="G82" s="296" t="s">
        <v>135</v>
      </c>
      <c r="H82" s="296" t="s">
        <v>136</v>
      </c>
      <c r="I82" s="296" t="s">
        <v>137</v>
      </c>
      <c r="J82" s="297" t="s">
        <v>138</v>
      </c>
      <c r="K82" s="293"/>
      <c r="M82" s="724"/>
      <c r="N82" s="725" t="s">
        <v>109</v>
      </c>
      <c r="O82" s="725"/>
      <c r="P82" s="725"/>
      <c r="Q82" s="725"/>
      <c r="R82" s="725"/>
      <c r="S82" s="725"/>
      <c r="T82" s="725"/>
      <c r="U82" s="725"/>
      <c r="V82" s="316">
        <f>+SUM(V75:V81)</f>
        <v>516589.59450000001</v>
      </c>
      <c r="Y82" s="328" t="s">
        <v>139</v>
      </c>
      <c r="Z82" s="329">
        <f>+SUM(Z75:Z81)</f>
        <v>0</v>
      </c>
      <c r="AA82" s="279"/>
      <c r="AB82" s="290"/>
      <c r="AC82" s="291"/>
      <c r="AD82" s="280"/>
      <c r="AE82" s="330"/>
    </row>
    <row r="83" spans="3:31" ht="15" hidden="1" thickBot="1" x14ac:dyDescent="0.35">
      <c r="C83" s="292"/>
      <c r="D83" s="295"/>
      <c r="E83" s="343" t="str">
        <f>+D72</f>
        <v>C4000</v>
      </c>
      <c r="F83" s="296"/>
      <c r="G83" s="296"/>
      <c r="H83" s="296"/>
      <c r="I83" s="296"/>
      <c r="J83" s="297"/>
      <c r="K83" s="293"/>
      <c r="M83" s="724"/>
      <c r="N83" s="726" t="s">
        <v>110</v>
      </c>
      <c r="O83" s="726"/>
      <c r="P83" s="726"/>
      <c r="Q83" s="726"/>
      <c r="R83" s="726"/>
      <c r="S83" s="726"/>
      <c r="T83" s="726"/>
      <c r="U83" s="726"/>
      <c r="V83" s="344">
        <f>+ROUND(V82,$AA$2)</f>
        <v>516590</v>
      </c>
      <c r="Y83" s="332" t="s">
        <v>140</v>
      </c>
      <c r="Z83" s="333">
        <f>+ROUND(Z82,$AA$2)</f>
        <v>0</v>
      </c>
      <c r="AA83" s="279"/>
      <c r="AB83" s="324">
        <f>+V83*Y62</f>
        <v>0</v>
      </c>
      <c r="AC83" s="325">
        <f>+AB83-Z83</f>
        <v>0</v>
      </c>
      <c r="AD83" s="280"/>
      <c r="AE83" s="334"/>
    </row>
    <row r="84" spans="3:31" ht="14.4" hidden="1" x14ac:dyDescent="0.3">
      <c r="C84" s="292"/>
      <c r="D84" s="304"/>
      <c r="E84" s="305"/>
      <c r="F84" s="305"/>
      <c r="G84" s="305"/>
      <c r="H84" s="305"/>
      <c r="I84" s="305"/>
      <c r="J84" s="306"/>
      <c r="K84" s="293"/>
      <c r="M84" s="733" t="s">
        <v>111</v>
      </c>
      <c r="N84" s="733"/>
      <c r="O84" s="733"/>
      <c r="P84" s="733"/>
      <c r="Q84" s="733"/>
      <c r="R84" s="733"/>
      <c r="S84" s="733"/>
      <c r="T84" s="733"/>
      <c r="U84" s="733"/>
      <c r="V84" s="733"/>
      <c r="Y84" s="298"/>
      <c r="Z84" s="299"/>
      <c r="AA84" s="279"/>
      <c r="AB84" s="342"/>
      <c r="AC84" s="299"/>
      <c r="AD84" s="280"/>
      <c r="AE84" s="335"/>
    </row>
    <row r="85" spans="3:31" ht="27.6" hidden="1" x14ac:dyDescent="0.3">
      <c r="C85" s="292"/>
      <c r="D85" s="311"/>
      <c r="E85" s="279"/>
      <c r="F85" s="279"/>
      <c r="G85" s="279"/>
      <c r="H85" s="279"/>
      <c r="I85" s="279"/>
      <c r="J85" s="312"/>
      <c r="K85" s="293"/>
      <c r="M85" s="307" t="s">
        <v>97</v>
      </c>
      <c r="N85" s="706" t="s">
        <v>98</v>
      </c>
      <c r="O85" s="706"/>
      <c r="P85" s="706"/>
      <c r="Q85" s="307" t="s">
        <v>112</v>
      </c>
      <c r="R85" s="307" t="s">
        <v>113</v>
      </c>
      <c r="S85" s="307" t="s">
        <v>114</v>
      </c>
      <c r="T85" s="734" t="s">
        <v>115</v>
      </c>
      <c r="U85" s="734"/>
      <c r="V85" s="307" t="s">
        <v>101</v>
      </c>
      <c r="Y85" s="308" t="s">
        <v>107</v>
      </c>
      <c r="Z85" s="309" t="s">
        <v>9</v>
      </c>
      <c r="AA85" s="279"/>
      <c r="AB85" s="290"/>
      <c r="AC85" s="291"/>
      <c r="AD85" s="280"/>
      <c r="AE85" s="349"/>
    </row>
    <row r="86" spans="3:31" ht="14.4" hidden="1" x14ac:dyDescent="0.3">
      <c r="C86" s="350"/>
      <c r="D86" s="351"/>
      <c r="E86" s="345"/>
      <c r="F86" s="345"/>
      <c r="G86" s="345"/>
      <c r="H86" s="345"/>
      <c r="I86" s="345"/>
      <c r="J86" s="352"/>
      <c r="K86" s="353"/>
      <c r="M86" s="354">
        <v>120</v>
      </c>
      <c r="N86" s="718" t="str">
        <f>IFERROR(VLOOKUP(M86,INSUMOS!$C$8:$K$934,2,0),"-----")</f>
        <v>Transporte Cemento - San Gil</v>
      </c>
      <c r="O86" s="718"/>
      <c r="P86" s="718"/>
      <c r="Q86" s="314" t="str">
        <f>IFERROR(VLOOKUP(M86,INSUMOS!$C$8:$K$934,5,0),"-----")</f>
        <v>kg/km</v>
      </c>
      <c r="R86" s="355">
        <f>S75*(1+T75)</f>
        <v>441</v>
      </c>
      <c r="S86" s="355">
        <f>IFERROR(VLOOKUP(M86,INSUMOS!$C$8:$K$934,6,0),"0")</f>
        <v>4.87</v>
      </c>
      <c r="T86" s="719">
        <f>IFERROR(VLOOKUP(M86,INSUMOS!$C$8:$K$934,7,0),"0")</f>
        <v>10</v>
      </c>
      <c r="U86" s="719"/>
      <c r="V86" s="515">
        <f>+T86*S86*R86</f>
        <v>21476.7</v>
      </c>
      <c r="Y86" s="321">
        <f>+IFERROR((R86*S86)*Y62,0)</f>
        <v>0</v>
      </c>
      <c r="Z86" s="318">
        <f>Y62*V86</f>
        <v>0</v>
      </c>
      <c r="AA86" s="345"/>
      <c r="AB86" s="346">
        <f>+Y86*T86</f>
        <v>0</v>
      </c>
      <c r="AC86" s="347">
        <f>+AB86-Z86</f>
        <v>0</v>
      </c>
      <c r="AD86" s="348"/>
      <c r="AE86" s="337" t="str">
        <f t="shared" ref="AE86:AE90" si="10">+IF(V86=0,"CERO","NO")</f>
        <v>NO</v>
      </c>
    </row>
    <row r="87" spans="3:31" ht="14.4" hidden="1" x14ac:dyDescent="0.3">
      <c r="C87" s="350"/>
      <c r="D87" s="351"/>
      <c r="E87" s="345"/>
      <c r="F87" s="345"/>
      <c r="G87" s="345"/>
      <c r="H87" s="345"/>
      <c r="I87" s="345"/>
      <c r="J87" s="352"/>
      <c r="K87" s="353"/>
      <c r="M87" s="354">
        <v>100</v>
      </c>
      <c r="N87" s="718" t="str">
        <f>IFERROR(VLOOKUP(M87,INSUMOS!$C$8:$K$934,2,0),"-----")</f>
        <v>Transporte Arena - Pescadero</v>
      </c>
      <c r="O87" s="718"/>
      <c r="P87" s="718"/>
      <c r="Q87" s="314" t="str">
        <f>IFERROR(VLOOKUP(M87,INSUMOS!$C$8:$K$934,5,0),"-----")</f>
        <v>m3/km</v>
      </c>
      <c r="R87" s="355">
        <f>S77*(1+T77)</f>
        <v>0.70350000000000013</v>
      </c>
      <c r="S87" s="355">
        <f>IFERROR(VLOOKUP(M87,INSUMOS!$C$8:$K$934,6,0),"0")</f>
        <v>60.3</v>
      </c>
      <c r="T87" s="719">
        <f>IFERROR(VLOOKUP(M87,INSUMOS!$C$8:$K$934,7,0),"0")</f>
        <v>1800</v>
      </c>
      <c r="U87" s="719"/>
      <c r="V87" s="515">
        <f>+T87*S87*R87</f>
        <v>76357.890000000014</v>
      </c>
      <c r="Y87" s="321">
        <f>+IFERROR((R87*S87)*Y62,0)</f>
        <v>0</v>
      </c>
      <c r="Z87" s="318">
        <f>Y62*V87</f>
        <v>0</v>
      </c>
      <c r="AA87" s="345"/>
      <c r="AB87" s="346">
        <f>+Y87*T87</f>
        <v>0</v>
      </c>
      <c r="AC87" s="347">
        <f>+AB87-Z87</f>
        <v>0</v>
      </c>
      <c r="AD87" s="348"/>
      <c r="AE87" s="337" t="str">
        <f t="shared" si="10"/>
        <v>NO</v>
      </c>
    </row>
    <row r="88" spans="3:31" ht="14.4" hidden="1" x14ac:dyDescent="0.3">
      <c r="C88" s="350"/>
      <c r="D88" s="351"/>
      <c r="E88" s="345"/>
      <c r="F88" s="345"/>
      <c r="G88" s="345"/>
      <c r="H88" s="345"/>
      <c r="I88" s="345"/>
      <c r="J88" s="352"/>
      <c r="K88" s="353"/>
      <c r="M88" s="354">
        <v>101</v>
      </c>
      <c r="N88" s="718" t="str">
        <f>IFERROR(VLOOKUP(M88,INSUMOS!$C$8:$K$934,2,0),"-----")</f>
        <v>Transporte Triturado - Pinchote</v>
      </c>
      <c r="O88" s="718"/>
      <c r="P88" s="718"/>
      <c r="Q88" s="314" t="str">
        <f>IFERROR(VLOOKUP(M88,INSUMOS!$C$8:$K$934,5,0),"-----")</f>
        <v>m3/km</v>
      </c>
      <c r="R88" s="355">
        <f>S78*(1+T78)</f>
        <v>0.70350000000000013</v>
      </c>
      <c r="S88" s="355">
        <f>IFERROR(VLOOKUP(M88,INSUMOS!$C$8:$K$934,6,0),"0")</f>
        <v>4.3099999999999996</v>
      </c>
      <c r="T88" s="719">
        <f>IFERROR(VLOOKUP(M88,INSUMOS!$C$8:$K$934,7,0),"0")</f>
        <v>1800</v>
      </c>
      <c r="U88" s="719"/>
      <c r="V88" s="515">
        <f>+T88*S88*R88</f>
        <v>5457.7530000000006</v>
      </c>
      <c r="Y88" s="321">
        <f>+IFERROR((R88*S88)*Y62,0)</f>
        <v>0</v>
      </c>
      <c r="Z88" s="318">
        <f>Y62*V88</f>
        <v>0</v>
      </c>
      <c r="AA88" s="345"/>
      <c r="AB88" s="346">
        <f t="shared" ref="AB88:AB89" si="11">+Y88*T88</f>
        <v>0</v>
      </c>
      <c r="AC88" s="347">
        <f t="shared" ref="AC88:AC89" si="12">+AB88-Z88</f>
        <v>0</v>
      </c>
      <c r="AD88" s="348"/>
      <c r="AE88" s="337" t="str">
        <f t="shared" si="10"/>
        <v>NO</v>
      </c>
    </row>
    <row r="89" spans="3:31" ht="14.4" hidden="1" x14ac:dyDescent="0.3">
      <c r="C89" s="350"/>
      <c r="D89" s="351"/>
      <c r="E89" s="345"/>
      <c r="F89" s="345"/>
      <c r="G89" s="345"/>
      <c r="H89" s="345"/>
      <c r="I89" s="345"/>
      <c r="J89" s="352"/>
      <c r="K89" s="353"/>
      <c r="M89" s="354">
        <v>0</v>
      </c>
      <c r="N89" s="718"/>
      <c r="O89" s="718"/>
      <c r="P89" s="718"/>
      <c r="Q89" s="357"/>
      <c r="R89" s="355"/>
      <c r="S89" s="358"/>
      <c r="T89" s="719"/>
      <c r="U89" s="719"/>
      <c r="V89" s="515"/>
      <c r="Y89" s="321">
        <f>+IFERROR((R89*S89)*Y62,0)</f>
        <v>0</v>
      </c>
      <c r="Z89" s="318">
        <f>Y62*V89</f>
        <v>0</v>
      </c>
      <c r="AA89" s="345"/>
      <c r="AB89" s="346">
        <f t="shared" si="11"/>
        <v>0</v>
      </c>
      <c r="AC89" s="347">
        <f t="shared" si="12"/>
        <v>0</v>
      </c>
      <c r="AD89" s="348"/>
      <c r="AE89" s="337" t="str">
        <f t="shared" si="10"/>
        <v>CERO</v>
      </c>
    </row>
    <row r="90" spans="3:31" ht="15" hidden="1" thickBot="1" x14ac:dyDescent="0.35">
      <c r="C90" s="350"/>
      <c r="D90" s="360"/>
      <c r="E90" s="361"/>
      <c r="F90" s="361"/>
      <c r="G90" s="361"/>
      <c r="H90" s="361"/>
      <c r="I90" s="361"/>
      <c r="J90" s="362"/>
      <c r="K90" s="353"/>
      <c r="M90" s="354">
        <v>0</v>
      </c>
      <c r="N90" s="718"/>
      <c r="O90" s="718"/>
      <c r="P90" s="718"/>
      <c r="Q90" s="357"/>
      <c r="R90" s="314"/>
      <c r="S90" s="358"/>
      <c r="T90" s="719"/>
      <c r="U90" s="719"/>
      <c r="V90" s="515"/>
      <c r="Y90" s="321">
        <f>+IFERROR((R90*S90)*Y62,0)</f>
        <v>0</v>
      </c>
      <c r="Z90" s="318">
        <f>Y62*V90</f>
        <v>0</v>
      </c>
      <c r="AA90" s="345"/>
      <c r="AB90" s="346">
        <f>+Y90*T90</f>
        <v>0</v>
      </c>
      <c r="AC90" s="347">
        <f>+AB90-Z90</f>
        <v>0</v>
      </c>
      <c r="AD90" s="348"/>
      <c r="AE90" s="337" t="str">
        <f t="shared" si="10"/>
        <v>CERO</v>
      </c>
    </row>
    <row r="91" spans="3:31" ht="15" hidden="1" thickBot="1" x14ac:dyDescent="0.35">
      <c r="C91" s="292"/>
      <c r="D91" s="295" t="s">
        <v>132</v>
      </c>
      <c r="E91" s="296" t="s">
        <v>133</v>
      </c>
      <c r="F91" s="296" t="s">
        <v>134</v>
      </c>
      <c r="G91" s="296" t="s">
        <v>135</v>
      </c>
      <c r="H91" s="296" t="s">
        <v>136</v>
      </c>
      <c r="I91" s="296" t="s">
        <v>137</v>
      </c>
      <c r="J91" s="297" t="s">
        <v>138</v>
      </c>
      <c r="K91" s="293"/>
      <c r="M91" s="720"/>
      <c r="N91" s="721" t="s">
        <v>116</v>
      </c>
      <c r="O91" s="721"/>
      <c r="P91" s="721"/>
      <c r="Q91" s="721"/>
      <c r="R91" s="721"/>
      <c r="S91" s="721"/>
      <c r="T91" s="721"/>
      <c r="U91" s="721"/>
      <c r="V91" s="499">
        <f>+SUM(V86:V90)</f>
        <v>103292.34300000001</v>
      </c>
      <c r="Y91" s="328" t="s">
        <v>139</v>
      </c>
      <c r="Z91" s="329">
        <f>+SUM(Z86:Z90)</f>
        <v>0</v>
      </c>
      <c r="AA91" s="279"/>
      <c r="AB91" s="290"/>
      <c r="AC91" s="291"/>
      <c r="AD91" s="280"/>
      <c r="AE91" s="330"/>
    </row>
    <row r="92" spans="3:31" ht="15" hidden="1" thickBot="1" x14ac:dyDescent="0.35">
      <c r="C92" s="292"/>
      <c r="D92" s="363"/>
      <c r="E92" s="364"/>
      <c r="F92" s="365" t="str">
        <f>+E83</f>
        <v>C4000</v>
      </c>
      <c r="G92" s="364"/>
      <c r="H92" s="364"/>
      <c r="I92" s="364"/>
      <c r="J92" s="366"/>
      <c r="K92" s="293"/>
      <c r="M92" s="720"/>
      <c r="N92" s="722" t="s">
        <v>117</v>
      </c>
      <c r="O92" s="722"/>
      <c r="P92" s="722"/>
      <c r="Q92" s="722"/>
      <c r="R92" s="722"/>
      <c r="S92" s="722"/>
      <c r="T92" s="722"/>
      <c r="U92" s="722"/>
      <c r="V92" s="344">
        <f>+ROUND(V91,$AA$2)</f>
        <v>103292</v>
      </c>
      <c r="Y92" s="332" t="s">
        <v>140</v>
      </c>
      <c r="Z92" s="333">
        <f>+ROUND(Z91,$AA$2)</f>
        <v>0</v>
      </c>
      <c r="AA92" s="279"/>
      <c r="AB92" s="324">
        <f>+V92*Y62</f>
        <v>0</v>
      </c>
      <c r="AC92" s="359"/>
      <c r="AD92" s="280"/>
      <c r="AE92" s="334"/>
    </row>
    <row r="93" spans="3:31" ht="15" hidden="1" thickBot="1" x14ac:dyDescent="0.35">
      <c r="C93" s="292"/>
      <c r="D93" s="369"/>
      <c r="E93" s="370"/>
      <c r="F93" s="370"/>
      <c r="G93" s="370"/>
      <c r="H93" s="370"/>
      <c r="I93" s="370"/>
      <c r="J93" s="371"/>
      <c r="K93" s="293"/>
      <c r="M93" s="723" t="s">
        <v>118</v>
      </c>
      <c r="N93" s="723"/>
      <c r="O93" s="723"/>
      <c r="P93" s="723"/>
      <c r="Q93" s="723"/>
      <c r="R93" s="723"/>
      <c r="S93" s="723"/>
      <c r="T93" s="723"/>
      <c r="U93" s="723"/>
      <c r="V93" s="723"/>
      <c r="Y93" s="298"/>
      <c r="Z93" s="299"/>
      <c r="AA93" s="279"/>
      <c r="AB93" s="342"/>
      <c r="AC93" s="299"/>
      <c r="AD93" s="280"/>
      <c r="AE93" s="335"/>
    </row>
    <row r="94" spans="3:31" ht="15" hidden="1" thickBot="1" x14ac:dyDescent="0.35">
      <c r="C94" s="292"/>
      <c r="D94" s="295" t="s">
        <v>132</v>
      </c>
      <c r="E94" s="296" t="s">
        <v>133</v>
      </c>
      <c r="F94" s="296" t="s">
        <v>134</v>
      </c>
      <c r="G94" s="296" t="s">
        <v>135</v>
      </c>
      <c r="H94" s="296" t="s">
        <v>136</v>
      </c>
      <c r="I94" s="296" t="s">
        <v>137</v>
      </c>
      <c r="J94" s="297" t="s">
        <v>138</v>
      </c>
      <c r="K94" s="293"/>
      <c r="M94" s="307" t="s">
        <v>97</v>
      </c>
      <c r="N94" s="372" t="s">
        <v>98</v>
      </c>
      <c r="O94" s="307" t="s">
        <v>99</v>
      </c>
      <c r="P94" s="396" t="s">
        <v>107</v>
      </c>
      <c r="Q94" s="307" t="s">
        <v>119</v>
      </c>
      <c r="R94" s="373" t="s">
        <v>120</v>
      </c>
      <c r="S94" s="307" t="s">
        <v>363</v>
      </c>
      <c r="T94" s="374" t="s">
        <v>121</v>
      </c>
      <c r="U94" s="375" t="s">
        <v>122</v>
      </c>
      <c r="V94" s="307" t="s">
        <v>101</v>
      </c>
      <c r="Y94" s="308" t="s">
        <v>107</v>
      </c>
      <c r="Z94" s="309" t="s">
        <v>9</v>
      </c>
      <c r="AA94" s="279"/>
      <c r="AB94" s="290"/>
      <c r="AC94" s="291"/>
      <c r="AD94" s="280"/>
      <c r="AE94" s="349"/>
    </row>
    <row r="95" spans="3:31" ht="14.4" hidden="1" x14ac:dyDescent="0.3">
      <c r="C95" s="292"/>
      <c r="D95" s="376"/>
      <c r="E95" s="377"/>
      <c r="F95" s="377"/>
      <c r="G95" s="377"/>
      <c r="H95" s="377"/>
      <c r="I95" s="377"/>
      <c r="J95" s="378" t="str">
        <f>+F92</f>
        <v>C4000</v>
      </c>
      <c r="K95" s="293"/>
      <c r="M95" s="313">
        <v>201</v>
      </c>
      <c r="N95" s="379" t="str">
        <f>IFERROR(VLOOKUP(M95,INSUMOS!$C$8:$K$934,2,0),"-----")</f>
        <v>Oficial Albañileria</v>
      </c>
      <c r="O95" s="314" t="str">
        <f>IFERROR(VLOOKUP(M95,INSUMOS!$C$8:$K$934,3,0),"-----")</f>
        <v>JORNAL+PS</v>
      </c>
      <c r="P95" s="355">
        <v>1</v>
      </c>
      <c r="Q95" s="339">
        <v>8</v>
      </c>
      <c r="R95" s="380">
        <f>IFERROR(VLOOKUP(M95,INSUMOS!$C$8:$K$934,4,0),"-----")</f>
        <v>114970</v>
      </c>
      <c r="S95" s="380">
        <f>IFERROR(VLOOKUP(M95,INSUMOS!$C$8:$K$934,6,0),"-----")</f>
        <v>91976</v>
      </c>
      <c r="T95" s="380">
        <f>IFERROR(VLOOKUP(M95,INSUMOS!$C$8:$K$934,5,0),"-----")</f>
        <v>0</v>
      </c>
      <c r="U95" s="338">
        <f>SUM(R95:T95)</f>
        <v>206946</v>
      </c>
      <c r="V95" s="316">
        <f>+IFERROR((P95/Q95)*U95,0)</f>
        <v>25868.25</v>
      </c>
      <c r="Y95" s="321">
        <f>+IFERROR((Y62/Q95*P95),0)</f>
        <v>0</v>
      </c>
      <c r="Z95" s="318">
        <f>Y62*V95</f>
        <v>0</v>
      </c>
      <c r="AA95" s="279"/>
      <c r="AB95" s="367">
        <f>+(U95)*Y95</f>
        <v>0</v>
      </c>
      <c r="AC95" s="302">
        <f>+AB95-Z95</f>
        <v>0</v>
      </c>
      <c r="AD95" s="368"/>
      <c r="AE95" s="349" t="str">
        <f>+IF(V95=0,"CERO","NO")</f>
        <v>NO</v>
      </c>
    </row>
    <row r="96" spans="3:31" ht="15" hidden="1" thickBot="1" x14ac:dyDescent="0.35">
      <c r="C96" s="292"/>
      <c r="D96" s="363"/>
      <c r="E96" s="364"/>
      <c r="F96" s="364"/>
      <c r="G96" s="364"/>
      <c r="H96" s="364"/>
      <c r="I96" s="364"/>
      <c r="J96" s="381" t="str">
        <f>+J95</f>
        <v>C4000</v>
      </c>
      <c r="K96" s="293"/>
      <c r="M96" s="313">
        <v>202</v>
      </c>
      <c r="N96" s="379" t="str">
        <f>IFERROR(VLOOKUP(M96,INSUMOS!$C$8:$K$934,2,0),"-----")</f>
        <v>Ayudante Albañileria</v>
      </c>
      <c r="O96" s="314" t="str">
        <f>IFERROR(VLOOKUP(M96,INSUMOS!$C$8:$K$934,3,0),"-----")</f>
        <v>JORNAL+PS</v>
      </c>
      <c r="P96" s="355">
        <v>6</v>
      </c>
      <c r="Q96" s="339">
        <v>8</v>
      </c>
      <c r="R96" s="380">
        <f>IFERROR(VLOOKUP(M96,INSUMOS!$C$8:$K$934,4,0),"-----")</f>
        <v>94970</v>
      </c>
      <c r="S96" s="380">
        <f>IFERROR(VLOOKUP(M96,INSUMOS!$C$8:$K$934,6,0),"-----")</f>
        <v>75976</v>
      </c>
      <c r="T96" s="380">
        <f>IFERROR(VLOOKUP(M96,INSUMOS!$C$8:$K$934,5,0),"-----")</f>
        <v>0</v>
      </c>
      <c r="U96" s="338">
        <f>SUM(R96:T96)</f>
        <v>170946</v>
      </c>
      <c r="V96" s="316">
        <f>+IFERROR((P96/Q96)*U96,0)</f>
        <v>128209.5</v>
      </c>
      <c r="Y96" s="321">
        <f>+IFERROR((Y62/Q96*P96),0)</f>
        <v>0</v>
      </c>
      <c r="Z96" s="318">
        <f>Y62*V96</f>
        <v>0</v>
      </c>
      <c r="AA96" s="279"/>
      <c r="AB96" s="367">
        <f>+U96*Y96</f>
        <v>0</v>
      </c>
      <c r="AC96" s="302">
        <f>+AB96-Z96</f>
        <v>0</v>
      </c>
      <c r="AD96" s="280"/>
      <c r="AE96" s="349" t="str">
        <f t="shared" ref="AE96:AE97" si="13">+IF(V96=0,"CERO","NO")</f>
        <v>NO</v>
      </c>
    </row>
    <row r="97" spans="3:31" ht="15" hidden="1" thickBot="1" x14ac:dyDescent="0.35">
      <c r="C97" s="292"/>
      <c r="D97" s="304"/>
      <c r="E97" s="305"/>
      <c r="F97" s="305"/>
      <c r="G97" s="305"/>
      <c r="H97" s="305"/>
      <c r="I97" s="305"/>
      <c r="J97" s="306"/>
      <c r="K97" s="293"/>
      <c r="M97" s="313">
        <v>0</v>
      </c>
      <c r="N97" s="379"/>
      <c r="O97" s="339"/>
      <c r="P97" s="382"/>
      <c r="Q97" s="319"/>
      <c r="R97" s="383"/>
      <c r="S97" s="384"/>
      <c r="T97" s="383"/>
      <c r="U97" s="338"/>
      <c r="V97" s="323"/>
      <c r="Y97" s="321">
        <f>+IFERROR((Y62/Q97*P97),0)</f>
        <v>0</v>
      </c>
      <c r="Z97" s="318">
        <f>Y62*V97</f>
        <v>0</v>
      </c>
      <c r="AA97" s="279"/>
      <c r="AB97" s="367">
        <f>+(U97)*Y97*P97</f>
        <v>0</v>
      </c>
      <c r="AC97" s="302">
        <f>+AB97-Z97</f>
        <v>0</v>
      </c>
      <c r="AD97" s="280"/>
      <c r="AE97" s="349" t="str">
        <f t="shared" si="13"/>
        <v>CERO</v>
      </c>
    </row>
    <row r="98" spans="3:31" ht="15" hidden="1" thickBot="1" x14ac:dyDescent="0.35">
      <c r="C98" s="292"/>
      <c r="D98" s="295" t="s">
        <v>132</v>
      </c>
      <c r="E98" s="296" t="s">
        <v>133</v>
      </c>
      <c r="F98" s="296" t="s">
        <v>134</v>
      </c>
      <c r="G98" s="296" t="s">
        <v>135</v>
      </c>
      <c r="H98" s="296" t="s">
        <v>136</v>
      </c>
      <c r="I98" s="296" t="s">
        <v>137</v>
      </c>
      <c r="J98" s="297" t="s">
        <v>138</v>
      </c>
      <c r="K98" s="293"/>
      <c r="M98" s="724"/>
      <c r="N98" s="725" t="s">
        <v>123</v>
      </c>
      <c r="O98" s="725"/>
      <c r="P98" s="725"/>
      <c r="Q98" s="725"/>
      <c r="R98" s="725"/>
      <c r="S98" s="725"/>
      <c r="T98" s="725"/>
      <c r="U98" s="725"/>
      <c r="V98" s="316">
        <f>+SUM(V95:V97)</f>
        <v>154077.75</v>
      </c>
      <c r="Y98" s="328" t="s">
        <v>139</v>
      </c>
      <c r="Z98" s="329">
        <f>+SUM(Z95:Z97)</f>
        <v>0</v>
      </c>
      <c r="AA98" s="279"/>
      <c r="AB98" s="290"/>
      <c r="AC98" s="291"/>
      <c r="AD98" s="280"/>
      <c r="AE98" s="330"/>
    </row>
    <row r="99" spans="3:31" ht="15" hidden="1" thickBot="1" x14ac:dyDescent="0.35">
      <c r="C99" s="292"/>
      <c r="D99" s="376"/>
      <c r="E99" s="377"/>
      <c r="F99" s="377"/>
      <c r="G99" s="386" t="str">
        <f>+F92</f>
        <v>C4000</v>
      </c>
      <c r="H99" s="377"/>
      <c r="I99" s="377"/>
      <c r="J99" s="387"/>
      <c r="K99" s="293"/>
      <c r="M99" s="724"/>
      <c r="N99" s="726" t="s">
        <v>124</v>
      </c>
      <c r="O99" s="726"/>
      <c r="P99" s="726"/>
      <c r="Q99" s="726"/>
      <c r="R99" s="726"/>
      <c r="S99" s="726"/>
      <c r="T99" s="726"/>
      <c r="U99" s="726"/>
      <c r="V99" s="344">
        <f>+ROUND(V98,$AA$2)</f>
        <v>154078</v>
      </c>
      <c r="Y99" s="332" t="s">
        <v>140</v>
      </c>
      <c r="Z99" s="333">
        <f>+ROUND(Z98,$AA$2)</f>
        <v>0</v>
      </c>
      <c r="AA99" s="279"/>
      <c r="AB99" s="324">
        <f>+V99*Y62</f>
        <v>0</v>
      </c>
      <c r="AC99" s="325">
        <f>+AB99-Z99</f>
        <v>0</v>
      </c>
      <c r="AD99" s="280"/>
      <c r="AE99" s="334"/>
    </row>
    <row r="100" spans="3:31" ht="15" hidden="1" thickBot="1" x14ac:dyDescent="0.35">
      <c r="C100" s="292"/>
      <c r="D100" s="295" t="s">
        <v>132</v>
      </c>
      <c r="E100" s="296" t="s">
        <v>133</v>
      </c>
      <c r="F100" s="296" t="s">
        <v>134</v>
      </c>
      <c r="G100" s="296" t="s">
        <v>135</v>
      </c>
      <c r="H100" s="296" t="s">
        <v>136</v>
      </c>
      <c r="I100" s="296" t="s">
        <v>137</v>
      </c>
      <c r="J100" s="297" t="s">
        <v>138</v>
      </c>
      <c r="K100" s="293"/>
      <c r="M100" s="727"/>
      <c r="N100" s="727"/>
      <c r="O100" s="727"/>
      <c r="P100" s="727"/>
      <c r="Q100" s="727"/>
      <c r="R100" s="727"/>
      <c r="S100" s="727"/>
      <c r="T100" s="727"/>
      <c r="U100" s="727"/>
      <c r="V100" s="727"/>
      <c r="Y100" s="298"/>
      <c r="Z100" s="299"/>
      <c r="AA100" s="279"/>
      <c r="AB100" s="342"/>
      <c r="AC100" s="299"/>
      <c r="AD100" s="280"/>
      <c r="AE100" s="388"/>
    </row>
    <row r="101" spans="3:31" ht="15" hidden="1" thickBot="1" x14ac:dyDescent="0.35">
      <c r="C101" s="292"/>
      <c r="D101" s="363"/>
      <c r="E101" s="364"/>
      <c r="F101" s="364"/>
      <c r="G101" s="364"/>
      <c r="H101" s="365" t="str">
        <f>G99</f>
        <v>C4000</v>
      </c>
      <c r="I101" s="365"/>
      <c r="J101" s="381"/>
      <c r="K101" s="293"/>
      <c r="M101" s="726" t="s">
        <v>125</v>
      </c>
      <c r="N101" s="726"/>
      <c r="O101" s="726"/>
      <c r="P101" s="726"/>
      <c r="Q101" s="726"/>
      <c r="R101" s="726"/>
      <c r="S101" s="726"/>
      <c r="T101" s="726"/>
      <c r="U101" s="728">
        <f>+V99+V92+V83+V72</f>
        <v>788664</v>
      </c>
      <c r="V101" s="728"/>
      <c r="Y101" s="389"/>
      <c r="Z101" s="390">
        <f>+Z99+Z92+Z83+Z72</f>
        <v>0</v>
      </c>
      <c r="AA101" s="279"/>
      <c r="AB101" s="385">
        <f>+AB99+AB92+AB83+AB72</f>
        <v>0</v>
      </c>
      <c r="AC101" s="325">
        <f>+AB101-Z101</f>
        <v>0</v>
      </c>
      <c r="AD101" s="280"/>
      <c r="AE101" s="391"/>
    </row>
    <row r="102" spans="3:31" hidden="1" x14ac:dyDescent="0.25">
      <c r="M102" s="705"/>
      <c r="N102" s="705"/>
      <c r="O102" s="705"/>
      <c r="P102" s="705"/>
      <c r="Q102" s="705"/>
      <c r="R102" s="706"/>
      <c r="S102" s="706"/>
      <c r="T102" s="706"/>
      <c r="U102" s="706"/>
      <c r="V102" s="706"/>
    </row>
    <row r="103" spans="3:31" hidden="1" x14ac:dyDescent="0.25">
      <c r="M103" s="705"/>
      <c r="N103" s="705"/>
      <c r="O103" s="705"/>
      <c r="P103" s="705"/>
      <c r="Q103" s="705"/>
      <c r="R103" s="706"/>
      <c r="S103" s="706"/>
      <c r="T103" s="706"/>
      <c r="U103" s="706"/>
      <c r="V103" s="706"/>
    </row>
    <row r="104" spans="3:31" hidden="1" x14ac:dyDescent="0.25">
      <c r="M104" s="705"/>
      <c r="N104" s="705"/>
      <c r="O104" s="705"/>
      <c r="P104" s="705"/>
      <c r="Q104" s="705"/>
      <c r="R104" s="706"/>
      <c r="S104" s="706"/>
      <c r="T104" s="706"/>
      <c r="U104" s="706"/>
      <c r="V104" s="706"/>
    </row>
    <row r="105" spans="3:31" hidden="1" x14ac:dyDescent="0.25">
      <c r="M105" s="705"/>
      <c r="N105" s="705"/>
      <c r="O105" s="705"/>
      <c r="P105" s="705"/>
      <c r="Q105" s="705"/>
      <c r="R105" s="706"/>
      <c r="S105" s="706"/>
      <c r="T105" s="706"/>
      <c r="U105" s="706"/>
      <c r="V105" s="706"/>
    </row>
    <row r="106" spans="3:31" hidden="1" x14ac:dyDescent="0.25">
      <c r="M106" s="707" t="s">
        <v>128</v>
      </c>
      <c r="N106" s="392" t="str">
        <f>$N$6</f>
        <v>ING. JEYSON JULIAN LEON RUEDA</v>
      </c>
      <c r="O106" s="393"/>
      <c r="P106" s="393"/>
      <c r="Q106" s="393"/>
      <c r="R106" s="711" t="s">
        <v>129</v>
      </c>
      <c r="S106" s="392" t="str">
        <f>$S$6</f>
        <v>ARQ. YASMID ROCÍO CARRILLO MORA</v>
      </c>
      <c r="T106" s="393"/>
      <c r="U106" s="394"/>
      <c r="V106" s="394"/>
    </row>
    <row r="107" spans="3:31" hidden="1" x14ac:dyDescent="0.25">
      <c r="M107" s="707"/>
      <c r="N107" s="395" t="str">
        <f>$N$7</f>
        <v>MP. 68202-416348 STD</v>
      </c>
      <c r="O107" s="393"/>
      <c r="P107" s="393"/>
      <c r="Q107" s="393"/>
      <c r="R107" s="711"/>
      <c r="S107" s="395" t="str">
        <f>$S$7</f>
        <v>SECRETARIA DE PLANEACIÓN Y OBRAS PÚBLICAS</v>
      </c>
      <c r="T107" s="393"/>
      <c r="U107" s="394"/>
      <c r="V107" s="394"/>
    </row>
    <row r="108" spans="3:31" hidden="1" x14ac:dyDescent="0.25">
      <c r="M108" s="707"/>
      <c r="N108" s="393"/>
      <c r="O108" s="393"/>
      <c r="P108" s="393"/>
      <c r="Q108" s="393"/>
      <c r="R108" s="711"/>
      <c r="S108" s="395" t="str">
        <f>$S$8</f>
        <v>MUNICIPIO DE PINCHOTE</v>
      </c>
      <c r="T108" s="393"/>
      <c r="U108" s="394"/>
      <c r="V108" s="394"/>
    </row>
    <row r="109" spans="3:31" hidden="1" x14ac:dyDescent="0.25"/>
    <row r="110" spans="3:31" ht="15" hidden="1" thickBot="1" x14ac:dyDescent="0.35">
      <c r="C110" s="292"/>
      <c r="D110" s="279"/>
      <c r="E110" s="279"/>
      <c r="F110" s="279"/>
      <c r="G110" s="397"/>
      <c r="H110" s="279"/>
      <c r="I110" s="279"/>
      <c r="J110" s="279"/>
      <c r="K110" s="293"/>
      <c r="M110" s="403"/>
      <c r="N110" s="772"/>
      <c r="O110" s="772"/>
      <c r="P110" s="772"/>
      <c r="Q110" s="772"/>
      <c r="R110" s="772"/>
      <c r="S110" s="772"/>
      <c r="T110" s="772"/>
      <c r="U110" s="772"/>
      <c r="V110" s="404"/>
      <c r="Y110" s="405"/>
      <c r="Z110" s="406"/>
      <c r="AA110" s="279"/>
      <c r="AB110" s="407"/>
      <c r="AC110" s="399"/>
      <c r="AD110" s="280"/>
      <c r="AE110" s="279"/>
    </row>
    <row r="111" spans="3:31" ht="15" hidden="1" thickBot="1" x14ac:dyDescent="0.35">
      <c r="M111" s="421" t="s">
        <v>90</v>
      </c>
      <c r="N111" s="422" t="s">
        <v>91</v>
      </c>
      <c r="O111" s="781" t="s">
        <v>92</v>
      </c>
      <c r="P111" s="782"/>
      <c r="Q111" s="782"/>
      <c r="R111" s="782"/>
      <c r="S111" s="782"/>
      <c r="T111" s="782"/>
      <c r="U111" s="783"/>
      <c r="V111" s="423" t="s">
        <v>93</v>
      </c>
      <c r="Y111" s="284" t="s">
        <v>107</v>
      </c>
      <c r="Z111" s="280"/>
      <c r="AA111" s="274"/>
      <c r="AB111" s="735"/>
      <c r="AC111" s="735"/>
      <c r="AD111" s="735"/>
      <c r="AE111" s="280"/>
    </row>
    <row r="112" spans="3:31" ht="15" hidden="1" thickBot="1" x14ac:dyDescent="0.35">
      <c r="C112" s="285" t="str">
        <f>+N112</f>
        <v>C4500</v>
      </c>
      <c r="D112" s="279"/>
      <c r="E112" s="279"/>
      <c r="F112" s="279"/>
      <c r="G112" s="279"/>
      <c r="H112" s="279"/>
      <c r="I112" s="279"/>
      <c r="J112" s="279"/>
      <c r="K112" s="286"/>
      <c r="M112" s="424" t="s">
        <v>94</v>
      </c>
      <c r="N112" s="425" t="s">
        <v>641</v>
      </c>
      <c r="O112" s="773" t="str">
        <f>IFERROR(VLOOKUP(N112,INSUMOS!$C$8:$K$934,2,0),"-----")</f>
        <v>CONCRETO DE 4.500 PSI</v>
      </c>
      <c r="P112" s="774"/>
      <c r="Q112" s="774"/>
      <c r="R112" s="774"/>
      <c r="S112" s="774"/>
      <c r="T112" s="774"/>
      <c r="U112" s="775"/>
      <c r="V112" s="426" t="str">
        <f>IFERROR(VLOOKUP(N112,INSUMOS!$C$8:$K$934,6,0),"-----")</f>
        <v>m3</v>
      </c>
      <c r="Y112" s="289">
        <f>SUMIFS($Y$310:$Y$1486,$M$310:$M$1486,N112)</f>
        <v>0</v>
      </c>
      <c r="Z112" s="280"/>
      <c r="AA112" s="279"/>
      <c r="AB112" s="280"/>
      <c r="AC112" s="280"/>
      <c r="AD112" s="280"/>
      <c r="AE112" s="280"/>
    </row>
    <row r="113" spans="3:31" ht="15" hidden="1" thickBot="1" x14ac:dyDescent="0.35">
      <c r="C113" s="292"/>
      <c r="D113" s="279"/>
      <c r="E113" s="279"/>
      <c r="F113" s="279"/>
      <c r="G113" s="279"/>
      <c r="H113" s="279"/>
      <c r="I113" s="279"/>
      <c r="J113" s="279"/>
      <c r="K113" s="293"/>
      <c r="M113" s="737"/>
      <c r="N113" s="737"/>
      <c r="O113" s="737"/>
      <c r="P113" s="737"/>
      <c r="Q113" s="737"/>
      <c r="R113" s="737"/>
      <c r="S113" s="737"/>
      <c r="T113" s="737"/>
      <c r="U113" s="737"/>
      <c r="V113" s="737"/>
      <c r="Y113" s="294"/>
      <c r="Z113" s="280"/>
      <c r="AA113" s="279"/>
      <c r="AB113" s="280"/>
      <c r="AC113" s="280"/>
      <c r="AD113" s="280"/>
      <c r="AE113" s="280"/>
    </row>
    <row r="114" spans="3:31" ht="15" hidden="1" thickBot="1" x14ac:dyDescent="0.35">
      <c r="C114" s="292"/>
      <c r="D114" s="295" t="s">
        <v>132</v>
      </c>
      <c r="E114" s="296" t="s">
        <v>133</v>
      </c>
      <c r="F114" s="296" t="s">
        <v>134</v>
      </c>
      <c r="G114" s="296" t="s">
        <v>135</v>
      </c>
      <c r="H114" s="296" t="s">
        <v>136</v>
      </c>
      <c r="I114" s="296" t="s">
        <v>137</v>
      </c>
      <c r="J114" s="297" t="s">
        <v>138</v>
      </c>
      <c r="K114" s="293"/>
      <c r="M114" s="738" t="s">
        <v>96</v>
      </c>
      <c r="N114" s="738"/>
      <c r="O114" s="738"/>
      <c r="P114" s="738"/>
      <c r="Q114" s="738"/>
      <c r="R114" s="738"/>
      <c r="S114" s="738"/>
      <c r="T114" s="738"/>
      <c r="U114" s="738"/>
      <c r="V114" s="738"/>
      <c r="Y114" s="298"/>
      <c r="Z114" s="299"/>
      <c r="AA114" s="279"/>
      <c r="AB114" s="731"/>
      <c r="AC114" s="732"/>
      <c r="AD114" s="280"/>
      <c r="AE114" s="303"/>
    </row>
    <row r="115" spans="3:31" ht="14.4" hidden="1" x14ac:dyDescent="0.3">
      <c r="C115" s="292"/>
      <c r="D115" s="304"/>
      <c r="E115" s="305"/>
      <c r="F115" s="305"/>
      <c r="G115" s="305"/>
      <c r="H115" s="305"/>
      <c r="I115" s="305"/>
      <c r="J115" s="306"/>
      <c r="K115" s="293"/>
      <c r="M115" s="307" t="s">
        <v>97</v>
      </c>
      <c r="N115" s="706" t="s">
        <v>98</v>
      </c>
      <c r="O115" s="706"/>
      <c r="P115" s="706"/>
      <c r="Q115" s="706"/>
      <c r="R115" s="307" t="s">
        <v>99</v>
      </c>
      <c r="S115" s="307" t="s">
        <v>100</v>
      </c>
      <c r="T115" s="734" t="s">
        <v>8</v>
      </c>
      <c r="U115" s="734"/>
      <c r="V115" s="307" t="s">
        <v>101</v>
      </c>
      <c r="Y115" s="308" t="s">
        <v>107</v>
      </c>
      <c r="Z115" s="309" t="s">
        <v>9</v>
      </c>
      <c r="AA115" s="279"/>
      <c r="AB115" s="290"/>
      <c r="AC115" s="291"/>
      <c r="AD115" s="280"/>
      <c r="AE115" s="310"/>
    </row>
    <row r="116" spans="3:31" ht="14.4" hidden="1" x14ac:dyDescent="0.3">
      <c r="C116" s="292"/>
      <c r="D116" s="311"/>
      <c r="E116" s="279"/>
      <c r="F116" s="279"/>
      <c r="G116" s="279"/>
      <c r="H116" s="279"/>
      <c r="I116" s="279"/>
      <c r="J116" s="312"/>
      <c r="K116" s="293"/>
      <c r="M116" s="313"/>
      <c r="N116" s="718" t="s">
        <v>102</v>
      </c>
      <c r="O116" s="718"/>
      <c r="P116" s="718"/>
      <c r="Q116" s="718"/>
      <c r="R116" s="314" t="s">
        <v>103</v>
      </c>
      <c r="S116" s="315">
        <f>$AA$9</f>
        <v>0.05</v>
      </c>
      <c r="T116" s="766">
        <f>V149</f>
        <v>154078</v>
      </c>
      <c r="U116" s="766"/>
      <c r="V116" s="316">
        <f>+IFERROR(T116*S116,0)</f>
        <v>7703.9000000000005</v>
      </c>
      <c r="Y116" s="317"/>
      <c r="Z116" s="318">
        <f>Y112*V116</f>
        <v>0</v>
      </c>
      <c r="AA116" s="279"/>
      <c r="AB116" s="290"/>
      <c r="AC116" s="291"/>
      <c r="AD116" s="280"/>
      <c r="AE116" s="310" t="str">
        <f>+IF(V116=0,"CERO","NO")</f>
        <v>NO</v>
      </c>
    </row>
    <row r="117" spans="3:31" ht="14.4" hidden="1" x14ac:dyDescent="0.3">
      <c r="C117" s="292"/>
      <c r="D117" s="311"/>
      <c r="E117" s="279"/>
      <c r="F117" s="279"/>
      <c r="G117" s="279"/>
      <c r="H117" s="279"/>
      <c r="I117" s="279"/>
      <c r="J117" s="312"/>
      <c r="K117" s="293"/>
      <c r="M117" s="319">
        <v>8</v>
      </c>
      <c r="N117" s="718" t="str">
        <f>IFERROR(VLOOKUP(M117,INSUMOS!$C$8:$K$934,2,0),"-----")</f>
        <v>Mezcladora de concreto</v>
      </c>
      <c r="O117" s="718"/>
      <c r="P117" s="718"/>
      <c r="Q117" s="718"/>
      <c r="R117" s="314" t="str">
        <f>IFERROR(VLOOKUP(M117,INSUMOS!$C$8:$K$934,6,0),"-----")</f>
        <v>dia</v>
      </c>
      <c r="S117" s="320">
        <v>0.1</v>
      </c>
      <c r="T117" s="767">
        <f>IFERROR(VLOOKUP(M117,INSUMOS!$C$8:$K$934,7,0),"0")</f>
        <v>70000</v>
      </c>
      <c r="U117" s="767"/>
      <c r="V117" s="316">
        <f>+IFERROR(T117*S117,0)</f>
        <v>7000</v>
      </c>
      <c r="Y117" s="321">
        <f>+IFERROR(Y112*S117,0)</f>
        <v>0</v>
      </c>
      <c r="Z117" s="318">
        <f>Y112*V117</f>
        <v>0</v>
      </c>
      <c r="AA117" s="300"/>
      <c r="AB117" s="301">
        <f>+Y117*T117</f>
        <v>0</v>
      </c>
      <c r="AC117" s="302">
        <f>+AB117-Z117</f>
        <v>0</v>
      </c>
      <c r="AD117" s="280"/>
      <c r="AE117" s="310" t="str">
        <f>+IF(V117=0,"CERO","NO")</f>
        <v>NO</v>
      </c>
    </row>
    <row r="118" spans="3:31" ht="14.4" hidden="1" x14ac:dyDescent="0.3">
      <c r="C118" s="292"/>
      <c r="D118" s="311"/>
      <c r="E118" s="279"/>
      <c r="F118" s="279"/>
      <c r="G118" s="279"/>
      <c r="H118" s="279"/>
      <c r="I118" s="279"/>
      <c r="J118" s="312"/>
      <c r="K118" s="293"/>
      <c r="M118" s="313">
        <v>0</v>
      </c>
      <c r="N118" s="718"/>
      <c r="O118" s="718"/>
      <c r="P118" s="718"/>
      <c r="Q118" s="718"/>
      <c r="R118" s="314"/>
      <c r="S118" s="322"/>
      <c r="T118" s="767"/>
      <c r="U118" s="767"/>
      <c r="V118" s="323"/>
      <c r="Y118" s="321">
        <f>+IFERROR(Y112*S118,0)</f>
        <v>0</v>
      </c>
      <c r="Z118" s="318">
        <f>Y112*V118</f>
        <v>0</v>
      </c>
      <c r="AA118" s="300"/>
      <c r="AB118" s="301">
        <f>+Y118*T118</f>
        <v>0</v>
      </c>
      <c r="AC118" s="302">
        <f>+AB118-Z118</f>
        <v>0</v>
      </c>
      <c r="AD118" s="280"/>
      <c r="AE118" s="310" t="str">
        <f>+IF(V118=0,"CERO","NO")</f>
        <v>CERO</v>
      </c>
    </row>
    <row r="119" spans="3:31" ht="14.4" hidden="1" x14ac:dyDescent="0.3">
      <c r="C119" s="292"/>
      <c r="D119" s="311"/>
      <c r="E119" s="279"/>
      <c r="F119" s="279"/>
      <c r="G119" s="279"/>
      <c r="H119" s="279"/>
      <c r="I119" s="279"/>
      <c r="J119" s="312"/>
      <c r="K119" s="293"/>
      <c r="M119" s="313">
        <v>0</v>
      </c>
      <c r="N119" s="718"/>
      <c r="O119" s="718"/>
      <c r="P119" s="718"/>
      <c r="Q119" s="718"/>
      <c r="R119" s="314"/>
      <c r="S119" s="322"/>
      <c r="T119" s="767"/>
      <c r="U119" s="767"/>
      <c r="V119" s="323"/>
      <c r="Y119" s="321">
        <f>+IFERROR(Y112*S119,0)</f>
        <v>0</v>
      </c>
      <c r="Z119" s="318">
        <f>Y112*V119</f>
        <v>0</v>
      </c>
      <c r="AA119" s="300"/>
      <c r="AB119" s="301">
        <f>+Y119*T119</f>
        <v>0</v>
      </c>
      <c r="AC119" s="302">
        <f>+AB119-Z119</f>
        <v>0</v>
      </c>
      <c r="AD119" s="280"/>
      <c r="AE119" s="310" t="str">
        <f>+IF(V119=0,"CERO","NO")</f>
        <v>CERO</v>
      </c>
    </row>
    <row r="120" spans="3:31" ht="15" hidden="1" thickBot="1" x14ac:dyDescent="0.35">
      <c r="C120" s="292"/>
      <c r="D120" s="311"/>
      <c r="E120" s="279"/>
      <c r="F120" s="279"/>
      <c r="G120" s="279"/>
      <c r="H120" s="279"/>
      <c r="I120" s="279"/>
      <c r="J120" s="312"/>
      <c r="K120" s="293"/>
      <c r="M120" s="313">
        <v>0</v>
      </c>
      <c r="N120" s="727"/>
      <c r="O120" s="727"/>
      <c r="P120" s="727"/>
      <c r="Q120" s="727"/>
      <c r="R120" s="326"/>
      <c r="S120" s="326"/>
      <c r="T120" s="768"/>
      <c r="U120" s="768"/>
      <c r="V120" s="327"/>
      <c r="Y120" s="321">
        <f>+IFERROR(Y112*S120,0)</f>
        <v>0</v>
      </c>
      <c r="Z120" s="318">
        <f>Y112*V120</f>
        <v>0</v>
      </c>
      <c r="AA120" s="300"/>
      <c r="AB120" s="301">
        <f>+Y120*T120</f>
        <v>0</v>
      </c>
      <c r="AC120" s="302">
        <f>+AB120-Z120</f>
        <v>0</v>
      </c>
      <c r="AD120" s="280"/>
      <c r="AE120" s="310" t="str">
        <f>+IF(V120=0,"CERO","NO")</f>
        <v>CERO</v>
      </c>
    </row>
    <row r="121" spans="3:31" ht="15" hidden="1" thickBot="1" x14ac:dyDescent="0.35">
      <c r="C121" s="292"/>
      <c r="D121" s="295" t="s">
        <v>132</v>
      </c>
      <c r="E121" s="296" t="s">
        <v>133</v>
      </c>
      <c r="F121" s="296" t="s">
        <v>134</v>
      </c>
      <c r="G121" s="296" t="s">
        <v>135</v>
      </c>
      <c r="H121" s="296" t="s">
        <v>136</v>
      </c>
      <c r="I121" s="296" t="s">
        <v>137</v>
      </c>
      <c r="J121" s="297" t="s">
        <v>138</v>
      </c>
      <c r="K121" s="293"/>
      <c r="M121" s="724"/>
      <c r="N121" s="725" t="s">
        <v>104</v>
      </c>
      <c r="O121" s="725"/>
      <c r="P121" s="725"/>
      <c r="Q121" s="725"/>
      <c r="R121" s="725"/>
      <c r="S121" s="725"/>
      <c r="T121" s="725"/>
      <c r="U121" s="725"/>
      <c r="V121" s="316">
        <f>+SUM(V116:V120)</f>
        <v>14703.900000000001</v>
      </c>
      <c r="Y121" s="328" t="s">
        <v>139</v>
      </c>
      <c r="Z121" s="329">
        <f>+SUM(Z116:Z120)</f>
        <v>0</v>
      </c>
      <c r="AA121" s="279"/>
      <c r="AB121" s="290"/>
      <c r="AC121" s="291"/>
      <c r="AD121" s="280"/>
      <c r="AE121" s="330"/>
    </row>
    <row r="122" spans="3:31" ht="15" hidden="1" thickBot="1" x14ac:dyDescent="0.35">
      <c r="C122" s="292"/>
      <c r="D122" s="295" t="str">
        <f>C112</f>
        <v>C4500</v>
      </c>
      <c r="E122" s="296"/>
      <c r="F122" s="296"/>
      <c r="G122" s="296"/>
      <c r="H122" s="296"/>
      <c r="I122" s="296"/>
      <c r="J122" s="297"/>
      <c r="K122" s="293"/>
      <c r="M122" s="724"/>
      <c r="N122" s="726" t="s">
        <v>105</v>
      </c>
      <c r="O122" s="726"/>
      <c r="P122" s="726"/>
      <c r="Q122" s="726"/>
      <c r="R122" s="726"/>
      <c r="S122" s="726"/>
      <c r="T122" s="726"/>
      <c r="U122" s="726"/>
      <c r="V122" s="344">
        <f>+ROUND(V121,$AA$2)</f>
        <v>14704</v>
      </c>
      <c r="Y122" s="332" t="s">
        <v>140</v>
      </c>
      <c r="Z122" s="333">
        <f>+ROUND(Z121,$AA$2)</f>
        <v>0</v>
      </c>
      <c r="AA122" s="279"/>
      <c r="AB122" s="324">
        <f>+V122*Y112</f>
        <v>0</v>
      </c>
      <c r="AC122" s="325">
        <f>+AB122-Z122</f>
        <v>0</v>
      </c>
      <c r="AD122" s="280"/>
      <c r="AE122" s="334"/>
    </row>
    <row r="123" spans="3:31" ht="14.4" hidden="1" x14ac:dyDescent="0.3">
      <c r="C123" s="292"/>
      <c r="D123" s="304"/>
      <c r="E123" s="305"/>
      <c r="F123" s="305"/>
      <c r="G123" s="305"/>
      <c r="H123" s="305"/>
      <c r="I123" s="305"/>
      <c r="J123" s="306"/>
      <c r="K123" s="293"/>
      <c r="M123" s="730" t="s">
        <v>106</v>
      </c>
      <c r="N123" s="730"/>
      <c r="O123" s="730"/>
      <c r="P123" s="730"/>
      <c r="Q123" s="730"/>
      <c r="R123" s="730"/>
      <c r="S123" s="730"/>
      <c r="T123" s="730"/>
      <c r="U123" s="730"/>
      <c r="V123" s="730"/>
      <c r="Y123" s="298"/>
      <c r="Z123" s="299"/>
      <c r="AA123" s="279"/>
      <c r="AB123" s="731"/>
      <c r="AC123" s="732"/>
      <c r="AD123" s="280"/>
      <c r="AE123" s="335"/>
    </row>
    <row r="124" spans="3:31" ht="27" hidden="1" customHeight="1" x14ac:dyDescent="0.3">
      <c r="C124" s="292"/>
      <c r="D124" s="311"/>
      <c r="E124" s="279"/>
      <c r="F124" s="279"/>
      <c r="G124" s="279"/>
      <c r="H124" s="279"/>
      <c r="I124" s="279"/>
      <c r="J124" s="312"/>
      <c r="K124" s="293"/>
      <c r="M124" s="307" t="s">
        <v>97</v>
      </c>
      <c r="N124" s="706" t="s">
        <v>98</v>
      </c>
      <c r="O124" s="706"/>
      <c r="P124" s="706"/>
      <c r="Q124" s="706"/>
      <c r="R124" s="307" t="s">
        <v>99</v>
      </c>
      <c r="S124" s="307" t="s">
        <v>107</v>
      </c>
      <c r="T124" s="336" t="s">
        <v>108</v>
      </c>
      <c r="U124" s="336" t="s">
        <v>8</v>
      </c>
      <c r="V124" s="307" t="s">
        <v>101</v>
      </c>
      <c r="Y124" s="308" t="s">
        <v>107</v>
      </c>
      <c r="Z124" s="309" t="s">
        <v>9</v>
      </c>
      <c r="AA124" s="279"/>
      <c r="AB124" s="290"/>
      <c r="AC124" s="291"/>
      <c r="AD124" s="280"/>
      <c r="AE124" s="337"/>
    </row>
    <row r="125" spans="3:31" ht="14.4" hidden="1" x14ac:dyDescent="0.3">
      <c r="C125" s="292"/>
      <c r="D125" s="311"/>
      <c r="E125" s="279"/>
      <c r="F125" s="279"/>
      <c r="G125" s="279"/>
      <c r="H125" s="279"/>
      <c r="I125" s="279"/>
      <c r="J125" s="312"/>
      <c r="K125" s="293"/>
      <c r="M125" s="313">
        <v>400</v>
      </c>
      <c r="N125" s="718" t="str">
        <f>IFERROR(VLOOKUP(M125,INSUMOS!$C$8:$K$934,2,0),"-----")</f>
        <v>Cemento gris</v>
      </c>
      <c r="O125" s="718"/>
      <c r="P125" s="718"/>
      <c r="Q125" s="718"/>
      <c r="R125" s="314" t="str">
        <f>IFERROR(VLOOKUP(M125,INSUMOS!$C$8:$K$934,6,0),"-----")</f>
        <v>kg</v>
      </c>
      <c r="S125" s="322">
        <v>460</v>
      </c>
      <c r="T125" s="315">
        <v>0.05</v>
      </c>
      <c r="U125" s="338">
        <f>IFERROR(VLOOKUP(M125,INSUMOS!$C$8:$K$934,7,0),"0")</f>
        <v>776.48</v>
      </c>
      <c r="V125" s="316">
        <f>+IFERROR(U125*(S125*(1+T125)),0)</f>
        <v>375039.84</v>
      </c>
      <c r="Y125" s="321">
        <f>+IFERROR(Y112*(S125*(1+T125)),0)</f>
        <v>0</v>
      </c>
      <c r="Z125" s="318">
        <f>Y112*V125</f>
        <v>0</v>
      </c>
      <c r="AA125" s="300"/>
      <c r="AB125" s="301">
        <f>+Y125*U125</f>
        <v>0</v>
      </c>
      <c r="AC125" s="302">
        <f>+AB125-Z125</f>
        <v>0</v>
      </c>
      <c r="AD125" s="280"/>
      <c r="AE125" s="337" t="str">
        <f t="shared" ref="AE125:AE131" si="14">+IF(V125=0,"CERO","NO")</f>
        <v>NO</v>
      </c>
    </row>
    <row r="126" spans="3:31" ht="14.4" hidden="1" x14ac:dyDescent="0.3">
      <c r="C126" s="292"/>
      <c r="D126" s="311"/>
      <c r="E126" s="279"/>
      <c r="F126" s="279"/>
      <c r="G126" s="279"/>
      <c r="H126" s="279"/>
      <c r="I126" s="279"/>
      <c r="J126" s="312"/>
      <c r="K126" s="293"/>
      <c r="M126" s="313">
        <v>401</v>
      </c>
      <c r="N126" s="718" t="str">
        <f>IFERROR(VLOOKUP(M126,INSUMOS!$C$8:$K$934,2,0),"-----")</f>
        <v>Agua</v>
      </c>
      <c r="O126" s="718"/>
      <c r="P126" s="718"/>
      <c r="Q126" s="718"/>
      <c r="R126" s="314" t="str">
        <f>IFERROR(VLOOKUP(M126,INSUMOS!$C$8:$K$934,6,0),"-----")</f>
        <v>lt</v>
      </c>
      <c r="S126" s="322">
        <v>210</v>
      </c>
      <c r="T126" s="315">
        <v>0.05</v>
      </c>
      <c r="U126" s="338">
        <f>IFERROR(VLOOKUP(M126,INSUMOS!$C$8:$K$934,7,0),"0")</f>
        <v>5</v>
      </c>
      <c r="V126" s="316">
        <f>+IFERROR(U126*(S126*(1+T126)),0)</f>
        <v>1102.5</v>
      </c>
      <c r="Y126" s="321">
        <f>+IFERROR(Y112*(S126*(1+T126)),0)</f>
        <v>0</v>
      </c>
      <c r="Z126" s="318">
        <f>Y112*V126</f>
        <v>0</v>
      </c>
      <c r="AA126" s="300"/>
      <c r="AB126" s="301">
        <f t="shared" ref="AB126:AB131" si="15">+Y126*U126</f>
        <v>0</v>
      </c>
      <c r="AC126" s="302">
        <f t="shared" ref="AC126:AC131" si="16">+AB126-Z126</f>
        <v>0</v>
      </c>
      <c r="AD126" s="280"/>
      <c r="AE126" s="337" t="str">
        <f t="shared" si="14"/>
        <v>NO</v>
      </c>
    </row>
    <row r="127" spans="3:31" ht="14.4" hidden="1" x14ac:dyDescent="0.3">
      <c r="C127" s="292"/>
      <c r="D127" s="311"/>
      <c r="E127" s="279"/>
      <c r="F127" s="279"/>
      <c r="G127" s="279"/>
      <c r="H127" s="279"/>
      <c r="I127" s="279"/>
      <c r="J127" s="312"/>
      <c r="K127" s="293"/>
      <c r="M127" s="313">
        <v>405</v>
      </c>
      <c r="N127" s="718" t="str">
        <f>IFERROR(VLOOKUP(M127,INSUMOS!$C$8:$K$934,2,0),"-----")</f>
        <v>Arena gruesa</v>
      </c>
      <c r="O127" s="718"/>
      <c r="P127" s="718"/>
      <c r="Q127" s="718"/>
      <c r="R127" s="314" t="str">
        <f>IFERROR(VLOOKUP(M127,INSUMOS!$C$8:$K$934,6,0),"-----")</f>
        <v>m3</v>
      </c>
      <c r="S127" s="322">
        <v>0.72</v>
      </c>
      <c r="T127" s="315">
        <v>0.05</v>
      </c>
      <c r="U127" s="338">
        <f>IFERROR(VLOOKUP(M127,INSUMOS!$C$8:$K$934,7,0),"0")</f>
        <v>117647</v>
      </c>
      <c r="V127" s="316">
        <f>+IFERROR(U127*(S127*(1+T127)),0)</f>
        <v>88941.131999999998</v>
      </c>
      <c r="Y127" s="321">
        <f>+IFERROR(Y112*(S127*(1+T127)),0)</f>
        <v>0</v>
      </c>
      <c r="Z127" s="318">
        <f>Y112*V127</f>
        <v>0</v>
      </c>
      <c r="AA127" s="300"/>
      <c r="AB127" s="301">
        <f t="shared" si="15"/>
        <v>0</v>
      </c>
      <c r="AC127" s="302">
        <f t="shared" si="16"/>
        <v>0</v>
      </c>
      <c r="AD127" s="280"/>
      <c r="AE127" s="337" t="str">
        <f t="shared" si="14"/>
        <v>NO</v>
      </c>
    </row>
    <row r="128" spans="3:31" ht="14.4" hidden="1" x14ac:dyDescent="0.3">
      <c r="C128" s="292"/>
      <c r="D128" s="311"/>
      <c r="E128" s="279"/>
      <c r="F128" s="279"/>
      <c r="G128" s="279"/>
      <c r="H128" s="279"/>
      <c r="I128" s="279"/>
      <c r="J128" s="312"/>
      <c r="K128" s="293"/>
      <c r="M128" s="313">
        <v>411</v>
      </c>
      <c r="N128" s="718" t="str">
        <f>IFERROR(VLOOKUP(M128,INSUMOS!$C$8:$K$934,2,0),"-----")</f>
        <v>Triturado de 3/4"</v>
      </c>
      <c r="O128" s="718"/>
      <c r="P128" s="718"/>
      <c r="Q128" s="718"/>
      <c r="R128" s="314" t="str">
        <f>IFERROR(VLOOKUP(M128,INSUMOS!$C$8:$K$934,6,0),"-----")</f>
        <v>m3</v>
      </c>
      <c r="S128" s="322">
        <v>0.57999999999999996</v>
      </c>
      <c r="T128" s="315">
        <v>0.05</v>
      </c>
      <c r="U128" s="338">
        <f>IFERROR(VLOOKUP(M128,INSUMOS!$C$8:$K$934,7,0),"0")</f>
        <v>128500</v>
      </c>
      <c r="V128" s="316">
        <f>+IFERROR(U128*(S128*(1+T128)),0)</f>
        <v>78256.5</v>
      </c>
      <c r="Y128" s="321">
        <f>+IFERROR(Y112*(S128*(1+T128)),0)</f>
        <v>0</v>
      </c>
      <c r="Z128" s="318">
        <f>Y112*V128</f>
        <v>0</v>
      </c>
      <c r="AA128" s="300"/>
      <c r="AB128" s="301">
        <f t="shared" si="15"/>
        <v>0</v>
      </c>
      <c r="AC128" s="302">
        <f t="shared" si="16"/>
        <v>0</v>
      </c>
      <c r="AD128" s="280"/>
      <c r="AE128" s="337" t="str">
        <f t="shared" si="14"/>
        <v>NO</v>
      </c>
    </row>
    <row r="129" spans="3:31" ht="14.4" hidden="1" x14ac:dyDescent="0.3">
      <c r="C129" s="292"/>
      <c r="D129" s="311"/>
      <c r="E129" s="279"/>
      <c r="F129" s="279"/>
      <c r="G129" s="279"/>
      <c r="H129" s="279"/>
      <c r="I129" s="279"/>
      <c r="J129" s="312"/>
      <c r="K129" s="293"/>
      <c r="M129" s="313">
        <v>0</v>
      </c>
      <c r="N129" s="718"/>
      <c r="O129" s="718"/>
      <c r="P129" s="718"/>
      <c r="Q129" s="718"/>
      <c r="R129" s="314"/>
      <c r="S129" s="322"/>
      <c r="T129" s="315"/>
      <c r="U129" s="338"/>
      <c r="V129" s="323"/>
      <c r="Y129" s="321">
        <f>+IFERROR(Y112*(S129*(1+T129)),0)</f>
        <v>0</v>
      </c>
      <c r="Z129" s="318">
        <f>Y112*V129</f>
        <v>0</v>
      </c>
      <c r="AA129" s="300"/>
      <c r="AB129" s="301">
        <f t="shared" si="15"/>
        <v>0</v>
      </c>
      <c r="AC129" s="302">
        <f t="shared" si="16"/>
        <v>0</v>
      </c>
      <c r="AD129" s="280"/>
      <c r="AE129" s="337" t="str">
        <f t="shared" si="14"/>
        <v>CERO</v>
      </c>
    </row>
    <row r="130" spans="3:31" ht="14.4" hidden="1" x14ac:dyDescent="0.3">
      <c r="C130" s="292"/>
      <c r="D130" s="311"/>
      <c r="E130" s="279"/>
      <c r="F130" s="279"/>
      <c r="G130" s="279"/>
      <c r="H130" s="279"/>
      <c r="I130" s="279"/>
      <c r="J130" s="312"/>
      <c r="K130" s="293"/>
      <c r="M130" s="313">
        <v>0</v>
      </c>
      <c r="N130" s="718"/>
      <c r="O130" s="718"/>
      <c r="P130" s="718"/>
      <c r="Q130" s="718"/>
      <c r="R130" s="314"/>
      <c r="S130" s="322"/>
      <c r="T130" s="315"/>
      <c r="U130" s="338"/>
      <c r="V130" s="323"/>
      <c r="Y130" s="321">
        <f>+IFERROR(Y112*(S130*(1+T130)),0)</f>
        <v>0</v>
      </c>
      <c r="Z130" s="318">
        <f>Y112*V130</f>
        <v>0</v>
      </c>
      <c r="AA130" s="300"/>
      <c r="AB130" s="301">
        <f t="shared" si="15"/>
        <v>0</v>
      </c>
      <c r="AC130" s="302">
        <f t="shared" si="16"/>
        <v>0</v>
      </c>
      <c r="AD130" s="280"/>
      <c r="AE130" s="337" t="str">
        <f t="shared" si="14"/>
        <v>CERO</v>
      </c>
    </row>
    <row r="131" spans="3:31" ht="15" hidden="1" thickBot="1" x14ac:dyDescent="0.35">
      <c r="C131" s="292"/>
      <c r="D131" s="311"/>
      <c r="E131" s="279"/>
      <c r="F131" s="279"/>
      <c r="G131" s="279"/>
      <c r="H131" s="279"/>
      <c r="I131" s="279"/>
      <c r="J131" s="312"/>
      <c r="K131" s="293"/>
      <c r="M131" s="313">
        <v>0</v>
      </c>
      <c r="N131" s="727"/>
      <c r="O131" s="727"/>
      <c r="P131" s="727"/>
      <c r="Q131" s="727"/>
      <c r="R131" s="326"/>
      <c r="S131" s="339"/>
      <c r="T131" s="340"/>
      <c r="U131" s="341"/>
      <c r="V131" s="323"/>
      <c r="Y131" s="321">
        <f>+IFERROR(Y112*(S131*(1+T131)),0)</f>
        <v>0</v>
      </c>
      <c r="Z131" s="318">
        <f>Y112*V131</f>
        <v>0</v>
      </c>
      <c r="AA131" s="300"/>
      <c r="AB131" s="301">
        <f t="shared" si="15"/>
        <v>0</v>
      </c>
      <c r="AC131" s="302">
        <f t="shared" si="16"/>
        <v>0</v>
      </c>
      <c r="AD131" s="280"/>
      <c r="AE131" s="337" t="str">
        <f t="shared" si="14"/>
        <v>CERO</v>
      </c>
    </row>
    <row r="132" spans="3:31" ht="15" hidden="1" thickBot="1" x14ac:dyDescent="0.35">
      <c r="C132" s="292"/>
      <c r="D132" s="295" t="s">
        <v>132</v>
      </c>
      <c r="E132" s="296" t="s">
        <v>133</v>
      </c>
      <c r="F132" s="296" t="s">
        <v>134</v>
      </c>
      <c r="G132" s="296" t="s">
        <v>135</v>
      </c>
      <c r="H132" s="296" t="s">
        <v>136</v>
      </c>
      <c r="I132" s="296" t="s">
        <v>137</v>
      </c>
      <c r="J132" s="297" t="s">
        <v>138</v>
      </c>
      <c r="K132" s="293"/>
      <c r="M132" s="724"/>
      <c r="N132" s="725" t="s">
        <v>109</v>
      </c>
      <c r="O132" s="725"/>
      <c r="P132" s="725"/>
      <c r="Q132" s="725"/>
      <c r="R132" s="725"/>
      <c r="S132" s="725"/>
      <c r="T132" s="725"/>
      <c r="U132" s="725"/>
      <c r="V132" s="316">
        <f>+SUM(V125:V131)</f>
        <v>543339.97200000007</v>
      </c>
      <c r="Y132" s="328" t="s">
        <v>139</v>
      </c>
      <c r="Z132" s="329">
        <f>+SUM(Z125:Z131)</f>
        <v>0</v>
      </c>
      <c r="AA132" s="279"/>
      <c r="AB132" s="290"/>
      <c r="AC132" s="291"/>
      <c r="AD132" s="280"/>
      <c r="AE132" s="330"/>
    </row>
    <row r="133" spans="3:31" ht="15" hidden="1" thickBot="1" x14ac:dyDescent="0.35">
      <c r="C133" s="292"/>
      <c r="D133" s="295"/>
      <c r="E133" s="343" t="str">
        <f>+D122</f>
        <v>C4500</v>
      </c>
      <c r="F133" s="296"/>
      <c r="G133" s="296"/>
      <c r="H133" s="296"/>
      <c r="I133" s="296"/>
      <c r="J133" s="297"/>
      <c r="K133" s="293"/>
      <c r="M133" s="724"/>
      <c r="N133" s="726" t="s">
        <v>110</v>
      </c>
      <c r="O133" s="726"/>
      <c r="P133" s="726"/>
      <c r="Q133" s="726"/>
      <c r="R133" s="726"/>
      <c r="S133" s="726"/>
      <c r="T133" s="726"/>
      <c r="U133" s="726"/>
      <c r="V133" s="344">
        <f>+ROUND(V132,$AA$2)</f>
        <v>543340</v>
      </c>
      <c r="Y133" s="332" t="s">
        <v>140</v>
      </c>
      <c r="Z133" s="333">
        <f>+ROUND(Z132,$AA$2)</f>
        <v>0</v>
      </c>
      <c r="AA133" s="279"/>
      <c r="AB133" s="324">
        <f>+V133*Y112</f>
        <v>0</v>
      </c>
      <c r="AC133" s="325">
        <f>+AB133-Z133</f>
        <v>0</v>
      </c>
      <c r="AD133" s="280"/>
      <c r="AE133" s="334"/>
    </row>
    <row r="134" spans="3:31" ht="14.4" hidden="1" x14ac:dyDescent="0.3">
      <c r="C134" s="292"/>
      <c r="D134" s="304"/>
      <c r="E134" s="305"/>
      <c r="F134" s="305"/>
      <c r="G134" s="305"/>
      <c r="H134" s="305"/>
      <c r="I134" s="305"/>
      <c r="J134" s="306"/>
      <c r="K134" s="293"/>
      <c r="M134" s="733" t="s">
        <v>111</v>
      </c>
      <c r="N134" s="733"/>
      <c r="O134" s="733"/>
      <c r="P134" s="733"/>
      <c r="Q134" s="733"/>
      <c r="R134" s="733"/>
      <c r="S134" s="733"/>
      <c r="T134" s="733"/>
      <c r="U134" s="733"/>
      <c r="V134" s="733"/>
      <c r="Y134" s="298"/>
      <c r="Z134" s="299"/>
      <c r="AA134" s="279"/>
      <c r="AB134" s="342"/>
      <c r="AC134" s="299"/>
      <c r="AD134" s="280"/>
      <c r="AE134" s="335"/>
    </row>
    <row r="135" spans="3:31" ht="27.6" hidden="1" x14ac:dyDescent="0.3">
      <c r="C135" s="292"/>
      <c r="D135" s="311"/>
      <c r="E135" s="279"/>
      <c r="F135" s="279"/>
      <c r="G135" s="279"/>
      <c r="H135" s="279"/>
      <c r="I135" s="279"/>
      <c r="J135" s="312"/>
      <c r="K135" s="293"/>
      <c r="M135" s="307" t="s">
        <v>97</v>
      </c>
      <c r="N135" s="706" t="s">
        <v>98</v>
      </c>
      <c r="O135" s="706"/>
      <c r="P135" s="706"/>
      <c r="Q135" s="307" t="s">
        <v>112</v>
      </c>
      <c r="R135" s="307" t="s">
        <v>113</v>
      </c>
      <c r="S135" s="307" t="s">
        <v>114</v>
      </c>
      <c r="T135" s="734" t="s">
        <v>115</v>
      </c>
      <c r="U135" s="734"/>
      <c r="V135" s="307" t="s">
        <v>101</v>
      </c>
      <c r="Y135" s="308" t="s">
        <v>107</v>
      </c>
      <c r="Z135" s="309" t="s">
        <v>9</v>
      </c>
      <c r="AA135" s="279"/>
      <c r="AB135" s="290"/>
      <c r="AC135" s="291"/>
      <c r="AD135" s="280"/>
      <c r="AE135" s="349"/>
    </row>
    <row r="136" spans="3:31" ht="14.4" hidden="1" x14ac:dyDescent="0.3">
      <c r="C136" s="350"/>
      <c r="D136" s="351"/>
      <c r="E136" s="345"/>
      <c r="F136" s="345"/>
      <c r="G136" s="345"/>
      <c r="H136" s="345"/>
      <c r="I136" s="345"/>
      <c r="J136" s="352"/>
      <c r="K136" s="353"/>
      <c r="M136" s="354">
        <v>120</v>
      </c>
      <c r="N136" s="718" t="str">
        <f>IFERROR(VLOOKUP(M136,INSUMOS!$C$8:$K$934,2,0),"-----")</f>
        <v>Transporte Cemento - San Gil</v>
      </c>
      <c r="O136" s="718"/>
      <c r="P136" s="718"/>
      <c r="Q136" s="314" t="str">
        <f>IFERROR(VLOOKUP(M136,INSUMOS!$C$8:$K$934,5,0),"-----")</f>
        <v>kg/km</v>
      </c>
      <c r="R136" s="355">
        <f>S125*(1+T125)</f>
        <v>483</v>
      </c>
      <c r="S136" s="355">
        <f>IFERROR(VLOOKUP(M136,INSUMOS!$C$8:$K$934,6,0),"0")</f>
        <v>4.87</v>
      </c>
      <c r="T136" s="719">
        <f>IFERROR(VLOOKUP(M136,INSUMOS!$C$8:$K$934,7,0),"0")</f>
        <v>10</v>
      </c>
      <c r="U136" s="719"/>
      <c r="V136" s="515">
        <f>+T136*S136*R136</f>
        <v>23522.100000000002</v>
      </c>
      <c r="Y136" s="321">
        <f>+IFERROR((R136*S136)*Y112,0)</f>
        <v>0</v>
      </c>
      <c r="Z136" s="318">
        <f>Y112*V136</f>
        <v>0</v>
      </c>
      <c r="AA136" s="345"/>
      <c r="AB136" s="346">
        <f>+Y136*T136</f>
        <v>0</v>
      </c>
      <c r="AC136" s="347">
        <f>+AB136-Z136</f>
        <v>0</v>
      </c>
      <c r="AD136" s="348"/>
      <c r="AE136" s="337" t="str">
        <f t="shared" ref="AE136:AE140" si="17">+IF(V136=0,"CERO","NO")</f>
        <v>NO</v>
      </c>
    </row>
    <row r="137" spans="3:31" ht="14.4" hidden="1" x14ac:dyDescent="0.3">
      <c r="C137" s="350"/>
      <c r="D137" s="351"/>
      <c r="E137" s="345"/>
      <c r="F137" s="345"/>
      <c r="G137" s="345"/>
      <c r="H137" s="345"/>
      <c r="I137" s="345"/>
      <c r="J137" s="352"/>
      <c r="K137" s="353"/>
      <c r="M137" s="354">
        <v>100</v>
      </c>
      <c r="N137" s="718" t="str">
        <f>IFERROR(VLOOKUP(M137,INSUMOS!$C$8:$K$934,2,0),"-----")</f>
        <v>Transporte Arena - Pescadero</v>
      </c>
      <c r="O137" s="718"/>
      <c r="P137" s="718"/>
      <c r="Q137" s="314" t="str">
        <f>IFERROR(VLOOKUP(M137,INSUMOS!$C$8:$K$934,5,0),"-----")</f>
        <v>m3/km</v>
      </c>
      <c r="R137" s="355">
        <f>S127*(1+T127)</f>
        <v>0.75600000000000001</v>
      </c>
      <c r="S137" s="355">
        <f>IFERROR(VLOOKUP(M137,INSUMOS!$C$8:$K$934,6,0),"0")</f>
        <v>60.3</v>
      </c>
      <c r="T137" s="719">
        <f>IFERROR(VLOOKUP(M137,INSUMOS!$C$8:$K$934,7,0),"0")</f>
        <v>1800</v>
      </c>
      <c r="U137" s="719"/>
      <c r="V137" s="515">
        <f>+T137*S137*R137</f>
        <v>82056.240000000005</v>
      </c>
      <c r="Y137" s="321">
        <f>+IFERROR((R137*S137)*Y112,0)</f>
        <v>0</v>
      </c>
      <c r="Z137" s="318">
        <f>Y112*V137</f>
        <v>0</v>
      </c>
      <c r="AA137" s="345"/>
      <c r="AB137" s="346">
        <f>+Y137*T137</f>
        <v>0</v>
      </c>
      <c r="AC137" s="347">
        <f>+AB137-Z137</f>
        <v>0</v>
      </c>
      <c r="AD137" s="348"/>
      <c r="AE137" s="337" t="str">
        <f t="shared" si="17"/>
        <v>NO</v>
      </c>
    </row>
    <row r="138" spans="3:31" ht="14.4" hidden="1" x14ac:dyDescent="0.3">
      <c r="C138" s="350"/>
      <c r="D138" s="351"/>
      <c r="E138" s="345"/>
      <c r="F138" s="345"/>
      <c r="G138" s="345"/>
      <c r="H138" s="345"/>
      <c r="I138" s="345"/>
      <c r="J138" s="352"/>
      <c r="K138" s="353"/>
      <c r="M138" s="354">
        <v>101</v>
      </c>
      <c r="N138" s="718" t="str">
        <f>IFERROR(VLOOKUP(M138,INSUMOS!$C$8:$K$934,2,0),"-----")</f>
        <v>Transporte Triturado - Pinchote</v>
      </c>
      <c r="O138" s="718"/>
      <c r="P138" s="718"/>
      <c r="Q138" s="314" t="str">
        <f>IFERROR(VLOOKUP(M138,INSUMOS!$C$8:$K$934,5,0),"-----")</f>
        <v>m3/km</v>
      </c>
      <c r="R138" s="355">
        <f>S128*(1+T128)</f>
        <v>0.60899999999999999</v>
      </c>
      <c r="S138" s="355">
        <f>IFERROR(VLOOKUP(M138,INSUMOS!$C$8:$K$934,6,0),"0")</f>
        <v>4.3099999999999996</v>
      </c>
      <c r="T138" s="719">
        <f>IFERROR(VLOOKUP(M138,INSUMOS!$C$8:$K$934,7,0),"0")</f>
        <v>1800</v>
      </c>
      <c r="U138" s="719"/>
      <c r="V138" s="515">
        <f>+T138*S138*R138</f>
        <v>4724.6219999999994</v>
      </c>
      <c r="Y138" s="321">
        <f>+IFERROR((R138*S138)*Y112,0)</f>
        <v>0</v>
      </c>
      <c r="Z138" s="318">
        <f>Y112*V138</f>
        <v>0</v>
      </c>
      <c r="AA138" s="345"/>
      <c r="AB138" s="346">
        <f t="shared" ref="AB138:AB139" si="18">+Y138*T138</f>
        <v>0</v>
      </c>
      <c r="AC138" s="347">
        <f t="shared" ref="AC138:AC139" si="19">+AB138-Z138</f>
        <v>0</v>
      </c>
      <c r="AD138" s="348"/>
      <c r="AE138" s="337" t="str">
        <f t="shared" si="17"/>
        <v>NO</v>
      </c>
    </row>
    <row r="139" spans="3:31" ht="14.4" hidden="1" x14ac:dyDescent="0.3">
      <c r="C139" s="350"/>
      <c r="D139" s="351"/>
      <c r="E139" s="345"/>
      <c r="F139" s="345"/>
      <c r="G139" s="345"/>
      <c r="H139" s="345"/>
      <c r="I139" s="345"/>
      <c r="J139" s="352"/>
      <c r="K139" s="353"/>
      <c r="M139" s="354">
        <v>0</v>
      </c>
      <c r="N139" s="718"/>
      <c r="O139" s="718"/>
      <c r="P139" s="718"/>
      <c r="Q139" s="357"/>
      <c r="R139" s="355"/>
      <c r="S139" s="358"/>
      <c r="T139" s="719"/>
      <c r="U139" s="719"/>
      <c r="V139" s="515"/>
      <c r="Y139" s="321">
        <f>+IFERROR((R139*S139)*Y112,0)</f>
        <v>0</v>
      </c>
      <c r="Z139" s="318">
        <f>Y112*V139</f>
        <v>0</v>
      </c>
      <c r="AA139" s="345"/>
      <c r="AB139" s="346">
        <f t="shared" si="18"/>
        <v>0</v>
      </c>
      <c r="AC139" s="347">
        <f t="shared" si="19"/>
        <v>0</v>
      </c>
      <c r="AD139" s="348"/>
      <c r="AE139" s="337" t="str">
        <f t="shared" si="17"/>
        <v>CERO</v>
      </c>
    </row>
    <row r="140" spans="3:31" ht="15" hidden="1" thickBot="1" x14ac:dyDescent="0.35">
      <c r="C140" s="350"/>
      <c r="D140" s="360"/>
      <c r="E140" s="361"/>
      <c r="F140" s="361"/>
      <c r="G140" s="361"/>
      <c r="H140" s="361"/>
      <c r="I140" s="361"/>
      <c r="J140" s="362"/>
      <c r="K140" s="353"/>
      <c r="M140" s="354">
        <v>0</v>
      </c>
      <c r="N140" s="718"/>
      <c r="O140" s="718"/>
      <c r="P140" s="718"/>
      <c r="Q140" s="357"/>
      <c r="R140" s="314"/>
      <c r="S140" s="358"/>
      <c r="T140" s="719"/>
      <c r="U140" s="719"/>
      <c r="V140" s="515"/>
      <c r="Y140" s="321">
        <f>+IFERROR((R140*S140)*Y112,0)</f>
        <v>0</v>
      </c>
      <c r="Z140" s="318">
        <f>Y112*V140</f>
        <v>0</v>
      </c>
      <c r="AA140" s="345"/>
      <c r="AB140" s="346">
        <f>+Y140*T140</f>
        <v>0</v>
      </c>
      <c r="AC140" s="347">
        <f>+AB140-Z140</f>
        <v>0</v>
      </c>
      <c r="AD140" s="348"/>
      <c r="AE140" s="337" t="str">
        <f t="shared" si="17"/>
        <v>CERO</v>
      </c>
    </row>
    <row r="141" spans="3:31" ht="15" hidden="1" thickBot="1" x14ac:dyDescent="0.35">
      <c r="C141" s="292"/>
      <c r="D141" s="295" t="s">
        <v>132</v>
      </c>
      <c r="E141" s="296" t="s">
        <v>133</v>
      </c>
      <c r="F141" s="296" t="s">
        <v>134</v>
      </c>
      <c r="G141" s="296" t="s">
        <v>135</v>
      </c>
      <c r="H141" s="296" t="s">
        <v>136</v>
      </c>
      <c r="I141" s="296" t="s">
        <v>137</v>
      </c>
      <c r="J141" s="297" t="s">
        <v>138</v>
      </c>
      <c r="K141" s="293"/>
      <c r="M141" s="720"/>
      <c r="N141" s="721" t="s">
        <v>116</v>
      </c>
      <c r="O141" s="721"/>
      <c r="P141" s="721"/>
      <c r="Q141" s="721"/>
      <c r="R141" s="721"/>
      <c r="S141" s="721"/>
      <c r="T141" s="721"/>
      <c r="U141" s="721"/>
      <c r="V141" s="499">
        <f>+SUM(V136:V140)</f>
        <v>110302.96200000001</v>
      </c>
      <c r="Y141" s="328" t="s">
        <v>139</v>
      </c>
      <c r="Z141" s="329">
        <f>+SUM(Z136:Z140)</f>
        <v>0</v>
      </c>
      <c r="AA141" s="279"/>
      <c r="AB141" s="290"/>
      <c r="AC141" s="291"/>
      <c r="AD141" s="280"/>
      <c r="AE141" s="330"/>
    </row>
    <row r="142" spans="3:31" ht="15" hidden="1" thickBot="1" x14ac:dyDescent="0.35">
      <c r="C142" s="292"/>
      <c r="D142" s="363"/>
      <c r="E142" s="364"/>
      <c r="F142" s="365" t="str">
        <f>+E133</f>
        <v>C4500</v>
      </c>
      <c r="G142" s="364"/>
      <c r="H142" s="364"/>
      <c r="I142" s="364"/>
      <c r="J142" s="366"/>
      <c r="K142" s="293"/>
      <c r="M142" s="720"/>
      <c r="N142" s="722" t="s">
        <v>117</v>
      </c>
      <c r="O142" s="722"/>
      <c r="P142" s="722"/>
      <c r="Q142" s="722"/>
      <c r="R142" s="722"/>
      <c r="S142" s="722"/>
      <c r="T142" s="722"/>
      <c r="U142" s="722"/>
      <c r="V142" s="344">
        <f>+ROUND(V141,$AA$2)</f>
        <v>110303</v>
      </c>
      <c r="Y142" s="332" t="s">
        <v>140</v>
      </c>
      <c r="Z142" s="333">
        <f>+ROUND(Z141,$AA$2)</f>
        <v>0</v>
      </c>
      <c r="AA142" s="279"/>
      <c r="AB142" s="324">
        <f>+V142*Y112</f>
        <v>0</v>
      </c>
      <c r="AC142" s="359"/>
      <c r="AD142" s="280"/>
      <c r="AE142" s="334"/>
    </row>
    <row r="143" spans="3:31" ht="15" hidden="1" thickBot="1" x14ac:dyDescent="0.35">
      <c r="C143" s="292"/>
      <c r="D143" s="369"/>
      <c r="E143" s="370"/>
      <c r="F143" s="370"/>
      <c r="G143" s="370"/>
      <c r="H143" s="370"/>
      <c r="I143" s="370"/>
      <c r="J143" s="371"/>
      <c r="K143" s="293"/>
      <c r="M143" s="723" t="s">
        <v>118</v>
      </c>
      <c r="N143" s="723"/>
      <c r="O143" s="723"/>
      <c r="P143" s="723"/>
      <c r="Q143" s="723"/>
      <c r="R143" s="723"/>
      <c r="S143" s="723"/>
      <c r="T143" s="723"/>
      <c r="U143" s="723"/>
      <c r="V143" s="723"/>
      <c r="Y143" s="298"/>
      <c r="Z143" s="299"/>
      <c r="AA143" s="279"/>
      <c r="AB143" s="342"/>
      <c r="AC143" s="299"/>
      <c r="AD143" s="280"/>
      <c r="AE143" s="335"/>
    </row>
    <row r="144" spans="3:31" ht="15" hidden="1" thickBot="1" x14ac:dyDescent="0.35">
      <c r="C144" s="292"/>
      <c r="D144" s="295" t="s">
        <v>132</v>
      </c>
      <c r="E144" s="296" t="s">
        <v>133</v>
      </c>
      <c r="F144" s="296" t="s">
        <v>134</v>
      </c>
      <c r="G144" s="296" t="s">
        <v>135</v>
      </c>
      <c r="H144" s="296" t="s">
        <v>136</v>
      </c>
      <c r="I144" s="296" t="s">
        <v>137</v>
      </c>
      <c r="J144" s="297" t="s">
        <v>138</v>
      </c>
      <c r="K144" s="293"/>
      <c r="M144" s="307" t="s">
        <v>97</v>
      </c>
      <c r="N144" s="372" t="s">
        <v>98</v>
      </c>
      <c r="O144" s="307" t="s">
        <v>99</v>
      </c>
      <c r="P144" s="396" t="s">
        <v>107</v>
      </c>
      <c r="Q144" s="307" t="s">
        <v>119</v>
      </c>
      <c r="R144" s="373" t="s">
        <v>120</v>
      </c>
      <c r="S144" s="307" t="s">
        <v>363</v>
      </c>
      <c r="T144" s="374" t="s">
        <v>121</v>
      </c>
      <c r="U144" s="375" t="s">
        <v>122</v>
      </c>
      <c r="V144" s="307" t="s">
        <v>101</v>
      </c>
      <c r="Y144" s="308" t="s">
        <v>107</v>
      </c>
      <c r="Z144" s="309" t="s">
        <v>9</v>
      </c>
      <c r="AA144" s="279"/>
      <c r="AB144" s="290"/>
      <c r="AC144" s="291"/>
      <c r="AD144" s="280"/>
      <c r="AE144" s="349"/>
    </row>
    <row r="145" spans="3:31" ht="14.4" hidden="1" x14ac:dyDescent="0.3">
      <c r="C145" s="292"/>
      <c r="D145" s="376"/>
      <c r="E145" s="377"/>
      <c r="F145" s="377"/>
      <c r="G145" s="377"/>
      <c r="H145" s="377"/>
      <c r="I145" s="377"/>
      <c r="J145" s="378" t="str">
        <f>+F142</f>
        <v>C4500</v>
      </c>
      <c r="K145" s="293"/>
      <c r="M145" s="313">
        <v>201</v>
      </c>
      <c r="N145" s="379" t="str">
        <f>IFERROR(VLOOKUP(M145,INSUMOS!$C$8:$K$934,2,0),"-----")</f>
        <v>Oficial Albañileria</v>
      </c>
      <c r="O145" s="314" t="str">
        <f>IFERROR(VLOOKUP(M145,INSUMOS!$C$8:$K$934,3,0),"-----")</f>
        <v>JORNAL+PS</v>
      </c>
      <c r="P145" s="355">
        <v>1</v>
      </c>
      <c r="Q145" s="339">
        <v>8</v>
      </c>
      <c r="R145" s="380">
        <f>IFERROR(VLOOKUP(M145,INSUMOS!$C$8:$K$934,4,0),"-----")</f>
        <v>114970</v>
      </c>
      <c r="S145" s="380">
        <f>IFERROR(VLOOKUP(M145,INSUMOS!$C$8:$K$934,6,0),"-----")</f>
        <v>91976</v>
      </c>
      <c r="T145" s="380">
        <f>IFERROR(VLOOKUP(M145,INSUMOS!$C$8:$K$934,5,0),"-----")</f>
        <v>0</v>
      </c>
      <c r="U145" s="338">
        <f>SUM(R145:T145)</f>
        <v>206946</v>
      </c>
      <c r="V145" s="316">
        <f>+IFERROR((P145/Q145)*U145,0)</f>
        <v>25868.25</v>
      </c>
      <c r="Y145" s="321">
        <f>+IFERROR((Y112/Q145*P145),0)</f>
        <v>0</v>
      </c>
      <c r="Z145" s="318">
        <f>Y112*V145</f>
        <v>0</v>
      </c>
      <c r="AA145" s="279"/>
      <c r="AB145" s="367">
        <f>+(U145)*Y145</f>
        <v>0</v>
      </c>
      <c r="AC145" s="302">
        <f>+AB145-Z145</f>
        <v>0</v>
      </c>
      <c r="AD145" s="368"/>
      <c r="AE145" s="349" t="str">
        <f>+IF(V145=0,"CERO","NO")</f>
        <v>NO</v>
      </c>
    </row>
    <row r="146" spans="3:31" ht="15" hidden="1" thickBot="1" x14ac:dyDescent="0.35">
      <c r="C146" s="292"/>
      <c r="D146" s="363"/>
      <c r="E146" s="364"/>
      <c r="F146" s="364"/>
      <c r="G146" s="364"/>
      <c r="H146" s="364"/>
      <c r="I146" s="364"/>
      <c r="J146" s="381" t="str">
        <f>+J145</f>
        <v>C4500</v>
      </c>
      <c r="K146" s="293"/>
      <c r="M146" s="313">
        <v>202</v>
      </c>
      <c r="N146" s="379" t="str">
        <f>IFERROR(VLOOKUP(M146,INSUMOS!$C$8:$K$934,2,0),"-----")</f>
        <v>Ayudante Albañileria</v>
      </c>
      <c r="O146" s="314" t="str">
        <f>IFERROR(VLOOKUP(M146,INSUMOS!$C$8:$K$934,3,0),"-----")</f>
        <v>JORNAL+PS</v>
      </c>
      <c r="P146" s="355">
        <v>6</v>
      </c>
      <c r="Q146" s="339">
        <v>8</v>
      </c>
      <c r="R146" s="380">
        <f>IFERROR(VLOOKUP(M146,INSUMOS!$C$8:$K$934,4,0),"-----")</f>
        <v>94970</v>
      </c>
      <c r="S146" s="380">
        <f>IFERROR(VLOOKUP(M146,INSUMOS!$C$8:$K$934,6,0),"-----")</f>
        <v>75976</v>
      </c>
      <c r="T146" s="380">
        <f>IFERROR(VLOOKUP(M146,INSUMOS!$C$8:$K$934,5,0),"-----")</f>
        <v>0</v>
      </c>
      <c r="U146" s="338">
        <f>SUM(R146:T146)</f>
        <v>170946</v>
      </c>
      <c r="V146" s="316">
        <f>+IFERROR((P146/Q146)*U146,0)</f>
        <v>128209.5</v>
      </c>
      <c r="Y146" s="321">
        <f>+IFERROR((Y112/Q146*P146),0)</f>
        <v>0</v>
      </c>
      <c r="Z146" s="318">
        <f>Y112*V146</f>
        <v>0</v>
      </c>
      <c r="AA146" s="279"/>
      <c r="AB146" s="367">
        <f>+U146*Y146</f>
        <v>0</v>
      </c>
      <c r="AC146" s="302">
        <f>+AB146-Z146</f>
        <v>0</v>
      </c>
      <c r="AD146" s="280"/>
      <c r="AE146" s="349" t="str">
        <f t="shared" ref="AE146:AE147" si="20">+IF(V146=0,"CERO","NO")</f>
        <v>NO</v>
      </c>
    </row>
    <row r="147" spans="3:31" ht="15" hidden="1" thickBot="1" x14ac:dyDescent="0.35">
      <c r="C147" s="292"/>
      <c r="D147" s="304"/>
      <c r="E147" s="305"/>
      <c r="F147" s="305"/>
      <c r="G147" s="305"/>
      <c r="H147" s="305"/>
      <c r="I147" s="305"/>
      <c r="J147" s="306"/>
      <c r="K147" s="293"/>
      <c r="M147" s="313">
        <v>0</v>
      </c>
      <c r="N147" s="379"/>
      <c r="O147" s="339"/>
      <c r="P147" s="382"/>
      <c r="Q147" s="319"/>
      <c r="R147" s="383"/>
      <c r="S147" s="384"/>
      <c r="T147" s="383"/>
      <c r="U147" s="338"/>
      <c r="V147" s="323"/>
      <c r="Y147" s="321">
        <f>+IFERROR((Y112/Q147*P147),0)</f>
        <v>0</v>
      </c>
      <c r="Z147" s="318">
        <f>Y112*V147</f>
        <v>0</v>
      </c>
      <c r="AA147" s="279"/>
      <c r="AB147" s="367">
        <f>+(U147)*Y147*P147</f>
        <v>0</v>
      </c>
      <c r="AC147" s="302">
        <f>+AB147-Z147</f>
        <v>0</v>
      </c>
      <c r="AD147" s="280"/>
      <c r="AE147" s="349" t="str">
        <f t="shared" si="20"/>
        <v>CERO</v>
      </c>
    </row>
    <row r="148" spans="3:31" ht="15" hidden="1" thickBot="1" x14ac:dyDescent="0.35">
      <c r="C148" s="292"/>
      <c r="D148" s="295" t="s">
        <v>132</v>
      </c>
      <c r="E148" s="296" t="s">
        <v>133</v>
      </c>
      <c r="F148" s="296" t="s">
        <v>134</v>
      </c>
      <c r="G148" s="296" t="s">
        <v>135</v>
      </c>
      <c r="H148" s="296" t="s">
        <v>136</v>
      </c>
      <c r="I148" s="296" t="s">
        <v>137</v>
      </c>
      <c r="J148" s="297" t="s">
        <v>138</v>
      </c>
      <c r="K148" s="293"/>
      <c r="M148" s="724"/>
      <c r="N148" s="725" t="s">
        <v>123</v>
      </c>
      <c r="O148" s="725"/>
      <c r="P148" s="725"/>
      <c r="Q148" s="725"/>
      <c r="R148" s="725"/>
      <c r="S148" s="725"/>
      <c r="T148" s="725"/>
      <c r="U148" s="725"/>
      <c r="V148" s="316">
        <f>+SUM(V145:V147)</f>
        <v>154077.75</v>
      </c>
      <c r="Y148" s="328" t="s">
        <v>139</v>
      </c>
      <c r="Z148" s="329">
        <f>+SUM(Z145:Z147)</f>
        <v>0</v>
      </c>
      <c r="AA148" s="279"/>
      <c r="AB148" s="290"/>
      <c r="AC148" s="291"/>
      <c r="AD148" s="280"/>
      <c r="AE148" s="330"/>
    </row>
    <row r="149" spans="3:31" ht="15" hidden="1" thickBot="1" x14ac:dyDescent="0.35">
      <c r="C149" s="292"/>
      <c r="D149" s="376"/>
      <c r="E149" s="377"/>
      <c r="F149" s="377"/>
      <c r="G149" s="386" t="str">
        <f>+F142</f>
        <v>C4500</v>
      </c>
      <c r="H149" s="377"/>
      <c r="I149" s="377"/>
      <c r="J149" s="387"/>
      <c r="K149" s="293"/>
      <c r="M149" s="724"/>
      <c r="N149" s="726" t="s">
        <v>124</v>
      </c>
      <c r="O149" s="726"/>
      <c r="P149" s="726"/>
      <c r="Q149" s="726"/>
      <c r="R149" s="726"/>
      <c r="S149" s="726"/>
      <c r="T149" s="726"/>
      <c r="U149" s="726"/>
      <c r="V149" s="344">
        <f>+ROUND(V148,$AA$2)</f>
        <v>154078</v>
      </c>
      <c r="Y149" s="332" t="s">
        <v>140</v>
      </c>
      <c r="Z149" s="333">
        <f>+ROUND(Z148,$AA$2)</f>
        <v>0</v>
      </c>
      <c r="AA149" s="279"/>
      <c r="AB149" s="324">
        <f>+V149*Y112</f>
        <v>0</v>
      </c>
      <c r="AC149" s="325">
        <f>+AB149-Z149</f>
        <v>0</v>
      </c>
      <c r="AD149" s="280"/>
      <c r="AE149" s="334"/>
    </row>
    <row r="150" spans="3:31" ht="15" hidden="1" thickBot="1" x14ac:dyDescent="0.35">
      <c r="C150" s="292"/>
      <c r="D150" s="295" t="s">
        <v>132</v>
      </c>
      <c r="E150" s="296" t="s">
        <v>133</v>
      </c>
      <c r="F150" s="296" t="s">
        <v>134</v>
      </c>
      <c r="G150" s="296" t="s">
        <v>135</v>
      </c>
      <c r="H150" s="296" t="s">
        <v>136</v>
      </c>
      <c r="I150" s="296" t="s">
        <v>137</v>
      </c>
      <c r="J150" s="297" t="s">
        <v>138</v>
      </c>
      <c r="K150" s="293"/>
      <c r="M150" s="727"/>
      <c r="N150" s="727"/>
      <c r="O150" s="727"/>
      <c r="P150" s="727"/>
      <c r="Q150" s="727"/>
      <c r="R150" s="727"/>
      <c r="S150" s="727"/>
      <c r="T150" s="727"/>
      <c r="U150" s="727"/>
      <c r="V150" s="727"/>
      <c r="Y150" s="298"/>
      <c r="Z150" s="299"/>
      <c r="AA150" s="279"/>
      <c r="AB150" s="342"/>
      <c r="AC150" s="299"/>
      <c r="AD150" s="280"/>
      <c r="AE150" s="388"/>
    </row>
    <row r="151" spans="3:31" ht="15" hidden="1" thickBot="1" x14ac:dyDescent="0.35">
      <c r="C151" s="292"/>
      <c r="D151" s="363"/>
      <c r="E151" s="364"/>
      <c r="F151" s="364"/>
      <c r="G151" s="364"/>
      <c r="H151" s="365" t="str">
        <f>G149</f>
        <v>C4500</v>
      </c>
      <c r="I151" s="365"/>
      <c r="J151" s="381"/>
      <c r="K151" s="293"/>
      <c r="M151" s="726" t="s">
        <v>125</v>
      </c>
      <c r="N151" s="726"/>
      <c r="O151" s="726"/>
      <c r="P151" s="726"/>
      <c r="Q151" s="726"/>
      <c r="R151" s="726"/>
      <c r="S151" s="726"/>
      <c r="T151" s="726"/>
      <c r="U151" s="728">
        <f>+V149+V142+V133+V122</f>
        <v>822425</v>
      </c>
      <c r="V151" s="728"/>
      <c r="Y151" s="389"/>
      <c r="Z151" s="390">
        <f>+Z149+Z142+Z133+Z122</f>
        <v>0</v>
      </c>
      <c r="AA151" s="279"/>
      <c r="AB151" s="385">
        <f>+AB149+AB142+AB133+AB122</f>
        <v>0</v>
      </c>
      <c r="AC151" s="325">
        <f>+AB151-Z151</f>
        <v>0</v>
      </c>
      <c r="AD151" s="280"/>
      <c r="AE151" s="391"/>
    </row>
    <row r="152" spans="3:31" ht="14.4" hidden="1" x14ac:dyDescent="0.3">
      <c r="C152" s="292"/>
      <c r="D152" s="279"/>
      <c r="E152" s="279"/>
      <c r="F152" s="279"/>
      <c r="G152" s="279"/>
      <c r="H152" s="397"/>
      <c r="I152" s="397"/>
      <c r="J152" s="397"/>
      <c r="K152" s="293"/>
      <c r="M152" s="784"/>
      <c r="N152" s="784"/>
      <c r="O152" s="784"/>
      <c r="P152" s="784"/>
      <c r="Q152" s="784"/>
      <c r="R152" s="711"/>
      <c r="S152" s="711"/>
      <c r="T152" s="711"/>
      <c r="U152" s="711"/>
      <c r="V152" s="711"/>
      <c r="Y152" s="294"/>
      <c r="Z152" s="398"/>
      <c r="AA152" s="279"/>
      <c r="AB152" s="399"/>
      <c r="AC152" s="399"/>
      <c r="AD152" s="280"/>
      <c r="AE152" s="400"/>
    </row>
    <row r="153" spans="3:31" ht="14.4" hidden="1" x14ac:dyDescent="0.3">
      <c r="C153" s="292"/>
      <c r="D153" s="279"/>
      <c r="E153" s="279"/>
      <c r="F153" s="279"/>
      <c r="G153" s="279"/>
      <c r="H153" s="397"/>
      <c r="I153" s="397"/>
      <c r="J153" s="397"/>
      <c r="K153" s="293"/>
      <c r="M153" s="784"/>
      <c r="N153" s="784"/>
      <c r="O153" s="784"/>
      <c r="P153" s="784"/>
      <c r="Q153" s="784"/>
      <c r="R153" s="711"/>
      <c r="S153" s="711"/>
      <c r="T153" s="711"/>
      <c r="U153" s="711"/>
      <c r="V153" s="711"/>
      <c r="Y153" s="294"/>
      <c r="Z153" s="398"/>
      <c r="AA153" s="279"/>
      <c r="AB153" s="399"/>
      <c r="AC153" s="399"/>
      <c r="AD153" s="280"/>
      <c r="AE153" s="400"/>
    </row>
    <row r="154" spans="3:31" ht="14.4" hidden="1" x14ac:dyDescent="0.3">
      <c r="C154" s="292"/>
      <c r="D154" s="279"/>
      <c r="E154" s="279"/>
      <c r="F154" s="279"/>
      <c r="G154" s="279"/>
      <c r="H154" s="397"/>
      <c r="I154" s="397"/>
      <c r="J154" s="397"/>
      <c r="K154" s="293"/>
      <c r="M154" s="784"/>
      <c r="N154" s="784"/>
      <c r="O154" s="784"/>
      <c r="P154" s="784"/>
      <c r="Q154" s="784"/>
      <c r="R154" s="711"/>
      <c r="S154" s="711"/>
      <c r="T154" s="711"/>
      <c r="U154" s="711"/>
      <c r="V154" s="711"/>
      <c r="Y154" s="294"/>
      <c r="Z154" s="398"/>
      <c r="AA154" s="279"/>
      <c r="AB154" s="399"/>
      <c r="AC154" s="399"/>
      <c r="AD154" s="280"/>
      <c r="AE154" s="400"/>
    </row>
    <row r="155" spans="3:31" ht="14.4" hidden="1" x14ac:dyDescent="0.3">
      <c r="C155" s="292"/>
      <c r="D155" s="279"/>
      <c r="E155" s="279"/>
      <c r="F155" s="279"/>
      <c r="G155" s="279"/>
      <c r="H155" s="397"/>
      <c r="I155" s="397"/>
      <c r="J155" s="397"/>
      <c r="K155" s="293"/>
      <c r="M155" s="784"/>
      <c r="N155" s="784"/>
      <c r="O155" s="784"/>
      <c r="P155" s="784"/>
      <c r="Q155" s="784"/>
      <c r="R155" s="711"/>
      <c r="S155" s="711"/>
      <c r="T155" s="711"/>
      <c r="U155" s="711"/>
      <c r="V155" s="711"/>
      <c r="Y155" s="294"/>
      <c r="Z155" s="398"/>
      <c r="AA155" s="279"/>
      <c r="AB155" s="399"/>
      <c r="AC155" s="399"/>
      <c r="AD155" s="280"/>
      <c r="AE155" s="400"/>
    </row>
    <row r="156" spans="3:31" ht="14.4" hidden="1" x14ac:dyDescent="0.3">
      <c r="C156" s="292"/>
      <c r="D156" s="279"/>
      <c r="E156" s="279"/>
      <c r="F156" s="279"/>
      <c r="G156" s="279"/>
      <c r="H156" s="397"/>
      <c r="I156" s="397"/>
      <c r="J156" s="397"/>
      <c r="K156" s="293"/>
      <c r="M156" s="707" t="s">
        <v>128</v>
      </c>
      <c r="N156" s="392" t="str">
        <f>$N$6</f>
        <v>ING. JEYSON JULIAN LEON RUEDA</v>
      </c>
      <c r="O156" s="393"/>
      <c r="P156" s="393"/>
      <c r="Q156" s="393"/>
      <c r="R156" s="711" t="s">
        <v>129</v>
      </c>
      <c r="S156" s="392" t="str">
        <f>$S$6</f>
        <v>ARQ. YASMID ROCÍO CARRILLO MORA</v>
      </c>
      <c r="T156" s="393"/>
      <c r="U156" s="394"/>
      <c r="V156" s="394"/>
      <c r="Y156" s="294"/>
      <c r="Z156" s="398"/>
      <c r="AA156" s="279"/>
      <c r="AB156" s="399"/>
      <c r="AC156" s="399"/>
      <c r="AD156" s="280"/>
      <c r="AE156" s="400"/>
    </row>
    <row r="157" spans="3:31" ht="14.4" hidden="1" x14ac:dyDescent="0.3">
      <c r="C157" s="292"/>
      <c r="D157" s="279"/>
      <c r="E157" s="279"/>
      <c r="F157" s="279"/>
      <c r="G157" s="279"/>
      <c r="H157" s="397"/>
      <c r="I157" s="397"/>
      <c r="J157" s="397"/>
      <c r="K157" s="293"/>
      <c r="M157" s="707"/>
      <c r="N157" s="395" t="str">
        <f>$N$7</f>
        <v>MP. 68202-416348 STD</v>
      </c>
      <c r="O157" s="393"/>
      <c r="P157" s="393"/>
      <c r="Q157" s="393"/>
      <c r="R157" s="711"/>
      <c r="S157" s="395" t="str">
        <f>$S$7</f>
        <v>SECRETARIA DE PLANEACIÓN Y OBRAS PÚBLICAS</v>
      </c>
      <c r="T157" s="393"/>
      <c r="U157" s="394"/>
      <c r="V157" s="394"/>
      <c r="Y157" s="294"/>
      <c r="Z157" s="398"/>
      <c r="AA157" s="279"/>
      <c r="AB157" s="399"/>
      <c r="AC157" s="399"/>
      <c r="AD157" s="280"/>
      <c r="AE157" s="400"/>
    </row>
    <row r="158" spans="3:31" ht="14.4" hidden="1" x14ac:dyDescent="0.3">
      <c r="C158" s="292"/>
      <c r="D158" s="279"/>
      <c r="E158" s="279"/>
      <c r="F158" s="279"/>
      <c r="G158" s="279"/>
      <c r="H158" s="397"/>
      <c r="I158" s="397"/>
      <c r="J158" s="397"/>
      <c r="K158" s="293"/>
      <c r="M158" s="707"/>
      <c r="N158" s="393"/>
      <c r="O158" s="393"/>
      <c r="P158" s="393"/>
      <c r="Q158" s="393"/>
      <c r="R158" s="711"/>
      <c r="S158" s="395" t="str">
        <f>$S$8</f>
        <v>MUNICIPIO DE PINCHOTE</v>
      </c>
      <c r="T158" s="393"/>
      <c r="U158" s="394"/>
      <c r="V158" s="394"/>
      <c r="Y158" s="294"/>
      <c r="Z158" s="398"/>
      <c r="AA158" s="279"/>
      <c r="AB158" s="399"/>
      <c r="AC158" s="399"/>
      <c r="AD158" s="280"/>
      <c r="AE158" s="400"/>
    </row>
    <row r="159" spans="3:31" hidden="1" x14ac:dyDescent="0.25"/>
    <row r="160" spans="3:31" ht="14.4" thickBot="1" x14ac:dyDescent="0.3"/>
    <row r="161" spans="3:31" ht="15" thickBot="1" x14ac:dyDescent="0.35">
      <c r="M161" s="281" t="s">
        <v>90</v>
      </c>
      <c r="N161" s="282" t="s">
        <v>91</v>
      </c>
      <c r="O161" s="706" t="s">
        <v>92</v>
      </c>
      <c r="P161" s="706"/>
      <c r="Q161" s="706"/>
      <c r="R161" s="706"/>
      <c r="S161" s="706"/>
      <c r="T161" s="706"/>
      <c r="U161" s="706"/>
      <c r="V161" s="283" t="s">
        <v>93</v>
      </c>
      <c r="Y161" s="284" t="s">
        <v>107</v>
      </c>
      <c r="Z161" s="280"/>
      <c r="AA161" s="274"/>
      <c r="AB161" s="735"/>
      <c r="AC161" s="735"/>
      <c r="AD161" s="735"/>
      <c r="AE161" s="280"/>
    </row>
    <row r="162" spans="3:31" ht="15" thickBot="1" x14ac:dyDescent="0.35">
      <c r="C162" s="285" t="str">
        <f>+N162</f>
        <v>M 1:3</v>
      </c>
      <c r="D162" s="279"/>
      <c r="E162" s="279"/>
      <c r="F162" s="279"/>
      <c r="G162" s="279"/>
      <c r="H162" s="279"/>
      <c r="I162" s="279"/>
      <c r="J162" s="279"/>
      <c r="K162" s="286"/>
      <c r="M162" s="283" t="s">
        <v>94</v>
      </c>
      <c r="N162" s="287" t="s">
        <v>290</v>
      </c>
      <c r="O162" s="736" t="str">
        <f>IFERROR(VLOOKUP(N162,INSUMOS!$C$8:$K$934,2,0),"-----")</f>
        <v>Mortero 1:3</v>
      </c>
      <c r="P162" s="736"/>
      <c r="Q162" s="736"/>
      <c r="R162" s="736"/>
      <c r="S162" s="736"/>
      <c r="T162" s="736"/>
      <c r="U162" s="736"/>
      <c r="V162" s="288" t="str">
        <f>IFERROR(VLOOKUP(N162,INSUMOS!$C$8:$K$934,6,0),"-----")</f>
        <v>m3</v>
      </c>
      <c r="Y162" s="289">
        <f>SUMIFS($Y$310:$Y$1486,$M$310:$M$1486,N162)</f>
        <v>20.112089999999995</v>
      </c>
      <c r="Z162" s="280"/>
      <c r="AA162" s="279"/>
      <c r="AB162" s="280"/>
      <c r="AC162" s="280"/>
      <c r="AD162" s="280"/>
      <c r="AE162" s="280"/>
    </row>
    <row r="163" spans="3:31" ht="15" thickBot="1" x14ac:dyDescent="0.35">
      <c r="C163" s="292"/>
      <c r="D163" s="279"/>
      <c r="E163" s="279"/>
      <c r="F163" s="279"/>
      <c r="G163" s="279"/>
      <c r="H163" s="279"/>
      <c r="I163" s="279"/>
      <c r="J163" s="279"/>
      <c r="K163" s="293"/>
      <c r="M163" s="737"/>
      <c r="N163" s="737"/>
      <c r="O163" s="737"/>
      <c r="P163" s="737"/>
      <c r="Q163" s="737"/>
      <c r="R163" s="737"/>
      <c r="S163" s="737"/>
      <c r="T163" s="737"/>
      <c r="U163" s="737"/>
      <c r="V163" s="737"/>
      <c r="Y163" s="294"/>
      <c r="Z163" s="280"/>
      <c r="AA163" s="279"/>
      <c r="AB163" s="280"/>
      <c r="AC163" s="280"/>
      <c r="AD163" s="280"/>
      <c r="AE163" s="280"/>
    </row>
    <row r="164" spans="3:31" ht="15" thickBot="1" x14ac:dyDescent="0.35">
      <c r="C164" s="292"/>
      <c r="D164" s="295" t="s">
        <v>132</v>
      </c>
      <c r="E164" s="296" t="s">
        <v>133</v>
      </c>
      <c r="F164" s="296" t="s">
        <v>134</v>
      </c>
      <c r="G164" s="296" t="s">
        <v>135</v>
      </c>
      <c r="H164" s="296" t="s">
        <v>136</v>
      </c>
      <c r="I164" s="296" t="s">
        <v>137</v>
      </c>
      <c r="J164" s="297" t="s">
        <v>138</v>
      </c>
      <c r="K164" s="293"/>
      <c r="M164" s="738" t="s">
        <v>96</v>
      </c>
      <c r="N164" s="738"/>
      <c r="O164" s="738"/>
      <c r="P164" s="738"/>
      <c r="Q164" s="738"/>
      <c r="R164" s="738"/>
      <c r="S164" s="738"/>
      <c r="T164" s="738"/>
      <c r="U164" s="738"/>
      <c r="V164" s="738"/>
      <c r="Y164" s="298"/>
      <c r="Z164" s="299"/>
      <c r="AA164" s="279"/>
      <c r="AB164" s="731"/>
      <c r="AC164" s="732"/>
      <c r="AD164" s="280"/>
      <c r="AE164" s="303"/>
    </row>
    <row r="165" spans="3:31" ht="14.4" x14ac:dyDescent="0.3">
      <c r="C165" s="292"/>
      <c r="D165" s="304"/>
      <c r="E165" s="305"/>
      <c r="F165" s="305"/>
      <c r="G165" s="305"/>
      <c r="H165" s="305"/>
      <c r="I165" s="305"/>
      <c r="J165" s="306"/>
      <c r="K165" s="293"/>
      <c r="M165" s="307" t="s">
        <v>97</v>
      </c>
      <c r="N165" s="706" t="s">
        <v>98</v>
      </c>
      <c r="O165" s="706"/>
      <c r="P165" s="706"/>
      <c r="Q165" s="706"/>
      <c r="R165" s="307" t="s">
        <v>99</v>
      </c>
      <c r="S165" s="307" t="s">
        <v>100</v>
      </c>
      <c r="T165" s="734" t="s">
        <v>8</v>
      </c>
      <c r="U165" s="734"/>
      <c r="V165" s="307" t="s">
        <v>101</v>
      </c>
      <c r="Y165" s="308" t="s">
        <v>107</v>
      </c>
      <c r="Z165" s="309" t="s">
        <v>9</v>
      </c>
      <c r="AA165" s="279"/>
      <c r="AB165" s="290"/>
      <c r="AC165" s="291"/>
      <c r="AD165" s="280"/>
      <c r="AE165" s="310"/>
    </row>
    <row r="166" spans="3:31" ht="14.4" x14ac:dyDescent="0.3">
      <c r="C166" s="292"/>
      <c r="D166" s="311"/>
      <c r="E166" s="279"/>
      <c r="F166" s="279"/>
      <c r="G166" s="279"/>
      <c r="H166" s="279"/>
      <c r="I166" s="279"/>
      <c r="J166" s="312"/>
      <c r="K166" s="293"/>
      <c r="M166" s="313"/>
      <c r="N166" s="718" t="s">
        <v>102</v>
      </c>
      <c r="O166" s="718"/>
      <c r="P166" s="718"/>
      <c r="Q166" s="718"/>
      <c r="R166" s="314" t="s">
        <v>103</v>
      </c>
      <c r="S166" s="315">
        <f>$AA$9</f>
        <v>0.05</v>
      </c>
      <c r="T166" s="766">
        <f>V199</f>
        <v>151668</v>
      </c>
      <c r="U166" s="766"/>
      <c r="V166" s="316">
        <f>+IFERROR(T166*S166,0)</f>
        <v>7583.4000000000005</v>
      </c>
      <c r="Y166" s="317"/>
      <c r="Z166" s="318">
        <f>Y162*V166</f>
        <v>152518.02330599996</v>
      </c>
      <c r="AA166" s="279"/>
      <c r="AB166" s="290"/>
      <c r="AC166" s="291"/>
      <c r="AD166" s="280"/>
      <c r="AE166" s="310" t="str">
        <f>+IF(V166=0,"CERO","NO")</f>
        <v>NO</v>
      </c>
    </row>
    <row r="167" spans="3:31" ht="14.4" x14ac:dyDescent="0.3">
      <c r="C167" s="292"/>
      <c r="D167" s="311"/>
      <c r="E167" s="279"/>
      <c r="F167" s="279"/>
      <c r="G167" s="279"/>
      <c r="H167" s="279"/>
      <c r="I167" s="279"/>
      <c r="J167" s="312"/>
      <c r="K167" s="293"/>
      <c r="M167" s="319">
        <v>0</v>
      </c>
      <c r="N167" s="718" t="str">
        <f>IFERROR(VLOOKUP(M167,INSUMOS!$C$8:$K$934,2,0),"-----")</f>
        <v>-----</v>
      </c>
      <c r="O167" s="718"/>
      <c r="P167" s="718"/>
      <c r="Q167" s="718"/>
      <c r="R167" s="314" t="str">
        <f>IFERROR(VLOOKUP(M167,INSUMOS!$C$8:$K$934,6,0),"-----")</f>
        <v>-----</v>
      </c>
      <c r="S167" s="320"/>
      <c r="T167" s="767" t="str">
        <f>IFERROR(VLOOKUP(M167,INSUMOS!$C$8:$K$934,7,0),"0")</f>
        <v>0</v>
      </c>
      <c r="U167" s="767"/>
      <c r="V167" s="316">
        <f>+IFERROR(T167*S167,0)</f>
        <v>0</v>
      </c>
      <c r="Y167" s="321">
        <f>+IFERROR(Y162*S167,0)</f>
        <v>0</v>
      </c>
      <c r="Z167" s="318">
        <f>Y162*V167</f>
        <v>0</v>
      </c>
      <c r="AA167" s="300"/>
      <c r="AB167" s="301">
        <f>+Y167*T167</f>
        <v>0</v>
      </c>
      <c r="AC167" s="302">
        <f>+AB167-Z167</f>
        <v>0</v>
      </c>
      <c r="AD167" s="280"/>
      <c r="AE167" s="310" t="str">
        <f>+IF(V167=0,"CERO","NO")</f>
        <v>CERO</v>
      </c>
    </row>
    <row r="168" spans="3:31" ht="14.4" x14ac:dyDescent="0.3">
      <c r="C168" s="292"/>
      <c r="D168" s="311"/>
      <c r="E168" s="279"/>
      <c r="F168" s="279"/>
      <c r="G168" s="279"/>
      <c r="H168" s="279"/>
      <c r="I168" s="279"/>
      <c r="J168" s="312"/>
      <c r="K168" s="293"/>
      <c r="M168" s="313">
        <v>0</v>
      </c>
      <c r="N168" s="718"/>
      <c r="O168" s="718"/>
      <c r="P168" s="718"/>
      <c r="Q168" s="718"/>
      <c r="R168" s="314"/>
      <c r="S168" s="322"/>
      <c r="T168" s="767"/>
      <c r="U168" s="767"/>
      <c r="V168" s="323"/>
      <c r="Y168" s="321">
        <f>+IFERROR(Y162*S168,0)</f>
        <v>0</v>
      </c>
      <c r="Z168" s="318">
        <f>Y162*V168</f>
        <v>0</v>
      </c>
      <c r="AA168" s="300"/>
      <c r="AB168" s="301">
        <f>+Y168*T168</f>
        <v>0</v>
      </c>
      <c r="AC168" s="302">
        <f>+AB168-Z168</f>
        <v>0</v>
      </c>
      <c r="AD168" s="280"/>
      <c r="AE168" s="310" t="str">
        <f>+IF(V168=0,"CERO","NO")</f>
        <v>CERO</v>
      </c>
    </row>
    <row r="169" spans="3:31" ht="14.4" x14ac:dyDescent="0.3">
      <c r="C169" s="292"/>
      <c r="D169" s="311"/>
      <c r="E169" s="279"/>
      <c r="F169" s="279"/>
      <c r="G169" s="279"/>
      <c r="H169" s="279"/>
      <c r="I169" s="279"/>
      <c r="J169" s="312"/>
      <c r="K169" s="293"/>
      <c r="M169" s="313">
        <v>0</v>
      </c>
      <c r="N169" s="718"/>
      <c r="O169" s="718"/>
      <c r="P169" s="718"/>
      <c r="Q169" s="718"/>
      <c r="R169" s="314"/>
      <c r="S169" s="322"/>
      <c r="T169" s="767"/>
      <c r="U169" s="767"/>
      <c r="V169" s="323"/>
      <c r="Y169" s="321">
        <f>+IFERROR(Y162*S169,0)</f>
        <v>0</v>
      </c>
      <c r="Z169" s="318">
        <f>Y162*V169</f>
        <v>0</v>
      </c>
      <c r="AA169" s="300"/>
      <c r="AB169" s="301">
        <f>+Y169*T169</f>
        <v>0</v>
      </c>
      <c r="AC169" s="302">
        <f>+AB169-Z169</f>
        <v>0</v>
      </c>
      <c r="AD169" s="280"/>
      <c r="AE169" s="310" t="str">
        <f>+IF(V169=0,"CERO","NO")</f>
        <v>CERO</v>
      </c>
    </row>
    <row r="170" spans="3:31" ht="15" thickBot="1" x14ac:dyDescent="0.35">
      <c r="C170" s="292"/>
      <c r="D170" s="311"/>
      <c r="E170" s="279"/>
      <c r="F170" s="279"/>
      <c r="G170" s="279"/>
      <c r="H170" s="279"/>
      <c r="I170" s="279"/>
      <c r="J170" s="312"/>
      <c r="K170" s="293"/>
      <c r="M170" s="313">
        <v>0</v>
      </c>
      <c r="N170" s="727"/>
      <c r="O170" s="727"/>
      <c r="P170" s="727"/>
      <c r="Q170" s="727"/>
      <c r="R170" s="326"/>
      <c r="S170" s="326"/>
      <c r="T170" s="768"/>
      <c r="U170" s="768"/>
      <c r="V170" s="327"/>
      <c r="Y170" s="321">
        <f>+IFERROR(Y162*S170,0)</f>
        <v>0</v>
      </c>
      <c r="Z170" s="318">
        <f>Y162*V170</f>
        <v>0</v>
      </c>
      <c r="AA170" s="300"/>
      <c r="AB170" s="301">
        <f>+Y170*T170</f>
        <v>0</v>
      </c>
      <c r="AC170" s="302">
        <f>+AB170-Z170</f>
        <v>0</v>
      </c>
      <c r="AD170" s="280"/>
      <c r="AE170" s="310" t="str">
        <f>+IF(V170=0,"CERO","NO")</f>
        <v>CERO</v>
      </c>
    </row>
    <row r="171" spans="3:31" ht="15" thickBot="1" x14ac:dyDescent="0.35">
      <c r="C171" s="292"/>
      <c r="D171" s="295" t="s">
        <v>132</v>
      </c>
      <c r="E171" s="296" t="s">
        <v>133</v>
      </c>
      <c r="F171" s="296" t="s">
        <v>134</v>
      </c>
      <c r="G171" s="296" t="s">
        <v>135</v>
      </c>
      <c r="H171" s="296" t="s">
        <v>136</v>
      </c>
      <c r="I171" s="296" t="s">
        <v>137</v>
      </c>
      <c r="J171" s="297" t="s">
        <v>138</v>
      </c>
      <c r="K171" s="293"/>
      <c r="M171" s="724"/>
      <c r="N171" s="725" t="s">
        <v>104</v>
      </c>
      <c r="O171" s="725"/>
      <c r="P171" s="725"/>
      <c r="Q171" s="725"/>
      <c r="R171" s="725"/>
      <c r="S171" s="725"/>
      <c r="T171" s="725"/>
      <c r="U171" s="725"/>
      <c r="V171" s="316">
        <f>+SUM(V166:V170)</f>
        <v>7583.4000000000005</v>
      </c>
      <c r="Y171" s="328" t="s">
        <v>139</v>
      </c>
      <c r="Z171" s="329">
        <f>+SUM(Z166:Z170)</f>
        <v>152518.02330599996</v>
      </c>
      <c r="AA171" s="279"/>
      <c r="AB171" s="290"/>
      <c r="AC171" s="291"/>
      <c r="AD171" s="280"/>
      <c r="AE171" s="330"/>
    </row>
    <row r="172" spans="3:31" ht="15" thickBot="1" x14ac:dyDescent="0.35">
      <c r="C172" s="292"/>
      <c r="D172" s="295" t="str">
        <f>C162</f>
        <v>M 1:3</v>
      </c>
      <c r="E172" s="296"/>
      <c r="F172" s="296"/>
      <c r="G172" s="296"/>
      <c r="H172" s="296"/>
      <c r="I172" s="296"/>
      <c r="J172" s="297"/>
      <c r="K172" s="293"/>
      <c r="M172" s="724"/>
      <c r="N172" s="726" t="s">
        <v>105</v>
      </c>
      <c r="O172" s="726"/>
      <c r="P172" s="726"/>
      <c r="Q172" s="726"/>
      <c r="R172" s="726"/>
      <c r="S172" s="726"/>
      <c r="T172" s="726"/>
      <c r="U172" s="726"/>
      <c r="V172" s="344">
        <f>+ROUND(V171,$AA$2)</f>
        <v>7583</v>
      </c>
      <c r="Y172" s="332" t="s">
        <v>140</v>
      </c>
      <c r="Z172" s="333">
        <f>+ROUND(Z171,$AA$2)</f>
        <v>152518</v>
      </c>
      <c r="AA172" s="279"/>
      <c r="AB172" s="324">
        <f>+V172*Y162</f>
        <v>152509.97846999997</v>
      </c>
      <c r="AC172" s="325">
        <f>+AB172-Z172</f>
        <v>-8.0215300000272691</v>
      </c>
      <c r="AD172" s="280"/>
      <c r="AE172" s="334"/>
    </row>
    <row r="173" spans="3:31" ht="14.4" x14ac:dyDescent="0.3">
      <c r="C173" s="292"/>
      <c r="D173" s="304"/>
      <c r="E173" s="305"/>
      <c r="F173" s="305"/>
      <c r="G173" s="305"/>
      <c r="H173" s="305"/>
      <c r="I173" s="305"/>
      <c r="J173" s="306"/>
      <c r="K173" s="293"/>
      <c r="M173" s="730" t="s">
        <v>106</v>
      </c>
      <c r="N173" s="730"/>
      <c r="O173" s="730"/>
      <c r="P173" s="730"/>
      <c r="Q173" s="730"/>
      <c r="R173" s="730"/>
      <c r="S173" s="730"/>
      <c r="T173" s="730"/>
      <c r="U173" s="730"/>
      <c r="V173" s="730"/>
      <c r="Y173" s="298"/>
      <c r="Z173" s="299"/>
      <c r="AA173" s="279"/>
      <c r="AB173" s="731"/>
      <c r="AC173" s="732"/>
      <c r="AD173" s="280"/>
      <c r="AE173" s="335"/>
    </row>
    <row r="174" spans="3:31" ht="27" customHeight="1" x14ac:dyDescent="0.3">
      <c r="C174" s="292"/>
      <c r="D174" s="311"/>
      <c r="E174" s="279"/>
      <c r="F174" s="279"/>
      <c r="G174" s="279"/>
      <c r="H174" s="279"/>
      <c r="I174" s="279"/>
      <c r="J174" s="312"/>
      <c r="K174" s="293"/>
      <c r="M174" s="307" t="s">
        <v>97</v>
      </c>
      <c r="N174" s="706" t="s">
        <v>98</v>
      </c>
      <c r="O174" s="706"/>
      <c r="P174" s="706"/>
      <c r="Q174" s="706"/>
      <c r="R174" s="307" t="s">
        <v>99</v>
      </c>
      <c r="S174" s="307" t="s">
        <v>107</v>
      </c>
      <c r="T174" s="336" t="s">
        <v>108</v>
      </c>
      <c r="U174" s="336" t="s">
        <v>8</v>
      </c>
      <c r="V174" s="307" t="s">
        <v>101</v>
      </c>
      <c r="Y174" s="308" t="s">
        <v>107</v>
      </c>
      <c r="Z174" s="309" t="s">
        <v>9</v>
      </c>
      <c r="AA174" s="279"/>
      <c r="AB174" s="290"/>
      <c r="AC174" s="291"/>
      <c r="AD174" s="280"/>
      <c r="AE174" s="337"/>
    </row>
    <row r="175" spans="3:31" ht="14.4" x14ac:dyDescent="0.3">
      <c r="C175" s="292"/>
      <c r="D175" s="311"/>
      <c r="E175" s="279"/>
      <c r="F175" s="279"/>
      <c r="G175" s="279"/>
      <c r="H175" s="279"/>
      <c r="I175" s="279"/>
      <c r="J175" s="312"/>
      <c r="K175" s="293"/>
      <c r="M175" s="313">
        <v>400</v>
      </c>
      <c r="N175" s="718" t="str">
        <f>IFERROR(VLOOKUP(M175,INSUMOS!$C$8:$K$934,2,0),"-----")</f>
        <v>Cemento gris</v>
      </c>
      <c r="O175" s="718"/>
      <c r="P175" s="718"/>
      <c r="Q175" s="718"/>
      <c r="R175" s="314" t="str">
        <f>IFERROR(VLOOKUP(M175,INSUMOS!$C$8:$K$934,6,0),"-----")</f>
        <v>kg</v>
      </c>
      <c r="S175" s="322">
        <v>454</v>
      </c>
      <c r="T175" s="315">
        <v>0.05</v>
      </c>
      <c r="U175" s="338">
        <f>IFERROR(VLOOKUP(M175,INSUMOS!$C$8:$K$934,7,0),"0")</f>
        <v>776.48</v>
      </c>
      <c r="V175" s="316">
        <f>+IFERROR(U175*(S175*(1+T175)),0)</f>
        <v>370148.01600000006</v>
      </c>
      <c r="Y175" s="321">
        <f>+IFERROR(Y162*(S175*(1+T175)),0)</f>
        <v>9587.433302999998</v>
      </c>
      <c r="Z175" s="318">
        <f>Y162*V175</f>
        <v>7444450.2111134389</v>
      </c>
      <c r="AA175" s="300"/>
      <c r="AB175" s="301">
        <f>+Y175*U175</f>
        <v>7444450.2111134389</v>
      </c>
      <c r="AC175" s="302">
        <f>+AB175-Z175</f>
        <v>0</v>
      </c>
      <c r="AD175" s="280"/>
      <c r="AE175" s="337" t="str">
        <f t="shared" ref="AE175:AE181" si="21">+IF(V175=0,"CERO","NO")</f>
        <v>NO</v>
      </c>
    </row>
    <row r="176" spans="3:31" ht="14.4" x14ac:dyDescent="0.3">
      <c r="C176" s="292"/>
      <c r="D176" s="311"/>
      <c r="E176" s="279"/>
      <c r="F176" s="279"/>
      <c r="G176" s="279"/>
      <c r="H176" s="279"/>
      <c r="I176" s="279"/>
      <c r="J176" s="312"/>
      <c r="K176" s="293"/>
      <c r="M176" s="313">
        <v>401</v>
      </c>
      <c r="N176" s="718" t="str">
        <f>IFERROR(VLOOKUP(M176,INSUMOS!$C$8:$K$934,2,0),"-----")</f>
        <v>Agua</v>
      </c>
      <c r="O176" s="718"/>
      <c r="P176" s="718"/>
      <c r="Q176" s="718"/>
      <c r="R176" s="314" t="str">
        <f>IFERROR(VLOOKUP(M176,INSUMOS!$C$8:$K$934,6,0),"-----")</f>
        <v>lt</v>
      </c>
      <c r="S176" s="322">
        <v>240</v>
      </c>
      <c r="T176" s="315">
        <v>0.05</v>
      </c>
      <c r="U176" s="338">
        <f>IFERROR(VLOOKUP(M176,INSUMOS!$C$8:$K$934,7,0),"0")</f>
        <v>5</v>
      </c>
      <c r="V176" s="316">
        <f>+IFERROR(U176*(S176*(1+T176)),0)</f>
        <v>1260</v>
      </c>
      <c r="Y176" s="321">
        <f>+IFERROR(Y162*(S176*(1+T176)),0)</f>
        <v>5068.2466799999984</v>
      </c>
      <c r="Z176" s="318">
        <f>Y162*V176</f>
        <v>25341.233399999994</v>
      </c>
      <c r="AA176" s="300"/>
      <c r="AB176" s="301">
        <f t="shared" ref="AB176:AB181" si="22">+Y176*U176</f>
        <v>25341.23339999999</v>
      </c>
      <c r="AC176" s="302">
        <f t="shared" ref="AC176:AC181" si="23">+AB176-Z176</f>
        <v>0</v>
      </c>
      <c r="AD176" s="280"/>
      <c r="AE176" s="337" t="str">
        <f t="shared" si="21"/>
        <v>NO</v>
      </c>
    </row>
    <row r="177" spans="3:31" ht="14.4" x14ac:dyDescent="0.3">
      <c r="C177" s="292"/>
      <c r="D177" s="311"/>
      <c r="E177" s="279"/>
      <c r="F177" s="279"/>
      <c r="G177" s="279"/>
      <c r="H177" s="279"/>
      <c r="I177" s="279"/>
      <c r="J177" s="312"/>
      <c r="K177" s="293"/>
      <c r="M177" s="313">
        <v>405</v>
      </c>
      <c r="N177" s="718" t="str">
        <f>IFERROR(VLOOKUP(M177,INSUMOS!$C$8:$K$934,2,0),"-----")</f>
        <v>Arena gruesa</v>
      </c>
      <c r="O177" s="718"/>
      <c r="P177" s="718"/>
      <c r="Q177" s="718"/>
      <c r="R177" s="314" t="str">
        <f>IFERROR(VLOOKUP(M177,INSUMOS!$C$8:$K$934,6,0),"-----")</f>
        <v>m3</v>
      </c>
      <c r="S177" s="322">
        <v>1.0900000000000001</v>
      </c>
      <c r="T177" s="315">
        <v>0.05</v>
      </c>
      <c r="U177" s="338">
        <f>IFERROR(VLOOKUP(M177,INSUMOS!$C$8:$K$934,7,0),"0")</f>
        <v>117647</v>
      </c>
      <c r="V177" s="316">
        <f>+IFERROR(U177*(S177*(1+T177)),0)</f>
        <v>134646.9915</v>
      </c>
      <c r="Y177" s="321">
        <f>+IFERROR(Y162*(S177*(1+T177)),0)</f>
        <v>23.018287004999994</v>
      </c>
      <c r="Z177" s="318">
        <f>Y162*V177</f>
        <v>2708032.4112772346</v>
      </c>
      <c r="AA177" s="300"/>
      <c r="AB177" s="301">
        <f t="shared" si="22"/>
        <v>2708032.4112772341</v>
      </c>
      <c r="AC177" s="302">
        <f t="shared" si="23"/>
        <v>0</v>
      </c>
      <c r="AD177" s="280"/>
      <c r="AE177" s="337" t="str">
        <f t="shared" si="21"/>
        <v>NO</v>
      </c>
    </row>
    <row r="178" spans="3:31" ht="14.4" x14ac:dyDescent="0.3">
      <c r="C178" s="292"/>
      <c r="D178" s="311"/>
      <c r="E178" s="279"/>
      <c r="F178" s="279"/>
      <c r="G178" s="279"/>
      <c r="H178" s="279"/>
      <c r="I178" s="279"/>
      <c r="J178" s="312"/>
      <c r="K178" s="293"/>
      <c r="M178" s="313">
        <v>0</v>
      </c>
      <c r="N178" s="718" t="str">
        <f>IFERROR(VLOOKUP(M178,INSUMOS!$C$8:$K$934,2,0),"-----")</f>
        <v>-----</v>
      </c>
      <c r="O178" s="718"/>
      <c r="P178" s="718"/>
      <c r="Q178" s="718"/>
      <c r="R178" s="314" t="str">
        <f>IFERROR(VLOOKUP(M178,INSUMOS!$C$8:$K$934,6,0),"-----")</f>
        <v>-----</v>
      </c>
      <c r="S178" s="322"/>
      <c r="T178" s="315"/>
      <c r="U178" s="338" t="str">
        <f>IFERROR(VLOOKUP(M178,INSUMOS!$C$8:$K$934,7,0),"0")</f>
        <v>0</v>
      </c>
      <c r="V178" s="316">
        <f>+IFERROR(U178*(S178*(1+T178)),0)</f>
        <v>0</v>
      </c>
      <c r="Y178" s="321">
        <f>+IFERROR(Y162*(S178*(1+T178)),0)</f>
        <v>0</v>
      </c>
      <c r="Z178" s="318">
        <f>Y162*V178</f>
        <v>0</v>
      </c>
      <c r="AA178" s="300"/>
      <c r="AB178" s="301">
        <f t="shared" si="22"/>
        <v>0</v>
      </c>
      <c r="AC178" s="302">
        <f t="shared" si="23"/>
        <v>0</v>
      </c>
      <c r="AD178" s="280"/>
      <c r="AE178" s="337" t="str">
        <f t="shared" si="21"/>
        <v>CERO</v>
      </c>
    </row>
    <row r="179" spans="3:31" ht="14.4" x14ac:dyDescent="0.3">
      <c r="C179" s="292"/>
      <c r="D179" s="311"/>
      <c r="E179" s="279"/>
      <c r="F179" s="279"/>
      <c r="G179" s="279"/>
      <c r="H179" s="279"/>
      <c r="I179" s="279"/>
      <c r="J179" s="312"/>
      <c r="K179" s="293"/>
      <c r="M179" s="313">
        <v>0</v>
      </c>
      <c r="N179" s="718"/>
      <c r="O179" s="718"/>
      <c r="P179" s="718"/>
      <c r="Q179" s="718"/>
      <c r="R179" s="314"/>
      <c r="S179" s="322"/>
      <c r="T179" s="315"/>
      <c r="U179" s="338"/>
      <c r="V179" s="323"/>
      <c r="Y179" s="321">
        <f>+IFERROR(Y162*(S179*(1+T179)),0)</f>
        <v>0</v>
      </c>
      <c r="Z179" s="318">
        <f>Y162*V179</f>
        <v>0</v>
      </c>
      <c r="AA179" s="300"/>
      <c r="AB179" s="301">
        <f t="shared" si="22"/>
        <v>0</v>
      </c>
      <c r="AC179" s="302">
        <f t="shared" si="23"/>
        <v>0</v>
      </c>
      <c r="AD179" s="280"/>
      <c r="AE179" s="337" t="str">
        <f t="shared" si="21"/>
        <v>CERO</v>
      </c>
    </row>
    <row r="180" spans="3:31" ht="14.4" x14ac:dyDescent="0.3">
      <c r="C180" s="292"/>
      <c r="D180" s="311"/>
      <c r="E180" s="279"/>
      <c r="F180" s="279"/>
      <c r="G180" s="279"/>
      <c r="H180" s="279"/>
      <c r="I180" s="279"/>
      <c r="J180" s="312"/>
      <c r="K180" s="293"/>
      <c r="M180" s="313">
        <v>0</v>
      </c>
      <c r="N180" s="718"/>
      <c r="O180" s="718"/>
      <c r="P180" s="718"/>
      <c r="Q180" s="718"/>
      <c r="R180" s="314"/>
      <c r="S180" s="322"/>
      <c r="T180" s="315"/>
      <c r="U180" s="338"/>
      <c r="V180" s="323"/>
      <c r="Y180" s="321">
        <f>+IFERROR(Y162*(S180*(1+T180)),0)</f>
        <v>0</v>
      </c>
      <c r="Z180" s="318">
        <f>Y162*V180</f>
        <v>0</v>
      </c>
      <c r="AA180" s="300"/>
      <c r="AB180" s="301">
        <f t="shared" si="22"/>
        <v>0</v>
      </c>
      <c r="AC180" s="302">
        <f t="shared" si="23"/>
        <v>0</v>
      </c>
      <c r="AD180" s="280"/>
      <c r="AE180" s="337" t="str">
        <f t="shared" si="21"/>
        <v>CERO</v>
      </c>
    </row>
    <row r="181" spans="3:31" ht="15" thickBot="1" x14ac:dyDescent="0.35">
      <c r="C181" s="292"/>
      <c r="D181" s="311"/>
      <c r="E181" s="279"/>
      <c r="F181" s="279"/>
      <c r="G181" s="279"/>
      <c r="H181" s="279"/>
      <c r="I181" s="279"/>
      <c r="J181" s="312"/>
      <c r="K181" s="293"/>
      <c r="M181" s="313">
        <v>0</v>
      </c>
      <c r="N181" s="727"/>
      <c r="O181" s="727"/>
      <c r="P181" s="727"/>
      <c r="Q181" s="727"/>
      <c r="R181" s="326"/>
      <c r="S181" s="339"/>
      <c r="T181" s="340"/>
      <c r="U181" s="341"/>
      <c r="V181" s="323"/>
      <c r="Y181" s="321">
        <f>+IFERROR(Y162*(S181*(1+T181)),0)</f>
        <v>0</v>
      </c>
      <c r="Z181" s="318">
        <f>Y162*V181</f>
        <v>0</v>
      </c>
      <c r="AA181" s="300"/>
      <c r="AB181" s="301">
        <f t="shared" si="22"/>
        <v>0</v>
      </c>
      <c r="AC181" s="302">
        <f t="shared" si="23"/>
        <v>0</v>
      </c>
      <c r="AD181" s="280"/>
      <c r="AE181" s="337" t="str">
        <f t="shared" si="21"/>
        <v>CERO</v>
      </c>
    </row>
    <row r="182" spans="3:31" ht="15" thickBot="1" x14ac:dyDescent="0.35">
      <c r="C182" s="292"/>
      <c r="D182" s="295" t="s">
        <v>132</v>
      </c>
      <c r="E182" s="296" t="s">
        <v>133</v>
      </c>
      <c r="F182" s="296" t="s">
        <v>134</v>
      </c>
      <c r="G182" s="296" t="s">
        <v>135</v>
      </c>
      <c r="H182" s="296" t="s">
        <v>136</v>
      </c>
      <c r="I182" s="296" t="s">
        <v>137</v>
      </c>
      <c r="J182" s="297" t="s">
        <v>138</v>
      </c>
      <c r="K182" s="293"/>
      <c r="M182" s="724"/>
      <c r="N182" s="725" t="s">
        <v>109</v>
      </c>
      <c r="O182" s="725"/>
      <c r="P182" s="725"/>
      <c r="Q182" s="725"/>
      <c r="R182" s="725"/>
      <c r="S182" s="725"/>
      <c r="T182" s="725"/>
      <c r="U182" s="725"/>
      <c r="V182" s="316">
        <f>+SUM(V175:V181)</f>
        <v>506055.00750000007</v>
      </c>
      <c r="Y182" s="328" t="s">
        <v>139</v>
      </c>
      <c r="Z182" s="329">
        <f>+SUM(Z175:Z181)</f>
        <v>10177823.855790675</v>
      </c>
      <c r="AA182" s="279"/>
      <c r="AB182" s="290"/>
      <c r="AC182" s="291"/>
      <c r="AD182" s="280"/>
      <c r="AE182" s="330"/>
    </row>
    <row r="183" spans="3:31" ht="15" thickBot="1" x14ac:dyDescent="0.35">
      <c r="C183" s="292"/>
      <c r="D183" s="295"/>
      <c r="E183" s="343" t="str">
        <f>+D172</f>
        <v>M 1:3</v>
      </c>
      <c r="F183" s="296"/>
      <c r="G183" s="296"/>
      <c r="H183" s="296"/>
      <c r="I183" s="296"/>
      <c r="J183" s="297"/>
      <c r="K183" s="293"/>
      <c r="M183" s="724"/>
      <c r="N183" s="726" t="s">
        <v>110</v>
      </c>
      <c r="O183" s="726"/>
      <c r="P183" s="726"/>
      <c r="Q183" s="726"/>
      <c r="R183" s="726"/>
      <c r="S183" s="726"/>
      <c r="T183" s="726"/>
      <c r="U183" s="726"/>
      <c r="V183" s="344">
        <f>+ROUND(V182,$AA$2)</f>
        <v>506055</v>
      </c>
      <c r="Y183" s="332" t="s">
        <v>140</v>
      </c>
      <c r="Z183" s="333">
        <f>+ROUND(Z182,$AA$2)</f>
        <v>10177824</v>
      </c>
      <c r="AA183" s="279"/>
      <c r="AB183" s="324">
        <f>+V183*Y162</f>
        <v>10177823.704949997</v>
      </c>
      <c r="AC183" s="325">
        <f>+AB183-Z183</f>
        <v>-0.2950500026345253</v>
      </c>
      <c r="AD183" s="280"/>
      <c r="AE183" s="334"/>
    </row>
    <row r="184" spans="3:31" ht="14.4" x14ac:dyDescent="0.3">
      <c r="C184" s="292"/>
      <c r="D184" s="304"/>
      <c r="E184" s="305"/>
      <c r="F184" s="305"/>
      <c r="G184" s="305"/>
      <c r="H184" s="305"/>
      <c r="I184" s="305"/>
      <c r="J184" s="306"/>
      <c r="K184" s="293"/>
      <c r="M184" s="733" t="s">
        <v>111</v>
      </c>
      <c r="N184" s="733"/>
      <c r="O184" s="733"/>
      <c r="P184" s="733"/>
      <c r="Q184" s="733"/>
      <c r="R184" s="733"/>
      <c r="S184" s="733"/>
      <c r="T184" s="733"/>
      <c r="U184" s="733"/>
      <c r="V184" s="733"/>
      <c r="Y184" s="298"/>
      <c r="Z184" s="299"/>
      <c r="AA184" s="279"/>
      <c r="AB184" s="342"/>
      <c r="AC184" s="299"/>
      <c r="AD184" s="280"/>
      <c r="AE184" s="335"/>
    </row>
    <row r="185" spans="3:31" ht="27.6" x14ac:dyDescent="0.3">
      <c r="C185" s="292"/>
      <c r="D185" s="311"/>
      <c r="E185" s="279"/>
      <c r="F185" s="279"/>
      <c r="G185" s="279"/>
      <c r="H185" s="279"/>
      <c r="I185" s="279"/>
      <c r="J185" s="312"/>
      <c r="K185" s="293"/>
      <c r="M185" s="307" t="s">
        <v>97</v>
      </c>
      <c r="N185" s="706" t="s">
        <v>98</v>
      </c>
      <c r="O185" s="706"/>
      <c r="P185" s="706"/>
      <c r="Q185" s="307" t="s">
        <v>112</v>
      </c>
      <c r="R185" s="307" t="s">
        <v>113</v>
      </c>
      <c r="S185" s="307" t="s">
        <v>114</v>
      </c>
      <c r="T185" s="734" t="s">
        <v>115</v>
      </c>
      <c r="U185" s="734"/>
      <c r="V185" s="307" t="s">
        <v>101</v>
      </c>
      <c r="Y185" s="308" t="s">
        <v>107</v>
      </c>
      <c r="Z185" s="309" t="s">
        <v>9</v>
      </c>
      <c r="AA185" s="279"/>
      <c r="AB185" s="290"/>
      <c r="AC185" s="291"/>
      <c r="AD185" s="280"/>
      <c r="AE185" s="349"/>
    </row>
    <row r="186" spans="3:31" ht="14.4" x14ac:dyDescent="0.3">
      <c r="C186" s="350"/>
      <c r="D186" s="351"/>
      <c r="E186" s="345"/>
      <c r="F186" s="345"/>
      <c r="G186" s="345"/>
      <c r="H186" s="345"/>
      <c r="I186" s="345"/>
      <c r="J186" s="352"/>
      <c r="K186" s="353"/>
      <c r="M186" s="354">
        <v>120</v>
      </c>
      <c r="N186" s="718" t="str">
        <f>IFERROR(VLOOKUP(M186,INSUMOS!$C$8:$K$934,2,0),"-----")</f>
        <v>Transporte Cemento - San Gil</v>
      </c>
      <c r="O186" s="718"/>
      <c r="P186" s="718"/>
      <c r="Q186" s="314" t="str">
        <f>IFERROR(VLOOKUP(M186,INSUMOS!$C$8:$K$934,5,0),"-----")</f>
        <v>kg/km</v>
      </c>
      <c r="R186" s="355">
        <f>S175*(1+T175)</f>
        <v>476.70000000000005</v>
      </c>
      <c r="S186" s="355">
        <f>IFERROR(VLOOKUP(M186,INSUMOS!$C$8:$K$934,6,0),"0")</f>
        <v>4.87</v>
      </c>
      <c r="T186" s="719">
        <f>IFERROR(VLOOKUP(M186,INSUMOS!$C$8:$K$934,7,0),"0")</f>
        <v>10</v>
      </c>
      <c r="U186" s="719"/>
      <c r="V186" s="515">
        <f>+T186*S186*R186</f>
        <v>23215.290000000005</v>
      </c>
      <c r="Y186" s="321">
        <f>+IFERROR((R186*S186)*Y162,0)</f>
        <v>46690.800185609995</v>
      </c>
      <c r="Z186" s="318">
        <f>Y162*V186</f>
        <v>466908.00185609999</v>
      </c>
      <c r="AA186" s="345"/>
      <c r="AB186" s="346">
        <f>+Y186*T186</f>
        <v>466908.00185609993</v>
      </c>
      <c r="AC186" s="347">
        <f>+AB186-Z186</f>
        <v>0</v>
      </c>
      <c r="AD186" s="348"/>
      <c r="AE186" s="337" t="str">
        <f t="shared" ref="AE186:AE190" si="24">+IF(V186=0,"CERO","NO")</f>
        <v>NO</v>
      </c>
    </row>
    <row r="187" spans="3:31" ht="14.4" x14ac:dyDescent="0.3">
      <c r="C187" s="350"/>
      <c r="D187" s="351"/>
      <c r="E187" s="345"/>
      <c r="F187" s="345"/>
      <c r="G187" s="345"/>
      <c r="H187" s="345"/>
      <c r="I187" s="345"/>
      <c r="J187" s="352"/>
      <c r="K187" s="353"/>
      <c r="M187" s="354">
        <v>100</v>
      </c>
      <c r="N187" s="718" t="str">
        <f>IFERROR(VLOOKUP(M187,INSUMOS!$C$8:$K$934,2,0),"-----")</f>
        <v>Transporte Arena - Pescadero</v>
      </c>
      <c r="O187" s="718"/>
      <c r="P187" s="718"/>
      <c r="Q187" s="314" t="str">
        <f>IFERROR(VLOOKUP(M187,INSUMOS!$C$8:$K$934,5,0),"-----")</f>
        <v>m3/km</v>
      </c>
      <c r="R187" s="355">
        <f>S177*(1+T177)</f>
        <v>1.1445000000000001</v>
      </c>
      <c r="S187" s="355">
        <f>IFERROR(VLOOKUP(M187,INSUMOS!$C$8:$K$934,6,0),"0")</f>
        <v>60.3</v>
      </c>
      <c r="T187" s="719">
        <f>IFERROR(VLOOKUP(M187,INSUMOS!$C$8:$K$934,7,0),"0")</f>
        <v>1800</v>
      </c>
      <c r="U187" s="719"/>
      <c r="V187" s="515">
        <f>+T187*S187*R187</f>
        <v>124224.03000000001</v>
      </c>
      <c r="Y187" s="321">
        <f>+IFERROR((R187*S187)*Y162,0)</f>
        <v>1388.0027064014996</v>
      </c>
      <c r="Z187" s="318">
        <f>Y162*V187</f>
        <v>2498404.8715226995</v>
      </c>
      <c r="AA187" s="345"/>
      <c r="AB187" s="346">
        <f>+Y187*T187</f>
        <v>2498404.8715226995</v>
      </c>
      <c r="AC187" s="347">
        <f>+AB187-Z187</f>
        <v>0</v>
      </c>
      <c r="AD187" s="348"/>
      <c r="AE187" s="337" t="str">
        <f t="shared" si="24"/>
        <v>NO</v>
      </c>
    </row>
    <row r="188" spans="3:31" ht="14.4" x14ac:dyDescent="0.3">
      <c r="C188" s="350"/>
      <c r="D188" s="351"/>
      <c r="E188" s="345"/>
      <c r="F188" s="345"/>
      <c r="G188" s="345"/>
      <c r="H188" s="345"/>
      <c r="I188" s="345"/>
      <c r="J188" s="352"/>
      <c r="K188" s="353"/>
      <c r="M188" s="354">
        <v>0</v>
      </c>
      <c r="N188" s="718" t="str">
        <f>IFERROR(VLOOKUP(M188,INSUMOS!$C$8:$K$934,2,0),"-----")</f>
        <v>-----</v>
      </c>
      <c r="O188" s="718"/>
      <c r="P188" s="718"/>
      <c r="Q188" s="314" t="str">
        <f>IFERROR(VLOOKUP(M188,INSUMOS!$C$8:$K$934,5,0),"-----")</f>
        <v>-----</v>
      </c>
      <c r="R188" s="355"/>
      <c r="S188" s="355" t="str">
        <f>IFERROR(VLOOKUP(M188,INSUMOS!$C$8:$K$934,6,0),"0")</f>
        <v>0</v>
      </c>
      <c r="T188" s="719" t="str">
        <f>IFERROR(VLOOKUP(M188,INSUMOS!$C$8:$K$934,7,0),"0")</f>
        <v>0</v>
      </c>
      <c r="U188" s="719"/>
      <c r="V188" s="515">
        <f>+T188*S188*R188</f>
        <v>0</v>
      </c>
      <c r="Y188" s="321">
        <f>+IFERROR((R188*S188)*Y162,0)</f>
        <v>0</v>
      </c>
      <c r="Z188" s="318">
        <f>Y162*V188</f>
        <v>0</v>
      </c>
      <c r="AA188" s="345"/>
      <c r="AB188" s="346">
        <f t="shared" ref="AB188:AB189" si="25">+Y188*T188</f>
        <v>0</v>
      </c>
      <c r="AC188" s="347">
        <f t="shared" ref="AC188:AC189" si="26">+AB188-Z188</f>
        <v>0</v>
      </c>
      <c r="AD188" s="348"/>
      <c r="AE188" s="337" t="str">
        <f t="shared" si="24"/>
        <v>CERO</v>
      </c>
    </row>
    <row r="189" spans="3:31" ht="14.4" x14ac:dyDescent="0.3">
      <c r="C189" s="350"/>
      <c r="D189" s="351"/>
      <c r="E189" s="345"/>
      <c r="F189" s="345"/>
      <c r="G189" s="345"/>
      <c r="H189" s="345"/>
      <c r="I189" s="345"/>
      <c r="J189" s="352"/>
      <c r="K189" s="353"/>
      <c r="M189" s="354">
        <v>0</v>
      </c>
      <c r="N189" s="718"/>
      <c r="O189" s="718"/>
      <c r="P189" s="718"/>
      <c r="Q189" s="357"/>
      <c r="R189" s="355"/>
      <c r="S189" s="358"/>
      <c r="T189" s="719"/>
      <c r="U189" s="719"/>
      <c r="V189" s="515"/>
      <c r="Y189" s="321">
        <f>+IFERROR((R189*S189)*Y162,0)</f>
        <v>0</v>
      </c>
      <c r="Z189" s="318">
        <f>Y162*V189</f>
        <v>0</v>
      </c>
      <c r="AA189" s="345"/>
      <c r="AB189" s="346">
        <f t="shared" si="25"/>
        <v>0</v>
      </c>
      <c r="AC189" s="347">
        <f t="shared" si="26"/>
        <v>0</v>
      </c>
      <c r="AD189" s="348"/>
      <c r="AE189" s="337" t="str">
        <f t="shared" si="24"/>
        <v>CERO</v>
      </c>
    </row>
    <row r="190" spans="3:31" ht="15" thickBot="1" x14ac:dyDescent="0.35">
      <c r="C190" s="350"/>
      <c r="D190" s="360"/>
      <c r="E190" s="361"/>
      <c r="F190" s="361"/>
      <c r="G190" s="361"/>
      <c r="H190" s="361"/>
      <c r="I190" s="361"/>
      <c r="J190" s="362"/>
      <c r="K190" s="353"/>
      <c r="M190" s="354">
        <v>0</v>
      </c>
      <c r="N190" s="718"/>
      <c r="O190" s="718"/>
      <c r="P190" s="718"/>
      <c r="Q190" s="357"/>
      <c r="R190" s="314"/>
      <c r="S190" s="358"/>
      <c r="T190" s="719"/>
      <c r="U190" s="719"/>
      <c r="V190" s="515"/>
      <c r="Y190" s="321">
        <f>+IFERROR((R190*S190)*Y162,0)</f>
        <v>0</v>
      </c>
      <c r="Z190" s="318">
        <f>Y162*V190</f>
        <v>0</v>
      </c>
      <c r="AA190" s="345"/>
      <c r="AB190" s="346">
        <f>+Y190*T190</f>
        <v>0</v>
      </c>
      <c r="AC190" s="347">
        <f>+AB190-Z190</f>
        <v>0</v>
      </c>
      <c r="AD190" s="348"/>
      <c r="AE190" s="337" t="str">
        <f t="shared" si="24"/>
        <v>CERO</v>
      </c>
    </row>
    <row r="191" spans="3:31" ht="15" thickBot="1" x14ac:dyDescent="0.35">
      <c r="C191" s="292"/>
      <c r="D191" s="295" t="s">
        <v>132</v>
      </c>
      <c r="E191" s="296" t="s">
        <v>133</v>
      </c>
      <c r="F191" s="296" t="s">
        <v>134</v>
      </c>
      <c r="G191" s="296" t="s">
        <v>135</v>
      </c>
      <c r="H191" s="296" t="s">
        <v>136</v>
      </c>
      <c r="I191" s="296" t="s">
        <v>137</v>
      </c>
      <c r="J191" s="297" t="s">
        <v>138</v>
      </c>
      <c r="K191" s="293"/>
      <c r="M191" s="720"/>
      <c r="N191" s="721" t="s">
        <v>116</v>
      </c>
      <c r="O191" s="721"/>
      <c r="P191" s="721"/>
      <c r="Q191" s="721"/>
      <c r="R191" s="721"/>
      <c r="S191" s="721"/>
      <c r="T191" s="721"/>
      <c r="U191" s="721"/>
      <c r="V191" s="499">
        <f>+SUM(V186:V190)</f>
        <v>147439.32</v>
      </c>
      <c r="Y191" s="328" t="s">
        <v>139</v>
      </c>
      <c r="Z191" s="329">
        <f>+SUM(Z186:Z190)</f>
        <v>2965312.8733787993</v>
      </c>
      <c r="AA191" s="279"/>
      <c r="AB191" s="290"/>
      <c r="AC191" s="291"/>
      <c r="AD191" s="280"/>
      <c r="AE191" s="330"/>
    </row>
    <row r="192" spans="3:31" ht="15" thickBot="1" x14ac:dyDescent="0.35">
      <c r="C192" s="292"/>
      <c r="D192" s="363"/>
      <c r="E192" s="364"/>
      <c r="F192" s="365" t="str">
        <f>+E183</f>
        <v>M 1:3</v>
      </c>
      <c r="G192" s="364"/>
      <c r="H192" s="364"/>
      <c r="I192" s="364"/>
      <c r="J192" s="366"/>
      <c r="K192" s="293"/>
      <c r="M192" s="720"/>
      <c r="N192" s="722" t="s">
        <v>117</v>
      </c>
      <c r="O192" s="722"/>
      <c r="P192" s="722"/>
      <c r="Q192" s="722"/>
      <c r="R192" s="722"/>
      <c r="S192" s="722"/>
      <c r="T192" s="722"/>
      <c r="U192" s="722"/>
      <c r="V192" s="344">
        <f>+ROUND(V191,$AA$2)</f>
        <v>147439</v>
      </c>
      <c r="Y192" s="332" t="s">
        <v>140</v>
      </c>
      <c r="Z192" s="333">
        <f>+ROUND(Z191,$AA$2)</f>
        <v>2965313</v>
      </c>
      <c r="AA192" s="279"/>
      <c r="AB192" s="324">
        <f>+V192*Y162</f>
        <v>2965306.4375099991</v>
      </c>
      <c r="AC192" s="359"/>
      <c r="AD192" s="280"/>
      <c r="AE192" s="334"/>
    </row>
    <row r="193" spans="3:31" ht="15" thickBot="1" x14ac:dyDescent="0.35">
      <c r="C193" s="292"/>
      <c r="D193" s="369"/>
      <c r="E193" s="370"/>
      <c r="F193" s="370"/>
      <c r="G193" s="370"/>
      <c r="H193" s="370"/>
      <c r="I193" s="370"/>
      <c r="J193" s="371"/>
      <c r="K193" s="293"/>
      <c r="M193" s="723" t="s">
        <v>118</v>
      </c>
      <c r="N193" s="723"/>
      <c r="O193" s="723"/>
      <c r="P193" s="723"/>
      <c r="Q193" s="723"/>
      <c r="R193" s="723"/>
      <c r="S193" s="723"/>
      <c r="T193" s="723"/>
      <c r="U193" s="723"/>
      <c r="V193" s="723"/>
      <c r="Y193" s="298"/>
      <c r="Z193" s="299"/>
      <c r="AA193" s="279"/>
      <c r="AB193" s="342"/>
      <c r="AC193" s="299"/>
      <c r="AD193" s="280"/>
      <c r="AE193" s="335"/>
    </row>
    <row r="194" spans="3:31" ht="15" thickBot="1" x14ac:dyDescent="0.35">
      <c r="C194" s="292"/>
      <c r="D194" s="295" t="s">
        <v>132</v>
      </c>
      <c r="E194" s="296" t="s">
        <v>133</v>
      </c>
      <c r="F194" s="296" t="s">
        <v>134</v>
      </c>
      <c r="G194" s="296" t="s">
        <v>135</v>
      </c>
      <c r="H194" s="296" t="s">
        <v>136</v>
      </c>
      <c r="I194" s="296" t="s">
        <v>137</v>
      </c>
      <c r="J194" s="297" t="s">
        <v>138</v>
      </c>
      <c r="K194" s="293"/>
      <c r="M194" s="307" t="s">
        <v>97</v>
      </c>
      <c r="N194" s="372" t="s">
        <v>98</v>
      </c>
      <c r="O194" s="307" t="s">
        <v>99</v>
      </c>
      <c r="P194" s="396" t="s">
        <v>107</v>
      </c>
      <c r="Q194" s="307" t="s">
        <v>119</v>
      </c>
      <c r="R194" s="373" t="s">
        <v>120</v>
      </c>
      <c r="S194" s="307" t="s">
        <v>363</v>
      </c>
      <c r="T194" s="374" t="s">
        <v>121</v>
      </c>
      <c r="U194" s="375" t="s">
        <v>122</v>
      </c>
      <c r="V194" s="307" t="s">
        <v>101</v>
      </c>
      <c r="Y194" s="308" t="s">
        <v>107</v>
      </c>
      <c r="Z194" s="309" t="s">
        <v>9</v>
      </c>
      <c r="AA194" s="279"/>
      <c r="AB194" s="290"/>
      <c r="AC194" s="291"/>
      <c r="AD194" s="280"/>
      <c r="AE194" s="349"/>
    </row>
    <row r="195" spans="3:31" ht="14.4" x14ac:dyDescent="0.3">
      <c r="C195" s="292"/>
      <c r="D195" s="376"/>
      <c r="E195" s="377"/>
      <c r="F195" s="377"/>
      <c r="G195" s="377"/>
      <c r="H195" s="377"/>
      <c r="I195" s="377"/>
      <c r="J195" s="378" t="str">
        <f>+F192</f>
        <v>M 1:3</v>
      </c>
      <c r="K195" s="293"/>
      <c r="M195" s="313">
        <v>201</v>
      </c>
      <c r="N195" s="379" t="str">
        <f>IFERROR(VLOOKUP(M195,INSUMOS!$C$8:$K$934,2,0),"-----")</f>
        <v>Oficial Albañileria</v>
      </c>
      <c r="O195" s="314" t="str">
        <f>IFERROR(VLOOKUP(M195,INSUMOS!$C$8:$K$934,3,0),"-----")</f>
        <v>JORNAL+PS</v>
      </c>
      <c r="P195" s="355">
        <v>1</v>
      </c>
      <c r="Q195" s="339">
        <v>7</v>
      </c>
      <c r="R195" s="380">
        <f>IFERROR(VLOOKUP(M195,INSUMOS!$C$8:$K$934,4,0),"-----")</f>
        <v>114970</v>
      </c>
      <c r="S195" s="380">
        <f>IFERROR(VLOOKUP(M195,INSUMOS!$C$8:$K$934,6,0),"-----")</f>
        <v>91976</v>
      </c>
      <c r="T195" s="380">
        <f>IFERROR(VLOOKUP(M195,INSUMOS!$C$8:$K$934,5,0),"-----")</f>
        <v>0</v>
      </c>
      <c r="U195" s="338">
        <f>SUM(R195:T195)</f>
        <v>206946</v>
      </c>
      <c r="V195" s="316">
        <f>+IFERROR((P195/Q195)*U195,0)</f>
        <v>29563.714285714283</v>
      </c>
      <c r="Y195" s="321">
        <f>+IFERROR((Y162/Q195*P195),0)</f>
        <v>2.8731557142857134</v>
      </c>
      <c r="Z195" s="318">
        <f>Y162*V195</f>
        <v>594588.08244857122</v>
      </c>
      <c r="AA195" s="279"/>
      <c r="AB195" s="367">
        <f>+(U195)*Y195</f>
        <v>594588.08244857122</v>
      </c>
      <c r="AC195" s="302">
        <f>+AB195-Z195</f>
        <v>0</v>
      </c>
      <c r="AD195" s="368"/>
      <c r="AE195" s="349" t="str">
        <f>+IF(V195=0,"CERO","NO")</f>
        <v>NO</v>
      </c>
    </row>
    <row r="196" spans="3:31" ht="15" thickBot="1" x14ac:dyDescent="0.35">
      <c r="C196" s="292"/>
      <c r="D196" s="363"/>
      <c r="E196" s="364"/>
      <c r="F196" s="364"/>
      <c r="G196" s="364"/>
      <c r="H196" s="364"/>
      <c r="I196" s="364"/>
      <c r="J196" s="381" t="str">
        <f>+J195</f>
        <v>M 1:3</v>
      </c>
      <c r="K196" s="293"/>
      <c r="M196" s="313">
        <v>202</v>
      </c>
      <c r="N196" s="379" t="str">
        <f>IFERROR(VLOOKUP(M196,INSUMOS!$C$8:$K$934,2,0),"-----")</f>
        <v>Ayudante Albañileria</v>
      </c>
      <c r="O196" s="314" t="str">
        <f>IFERROR(VLOOKUP(M196,INSUMOS!$C$8:$K$934,3,0),"-----")</f>
        <v>JORNAL+PS</v>
      </c>
      <c r="P196" s="355">
        <v>5</v>
      </c>
      <c r="Q196" s="339">
        <v>7</v>
      </c>
      <c r="R196" s="380">
        <f>IFERROR(VLOOKUP(M196,INSUMOS!$C$8:$K$934,4,0),"-----")</f>
        <v>94970</v>
      </c>
      <c r="S196" s="380">
        <f>IFERROR(VLOOKUP(M196,INSUMOS!$C$8:$K$934,6,0),"-----")</f>
        <v>75976</v>
      </c>
      <c r="T196" s="380">
        <f>IFERROR(VLOOKUP(M196,INSUMOS!$C$8:$K$934,5,0),"-----")</f>
        <v>0</v>
      </c>
      <c r="U196" s="338">
        <f>SUM(R196:T196)</f>
        <v>170946</v>
      </c>
      <c r="V196" s="316">
        <f>+IFERROR((P196/Q196)*U196,0)</f>
        <v>122104.28571428571</v>
      </c>
      <c r="Y196" s="321">
        <f>+IFERROR((Y162/Q196*P196),0)</f>
        <v>14.365778571428567</v>
      </c>
      <c r="Z196" s="318">
        <f>Y162*V196</f>
        <v>2455772.3836714281</v>
      </c>
      <c r="AA196" s="279"/>
      <c r="AB196" s="367">
        <f>+U196*Y196</f>
        <v>2455772.3836714281</v>
      </c>
      <c r="AC196" s="302">
        <f>+AB196-Z196</f>
        <v>0</v>
      </c>
      <c r="AD196" s="280"/>
      <c r="AE196" s="349" t="str">
        <f t="shared" ref="AE196:AE197" si="27">+IF(V196=0,"CERO","NO")</f>
        <v>NO</v>
      </c>
    </row>
    <row r="197" spans="3:31" ht="15" thickBot="1" x14ac:dyDescent="0.35">
      <c r="C197" s="292"/>
      <c r="D197" s="304"/>
      <c r="E197" s="305"/>
      <c r="F197" s="305"/>
      <c r="G197" s="305"/>
      <c r="H197" s="305"/>
      <c r="I197" s="305"/>
      <c r="J197" s="306"/>
      <c r="K197" s="293"/>
      <c r="M197" s="313">
        <v>0</v>
      </c>
      <c r="N197" s="379"/>
      <c r="O197" s="339"/>
      <c r="P197" s="382"/>
      <c r="Q197" s="319"/>
      <c r="R197" s="383"/>
      <c r="S197" s="384"/>
      <c r="T197" s="383"/>
      <c r="U197" s="338"/>
      <c r="V197" s="323"/>
      <c r="Y197" s="321">
        <f>+IFERROR((Y162/Q197*P197),0)</f>
        <v>0</v>
      </c>
      <c r="Z197" s="318">
        <f>Y162*V197</f>
        <v>0</v>
      </c>
      <c r="AA197" s="279"/>
      <c r="AB197" s="367">
        <f>+(U197)*Y197*P197</f>
        <v>0</v>
      </c>
      <c r="AC197" s="302">
        <f>+AB197-Z197</f>
        <v>0</v>
      </c>
      <c r="AD197" s="280"/>
      <c r="AE197" s="349" t="str">
        <f t="shared" si="27"/>
        <v>CERO</v>
      </c>
    </row>
    <row r="198" spans="3:31" ht="15" thickBot="1" x14ac:dyDescent="0.35">
      <c r="C198" s="292"/>
      <c r="D198" s="295" t="s">
        <v>132</v>
      </c>
      <c r="E198" s="296" t="s">
        <v>133</v>
      </c>
      <c r="F198" s="296" t="s">
        <v>134</v>
      </c>
      <c r="G198" s="296" t="s">
        <v>135</v>
      </c>
      <c r="H198" s="296" t="s">
        <v>136</v>
      </c>
      <c r="I198" s="296" t="s">
        <v>137</v>
      </c>
      <c r="J198" s="297" t="s">
        <v>138</v>
      </c>
      <c r="K198" s="293"/>
      <c r="M198" s="724"/>
      <c r="N198" s="725" t="s">
        <v>123</v>
      </c>
      <c r="O198" s="725"/>
      <c r="P198" s="725"/>
      <c r="Q198" s="725"/>
      <c r="R198" s="725"/>
      <c r="S198" s="725"/>
      <c r="T198" s="725"/>
      <c r="U198" s="725"/>
      <c r="V198" s="316">
        <f>+SUM(V195:V197)</f>
        <v>151668</v>
      </c>
      <c r="Y198" s="328" t="s">
        <v>139</v>
      </c>
      <c r="Z198" s="329">
        <f>+SUM(Z195:Z197)</f>
        <v>3050360.4661199991</v>
      </c>
      <c r="AA198" s="279"/>
      <c r="AB198" s="290"/>
      <c r="AC198" s="291"/>
      <c r="AD198" s="280"/>
      <c r="AE198" s="330"/>
    </row>
    <row r="199" spans="3:31" ht="15" thickBot="1" x14ac:dyDescent="0.35">
      <c r="C199" s="292"/>
      <c r="D199" s="376"/>
      <c r="E199" s="377"/>
      <c r="F199" s="377"/>
      <c r="G199" s="386" t="str">
        <f>+F192</f>
        <v>M 1:3</v>
      </c>
      <c r="H199" s="377"/>
      <c r="I199" s="377"/>
      <c r="J199" s="387"/>
      <c r="K199" s="293"/>
      <c r="M199" s="724"/>
      <c r="N199" s="726" t="s">
        <v>124</v>
      </c>
      <c r="O199" s="726"/>
      <c r="P199" s="726"/>
      <c r="Q199" s="726"/>
      <c r="R199" s="726"/>
      <c r="S199" s="726"/>
      <c r="T199" s="726"/>
      <c r="U199" s="726"/>
      <c r="V199" s="344">
        <f>+ROUND(V198,$AA$2)</f>
        <v>151668</v>
      </c>
      <c r="Y199" s="332" t="s">
        <v>140</v>
      </c>
      <c r="Z199" s="333">
        <f>+ROUND(Z198,$AA$2)</f>
        <v>3050360</v>
      </c>
      <c r="AA199" s="279"/>
      <c r="AB199" s="324">
        <f>+V199*Y162</f>
        <v>3050360.4661199991</v>
      </c>
      <c r="AC199" s="325">
        <f>+AB199-Z199</f>
        <v>0.46611999906599522</v>
      </c>
      <c r="AD199" s="280"/>
      <c r="AE199" s="334"/>
    </row>
    <row r="200" spans="3:31" ht="15" thickBot="1" x14ac:dyDescent="0.35">
      <c r="C200" s="292"/>
      <c r="D200" s="295" t="s">
        <v>132</v>
      </c>
      <c r="E200" s="296" t="s">
        <v>133</v>
      </c>
      <c r="F200" s="296" t="s">
        <v>134</v>
      </c>
      <c r="G200" s="296" t="s">
        <v>135</v>
      </c>
      <c r="H200" s="296" t="s">
        <v>136</v>
      </c>
      <c r="I200" s="296" t="s">
        <v>137</v>
      </c>
      <c r="J200" s="297" t="s">
        <v>138</v>
      </c>
      <c r="K200" s="293"/>
      <c r="M200" s="727"/>
      <c r="N200" s="727"/>
      <c r="O200" s="727"/>
      <c r="P200" s="727"/>
      <c r="Q200" s="727"/>
      <c r="R200" s="727"/>
      <c r="S200" s="727"/>
      <c r="T200" s="727"/>
      <c r="U200" s="727"/>
      <c r="V200" s="727"/>
      <c r="Y200" s="298"/>
      <c r="Z200" s="299"/>
      <c r="AA200" s="279"/>
      <c r="AB200" s="342"/>
      <c r="AC200" s="299"/>
      <c r="AD200" s="280"/>
      <c r="AE200" s="388"/>
    </row>
    <row r="201" spans="3:31" ht="15" thickBot="1" x14ac:dyDescent="0.35">
      <c r="C201" s="292"/>
      <c r="D201" s="363"/>
      <c r="E201" s="364"/>
      <c r="F201" s="364"/>
      <c r="G201" s="364"/>
      <c r="H201" s="365" t="str">
        <f>G199</f>
        <v>M 1:3</v>
      </c>
      <c r="I201" s="365"/>
      <c r="J201" s="381"/>
      <c r="K201" s="293"/>
      <c r="M201" s="726" t="s">
        <v>125</v>
      </c>
      <c r="N201" s="726"/>
      <c r="O201" s="726"/>
      <c r="P201" s="726"/>
      <c r="Q201" s="726"/>
      <c r="R201" s="726"/>
      <c r="S201" s="726"/>
      <c r="T201" s="726"/>
      <c r="U201" s="728">
        <f>+V199+V192+V183+V172</f>
        <v>812745</v>
      </c>
      <c r="V201" s="728"/>
      <c r="Y201" s="389"/>
      <c r="Z201" s="390">
        <f>+Z199+Z192+Z183+Z172</f>
        <v>16346015</v>
      </c>
      <c r="AA201" s="279"/>
      <c r="AB201" s="385">
        <f>+AB199+AB192+AB183+AB172</f>
        <v>16346000.587049995</v>
      </c>
      <c r="AC201" s="325">
        <f>+AB201-Z201</f>
        <v>-14.412950005382299</v>
      </c>
      <c r="AD201" s="280"/>
      <c r="AE201" s="391"/>
    </row>
    <row r="202" spans="3:31" x14ac:dyDescent="0.25">
      <c r="M202" s="785"/>
      <c r="N202" s="785"/>
      <c r="O202" s="785"/>
      <c r="P202" s="785"/>
      <c r="Q202" s="785"/>
      <c r="R202" s="786"/>
      <c r="S202" s="786"/>
      <c r="T202" s="786"/>
      <c r="U202" s="786"/>
      <c r="V202" s="786"/>
    </row>
    <row r="203" spans="3:31" x14ac:dyDescent="0.25">
      <c r="M203" s="705"/>
      <c r="N203" s="705"/>
      <c r="O203" s="705"/>
      <c r="P203" s="705"/>
      <c r="Q203" s="705"/>
      <c r="R203" s="706"/>
      <c r="S203" s="706"/>
      <c r="T203" s="706"/>
      <c r="U203" s="706"/>
      <c r="V203" s="706"/>
    </row>
    <row r="204" spans="3:31" x14ac:dyDescent="0.25">
      <c r="M204" s="705"/>
      <c r="N204" s="705"/>
      <c r="O204" s="705"/>
      <c r="P204" s="705"/>
      <c r="Q204" s="705"/>
      <c r="R204" s="706"/>
      <c r="S204" s="706"/>
      <c r="T204" s="706"/>
      <c r="U204" s="706"/>
      <c r="V204" s="706"/>
    </row>
    <row r="205" spans="3:31" x14ac:dyDescent="0.25">
      <c r="M205" s="705"/>
      <c r="N205" s="705"/>
      <c r="O205" s="705"/>
      <c r="P205" s="705"/>
      <c r="Q205" s="705"/>
      <c r="R205" s="706"/>
      <c r="S205" s="706"/>
      <c r="T205" s="706"/>
      <c r="U205" s="706"/>
      <c r="V205" s="706"/>
    </row>
    <row r="206" spans="3:31" x14ac:dyDescent="0.25">
      <c r="M206" s="707" t="s">
        <v>128</v>
      </c>
      <c r="N206" s="392" t="str">
        <f>$N$6</f>
        <v>ING. JEYSON JULIAN LEON RUEDA</v>
      </c>
      <c r="O206" s="393"/>
      <c r="P206" s="393"/>
      <c r="Q206" s="393"/>
      <c r="R206" s="711" t="s">
        <v>129</v>
      </c>
      <c r="S206" s="392" t="str">
        <f>$S$6</f>
        <v>ARQ. YASMID ROCÍO CARRILLO MORA</v>
      </c>
      <c r="T206" s="393"/>
      <c r="U206" s="394"/>
      <c r="V206" s="394"/>
    </row>
    <row r="207" spans="3:31" x14ac:dyDescent="0.25">
      <c r="M207" s="707"/>
      <c r="N207" s="395" t="str">
        <f>$N$7</f>
        <v>MP. 68202-416348 STD</v>
      </c>
      <c r="O207" s="393"/>
      <c r="P207" s="393"/>
      <c r="Q207" s="393"/>
      <c r="R207" s="711"/>
      <c r="S207" s="395" t="str">
        <f>$S$7</f>
        <v>SECRETARIA DE PLANEACIÓN Y OBRAS PÚBLICAS</v>
      </c>
      <c r="T207" s="393"/>
      <c r="U207" s="394"/>
      <c r="V207" s="394"/>
    </row>
    <row r="208" spans="3:31" x14ac:dyDescent="0.25">
      <c r="M208" s="707"/>
      <c r="N208" s="393"/>
      <c r="O208" s="393"/>
      <c r="P208" s="393"/>
      <c r="Q208" s="393"/>
      <c r="R208" s="711"/>
      <c r="S208" s="395" t="str">
        <f>$S$8</f>
        <v>MUNICIPIO DE PINCHOTE</v>
      </c>
      <c r="T208" s="393"/>
      <c r="U208" s="394"/>
      <c r="V208" s="394"/>
    </row>
    <row r="210" spans="3:31" ht="14.4" hidden="1" thickBot="1" x14ac:dyDescent="0.3">
      <c r="Q210" s="408"/>
    </row>
    <row r="211" spans="3:31" ht="15" hidden="1" thickBot="1" x14ac:dyDescent="0.35">
      <c r="M211" s="281" t="s">
        <v>90</v>
      </c>
      <c r="N211" s="282" t="s">
        <v>91</v>
      </c>
      <c r="O211" s="706" t="s">
        <v>92</v>
      </c>
      <c r="P211" s="706"/>
      <c r="Q211" s="706"/>
      <c r="R211" s="706"/>
      <c r="S211" s="706"/>
      <c r="T211" s="706"/>
      <c r="U211" s="706"/>
      <c r="V211" s="283" t="s">
        <v>93</v>
      </c>
      <c r="Y211" s="284" t="s">
        <v>107</v>
      </c>
      <c r="Z211" s="280"/>
      <c r="AA211" s="274"/>
      <c r="AB211" s="735"/>
      <c r="AC211" s="735"/>
      <c r="AD211" s="735"/>
      <c r="AE211" s="280"/>
    </row>
    <row r="212" spans="3:31" ht="15" hidden="1" thickBot="1" x14ac:dyDescent="0.35">
      <c r="C212" s="285" t="str">
        <f>+N212</f>
        <v>M 1:4</v>
      </c>
      <c r="D212" s="279"/>
      <c r="E212" s="279"/>
      <c r="F212" s="279"/>
      <c r="G212" s="279"/>
      <c r="H212" s="279"/>
      <c r="I212" s="279"/>
      <c r="J212" s="279"/>
      <c r="K212" s="286"/>
      <c r="M212" s="283" t="s">
        <v>94</v>
      </c>
      <c r="N212" s="287" t="s">
        <v>227</v>
      </c>
      <c r="O212" s="736" t="str">
        <f>IFERROR(VLOOKUP(N212,INSUMOS!$C$8:$K$934,2,0),"-----")</f>
        <v>Mortero 1:4</v>
      </c>
      <c r="P212" s="736"/>
      <c r="Q212" s="736"/>
      <c r="R212" s="736"/>
      <c r="S212" s="736"/>
      <c r="T212" s="736"/>
      <c r="U212" s="736"/>
      <c r="V212" s="288" t="str">
        <f>IFERROR(VLOOKUP(N212,INSUMOS!$C$8:$K$934,6,0),"-----")</f>
        <v>m3</v>
      </c>
      <c r="Y212" s="289">
        <f>SUMIFS($Y$310:$Y$1486,$M$310:$M$1486,N212)</f>
        <v>0</v>
      </c>
      <c r="Z212" s="280"/>
      <c r="AA212" s="279"/>
      <c r="AB212" s="280"/>
      <c r="AC212" s="280"/>
      <c r="AD212" s="280"/>
      <c r="AE212" s="280"/>
    </row>
    <row r="213" spans="3:31" ht="15" hidden="1" thickBot="1" x14ac:dyDescent="0.35">
      <c r="C213" s="292"/>
      <c r="D213" s="279"/>
      <c r="E213" s="279"/>
      <c r="F213" s="279"/>
      <c r="G213" s="279"/>
      <c r="H213" s="279"/>
      <c r="I213" s="279"/>
      <c r="J213" s="279"/>
      <c r="K213" s="293"/>
      <c r="M213" s="737"/>
      <c r="N213" s="737"/>
      <c r="O213" s="737"/>
      <c r="P213" s="737"/>
      <c r="Q213" s="737"/>
      <c r="R213" s="737"/>
      <c r="S213" s="737"/>
      <c r="T213" s="737"/>
      <c r="U213" s="737"/>
      <c r="V213" s="737"/>
      <c r="Y213" s="294"/>
      <c r="Z213" s="280"/>
      <c r="AA213" s="279"/>
      <c r="AB213" s="280"/>
      <c r="AC213" s="280"/>
      <c r="AD213" s="280"/>
      <c r="AE213" s="280"/>
    </row>
    <row r="214" spans="3:31" ht="15" hidden="1" thickBot="1" x14ac:dyDescent="0.35">
      <c r="C214" s="292"/>
      <c r="D214" s="295" t="s">
        <v>132</v>
      </c>
      <c r="E214" s="296" t="s">
        <v>133</v>
      </c>
      <c r="F214" s="296" t="s">
        <v>134</v>
      </c>
      <c r="G214" s="296" t="s">
        <v>135</v>
      </c>
      <c r="H214" s="296" t="s">
        <v>136</v>
      </c>
      <c r="I214" s="296" t="s">
        <v>137</v>
      </c>
      <c r="J214" s="297" t="s">
        <v>138</v>
      </c>
      <c r="K214" s="293"/>
      <c r="M214" s="738" t="s">
        <v>96</v>
      </c>
      <c r="N214" s="738"/>
      <c r="O214" s="738"/>
      <c r="P214" s="738"/>
      <c r="Q214" s="738"/>
      <c r="R214" s="738"/>
      <c r="S214" s="738"/>
      <c r="T214" s="738"/>
      <c r="U214" s="738"/>
      <c r="V214" s="738"/>
      <c r="Y214" s="298"/>
      <c r="Z214" s="299"/>
      <c r="AA214" s="279"/>
      <c r="AB214" s="731"/>
      <c r="AC214" s="732"/>
      <c r="AD214" s="280"/>
      <c r="AE214" s="303"/>
    </row>
    <row r="215" spans="3:31" ht="14.4" hidden="1" x14ac:dyDescent="0.3">
      <c r="C215" s="292"/>
      <c r="D215" s="304"/>
      <c r="E215" s="305"/>
      <c r="F215" s="305"/>
      <c r="G215" s="305"/>
      <c r="H215" s="305"/>
      <c r="I215" s="305"/>
      <c r="J215" s="306"/>
      <c r="K215" s="293"/>
      <c r="M215" s="307" t="s">
        <v>97</v>
      </c>
      <c r="N215" s="706" t="s">
        <v>98</v>
      </c>
      <c r="O215" s="706"/>
      <c r="P215" s="706"/>
      <c r="Q215" s="706"/>
      <c r="R215" s="307" t="s">
        <v>99</v>
      </c>
      <c r="S215" s="307" t="s">
        <v>100</v>
      </c>
      <c r="T215" s="734" t="s">
        <v>8</v>
      </c>
      <c r="U215" s="734"/>
      <c r="V215" s="307" t="s">
        <v>101</v>
      </c>
      <c r="Y215" s="308" t="s">
        <v>107</v>
      </c>
      <c r="Z215" s="309" t="s">
        <v>9</v>
      </c>
      <c r="AA215" s="279"/>
      <c r="AB215" s="290"/>
      <c r="AC215" s="291"/>
      <c r="AD215" s="280"/>
      <c r="AE215" s="310"/>
    </row>
    <row r="216" spans="3:31" ht="14.4" hidden="1" x14ac:dyDescent="0.3">
      <c r="C216" s="292"/>
      <c r="D216" s="311"/>
      <c r="E216" s="279"/>
      <c r="F216" s="279"/>
      <c r="G216" s="279"/>
      <c r="H216" s="279"/>
      <c r="I216" s="279"/>
      <c r="J216" s="312"/>
      <c r="K216" s="293"/>
      <c r="M216" s="313"/>
      <c r="N216" s="718" t="s">
        <v>102</v>
      </c>
      <c r="O216" s="718"/>
      <c r="P216" s="718"/>
      <c r="Q216" s="718"/>
      <c r="R216" s="314" t="s">
        <v>103</v>
      </c>
      <c r="S216" s="315">
        <f>$AA$9</f>
        <v>0.05</v>
      </c>
      <c r="T216" s="766">
        <f>V249</f>
        <v>151668</v>
      </c>
      <c r="U216" s="766"/>
      <c r="V216" s="316">
        <f>+IFERROR(T216*S216,0)</f>
        <v>7583.4000000000005</v>
      </c>
      <c r="Y216" s="317"/>
      <c r="Z216" s="318">
        <f>Y212*V216</f>
        <v>0</v>
      </c>
      <c r="AA216" s="279"/>
      <c r="AB216" s="290"/>
      <c r="AC216" s="291"/>
      <c r="AD216" s="280"/>
      <c r="AE216" s="310" t="str">
        <f>+IF(V216=0,"CERO","NO")</f>
        <v>NO</v>
      </c>
    </row>
    <row r="217" spans="3:31" ht="14.4" hidden="1" x14ac:dyDescent="0.3">
      <c r="C217" s="292"/>
      <c r="D217" s="311"/>
      <c r="E217" s="279"/>
      <c r="F217" s="279"/>
      <c r="G217" s="279"/>
      <c r="H217" s="279"/>
      <c r="I217" s="279"/>
      <c r="J217" s="312"/>
      <c r="K217" s="293"/>
      <c r="M217" s="319">
        <v>0</v>
      </c>
      <c r="N217" s="718" t="str">
        <f>IFERROR(VLOOKUP(M217,INSUMOS!$C$8:$K$934,2,0),"-----")</f>
        <v>-----</v>
      </c>
      <c r="O217" s="718"/>
      <c r="P217" s="718"/>
      <c r="Q217" s="718"/>
      <c r="R217" s="314" t="str">
        <f>IFERROR(VLOOKUP(M217,INSUMOS!$C$8:$K$934,6,0),"-----")</f>
        <v>-----</v>
      </c>
      <c r="S217" s="320"/>
      <c r="T217" s="767" t="str">
        <f>IFERROR(VLOOKUP(M217,INSUMOS!$C$8:$K$934,7,0),"0")</f>
        <v>0</v>
      </c>
      <c r="U217" s="767"/>
      <c r="V217" s="316">
        <f>+IFERROR(T217*S217,0)</f>
        <v>0</v>
      </c>
      <c r="Y217" s="321">
        <f>+IFERROR(Y212*S217,0)</f>
        <v>0</v>
      </c>
      <c r="Z217" s="318">
        <f>Y212*V217</f>
        <v>0</v>
      </c>
      <c r="AA217" s="300"/>
      <c r="AB217" s="301">
        <f>+Y217*T217</f>
        <v>0</v>
      </c>
      <c r="AC217" s="302">
        <f>+AB217-Z217</f>
        <v>0</v>
      </c>
      <c r="AD217" s="280"/>
      <c r="AE217" s="310" t="str">
        <f>+IF(V217=0,"CERO","NO")</f>
        <v>CERO</v>
      </c>
    </row>
    <row r="218" spans="3:31" ht="14.4" hidden="1" x14ac:dyDescent="0.3">
      <c r="C218" s="292"/>
      <c r="D218" s="311"/>
      <c r="E218" s="279"/>
      <c r="F218" s="279"/>
      <c r="G218" s="279"/>
      <c r="H218" s="279"/>
      <c r="I218" s="279"/>
      <c r="J218" s="312"/>
      <c r="K218" s="293"/>
      <c r="M218" s="313">
        <v>0</v>
      </c>
      <c r="N218" s="718"/>
      <c r="O218" s="718"/>
      <c r="P218" s="718"/>
      <c r="Q218" s="718"/>
      <c r="R218" s="314"/>
      <c r="S218" s="322"/>
      <c r="T218" s="767"/>
      <c r="U218" s="767"/>
      <c r="V218" s="323"/>
      <c r="Y218" s="321">
        <f>+IFERROR(Y212*S218,0)</f>
        <v>0</v>
      </c>
      <c r="Z218" s="318">
        <f>Y212*V218</f>
        <v>0</v>
      </c>
      <c r="AA218" s="300"/>
      <c r="AB218" s="301">
        <f>+Y218*T218</f>
        <v>0</v>
      </c>
      <c r="AC218" s="302">
        <f>+AB218-Z218</f>
        <v>0</v>
      </c>
      <c r="AD218" s="280"/>
      <c r="AE218" s="310" t="str">
        <f>+IF(V218=0,"CERO","NO")</f>
        <v>CERO</v>
      </c>
    </row>
    <row r="219" spans="3:31" ht="14.4" hidden="1" x14ac:dyDescent="0.3">
      <c r="C219" s="292"/>
      <c r="D219" s="311"/>
      <c r="E219" s="279"/>
      <c r="F219" s="279"/>
      <c r="G219" s="279"/>
      <c r="H219" s="279"/>
      <c r="I219" s="279"/>
      <c r="J219" s="312"/>
      <c r="K219" s="293"/>
      <c r="M219" s="313">
        <v>0</v>
      </c>
      <c r="N219" s="718"/>
      <c r="O219" s="718"/>
      <c r="P219" s="718"/>
      <c r="Q219" s="718"/>
      <c r="R219" s="314"/>
      <c r="S219" s="322"/>
      <c r="T219" s="767"/>
      <c r="U219" s="767"/>
      <c r="V219" s="323"/>
      <c r="Y219" s="321">
        <f>+IFERROR(Y212*S219,0)</f>
        <v>0</v>
      </c>
      <c r="Z219" s="318">
        <f>Y212*V219</f>
        <v>0</v>
      </c>
      <c r="AA219" s="300"/>
      <c r="AB219" s="301">
        <f>+Y219*T219</f>
        <v>0</v>
      </c>
      <c r="AC219" s="302">
        <f>+AB219-Z219</f>
        <v>0</v>
      </c>
      <c r="AD219" s="280"/>
      <c r="AE219" s="310" t="str">
        <f>+IF(V219=0,"CERO","NO")</f>
        <v>CERO</v>
      </c>
    </row>
    <row r="220" spans="3:31" ht="15" hidden="1" thickBot="1" x14ac:dyDescent="0.35">
      <c r="C220" s="292"/>
      <c r="D220" s="311"/>
      <c r="E220" s="279"/>
      <c r="F220" s="279"/>
      <c r="G220" s="279"/>
      <c r="H220" s="279"/>
      <c r="I220" s="279"/>
      <c r="J220" s="312"/>
      <c r="K220" s="293"/>
      <c r="M220" s="313">
        <v>0</v>
      </c>
      <c r="N220" s="727"/>
      <c r="O220" s="727"/>
      <c r="P220" s="727"/>
      <c r="Q220" s="727"/>
      <c r="R220" s="326"/>
      <c r="S220" s="326"/>
      <c r="T220" s="768"/>
      <c r="U220" s="768"/>
      <c r="V220" s="327"/>
      <c r="Y220" s="321">
        <f>+IFERROR(Y212*S220,0)</f>
        <v>0</v>
      </c>
      <c r="Z220" s="318">
        <f>Y212*V220</f>
        <v>0</v>
      </c>
      <c r="AA220" s="300"/>
      <c r="AB220" s="301">
        <f>+Y220*T220</f>
        <v>0</v>
      </c>
      <c r="AC220" s="302">
        <f>+AB220-Z220</f>
        <v>0</v>
      </c>
      <c r="AD220" s="280"/>
      <c r="AE220" s="310" t="str">
        <f>+IF(V220=0,"CERO","NO")</f>
        <v>CERO</v>
      </c>
    </row>
    <row r="221" spans="3:31" ht="15" hidden="1" thickBot="1" x14ac:dyDescent="0.35">
      <c r="C221" s="292"/>
      <c r="D221" s="295" t="s">
        <v>132</v>
      </c>
      <c r="E221" s="296" t="s">
        <v>133</v>
      </c>
      <c r="F221" s="296" t="s">
        <v>134</v>
      </c>
      <c r="G221" s="296" t="s">
        <v>135</v>
      </c>
      <c r="H221" s="296" t="s">
        <v>136</v>
      </c>
      <c r="I221" s="296" t="s">
        <v>137</v>
      </c>
      <c r="J221" s="297" t="s">
        <v>138</v>
      </c>
      <c r="K221" s="293"/>
      <c r="M221" s="724"/>
      <c r="N221" s="725" t="s">
        <v>104</v>
      </c>
      <c r="O221" s="725"/>
      <c r="P221" s="725"/>
      <c r="Q221" s="725"/>
      <c r="R221" s="725"/>
      <c r="S221" s="725"/>
      <c r="T221" s="725"/>
      <c r="U221" s="725"/>
      <c r="V221" s="316">
        <f>+SUM(V216:V220)</f>
        <v>7583.4000000000005</v>
      </c>
      <c r="Y221" s="328" t="s">
        <v>139</v>
      </c>
      <c r="Z221" s="329">
        <f>+SUM(Z216:Z220)</f>
        <v>0</v>
      </c>
      <c r="AA221" s="279"/>
      <c r="AB221" s="290"/>
      <c r="AC221" s="291"/>
      <c r="AD221" s="280"/>
      <c r="AE221" s="330"/>
    </row>
    <row r="222" spans="3:31" ht="15" hidden="1" thickBot="1" x14ac:dyDescent="0.35">
      <c r="C222" s="292"/>
      <c r="D222" s="295" t="str">
        <f>C212</f>
        <v>M 1:4</v>
      </c>
      <c r="E222" s="296"/>
      <c r="F222" s="296"/>
      <c r="G222" s="296"/>
      <c r="H222" s="296"/>
      <c r="I222" s="296"/>
      <c r="J222" s="297"/>
      <c r="K222" s="293"/>
      <c r="M222" s="724"/>
      <c r="N222" s="726" t="s">
        <v>105</v>
      </c>
      <c r="O222" s="726"/>
      <c r="P222" s="726"/>
      <c r="Q222" s="726"/>
      <c r="R222" s="726"/>
      <c r="S222" s="726"/>
      <c r="T222" s="726"/>
      <c r="U222" s="726"/>
      <c r="V222" s="344">
        <f>+ROUND(V221,$AA$2)</f>
        <v>7583</v>
      </c>
      <c r="Y222" s="332" t="s">
        <v>140</v>
      </c>
      <c r="Z222" s="333">
        <f>+ROUND(Z221,$AA$2)</f>
        <v>0</v>
      </c>
      <c r="AA222" s="279"/>
      <c r="AB222" s="324">
        <f>+V222*Y212</f>
        <v>0</v>
      </c>
      <c r="AC222" s="325">
        <f>+AB222-Z222</f>
        <v>0</v>
      </c>
      <c r="AD222" s="280"/>
      <c r="AE222" s="334"/>
    </row>
    <row r="223" spans="3:31" ht="14.4" hidden="1" x14ac:dyDescent="0.3">
      <c r="C223" s="292"/>
      <c r="D223" s="304"/>
      <c r="E223" s="305"/>
      <c r="F223" s="305"/>
      <c r="G223" s="305"/>
      <c r="H223" s="305"/>
      <c r="I223" s="305"/>
      <c r="J223" s="306"/>
      <c r="K223" s="293"/>
      <c r="M223" s="730" t="s">
        <v>106</v>
      </c>
      <c r="N223" s="730"/>
      <c r="O223" s="730"/>
      <c r="P223" s="730"/>
      <c r="Q223" s="730"/>
      <c r="R223" s="730"/>
      <c r="S223" s="730"/>
      <c r="T223" s="730"/>
      <c r="U223" s="730"/>
      <c r="V223" s="730"/>
      <c r="Y223" s="298"/>
      <c r="Z223" s="299"/>
      <c r="AA223" s="279"/>
      <c r="AB223" s="731"/>
      <c r="AC223" s="732"/>
      <c r="AD223" s="280"/>
      <c r="AE223" s="335"/>
    </row>
    <row r="224" spans="3:31" ht="27" hidden="1" customHeight="1" x14ac:dyDescent="0.3">
      <c r="C224" s="292"/>
      <c r="D224" s="311"/>
      <c r="E224" s="279"/>
      <c r="F224" s="279"/>
      <c r="G224" s="279"/>
      <c r="H224" s="279"/>
      <c r="I224" s="279"/>
      <c r="J224" s="312"/>
      <c r="K224" s="293"/>
      <c r="M224" s="307" t="s">
        <v>97</v>
      </c>
      <c r="N224" s="706" t="s">
        <v>98</v>
      </c>
      <c r="O224" s="706"/>
      <c r="P224" s="706"/>
      <c r="Q224" s="706"/>
      <c r="R224" s="307" t="s">
        <v>99</v>
      </c>
      <c r="S224" s="307" t="s">
        <v>107</v>
      </c>
      <c r="T224" s="336" t="s">
        <v>108</v>
      </c>
      <c r="U224" s="336" t="s">
        <v>8</v>
      </c>
      <c r="V224" s="307" t="s">
        <v>101</v>
      </c>
      <c r="Y224" s="308" t="s">
        <v>107</v>
      </c>
      <c r="Z224" s="309" t="s">
        <v>9</v>
      </c>
      <c r="AA224" s="279"/>
      <c r="AB224" s="290"/>
      <c r="AC224" s="291"/>
      <c r="AD224" s="280"/>
      <c r="AE224" s="337"/>
    </row>
    <row r="225" spans="3:31" ht="14.4" hidden="1" x14ac:dyDescent="0.3">
      <c r="C225" s="292"/>
      <c r="D225" s="311"/>
      <c r="E225" s="279"/>
      <c r="F225" s="279"/>
      <c r="G225" s="279"/>
      <c r="H225" s="279"/>
      <c r="I225" s="279"/>
      <c r="J225" s="312"/>
      <c r="K225" s="293"/>
      <c r="M225" s="313">
        <v>400</v>
      </c>
      <c r="N225" s="718" t="str">
        <f>IFERROR(VLOOKUP(M225,INSUMOS!$C$8:$K$934,2,0),"-----")</f>
        <v>Cemento gris</v>
      </c>
      <c r="O225" s="718"/>
      <c r="P225" s="718"/>
      <c r="Q225" s="718"/>
      <c r="R225" s="314" t="str">
        <f>IFERROR(VLOOKUP(M225,INSUMOS!$C$8:$K$934,6,0),"-----")</f>
        <v>kg</v>
      </c>
      <c r="S225" s="322">
        <v>364</v>
      </c>
      <c r="T225" s="315">
        <v>0.05</v>
      </c>
      <c r="U225" s="338">
        <f>IFERROR(VLOOKUP(M225,INSUMOS!$C$8:$K$934,7,0),"0")</f>
        <v>776.48</v>
      </c>
      <c r="V225" s="316">
        <f>+IFERROR(U225*(S225*(1+T225)),0)</f>
        <v>296770.65600000002</v>
      </c>
      <c r="Y225" s="321">
        <f>+IFERROR(Y212*(S225*(1+T225)),0)</f>
        <v>0</v>
      </c>
      <c r="Z225" s="318">
        <f>Y212*V225</f>
        <v>0</v>
      </c>
      <c r="AA225" s="300"/>
      <c r="AB225" s="301">
        <f>+Y225*U225</f>
        <v>0</v>
      </c>
      <c r="AC225" s="302">
        <f>+AB225-Z225</f>
        <v>0</v>
      </c>
      <c r="AD225" s="280"/>
      <c r="AE225" s="337" t="str">
        <f t="shared" ref="AE225:AE231" si="28">+IF(V225=0,"CERO","NO")</f>
        <v>NO</v>
      </c>
    </row>
    <row r="226" spans="3:31" ht="14.4" hidden="1" x14ac:dyDescent="0.3">
      <c r="C226" s="292"/>
      <c r="D226" s="311"/>
      <c r="E226" s="279"/>
      <c r="F226" s="279"/>
      <c r="G226" s="279"/>
      <c r="H226" s="279"/>
      <c r="I226" s="279"/>
      <c r="J226" s="312"/>
      <c r="K226" s="293"/>
      <c r="M226" s="313">
        <v>401</v>
      </c>
      <c r="N226" s="718" t="str">
        <f>IFERROR(VLOOKUP(M226,INSUMOS!$C$8:$K$934,2,0),"-----")</f>
        <v>Agua</v>
      </c>
      <c r="O226" s="718"/>
      <c r="P226" s="718"/>
      <c r="Q226" s="718"/>
      <c r="R226" s="314" t="str">
        <f>IFERROR(VLOOKUP(M226,INSUMOS!$C$8:$K$934,6,0),"-----")</f>
        <v>lt</v>
      </c>
      <c r="S226" s="322">
        <v>220</v>
      </c>
      <c r="T226" s="315">
        <v>0.05</v>
      </c>
      <c r="U226" s="338">
        <f>IFERROR(VLOOKUP(M226,INSUMOS!$C$8:$K$934,7,0),"0")</f>
        <v>5</v>
      </c>
      <c r="V226" s="316">
        <f>+IFERROR(U226*(S226*(1+T226)),0)</f>
        <v>1155</v>
      </c>
      <c r="Y226" s="321">
        <f>+IFERROR(Y212*(S226*(1+T226)),0)</f>
        <v>0</v>
      </c>
      <c r="Z226" s="318">
        <f>Y212*V226</f>
        <v>0</v>
      </c>
      <c r="AA226" s="300"/>
      <c r="AB226" s="301">
        <f t="shared" ref="AB226:AB231" si="29">+Y226*U226</f>
        <v>0</v>
      </c>
      <c r="AC226" s="302">
        <f t="shared" ref="AC226:AC231" si="30">+AB226-Z226</f>
        <v>0</v>
      </c>
      <c r="AD226" s="280"/>
      <c r="AE226" s="337" t="str">
        <f t="shared" si="28"/>
        <v>NO</v>
      </c>
    </row>
    <row r="227" spans="3:31" ht="14.4" hidden="1" x14ac:dyDescent="0.3">
      <c r="C227" s="292"/>
      <c r="D227" s="311"/>
      <c r="E227" s="279"/>
      <c r="F227" s="279"/>
      <c r="G227" s="279"/>
      <c r="H227" s="279"/>
      <c r="I227" s="279"/>
      <c r="J227" s="312"/>
      <c r="K227" s="293"/>
      <c r="M227" s="313">
        <v>405</v>
      </c>
      <c r="N227" s="718" t="str">
        <f>IFERROR(VLOOKUP(M227,INSUMOS!$C$8:$K$934,2,0),"-----")</f>
        <v>Arena gruesa</v>
      </c>
      <c r="O227" s="718"/>
      <c r="P227" s="718"/>
      <c r="Q227" s="718"/>
      <c r="R227" s="314" t="str">
        <f>IFERROR(VLOOKUP(M227,INSUMOS!$C$8:$K$934,6,0),"-----")</f>
        <v>m3</v>
      </c>
      <c r="S227" s="322">
        <v>1.1599999999999999</v>
      </c>
      <c r="T227" s="315">
        <v>0.05</v>
      </c>
      <c r="U227" s="338">
        <f>IFERROR(VLOOKUP(M227,INSUMOS!$C$8:$K$934,7,0),"0")</f>
        <v>117647</v>
      </c>
      <c r="V227" s="316">
        <f>+IFERROR(U227*(S227*(1+T227)),0)</f>
        <v>143294.046</v>
      </c>
      <c r="Y227" s="321">
        <f>+IFERROR(Y212*(S227*(1+T227)),0)</f>
        <v>0</v>
      </c>
      <c r="Z227" s="318">
        <f>Y212*V227</f>
        <v>0</v>
      </c>
      <c r="AA227" s="300"/>
      <c r="AB227" s="301">
        <f t="shared" si="29"/>
        <v>0</v>
      </c>
      <c r="AC227" s="302">
        <f t="shared" si="30"/>
        <v>0</v>
      </c>
      <c r="AD227" s="280"/>
      <c r="AE227" s="337" t="str">
        <f t="shared" si="28"/>
        <v>NO</v>
      </c>
    </row>
    <row r="228" spans="3:31" ht="14.4" hidden="1" x14ac:dyDescent="0.3">
      <c r="C228" s="292"/>
      <c r="D228" s="311"/>
      <c r="E228" s="279"/>
      <c r="F228" s="279"/>
      <c r="G228" s="279"/>
      <c r="H228" s="279"/>
      <c r="I228" s="279"/>
      <c r="J228" s="312"/>
      <c r="K228" s="293"/>
      <c r="M228" s="313">
        <v>0</v>
      </c>
      <c r="N228" s="718" t="str">
        <f>IFERROR(VLOOKUP(M228,INSUMOS!$C$8:$K$934,2,0),"-----")</f>
        <v>-----</v>
      </c>
      <c r="O228" s="718"/>
      <c r="P228" s="718"/>
      <c r="Q228" s="718"/>
      <c r="R228" s="314" t="str">
        <f>IFERROR(VLOOKUP(M228,INSUMOS!$C$8:$K$934,6,0),"-----")</f>
        <v>-----</v>
      </c>
      <c r="S228" s="322"/>
      <c r="T228" s="315"/>
      <c r="U228" s="338" t="str">
        <f>IFERROR(VLOOKUP(M228,INSUMOS!$C$8:$K$934,7,0),"0")</f>
        <v>0</v>
      </c>
      <c r="V228" s="316">
        <f>+IFERROR(U228*(S228*(1+T228)),0)</f>
        <v>0</v>
      </c>
      <c r="Y228" s="321">
        <f>+IFERROR(Y212*(S228*(1+T228)),0)</f>
        <v>0</v>
      </c>
      <c r="Z228" s="318">
        <f>Y212*V228</f>
        <v>0</v>
      </c>
      <c r="AA228" s="300"/>
      <c r="AB228" s="301">
        <f t="shared" si="29"/>
        <v>0</v>
      </c>
      <c r="AC228" s="302">
        <f t="shared" si="30"/>
        <v>0</v>
      </c>
      <c r="AD228" s="280"/>
      <c r="AE228" s="337" t="str">
        <f t="shared" si="28"/>
        <v>CERO</v>
      </c>
    </row>
    <row r="229" spans="3:31" ht="14.4" hidden="1" x14ac:dyDescent="0.3">
      <c r="C229" s="292"/>
      <c r="D229" s="311"/>
      <c r="E229" s="279"/>
      <c r="F229" s="279"/>
      <c r="G229" s="279"/>
      <c r="H229" s="279"/>
      <c r="I229" s="279"/>
      <c r="J229" s="312"/>
      <c r="K229" s="293"/>
      <c r="M229" s="313">
        <v>0</v>
      </c>
      <c r="N229" s="718"/>
      <c r="O229" s="718"/>
      <c r="P229" s="718"/>
      <c r="Q229" s="718"/>
      <c r="R229" s="314"/>
      <c r="S229" s="322"/>
      <c r="T229" s="315"/>
      <c r="U229" s="338"/>
      <c r="V229" s="323"/>
      <c r="Y229" s="321">
        <f>+IFERROR(Y212*(S229*(1+T229)),0)</f>
        <v>0</v>
      </c>
      <c r="Z229" s="318">
        <f>Y212*V229</f>
        <v>0</v>
      </c>
      <c r="AA229" s="300"/>
      <c r="AB229" s="301">
        <f t="shared" si="29"/>
        <v>0</v>
      </c>
      <c r="AC229" s="302">
        <f t="shared" si="30"/>
        <v>0</v>
      </c>
      <c r="AD229" s="280"/>
      <c r="AE229" s="337" t="str">
        <f t="shared" si="28"/>
        <v>CERO</v>
      </c>
    </row>
    <row r="230" spans="3:31" ht="14.4" hidden="1" x14ac:dyDescent="0.3">
      <c r="C230" s="292"/>
      <c r="D230" s="311"/>
      <c r="E230" s="279"/>
      <c r="F230" s="279"/>
      <c r="G230" s="279"/>
      <c r="H230" s="279"/>
      <c r="I230" s="279"/>
      <c r="J230" s="312"/>
      <c r="K230" s="293"/>
      <c r="M230" s="313">
        <v>0</v>
      </c>
      <c r="N230" s="718"/>
      <c r="O230" s="718"/>
      <c r="P230" s="718"/>
      <c r="Q230" s="718"/>
      <c r="R230" s="314"/>
      <c r="S230" s="322"/>
      <c r="T230" s="315"/>
      <c r="U230" s="338"/>
      <c r="V230" s="323"/>
      <c r="Y230" s="321">
        <f>+IFERROR(Y212*(S230*(1+T230)),0)</f>
        <v>0</v>
      </c>
      <c r="Z230" s="318">
        <f>Y212*V230</f>
        <v>0</v>
      </c>
      <c r="AA230" s="300"/>
      <c r="AB230" s="301">
        <f t="shared" si="29"/>
        <v>0</v>
      </c>
      <c r="AC230" s="302">
        <f t="shared" si="30"/>
        <v>0</v>
      </c>
      <c r="AD230" s="280"/>
      <c r="AE230" s="337" t="str">
        <f t="shared" si="28"/>
        <v>CERO</v>
      </c>
    </row>
    <row r="231" spans="3:31" ht="15" hidden="1" thickBot="1" x14ac:dyDescent="0.35">
      <c r="C231" s="292"/>
      <c r="D231" s="311"/>
      <c r="E231" s="279"/>
      <c r="F231" s="279"/>
      <c r="G231" s="279"/>
      <c r="H231" s="279"/>
      <c r="I231" s="279"/>
      <c r="J231" s="312"/>
      <c r="K231" s="293"/>
      <c r="M231" s="313">
        <v>0</v>
      </c>
      <c r="N231" s="727"/>
      <c r="O231" s="727"/>
      <c r="P231" s="727"/>
      <c r="Q231" s="727"/>
      <c r="R231" s="326"/>
      <c r="S231" s="339"/>
      <c r="T231" s="340"/>
      <c r="U231" s="341"/>
      <c r="V231" s="323"/>
      <c r="Y231" s="321">
        <f>+IFERROR(Y212*(S231*(1+T231)),0)</f>
        <v>0</v>
      </c>
      <c r="Z231" s="318">
        <f>Y212*V231</f>
        <v>0</v>
      </c>
      <c r="AA231" s="300"/>
      <c r="AB231" s="301">
        <f t="shared" si="29"/>
        <v>0</v>
      </c>
      <c r="AC231" s="302">
        <f t="shared" si="30"/>
        <v>0</v>
      </c>
      <c r="AD231" s="280"/>
      <c r="AE231" s="337" t="str">
        <f t="shared" si="28"/>
        <v>CERO</v>
      </c>
    </row>
    <row r="232" spans="3:31" ht="15" hidden="1" thickBot="1" x14ac:dyDescent="0.35">
      <c r="C232" s="292"/>
      <c r="D232" s="295" t="s">
        <v>132</v>
      </c>
      <c r="E232" s="296" t="s">
        <v>133</v>
      </c>
      <c r="F232" s="296" t="s">
        <v>134</v>
      </c>
      <c r="G232" s="296" t="s">
        <v>135</v>
      </c>
      <c r="H232" s="296" t="s">
        <v>136</v>
      </c>
      <c r="I232" s="296" t="s">
        <v>137</v>
      </c>
      <c r="J232" s="297" t="s">
        <v>138</v>
      </c>
      <c r="K232" s="293"/>
      <c r="M232" s="724"/>
      <c r="N232" s="725" t="s">
        <v>109</v>
      </c>
      <c r="O232" s="725"/>
      <c r="P232" s="725"/>
      <c r="Q232" s="725"/>
      <c r="R232" s="725"/>
      <c r="S232" s="725"/>
      <c r="T232" s="725"/>
      <c r="U232" s="725"/>
      <c r="V232" s="316">
        <f>+SUM(V225:V231)</f>
        <v>441219.70200000005</v>
      </c>
      <c r="Y232" s="328" t="s">
        <v>139</v>
      </c>
      <c r="Z232" s="329">
        <f>+SUM(Z225:Z231)</f>
        <v>0</v>
      </c>
      <c r="AA232" s="279"/>
      <c r="AB232" s="290"/>
      <c r="AC232" s="291"/>
      <c r="AD232" s="280"/>
      <c r="AE232" s="330"/>
    </row>
    <row r="233" spans="3:31" ht="15" hidden="1" thickBot="1" x14ac:dyDescent="0.35">
      <c r="C233" s="292"/>
      <c r="D233" s="295"/>
      <c r="E233" s="343" t="str">
        <f>+D222</f>
        <v>M 1:4</v>
      </c>
      <c r="F233" s="296"/>
      <c r="G233" s="296"/>
      <c r="H233" s="296"/>
      <c r="I233" s="296"/>
      <c r="J233" s="297"/>
      <c r="K233" s="293"/>
      <c r="M233" s="724"/>
      <c r="N233" s="726" t="s">
        <v>110</v>
      </c>
      <c r="O233" s="726"/>
      <c r="P233" s="726"/>
      <c r="Q233" s="726"/>
      <c r="R233" s="726"/>
      <c r="S233" s="726"/>
      <c r="T233" s="726"/>
      <c r="U233" s="726"/>
      <c r="V233" s="344">
        <f>+ROUND(V232,$AA$2)</f>
        <v>441220</v>
      </c>
      <c r="Y233" s="332" t="s">
        <v>140</v>
      </c>
      <c r="Z233" s="333">
        <f>+ROUND(Z232,$AA$2)</f>
        <v>0</v>
      </c>
      <c r="AA233" s="279"/>
      <c r="AB233" s="324">
        <f>+V233*Y212</f>
        <v>0</v>
      </c>
      <c r="AC233" s="325">
        <f>+AB233-Z233</f>
        <v>0</v>
      </c>
      <c r="AD233" s="280"/>
      <c r="AE233" s="334"/>
    </row>
    <row r="234" spans="3:31" ht="14.4" hidden="1" x14ac:dyDescent="0.3">
      <c r="C234" s="292"/>
      <c r="D234" s="304"/>
      <c r="E234" s="305"/>
      <c r="F234" s="305"/>
      <c r="G234" s="305"/>
      <c r="H234" s="305"/>
      <c r="I234" s="305"/>
      <c r="J234" s="306"/>
      <c r="K234" s="293"/>
      <c r="M234" s="733" t="s">
        <v>111</v>
      </c>
      <c r="N234" s="733"/>
      <c r="O234" s="733"/>
      <c r="P234" s="733"/>
      <c r="Q234" s="733"/>
      <c r="R234" s="733"/>
      <c r="S234" s="733"/>
      <c r="T234" s="733"/>
      <c r="U234" s="733"/>
      <c r="V234" s="733"/>
      <c r="Y234" s="298"/>
      <c r="Z234" s="299"/>
      <c r="AA234" s="279"/>
      <c r="AB234" s="342"/>
      <c r="AC234" s="299"/>
      <c r="AD234" s="280"/>
      <c r="AE234" s="335"/>
    </row>
    <row r="235" spans="3:31" ht="27.6" hidden="1" x14ac:dyDescent="0.3">
      <c r="C235" s="292"/>
      <c r="D235" s="311"/>
      <c r="E235" s="279"/>
      <c r="F235" s="279"/>
      <c r="G235" s="279"/>
      <c r="H235" s="279"/>
      <c r="I235" s="279"/>
      <c r="J235" s="312"/>
      <c r="K235" s="293"/>
      <c r="M235" s="307" t="s">
        <v>97</v>
      </c>
      <c r="N235" s="706" t="s">
        <v>98</v>
      </c>
      <c r="O235" s="706"/>
      <c r="P235" s="706"/>
      <c r="Q235" s="307" t="s">
        <v>112</v>
      </c>
      <c r="R235" s="307" t="s">
        <v>113</v>
      </c>
      <c r="S235" s="307" t="s">
        <v>114</v>
      </c>
      <c r="T235" s="734" t="s">
        <v>115</v>
      </c>
      <c r="U235" s="734"/>
      <c r="V235" s="307" t="s">
        <v>101</v>
      </c>
      <c r="Y235" s="308" t="s">
        <v>107</v>
      </c>
      <c r="Z235" s="309" t="s">
        <v>9</v>
      </c>
      <c r="AA235" s="279"/>
      <c r="AB235" s="290"/>
      <c r="AC235" s="291"/>
      <c r="AD235" s="280"/>
      <c r="AE235" s="349"/>
    </row>
    <row r="236" spans="3:31" ht="14.4" hidden="1" x14ac:dyDescent="0.3">
      <c r="C236" s="350"/>
      <c r="D236" s="351"/>
      <c r="E236" s="345"/>
      <c r="F236" s="345"/>
      <c r="G236" s="345"/>
      <c r="H236" s="345"/>
      <c r="I236" s="345"/>
      <c r="J236" s="352"/>
      <c r="K236" s="353"/>
      <c r="M236" s="354">
        <v>120</v>
      </c>
      <c r="N236" s="718" t="str">
        <f>IFERROR(VLOOKUP(M236,INSUMOS!$C$8:$K$934,2,0),"-----")</f>
        <v>Transporte Cemento - San Gil</v>
      </c>
      <c r="O236" s="718"/>
      <c r="P236" s="718"/>
      <c r="Q236" s="314" t="str">
        <f>IFERROR(VLOOKUP(M236,INSUMOS!$C$8:$K$934,5,0),"-----")</f>
        <v>kg/km</v>
      </c>
      <c r="R236" s="355">
        <f>S225*(1+T225)</f>
        <v>382.2</v>
      </c>
      <c r="S236" s="355">
        <f>IFERROR(VLOOKUP(M236,INSUMOS!$C$8:$K$934,6,0),"0")</f>
        <v>4.87</v>
      </c>
      <c r="T236" s="719">
        <f>IFERROR(VLOOKUP(M236,INSUMOS!$C$8:$K$934,7,0),"0")</f>
        <v>10</v>
      </c>
      <c r="U236" s="719"/>
      <c r="V236" s="515">
        <f>+T236*S236*R236</f>
        <v>18613.14</v>
      </c>
      <c r="Y236" s="321">
        <f>+IFERROR((R236*S236)*Y212,0)</f>
        <v>0</v>
      </c>
      <c r="Z236" s="318">
        <f>Y212*V236</f>
        <v>0</v>
      </c>
      <c r="AA236" s="345"/>
      <c r="AB236" s="346">
        <f>+Y236*T236</f>
        <v>0</v>
      </c>
      <c r="AC236" s="347">
        <f>+AB236-Z236</f>
        <v>0</v>
      </c>
      <c r="AD236" s="348"/>
      <c r="AE236" s="337" t="str">
        <f t="shared" ref="AE236:AE240" si="31">+IF(V236=0,"CERO","NO")</f>
        <v>NO</v>
      </c>
    </row>
    <row r="237" spans="3:31" ht="14.4" hidden="1" x14ac:dyDescent="0.3">
      <c r="C237" s="350"/>
      <c r="D237" s="351"/>
      <c r="E237" s="345"/>
      <c r="F237" s="345"/>
      <c r="G237" s="345"/>
      <c r="H237" s="345"/>
      <c r="I237" s="345"/>
      <c r="J237" s="352"/>
      <c r="K237" s="353"/>
      <c r="M237" s="354">
        <v>100</v>
      </c>
      <c r="N237" s="718" t="str">
        <f>IFERROR(VLOOKUP(M237,INSUMOS!$C$8:$K$934,2,0),"-----")</f>
        <v>Transporte Arena - Pescadero</v>
      </c>
      <c r="O237" s="718"/>
      <c r="P237" s="718"/>
      <c r="Q237" s="314" t="str">
        <f>IFERROR(VLOOKUP(M237,INSUMOS!$C$8:$K$934,5,0),"-----")</f>
        <v>m3/km</v>
      </c>
      <c r="R237" s="355">
        <f>S227*(1+T227)</f>
        <v>1.218</v>
      </c>
      <c r="S237" s="355">
        <f>IFERROR(VLOOKUP(M237,INSUMOS!$C$8:$K$934,6,0),"0")</f>
        <v>60.3</v>
      </c>
      <c r="T237" s="719">
        <f>IFERROR(VLOOKUP(M237,INSUMOS!$C$8:$K$934,7,0),"0")</f>
        <v>1800</v>
      </c>
      <c r="U237" s="719"/>
      <c r="V237" s="515">
        <f>+T237*S237*R237</f>
        <v>132201.72</v>
      </c>
      <c r="Y237" s="321">
        <f>+IFERROR((R237*S237)*Y212,0)</f>
        <v>0</v>
      </c>
      <c r="Z237" s="318">
        <f>Y212*V237</f>
        <v>0</v>
      </c>
      <c r="AA237" s="345"/>
      <c r="AB237" s="346">
        <f>+Y237*T237</f>
        <v>0</v>
      </c>
      <c r="AC237" s="347">
        <f>+AB237-Z237</f>
        <v>0</v>
      </c>
      <c r="AD237" s="348"/>
      <c r="AE237" s="337" t="str">
        <f t="shared" si="31"/>
        <v>NO</v>
      </c>
    </row>
    <row r="238" spans="3:31" ht="14.4" hidden="1" x14ac:dyDescent="0.3">
      <c r="C238" s="350"/>
      <c r="D238" s="351"/>
      <c r="E238" s="345"/>
      <c r="F238" s="345"/>
      <c r="G238" s="345"/>
      <c r="H238" s="345"/>
      <c r="I238" s="345"/>
      <c r="J238" s="352"/>
      <c r="K238" s="353"/>
      <c r="M238" s="354">
        <v>0</v>
      </c>
      <c r="N238" s="718" t="str">
        <f>IFERROR(VLOOKUP(M238,INSUMOS!$C$8:$K$934,2,0),"-----")</f>
        <v>-----</v>
      </c>
      <c r="O238" s="718"/>
      <c r="P238" s="718"/>
      <c r="Q238" s="314" t="str">
        <f>IFERROR(VLOOKUP(M238,INSUMOS!$C$8:$K$934,5,0),"-----")</f>
        <v>-----</v>
      </c>
      <c r="R238" s="355"/>
      <c r="S238" s="355" t="str">
        <f>IFERROR(VLOOKUP(M238,INSUMOS!$C$8:$K$934,6,0),"0")</f>
        <v>0</v>
      </c>
      <c r="T238" s="719" t="str">
        <f>IFERROR(VLOOKUP(M238,INSUMOS!$C$8:$K$934,7,0),"0")</f>
        <v>0</v>
      </c>
      <c r="U238" s="719"/>
      <c r="V238" s="515">
        <f>+T238*S238*R238</f>
        <v>0</v>
      </c>
      <c r="Y238" s="321">
        <f>+IFERROR((R238*S238)*Y212,0)</f>
        <v>0</v>
      </c>
      <c r="Z238" s="318">
        <f>Y212*V238</f>
        <v>0</v>
      </c>
      <c r="AA238" s="345"/>
      <c r="AB238" s="346">
        <f t="shared" ref="AB238:AB239" si="32">+Y238*T238</f>
        <v>0</v>
      </c>
      <c r="AC238" s="347">
        <f t="shared" ref="AC238:AC239" si="33">+AB238-Z238</f>
        <v>0</v>
      </c>
      <c r="AD238" s="348"/>
      <c r="AE238" s="337" t="str">
        <f t="shared" si="31"/>
        <v>CERO</v>
      </c>
    </row>
    <row r="239" spans="3:31" ht="14.4" hidden="1" x14ac:dyDescent="0.3">
      <c r="C239" s="350"/>
      <c r="D239" s="351"/>
      <c r="E239" s="345"/>
      <c r="F239" s="345"/>
      <c r="G239" s="345"/>
      <c r="H239" s="345"/>
      <c r="I239" s="345"/>
      <c r="J239" s="352"/>
      <c r="K239" s="353"/>
      <c r="M239" s="354">
        <v>0</v>
      </c>
      <c r="N239" s="718"/>
      <c r="O239" s="718"/>
      <c r="P239" s="718"/>
      <c r="Q239" s="357"/>
      <c r="R239" s="355"/>
      <c r="S239" s="358"/>
      <c r="T239" s="719"/>
      <c r="U239" s="719"/>
      <c r="V239" s="515"/>
      <c r="Y239" s="321">
        <f>+IFERROR((R239*S239)*Y212,0)</f>
        <v>0</v>
      </c>
      <c r="Z239" s="318">
        <f>Y212*V239</f>
        <v>0</v>
      </c>
      <c r="AA239" s="345"/>
      <c r="AB239" s="346">
        <f t="shared" si="32"/>
        <v>0</v>
      </c>
      <c r="AC239" s="347">
        <f t="shared" si="33"/>
        <v>0</v>
      </c>
      <c r="AD239" s="348"/>
      <c r="AE239" s="337" t="str">
        <f t="shared" si="31"/>
        <v>CERO</v>
      </c>
    </row>
    <row r="240" spans="3:31" ht="15" hidden="1" thickBot="1" x14ac:dyDescent="0.35">
      <c r="C240" s="350"/>
      <c r="D240" s="360"/>
      <c r="E240" s="361"/>
      <c r="F240" s="361"/>
      <c r="G240" s="361"/>
      <c r="H240" s="361"/>
      <c r="I240" s="361"/>
      <c r="J240" s="362"/>
      <c r="K240" s="353"/>
      <c r="M240" s="354">
        <v>0</v>
      </c>
      <c r="N240" s="718"/>
      <c r="O240" s="718"/>
      <c r="P240" s="718"/>
      <c r="Q240" s="357"/>
      <c r="R240" s="314"/>
      <c r="S240" s="358"/>
      <c r="T240" s="719"/>
      <c r="U240" s="719"/>
      <c r="V240" s="515"/>
      <c r="Y240" s="321">
        <f>+IFERROR((R240*S240)*Y212,0)</f>
        <v>0</v>
      </c>
      <c r="Z240" s="318">
        <f>Y212*V240</f>
        <v>0</v>
      </c>
      <c r="AA240" s="345"/>
      <c r="AB240" s="346">
        <f>+Y240*T240</f>
        <v>0</v>
      </c>
      <c r="AC240" s="347">
        <f>+AB240-Z240</f>
        <v>0</v>
      </c>
      <c r="AD240" s="348"/>
      <c r="AE240" s="337" t="str">
        <f t="shared" si="31"/>
        <v>CERO</v>
      </c>
    </row>
    <row r="241" spans="3:31" ht="15" hidden="1" thickBot="1" x14ac:dyDescent="0.35">
      <c r="C241" s="292"/>
      <c r="D241" s="295" t="s">
        <v>132</v>
      </c>
      <c r="E241" s="296" t="s">
        <v>133</v>
      </c>
      <c r="F241" s="296" t="s">
        <v>134</v>
      </c>
      <c r="G241" s="296" t="s">
        <v>135</v>
      </c>
      <c r="H241" s="296" t="s">
        <v>136</v>
      </c>
      <c r="I241" s="296" t="s">
        <v>137</v>
      </c>
      <c r="J241" s="297" t="s">
        <v>138</v>
      </c>
      <c r="K241" s="293"/>
      <c r="M241" s="720"/>
      <c r="N241" s="721" t="s">
        <v>116</v>
      </c>
      <c r="O241" s="721"/>
      <c r="P241" s="721"/>
      <c r="Q241" s="721"/>
      <c r="R241" s="721"/>
      <c r="S241" s="721"/>
      <c r="T241" s="721"/>
      <c r="U241" s="721"/>
      <c r="V241" s="499">
        <f>+SUM(V236:V240)</f>
        <v>150814.85999999999</v>
      </c>
      <c r="Y241" s="328" t="s">
        <v>139</v>
      </c>
      <c r="Z241" s="329">
        <f>+SUM(Z236:Z240)</f>
        <v>0</v>
      </c>
      <c r="AA241" s="279"/>
      <c r="AB241" s="290"/>
      <c r="AC241" s="291"/>
      <c r="AD241" s="280"/>
      <c r="AE241" s="330"/>
    </row>
    <row r="242" spans="3:31" ht="15" hidden="1" thickBot="1" x14ac:dyDescent="0.35">
      <c r="C242" s="292"/>
      <c r="D242" s="363"/>
      <c r="E242" s="364"/>
      <c r="F242" s="365" t="str">
        <f>+E233</f>
        <v>M 1:4</v>
      </c>
      <c r="G242" s="364"/>
      <c r="H242" s="364"/>
      <c r="I242" s="364"/>
      <c r="J242" s="366"/>
      <c r="K242" s="293"/>
      <c r="M242" s="720"/>
      <c r="N242" s="722" t="s">
        <v>117</v>
      </c>
      <c r="O242" s="722"/>
      <c r="P242" s="722"/>
      <c r="Q242" s="722"/>
      <c r="R242" s="722"/>
      <c r="S242" s="722"/>
      <c r="T242" s="722"/>
      <c r="U242" s="722"/>
      <c r="V242" s="344">
        <f>+ROUND(V241,$AA$2)</f>
        <v>150815</v>
      </c>
      <c r="Y242" s="332" t="s">
        <v>140</v>
      </c>
      <c r="Z242" s="333">
        <f>+ROUND(Z241,$AA$2)</f>
        <v>0</v>
      </c>
      <c r="AA242" s="279"/>
      <c r="AB242" s="324">
        <f>+V242*Y212</f>
        <v>0</v>
      </c>
      <c r="AC242" s="359"/>
      <c r="AD242" s="280"/>
      <c r="AE242" s="334"/>
    </row>
    <row r="243" spans="3:31" ht="15" hidden="1" thickBot="1" x14ac:dyDescent="0.35">
      <c r="C243" s="292"/>
      <c r="D243" s="369"/>
      <c r="E243" s="370"/>
      <c r="F243" s="370"/>
      <c r="G243" s="370"/>
      <c r="H243" s="370"/>
      <c r="I243" s="370"/>
      <c r="J243" s="371"/>
      <c r="K243" s="293"/>
      <c r="M243" s="723" t="s">
        <v>118</v>
      </c>
      <c r="N243" s="723"/>
      <c r="O243" s="723"/>
      <c r="P243" s="723"/>
      <c r="Q243" s="723"/>
      <c r="R243" s="723"/>
      <c r="S243" s="723"/>
      <c r="T243" s="723"/>
      <c r="U243" s="723"/>
      <c r="V243" s="723"/>
      <c r="Y243" s="298"/>
      <c r="Z243" s="299"/>
      <c r="AA243" s="279"/>
      <c r="AB243" s="342"/>
      <c r="AC243" s="299"/>
      <c r="AD243" s="280"/>
      <c r="AE243" s="335"/>
    </row>
    <row r="244" spans="3:31" ht="15" hidden="1" thickBot="1" x14ac:dyDescent="0.35">
      <c r="C244" s="292"/>
      <c r="D244" s="295" t="s">
        <v>132</v>
      </c>
      <c r="E244" s="296" t="s">
        <v>133</v>
      </c>
      <c r="F244" s="296" t="s">
        <v>134</v>
      </c>
      <c r="G244" s="296" t="s">
        <v>135</v>
      </c>
      <c r="H244" s="296" t="s">
        <v>136</v>
      </c>
      <c r="I244" s="296" t="s">
        <v>137</v>
      </c>
      <c r="J244" s="297" t="s">
        <v>138</v>
      </c>
      <c r="K244" s="293"/>
      <c r="M244" s="307" t="s">
        <v>97</v>
      </c>
      <c r="N244" s="372" t="s">
        <v>98</v>
      </c>
      <c r="O244" s="307" t="s">
        <v>99</v>
      </c>
      <c r="P244" s="396" t="s">
        <v>107</v>
      </c>
      <c r="Q244" s="307" t="s">
        <v>119</v>
      </c>
      <c r="R244" s="373" t="s">
        <v>120</v>
      </c>
      <c r="S244" s="307" t="s">
        <v>363</v>
      </c>
      <c r="T244" s="374" t="s">
        <v>121</v>
      </c>
      <c r="U244" s="375" t="s">
        <v>122</v>
      </c>
      <c r="V244" s="307" t="s">
        <v>101</v>
      </c>
      <c r="Y244" s="308" t="s">
        <v>107</v>
      </c>
      <c r="Z244" s="309" t="s">
        <v>9</v>
      </c>
      <c r="AA244" s="279"/>
      <c r="AB244" s="290"/>
      <c r="AC244" s="291"/>
      <c r="AD244" s="280"/>
      <c r="AE244" s="349"/>
    </row>
    <row r="245" spans="3:31" ht="14.4" hidden="1" x14ac:dyDescent="0.3">
      <c r="C245" s="292"/>
      <c r="D245" s="376"/>
      <c r="E245" s="377"/>
      <c r="F245" s="377"/>
      <c r="G245" s="377"/>
      <c r="H245" s="377"/>
      <c r="I245" s="377"/>
      <c r="J245" s="378" t="str">
        <f>+F242</f>
        <v>M 1:4</v>
      </c>
      <c r="K245" s="293"/>
      <c r="M245" s="313">
        <v>201</v>
      </c>
      <c r="N245" s="379" t="str">
        <f>IFERROR(VLOOKUP(M245,INSUMOS!$C$8:$K$934,2,0),"-----")</f>
        <v>Oficial Albañileria</v>
      </c>
      <c r="O245" s="314" t="str">
        <f>IFERROR(VLOOKUP(M245,INSUMOS!$C$8:$K$934,3,0),"-----")</f>
        <v>JORNAL+PS</v>
      </c>
      <c r="P245" s="355">
        <v>1</v>
      </c>
      <c r="Q245" s="339">
        <v>7</v>
      </c>
      <c r="R245" s="380">
        <f>IFERROR(VLOOKUP(M245,INSUMOS!$C$8:$K$934,4,0),"-----")</f>
        <v>114970</v>
      </c>
      <c r="S245" s="380">
        <f>IFERROR(VLOOKUP(M245,INSUMOS!$C$8:$K$934,6,0),"-----")</f>
        <v>91976</v>
      </c>
      <c r="T245" s="380">
        <f>IFERROR(VLOOKUP(M245,INSUMOS!$C$8:$K$934,5,0),"-----")</f>
        <v>0</v>
      </c>
      <c r="U245" s="338">
        <f>SUM(R245:T245)</f>
        <v>206946</v>
      </c>
      <c r="V245" s="316">
        <f>+IFERROR((P245/Q245)*U245,0)</f>
        <v>29563.714285714283</v>
      </c>
      <c r="Y245" s="321">
        <f>+IFERROR((Y212/Q245*P245),0)</f>
        <v>0</v>
      </c>
      <c r="Z245" s="318">
        <f>Y212*V245</f>
        <v>0</v>
      </c>
      <c r="AA245" s="279"/>
      <c r="AB245" s="367">
        <f>+(U245)*Y245</f>
        <v>0</v>
      </c>
      <c r="AC245" s="302">
        <f>+AB245-Z245</f>
        <v>0</v>
      </c>
      <c r="AD245" s="368"/>
      <c r="AE245" s="349" t="str">
        <f>+IF(V245=0,"CERO","NO")</f>
        <v>NO</v>
      </c>
    </row>
    <row r="246" spans="3:31" ht="15" hidden="1" thickBot="1" x14ac:dyDescent="0.35">
      <c r="C246" s="292"/>
      <c r="D246" s="363"/>
      <c r="E246" s="364"/>
      <c r="F246" s="364"/>
      <c r="G246" s="364"/>
      <c r="H246" s="364"/>
      <c r="I246" s="364"/>
      <c r="J246" s="381" t="str">
        <f>+J245</f>
        <v>M 1:4</v>
      </c>
      <c r="K246" s="293"/>
      <c r="M246" s="313">
        <v>202</v>
      </c>
      <c r="N246" s="379" t="str">
        <f>IFERROR(VLOOKUP(M246,INSUMOS!$C$8:$K$934,2,0),"-----")</f>
        <v>Ayudante Albañileria</v>
      </c>
      <c r="O246" s="314" t="str">
        <f>IFERROR(VLOOKUP(M246,INSUMOS!$C$8:$K$934,3,0),"-----")</f>
        <v>JORNAL+PS</v>
      </c>
      <c r="P246" s="355">
        <v>5</v>
      </c>
      <c r="Q246" s="339">
        <v>7</v>
      </c>
      <c r="R246" s="380">
        <f>IFERROR(VLOOKUP(M246,INSUMOS!$C$8:$K$934,4,0),"-----")</f>
        <v>94970</v>
      </c>
      <c r="S246" s="380">
        <f>IFERROR(VLOOKUP(M246,INSUMOS!$C$8:$K$934,6,0),"-----")</f>
        <v>75976</v>
      </c>
      <c r="T246" s="380">
        <f>IFERROR(VLOOKUP(M246,INSUMOS!$C$8:$K$934,5,0),"-----")</f>
        <v>0</v>
      </c>
      <c r="U246" s="338">
        <f>SUM(R246:T246)</f>
        <v>170946</v>
      </c>
      <c r="V246" s="316">
        <f>+IFERROR((P246/Q246)*U246,0)</f>
        <v>122104.28571428571</v>
      </c>
      <c r="Y246" s="321">
        <f>+IFERROR((Y212/Q246*P246),0)</f>
        <v>0</v>
      </c>
      <c r="Z246" s="318">
        <f>Y212*V246</f>
        <v>0</v>
      </c>
      <c r="AA246" s="279"/>
      <c r="AB246" s="367">
        <f>+U246*Y246</f>
        <v>0</v>
      </c>
      <c r="AC246" s="302">
        <f>+AB246-Z246</f>
        <v>0</v>
      </c>
      <c r="AD246" s="280"/>
      <c r="AE246" s="349" t="str">
        <f t="shared" ref="AE246:AE247" si="34">+IF(V246=0,"CERO","NO")</f>
        <v>NO</v>
      </c>
    </row>
    <row r="247" spans="3:31" ht="15" hidden="1" thickBot="1" x14ac:dyDescent="0.35">
      <c r="C247" s="292"/>
      <c r="D247" s="304"/>
      <c r="E247" s="305"/>
      <c r="F247" s="305"/>
      <c r="G247" s="305"/>
      <c r="H247" s="305"/>
      <c r="I247" s="305"/>
      <c r="J247" s="306"/>
      <c r="K247" s="293"/>
      <c r="M247" s="313">
        <v>0</v>
      </c>
      <c r="N247" s="379"/>
      <c r="O247" s="339"/>
      <c r="P247" s="382"/>
      <c r="Q247" s="319"/>
      <c r="R247" s="383"/>
      <c r="S247" s="384"/>
      <c r="T247" s="383"/>
      <c r="U247" s="338"/>
      <c r="V247" s="323"/>
      <c r="Y247" s="321">
        <f>+IFERROR((Y212/Q247*P247),0)</f>
        <v>0</v>
      </c>
      <c r="Z247" s="318">
        <f>Y212*V247</f>
        <v>0</v>
      </c>
      <c r="AA247" s="279"/>
      <c r="AB247" s="367">
        <f>+(U247)*Y247*P247</f>
        <v>0</v>
      </c>
      <c r="AC247" s="302">
        <f>+AB247-Z247</f>
        <v>0</v>
      </c>
      <c r="AD247" s="280"/>
      <c r="AE247" s="349" t="str">
        <f t="shared" si="34"/>
        <v>CERO</v>
      </c>
    </row>
    <row r="248" spans="3:31" ht="15" hidden="1" thickBot="1" x14ac:dyDescent="0.35">
      <c r="C248" s="292"/>
      <c r="D248" s="295" t="s">
        <v>132</v>
      </c>
      <c r="E248" s="296" t="s">
        <v>133</v>
      </c>
      <c r="F248" s="296" t="s">
        <v>134</v>
      </c>
      <c r="G248" s="296" t="s">
        <v>135</v>
      </c>
      <c r="H248" s="296" t="s">
        <v>136</v>
      </c>
      <c r="I248" s="296" t="s">
        <v>137</v>
      </c>
      <c r="J248" s="297" t="s">
        <v>138</v>
      </c>
      <c r="K248" s="293"/>
      <c r="M248" s="724"/>
      <c r="N248" s="725" t="s">
        <v>123</v>
      </c>
      <c r="O248" s="725"/>
      <c r="P248" s="725"/>
      <c r="Q248" s="725"/>
      <c r="R248" s="725"/>
      <c r="S248" s="725"/>
      <c r="T248" s="725"/>
      <c r="U248" s="725"/>
      <c r="V248" s="316">
        <f>+SUM(V245:V247)</f>
        <v>151668</v>
      </c>
      <c r="Y248" s="328" t="s">
        <v>139</v>
      </c>
      <c r="Z248" s="329">
        <f>+SUM(Z245:Z247)</f>
        <v>0</v>
      </c>
      <c r="AA248" s="279"/>
      <c r="AB248" s="290"/>
      <c r="AC248" s="291"/>
      <c r="AD248" s="280"/>
      <c r="AE248" s="330"/>
    </row>
    <row r="249" spans="3:31" ht="15" hidden="1" thickBot="1" x14ac:dyDescent="0.35">
      <c r="C249" s="292"/>
      <c r="D249" s="376"/>
      <c r="E249" s="377"/>
      <c r="F249" s="377"/>
      <c r="G249" s="386" t="str">
        <f>+F242</f>
        <v>M 1:4</v>
      </c>
      <c r="H249" s="377"/>
      <c r="I249" s="377"/>
      <c r="J249" s="387"/>
      <c r="K249" s="293"/>
      <c r="M249" s="724"/>
      <c r="N249" s="726" t="s">
        <v>124</v>
      </c>
      <c r="O249" s="726"/>
      <c r="P249" s="726"/>
      <c r="Q249" s="726"/>
      <c r="R249" s="726"/>
      <c r="S249" s="726"/>
      <c r="T249" s="726"/>
      <c r="U249" s="726"/>
      <c r="V249" s="344">
        <f>+ROUND(V248,$AA$2)</f>
        <v>151668</v>
      </c>
      <c r="Y249" s="332" t="s">
        <v>140</v>
      </c>
      <c r="Z249" s="333">
        <f>+ROUND(Z248,$AA$2)</f>
        <v>0</v>
      </c>
      <c r="AA249" s="279"/>
      <c r="AB249" s="324">
        <f>+V249*Y212</f>
        <v>0</v>
      </c>
      <c r="AC249" s="325">
        <f>+AB249-Z249</f>
        <v>0</v>
      </c>
      <c r="AD249" s="280"/>
      <c r="AE249" s="334"/>
    </row>
    <row r="250" spans="3:31" ht="15" hidden="1" thickBot="1" x14ac:dyDescent="0.35">
      <c r="C250" s="292"/>
      <c r="D250" s="295" t="s">
        <v>132</v>
      </c>
      <c r="E250" s="296" t="s">
        <v>133</v>
      </c>
      <c r="F250" s="296" t="s">
        <v>134</v>
      </c>
      <c r="G250" s="296" t="s">
        <v>135</v>
      </c>
      <c r="H250" s="296" t="s">
        <v>136</v>
      </c>
      <c r="I250" s="296" t="s">
        <v>137</v>
      </c>
      <c r="J250" s="297" t="s">
        <v>138</v>
      </c>
      <c r="K250" s="293"/>
      <c r="M250" s="727"/>
      <c r="N250" s="727"/>
      <c r="O250" s="727"/>
      <c r="P250" s="727"/>
      <c r="Q250" s="727"/>
      <c r="R250" s="727"/>
      <c r="S250" s="727"/>
      <c r="T250" s="727"/>
      <c r="U250" s="727"/>
      <c r="V250" s="727"/>
      <c r="Y250" s="298"/>
      <c r="Z250" s="299"/>
      <c r="AA250" s="279"/>
      <c r="AB250" s="342"/>
      <c r="AC250" s="299"/>
      <c r="AD250" s="280"/>
      <c r="AE250" s="388"/>
    </row>
    <row r="251" spans="3:31" ht="15" hidden="1" thickBot="1" x14ac:dyDescent="0.35">
      <c r="C251" s="292"/>
      <c r="D251" s="363"/>
      <c r="E251" s="364"/>
      <c r="F251" s="364"/>
      <c r="G251" s="364"/>
      <c r="H251" s="365" t="str">
        <f>G249</f>
        <v>M 1:4</v>
      </c>
      <c r="I251" s="365"/>
      <c r="J251" s="381"/>
      <c r="K251" s="293"/>
      <c r="M251" s="726" t="s">
        <v>125</v>
      </c>
      <c r="N251" s="726"/>
      <c r="O251" s="726"/>
      <c r="P251" s="726"/>
      <c r="Q251" s="726"/>
      <c r="R251" s="726"/>
      <c r="S251" s="726"/>
      <c r="T251" s="726"/>
      <c r="U251" s="728">
        <f>+V249+V242+V233+V222</f>
        <v>751286</v>
      </c>
      <c r="V251" s="728"/>
      <c r="Y251" s="389"/>
      <c r="Z251" s="390">
        <f>+Z249+Z242+Z233+Z222</f>
        <v>0</v>
      </c>
      <c r="AA251" s="279"/>
      <c r="AB251" s="385">
        <f>+AB249+AB242+AB233+AB222</f>
        <v>0</v>
      </c>
      <c r="AC251" s="325">
        <f>+AB251-Z251</f>
        <v>0</v>
      </c>
      <c r="AD251" s="280"/>
      <c r="AE251" s="391"/>
    </row>
    <row r="252" spans="3:31" hidden="1" x14ac:dyDescent="0.25">
      <c r="M252" s="705"/>
      <c r="N252" s="705"/>
      <c r="O252" s="705"/>
      <c r="P252" s="705"/>
      <c r="Q252" s="705"/>
      <c r="R252" s="706"/>
      <c r="S252" s="706"/>
      <c r="T252" s="706"/>
      <c r="U252" s="706"/>
      <c r="V252" s="706"/>
    </row>
    <row r="253" spans="3:31" hidden="1" x14ac:dyDescent="0.25">
      <c r="M253" s="705"/>
      <c r="N253" s="705"/>
      <c r="O253" s="705"/>
      <c r="P253" s="705"/>
      <c r="Q253" s="705"/>
      <c r="R253" s="706"/>
      <c r="S253" s="706"/>
      <c r="T253" s="706"/>
      <c r="U253" s="706"/>
      <c r="V253" s="706"/>
    </row>
    <row r="254" spans="3:31" hidden="1" x14ac:dyDescent="0.25">
      <c r="M254" s="705"/>
      <c r="N254" s="705"/>
      <c r="O254" s="705"/>
      <c r="P254" s="705"/>
      <c r="Q254" s="705"/>
      <c r="R254" s="706"/>
      <c r="S254" s="706"/>
      <c r="T254" s="706"/>
      <c r="U254" s="706"/>
      <c r="V254" s="706"/>
    </row>
    <row r="255" spans="3:31" hidden="1" x14ac:dyDescent="0.25">
      <c r="M255" s="705"/>
      <c r="N255" s="705"/>
      <c r="O255" s="705"/>
      <c r="P255" s="705"/>
      <c r="Q255" s="705"/>
      <c r="R255" s="706"/>
      <c r="S255" s="706"/>
      <c r="T255" s="706"/>
      <c r="U255" s="706"/>
      <c r="V255" s="706"/>
    </row>
    <row r="256" spans="3:31" hidden="1" x14ac:dyDescent="0.25">
      <c r="M256" s="707" t="s">
        <v>128</v>
      </c>
      <c r="N256" s="392" t="str">
        <f>$N$6</f>
        <v>ING. JEYSON JULIAN LEON RUEDA</v>
      </c>
      <c r="O256" s="393"/>
      <c r="P256" s="393"/>
      <c r="Q256" s="393"/>
      <c r="R256" s="711" t="s">
        <v>129</v>
      </c>
      <c r="S256" s="392" t="str">
        <f>$S$6</f>
        <v>ARQ. YASMID ROCÍO CARRILLO MORA</v>
      </c>
      <c r="T256" s="393"/>
      <c r="U256" s="394"/>
      <c r="V256" s="394"/>
    </row>
    <row r="257" spans="3:31" hidden="1" x14ac:dyDescent="0.25">
      <c r="M257" s="707"/>
      <c r="N257" s="395" t="str">
        <f>$N$7</f>
        <v>MP. 68202-416348 STD</v>
      </c>
      <c r="O257" s="393"/>
      <c r="P257" s="393"/>
      <c r="Q257" s="393"/>
      <c r="R257" s="711"/>
      <c r="S257" s="395" t="str">
        <f>$S$7</f>
        <v>SECRETARIA DE PLANEACIÓN Y OBRAS PÚBLICAS</v>
      </c>
      <c r="T257" s="393"/>
      <c r="U257" s="394"/>
      <c r="V257" s="394"/>
    </row>
    <row r="258" spans="3:31" hidden="1" x14ac:dyDescent="0.25">
      <c r="M258" s="707"/>
      <c r="N258" s="393"/>
      <c r="O258" s="393"/>
      <c r="P258" s="393"/>
      <c r="Q258" s="393"/>
      <c r="R258" s="711"/>
      <c r="S258" s="395" t="str">
        <f>$S$8</f>
        <v>MUNICIPIO DE PINCHOTE</v>
      </c>
      <c r="T258" s="393"/>
      <c r="U258" s="394"/>
      <c r="V258" s="394"/>
    </row>
    <row r="259" spans="3:31" hidden="1" x14ac:dyDescent="0.25"/>
    <row r="260" spans="3:31" ht="14.4" thickBot="1" x14ac:dyDescent="0.3"/>
    <row r="261" spans="3:31" ht="15" thickBot="1" x14ac:dyDescent="0.35">
      <c r="M261" s="281" t="s">
        <v>90</v>
      </c>
      <c r="N261" s="282" t="s">
        <v>91</v>
      </c>
      <c r="O261" s="706" t="s">
        <v>92</v>
      </c>
      <c r="P261" s="706"/>
      <c r="Q261" s="706"/>
      <c r="R261" s="706"/>
      <c r="S261" s="706"/>
      <c r="T261" s="706"/>
      <c r="U261" s="706"/>
      <c r="V261" s="283" t="s">
        <v>93</v>
      </c>
      <c r="Y261" s="284" t="s">
        <v>107</v>
      </c>
      <c r="Z261" s="280"/>
      <c r="AA261" s="274"/>
      <c r="AB261" s="735"/>
      <c r="AC261" s="735"/>
      <c r="AD261" s="735"/>
      <c r="AE261" s="280"/>
    </row>
    <row r="262" spans="3:31" ht="15" thickBot="1" x14ac:dyDescent="0.35">
      <c r="C262" s="285" t="str">
        <f>+N262</f>
        <v>M 1:3 I.</v>
      </c>
      <c r="D262" s="279"/>
      <c r="E262" s="279"/>
      <c r="F262" s="279"/>
      <c r="G262" s="279"/>
      <c r="H262" s="279"/>
      <c r="I262" s="279"/>
      <c r="J262" s="279"/>
      <c r="K262" s="286"/>
      <c r="M262" s="283" t="s">
        <v>94</v>
      </c>
      <c r="N262" s="287" t="s">
        <v>289</v>
      </c>
      <c r="O262" s="736" t="str">
        <f>IFERROR(VLOOKUP(N262,INSUMOS!$C$8:$K$934,2,0),"-----")</f>
        <v>Mortero 1:3 Impermeabilizado</v>
      </c>
      <c r="P262" s="736"/>
      <c r="Q262" s="736"/>
      <c r="R262" s="736"/>
      <c r="S262" s="736"/>
      <c r="T262" s="736"/>
      <c r="U262" s="736"/>
      <c r="V262" s="288" t="str">
        <f>IFERROR(VLOOKUP(N262,INSUMOS!$C$8:$K$934,6,0),"-----")</f>
        <v>m3</v>
      </c>
      <c r="Y262" s="289">
        <f>SUMIFS($Y$310:$Y$1486,$M$310:$M$1486,N262)</f>
        <v>1</v>
      </c>
      <c r="Z262" s="280"/>
      <c r="AA262" s="279"/>
      <c r="AB262" s="280"/>
      <c r="AC262" s="280"/>
      <c r="AD262" s="280"/>
      <c r="AE262" s="280"/>
    </row>
    <row r="263" spans="3:31" ht="15" thickBot="1" x14ac:dyDescent="0.35">
      <c r="C263" s="292"/>
      <c r="D263" s="279"/>
      <c r="E263" s="279"/>
      <c r="F263" s="279"/>
      <c r="G263" s="279"/>
      <c r="H263" s="279"/>
      <c r="I263" s="279"/>
      <c r="J263" s="279"/>
      <c r="K263" s="293"/>
      <c r="M263" s="737"/>
      <c r="N263" s="737"/>
      <c r="O263" s="737"/>
      <c r="P263" s="737"/>
      <c r="Q263" s="737"/>
      <c r="R263" s="737"/>
      <c r="S263" s="737"/>
      <c r="T263" s="737"/>
      <c r="U263" s="737"/>
      <c r="V263" s="737"/>
      <c r="Y263" s="294"/>
      <c r="Z263" s="280"/>
      <c r="AA263" s="279"/>
      <c r="AB263" s="280"/>
      <c r="AC263" s="280"/>
      <c r="AD263" s="280"/>
      <c r="AE263" s="280"/>
    </row>
    <row r="264" spans="3:31" ht="15" thickBot="1" x14ac:dyDescent="0.35">
      <c r="C264" s="292"/>
      <c r="D264" s="295" t="s">
        <v>132</v>
      </c>
      <c r="E264" s="296" t="s">
        <v>133</v>
      </c>
      <c r="F264" s="296" t="s">
        <v>134</v>
      </c>
      <c r="G264" s="296" t="s">
        <v>135</v>
      </c>
      <c r="H264" s="296" t="s">
        <v>136</v>
      </c>
      <c r="I264" s="296" t="s">
        <v>137</v>
      </c>
      <c r="J264" s="297" t="s">
        <v>138</v>
      </c>
      <c r="K264" s="293"/>
      <c r="M264" s="738" t="s">
        <v>96</v>
      </c>
      <c r="N264" s="738"/>
      <c r="O264" s="738"/>
      <c r="P264" s="738"/>
      <c r="Q264" s="738"/>
      <c r="R264" s="738"/>
      <c r="S264" s="738"/>
      <c r="T264" s="738"/>
      <c r="U264" s="738"/>
      <c r="V264" s="738"/>
      <c r="Y264" s="298"/>
      <c r="Z264" s="299"/>
      <c r="AA264" s="279"/>
      <c r="AB264" s="731"/>
      <c r="AC264" s="732"/>
      <c r="AD264" s="280"/>
      <c r="AE264" s="303"/>
    </row>
    <row r="265" spans="3:31" ht="14.4" x14ac:dyDescent="0.3">
      <c r="C265" s="292"/>
      <c r="D265" s="304"/>
      <c r="E265" s="305"/>
      <c r="F265" s="305"/>
      <c r="G265" s="305"/>
      <c r="H265" s="305"/>
      <c r="I265" s="305"/>
      <c r="J265" s="306"/>
      <c r="K265" s="293"/>
      <c r="M265" s="307" t="s">
        <v>97</v>
      </c>
      <c r="N265" s="706" t="s">
        <v>98</v>
      </c>
      <c r="O265" s="706"/>
      <c r="P265" s="706"/>
      <c r="Q265" s="706"/>
      <c r="R265" s="307" t="s">
        <v>99</v>
      </c>
      <c r="S265" s="307" t="s">
        <v>100</v>
      </c>
      <c r="T265" s="734" t="s">
        <v>8</v>
      </c>
      <c r="U265" s="734"/>
      <c r="V265" s="307" t="s">
        <v>101</v>
      </c>
      <c r="Y265" s="308" t="s">
        <v>107</v>
      </c>
      <c r="Z265" s="309" t="s">
        <v>9</v>
      </c>
      <c r="AA265" s="279"/>
      <c r="AB265" s="290"/>
      <c r="AC265" s="291"/>
      <c r="AD265" s="280"/>
      <c r="AE265" s="310"/>
    </row>
    <row r="266" spans="3:31" ht="14.4" x14ac:dyDescent="0.3">
      <c r="C266" s="292"/>
      <c r="D266" s="311"/>
      <c r="E266" s="279"/>
      <c r="F266" s="279"/>
      <c r="G266" s="279"/>
      <c r="H266" s="279"/>
      <c r="I266" s="279"/>
      <c r="J266" s="312"/>
      <c r="K266" s="293"/>
      <c r="M266" s="313"/>
      <c r="N266" s="718" t="s">
        <v>102</v>
      </c>
      <c r="O266" s="718"/>
      <c r="P266" s="718"/>
      <c r="Q266" s="718"/>
      <c r="R266" s="314" t="s">
        <v>103</v>
      </c>
      <c r="S266" s="315">
        <f>$AA$9</f>
        <v>0.05</v>
      </c>
      <c r="T266" s="766">
        <f>V299</f>
        <v>151668</v>
      </c>
      <c r="U266" s="766"/>
      <c r="V266" s="316">
        <f>+IFERROR(T266*S266,0)</f>
        <v>7583.4000000000005</v>
      </c>
      <c r="Y266" s="317"/>
      <c r="Z266" s="318">
        <f>Y262*V266</f>
        <v>7583.4000000000005</v>
      </c>
      <c r="AA266" s="279"/>
      <c r="AB266" s="290"/>
      <c r="AC266" s="291"/>
      <c r="AD266" s="280"/>
      <c r="AE266" s="310" t="str">
        <f>+IF(V266=0,"CERO","NO")</f>
        <v>NO</v>
      </c>
    </row>
    <row r="267" spans="3:31" ht="14.4" x14ac:dyDescent="0.3">
      <c r="C267" s="292"/>
      <c r="D267" s="311"/>
      <c r="E267" s="279"/>
      <c r="F267" s="279"/>
      <c r="G267" s="279"/>
      <c r="H267" s="279"/>
      <c r="I267" s="279"/>
      <c r="J267" s="312"/>
      <c r="K267" s="293"/>
      <c r="M267" s="319">
        <v>0</v>
      </c>
      <c r="N267" s="718" t="str">
        <f>IFERROR(VLOOKUP(M267,INSUMOS!$C$8:$K$934,2,0),"-----")</f>
        <v>-----</v>
      </c>
      <c r="O267" s="718"/>
      <c r="P267" s="718"/>
      <c r="Q267" s="718"/>
      <c r="R267" s="314" t="str">
        <f>IFERROR(VLOOKUP(M267,INSUMOS!$C$8:$K$934,6,0),"-----")</f>
        <v>-----</v>
      </c>
      <c r="S267" s="320"/>
      <c r="T267" s="767" t="str">
        <f>IFERROR(VLOOKUP(M267,INSUMOS!$C$8:$K$934,7,0),"0")</f>
        <v>0</v>
      </c>
      <c r="U267" s="767"/>
      <c r="V267" s="316">
        <f>+IFERROR(T267*S267,0)</f>
        <v>0</v>
      </c>
      <c r="Y267" s="321">
        <f>+IFERROR(Y262*S267,0)</f>
        <v>0</v>
      </c>
      <c r="Z267" s="318">
        <f>Y262*V267</f>
        <v>0</v>
      </c>
      <c r="AA267" s="300"/>
      <c r="AB267" s="301">
        <f>+Y267*T267</f>
        <v>0</v>
      </c>
      <c r="AC267" s="302">
        <f>+AB267-Z267</f>
        <v>0</v>
      </c>
      <c r="AD267" s="280"/>
      <c r="AE267" s="310" t="str">
        <f>+IF(V267=0,"CERO","NO")</f>
        <v>CERO</v>
      </c>
    </row>
    <row r="268" spans="3:31" ht="14.4" x14ac:dyDescent="0.3">
      <c r="C268" s="292"/>
      <c r="D268" s="311"/>
      <c r="E268" s="279"/>
      <c r="F268" s="279"/>
      <c r="G268" s="279"/>
      <c r="H268" s="279"/>
      <c r="I268" s="279"/>
      <c r="J268" s="312"/>
      <c r="K268" s="293"/>
      <c r="M268" s="313">
        <v>0</v>
      </c>
      <c r="N268" s="718"/>
      <c r="O268" s="718"/>
      <c r="P268" s="718"/>
      <c r="Q268" s="718"/>
      <c r="R268" s="314"/>
      <c r="S268" s="322"/>
      <c r="T268" s="767"/>
      <c r="U268" s="767"/>
      <c r="V268" s="323"/>
      <c r="Y268" s="321">
        <f>+IFERROR(Y262*S268,0)</f>
        <v>0</v>
      </c>
      <c r="Z268" s="318">
        <f>Y262*V268</f>
        <v>0</v>
      </c>
      <c r="AA268" s="300"/>
      <c r="AB268" s="301">
        <f>+Y268*T268</f>
        <v>0</v>
      </c>
      <c r="AC268" s="302">
        <f>+AB268-Z268</f>
        <v>0</v>
      </c>
      <c r="AD268" s="280"/>
      <c r="AE268" s="310" t="str">
        <f>+IF(V268=0,"CERO","NO")</f>
        <v>CERO</v>
      </c>
    </row>
    <row r="269" spans="3:31" ht="14.4" x14ac:dyDescent="0.3">
      <c r="C269" s="292"/>
      <c r="D269" s="311"/>
      <c r="E269" s="279"/>
      <c r="F269" s="279"/>
      <c r="G269" s="279"/>
      <c r="H269" s="279"/>
      <c r="I269" s="279"/>
      <c r="J269" s="312"/>
      <c r="K269" s="293"/>
      <c r="M269" s="313">
        <v>0</v>
      </c>
      <c r="N269" s="718"/>
      <c r="O269" s="718"/>
      <c r="P269" s="718"/>
      <c r="Q269" s="718"/>
      <c r="R269" s="314"/>
      <c r="S269" s="322"/>
      <c r="T269" s="767"/>
      <c r="U269" s="767"/>
      <c r="V269" s="323"/>
      <c r="Y269" s="321">
        <f>+IFERROR(Y262*S269,0)</f>
        <v>0</v>
      </c>
      <c r="Z269" s="318">
        <f>Y262*V269</f>
        <v>0</v>
      </c>
      <c r="AA269" s="300"/>
      <c r="AB269" s="301">
        <f>+Y269*T269</f>
        <v>0</v>
      </c>
      <c r="AC269" s="302">
        <f>+AB269-Z269</f>
        <v>0</v>
      </c>
      <c r="AD269" s="280"/>
      <c r="AE269" s="310" t="str">
        <f>+IF(V269=0,"CERO","NO")</f>
        <v>CERO</v>
      </c>
    </row>
    <row r="270" spans="3:31" ht="15" thickBot="1" x14ac:dyDescent="0.35">
      <c r="C270" s="292"/>
      <c r="D270" s="311"/>
      <c r="E270" s="279"/>
      <c r="F270" s="279"/>
      <c r="G270" s="279"/>
      <c r="H270" s="279"/>
      <c r="I270" s="279"/>
      <c r="J270" s="312"/>
      <c r="K270" s="293"/>
      <c r="M270" s="313">
        <v>0</v>
      </c>
      <c r="N270" s="727"/>
      <c r="O270" s="727"/>
      <c r="P270" s="727"/>
      <c r="Q270" s="727"/>
      <c r="R270" s="326"/>
      <c r="S270" s="326"/>
      <c r="T270" s="768"/>
      <c r="U270" s="768"/>
      <c r="V270" s="327"/>
      <c r="Y270" s="321">
        <f>+IFERROR(Y262*S270,0)</f>
        <v>0</v>
      </c>
      <c r="Z270" s="318">
        <f>Y262*V270</f>
        <v>0</v>
      </c>
      <c r="AA270" s="300"/>
      <c r="AB270" s="301">
        <f>+Y270*T270</f>
        <v>0</v>
      </c>
      <c r="AC270" s="302">
        <f>+AB270-Z270</f>
        <v>0</v>
      </c>
      <c r="AD270" s="280"/>
      <c r="AE270" s="310" t="str">
        <f>+IF(V270=0,"CERO","NO")</f>
        <v>CERO</v>
      </c>
    </row>
    <row r="271" spans="3:31" ht="15" thickBot="1" x14ac:dyDescent="0.35">
      <c r="C271" s="292"/>
      <c r="D271" s="295" t="s">
        <v>132</v>
      </c>
      <c r="E271" s="296" t="s">
        <v>133</v>
      </c>
      <c r="F271" s="296" t="s">
        <v>134</v>
      </c>
      <c r="G271" s="296" t="s">
        <v>135</v>
      </c>
      <c r="H271" s="296" t="s">
        <v>136</v>
      </c>
      <c r="I271" s="296" t="s">
        <v>137</v>
      </c>
      <c r="J271" s="297" t="s">
        <v>138</v>
      </c>
      <c r="K271" s="293"/>
      <c r="M271" s="724"/>
      <c r="N271" s="725" t="s">
        <v>104</v>
      </c>
      <c r="O271" s="725"/>
      <c r="P271" s="725"/>
      <c r="Q271" s="725"/>
      <c r="R271" s="725"/>
      <c r="S271" s="725"/>
      <c r="T271" s="725"/>
      <c r="U271" s="725"/>
      <c r="V271" s="316">
        <f>+SUM(V266:V270)</f>
        <v>7583.4000000000005</v>
      </c>
      <c r="Y271" s="328" t="s">
        <v>139</v>
      </c>
      <c r="Z271" s="329">
        <f>+SUM(Z266:Z270)</f>
        <v>7583.4000000000005</v>
      </c>
      <c r="AA271" s="279"/>
      <c r="AB271" s="290"/>
      <c r="AC271" s="291"/>
      <c r="AD271" s="280"/>
      <c r="AE271" s="330"/>
    </row>
    <row r="272" spans="3:31" ht="15" thickBot="1" x14ac:dyDescent="0.35">
      <c r="C272" s="292"/>
      <c r="D272" s="295" t="str">
        <f>C262</f>
        <v>M 1:3 I.</v>
      </c>
      <c r="E272" s="296"/>
      <c r="F272" s="296"/>
      <c r="G272" s="296"/>
      <c r="H272" s="296"/>
      <c r="I272" s="296"/>
      <c r="J272" s="297"/>
      <c r="K272" s="293"/>
      <c r="M272" s="724"/>
      <c r="N272" s="726" t="s">
        <v>105</v>
      </c>
      <c r="O272" s="726"/>
      <c r="P272" s="726"/>
      <c r="Q272" s="726"/>
      <c r="R272" s="726"/>
      <c r="S272" s="726"/>
      <c r="T272" s="726"/>
      <c r="U272" s="726"/>
      <c r="V272" s="344">
        <f>+ROUND(V271,$AA$2)</f>
        <v>7583</v>
      </c>
      <c r="Y272" s="332" t="s">
        <v>140</v>
      </c>
      <c r="Z272" s="333">
        <f>+ROUND(Z271,$AA$2)</f>
        <v>7583</v>
      </c>
      <c r="AA272" s="279"/>
      <c r="AB272" s="324">
        <f>+V272*Y262</f>
        <v>7583</v>
      </c>
      <c r="AC272" s="325">
        <f>+AB272-Z272</f>
        <v>0</v>
      </c>
      <c r="AD272" s="280"/>
      <c r="AE272" s="334"/>
    </row>
    <row r="273" spans="3:31" ht="14.4" x14ac:dyDescent="0.3">
      <c r="C273" s="292"/>
      <c r="D273" s="304"/>
      <c r="E273" s="305"/>
      <c r="F273" s="305"/>
      <c r="G273" s="305"/>
      <c r="H273" s="305"/>
      <c r="I273" s="305"/>
      <c r="J273" s="306"/>
      <c r="K273" s="293"/>
      <c r="M273" s="730" t="s">
        <v>106</v>
      </c>
      <c r="N273" s="730"/>
      <c r="O273" s="730"/>
      <c r="P273" s="730"/>
      <c r="Q273" s="730"/>
      <c r="R273" s="730"/>
      <c r="S273" s="730"/>
      <c r="T273" s="730"/>
      <c r="U273" s="730"/>
      <c r="V273" s="730"/>
      <c r="Y273" s="298"/>
      <c r="Z273" s="299"/>
      <c r="AA273" s="279"/>
      <c r="AB273" s="731"/>
      <c r="AC273" s="732"/>
      <c r="AD273" s="280"/>
      <c r="AE273" s="335"/>
    </row>
    <row r="274" spans="3:31" ht="27" customHeight="1" x14ac:dyDescent="0.3">
      <c r="C274" s="292"/>
      <c r="D274" s="311"/>
      <c r="E274" s="279"/>
      <c r="F274" s="279"/>
      <c r="G274" s="279"/>
      <c r="H274" s="279"/>
      <c r="I274" s="279"/>
      <c r="J274" s="312"/>
      <c r="K274" s="293"/>
      <c r="M274" s="307" t="s">
        <v>97</v>
      </c>
      <c r="N274" s="706" t="s">
        <v>98</v>
      </c>
      <c r="O274" s="706"/>
      <c r="P274" s="706"/>
      <c r="Q274" s="706"/>
      <c r="R274" s="307" t="s">
        <v>99</v>
      </c>
      <c r="S274" s="307" t="s">
        <v>107</v>
      </c>
      <c r="T274" s="336" t="s">
        <v>108</v>
      </c>
      <c r="U274" s="336" t="s">
        <v>8</v>
      </c>
      <c r="V274" s="307" t="s">
        <v>101</v>
      </c>
      <c r="Y274" s="308" t="s">
        <v>107</v>
      </c>
      <c r="Z274" s="309" t="s">
        <v>9</v>
      </c>
      <c r="AA274" s="279"/>
      <c r="AB274" s="290"/>
      <c r="AC274" s="291"/>
      <c r="AD274" s="280"/>
      <c r="AE274" s="337"/>
    </row>
    <row r="275" spans="3:31" ht="14.4" x14ac:dyDescent="0.3">
      <c r="C275" s="292"/>
      <c r="D275" s="311"/>
      <c r="E275" s="279"/>
      <c r="F275" s="279"/>
      <c r="G275" s="279"/>
      <c r="H275" s="279"/>
      <c r="I275" s="279"/>
      <c r="J275" s="312"/>
      <c r="K275" s="293"/>
      <c r="M275" s="313">
        <v>400</v>
      </c>
      <c r="N275" s="718" t="str">
        <f>IFERROR(VLOOKUP(M275,INSUMOS!$C$8:$K$934,2,0),"-----")</f>
        <v>Cemento gris</v>
      </c>
      <c r="O275" s="718"/>
      <c r="P275" s="718"/>
      <c r="Q275" s="718"/>
      <c r="R275" s="314" t="str">
        <f>IFERROR(VLOOKUP(M275,INSUMOS!$C$8:$K$934,6,0),"-----")</f>
        <v>kg</v>
      </c>
      <c r="S275" s="322">
        <v>454</v>
      </c>
      <c r="T275" s="315">
        <v>0.05</v>
      </c>
      <c r="U275" s="338">
        <f>IFERROR(VLOOKUP(M275,INSUMOS!$C$8:$K$934,7,0),"0")</f>
        <v>776.48</v>
      </c>
      <c r="V275" s="316">
        <f>+IFERROR(U275*(S275*(1+T275)),0)</f>
        <v>370148.01600000006</v>
      </c>
      <c r="Y275" s="321">
        <f>+IFERROR(Y262*(S275*(1+T275)),0)</f>
        <v>476.70000000000005</v>
      </c>
      <c r="Z275" s="318">
        <f>Y262*V275</f>
        <v>370148.01600000006</v>
      </c>
      <c r="AA275" s="300"/>
      <c r="AB275" s="301">
        <f>+Y275*U275</f>
        <v>370148.01600000006</v>
      </c>
      <c r="AC275" s="302">
        <f>+AB275-Z275</f>
        <v>0</v>
      </c>
      <c r="AD275" s="280"/>
      <c r="AE275" s="337" t="str">
        <f t="shared" ref="AE275:AE281" si="35">+IF(V275=0,"CERO","NO")</f>
        <v>NO</v>
      </c>
    </row>
    <row r="276" spans="3:31" ht="14.4" x14ac:dyDescent="0.3">
      <c r="C276" s="292"/>
      <c r="D276" s="311"/>
      <c r="E276" s="279"/>
      <c r="F276" s="279"/>
      <c r="G276" s="279"/>
      <c r="H276" s="279"/>
      <c r="I276" s="279"/>
      <c r="J276" s="312"/>
      <c r="K276" s="293"/>
      <c r="M276" s="313">
        <v>401</v>
      </c>
      <c r="N276" s="718" t="str">
        <f>IFERROR(VLOOKUP(M276,INSUMOS!$C$8:$K$934,2,0),"-----")</f>
        <v>Agua</v>
      </c>
      <c r="O276" s="718"/>
      <c r="P276" s="718"/>
      <c r="Q276" s="718"/>
      <c r="R276" s="314" t="str">
        <f>IFERROR(VLOOKUP(M276,INSUMOS!$C$8:$K$934,6,0),"-----")</f>
        <v>lt</v>
      </c>
      <c r="S276" s="322">
        <v>240</v>
      </c>
      <c r="T276" s="315">
        <v>0.05</v>
      </c>
      <c r="U276" s="338">
        <f>IFERROR(VLOOKUP(M276,INSUMOS!$C$8:$K$934,7,0),"0")</f>
        <v>5</v>
      </c>
      <c r="V276" s="316">
        <f>+IFERROR(U276*(S276*(1+T276)),0)</f>
        <v>1260</v>
      </c>
      <c r="Y276" s="321">
        <f>+IFERROR(Y262*(S276*(1+T276)),0)</f>
        <v>252</v>
      </c>
      <c r="Z276" s="318">
        <f>Y262*V276</f>
        <v>1260</v>
      </c>
      <c r="AA276" s="300"/>
      <c r="AB276" s="301">
        <f t="shared" ref="AB276:AB281" si="36">+Y276*U276</f>
        <v>1260</v>
      </c>
      <c r="AC276" s="302">
        <f t="shared" ref="AC276:AC281" si="37">+AB276-Z276</f>
        <v>0</v>
      </c>
      <c r="AD276" s="280"/>
      <c r="AE276" s="337" t="str">
        <f t="shared" si="35"/>
        <v>NO</v>
      </c>
    </row>
    <row r="277" spans="3:31" ht="14.4" x14ac:dyDescent="0.3">
      <c r="C277" s="292"/>
      <c r="D277" s="311"/>
      <c r="E277" s="279"/>
      <c r="F277" s="279"/>
      <c r="G277" s="279"/>
      <c r="H277" s="279"/>
      <c r="I277" s="279"/>
      <c r="J277" s="312"/>
      <c r="K277" s="293"/>
      <c r="M277" s="313">
        <v>405</v>
      </c>
      <c r="N277" s="718" t="str">
        <f>IFERROR(VLOOKUP(M277,INSUMOS!$C$8:$K$934,2,0),"-----")</f>
        <v>Arena gruesa</v>
      </c>
      <c r="O277" s="718"/>
      <c r="P277" s="718"/>
      <c r="Q277" s="718"/>
      <c r="R277" s="314" t="str">
        <f>IFERROR(VLOOKUP(M277,INSUMOS!$C$8:$K$934,6,0),"-----")</f>
        <v>m3</v>
      </c>
      <c r="S277" s="322">
        <v>1.0900000000000001</v>
      </c>
      <c r="T277" s="315">
        <v>0.05</v>
      </c>
      <c r="U277" s="338">
        <f>IFERROR(VLOOKUP(M277,INSUMOS!$C$8:$K$934,7,0),"0")</f>
        <v>117647</v>
      </c>
      <c r="V277" s="316">
        <f>+IFERROR(U277*(S277*(1+T277)),0)</f>
        <v>134646.9915</v>
      </c>
      <c r="Y277" s="321">
        <f>+IFERROR(Y262*(S277*(1+T277)),0)</f>
        <v>1.1445000000000001</v>
      </c>
      <c r="Z277" s="318">
        <f>Y262*V277</f>
        <v>134646.9915</v>
      </c>
      <c r="AA277" s="300"/>
      <c r="AB277" s="301">
        <f t="shared" si="36"/>
        <v>134646.9915</v>
      </c>
      <c r="AC277" s="302">
        <f t="shared" si="37"/>
        <v>0</v>
      </c>
      <c r="AD277" s="280"/>
      <c r="AE277" s="337" t="str">
        <f t="shared" si="35"/>
        <v>NO</v>
      </c>
    </row>
    <row r="278" spans="3:31" ht="14.4" x14ac:dyDescent="0.3">
      <c r="C278" s="292"/>
      <c r="D278" s="311"/>
      <c r="E278" s="279"/>
      <c r="F278" s="279"/>
      <c r="G278" s="279"/>
      <c r="H278" s="279"/>
      <c r="I278" s="279"/>
      <c r="J278" s="312"/>
      <c r="K278" s="293"/>
      <c r="M278" s="313">
        <v>844</v>
      </c>
      <c r="N278" s="718" t="str">
        <f>IFERROR(VLOOKUP(M278,INSUMOS!$C$8:$K$934,2,0),"-----")</f>
        <v>SIKA 1 MORTERO</v>
      </c>
      <c r="O278" s="718"/>
      <c r="P278" s="718"/>
      <c r="Q278" s="718"/>
      <c r="R278" s="314" t="str">
        <f>IFERROR(VLOOKUP(M278,INSUMOS!$C$8:$K$934,6,0),"-----")</f>
        <v>Kg</v>
      </c>
      <c r="S278" s="322">
        <v>24</v>
      </c>
      <c r="T278" s="315">
        <v>0.05</v>
      </c>
      <c r="U278" s="338">
        <f>IFERROR(VLOOKUP(M278,INSUMOS!$C$8:$K$934,7,0),"0")</f>
        <v>3560</v>
      </c>
      <c r="V278" s="316">
        <f>+IFERROR(U278*(S278*(1+T278)),0)</f>
        <v>89712.000000000015</v>
      </c>
      <c r="Y278" s="321">
        <f>+IFERROR(Y262*(S278*(1+T278)),0)</f>
        <v>25.200000000000003</v>
      </c>
      <c r="Z278" s="318">
        <f>Y262*V278</f>
        <v>89712.000000000015</v>
      </c>
      <c r="AA278" s="300"/>
      <c r="AB278" s="301">
        <f t="shared" si="36"/>
        <v>89712.000000000015</v>
      </c>
      <c r="AC278" s="302">
        <f t="shared" si="37"/>
        <v>0</v>
      </c>
      <c r="AD278" s="280"/>
      <c r="AE278" s="337" t="str">
        <f t="shared" si="35"/>
        <v>NO</v>
      </c>
    </row>
    <row r="279" spans="3:31" ht="14.4" x14ac:dyDescent="0.3">
      <c r="C279" s="292"/>
      <c r="D279" s="311"/>
      <c r="E279" s="279"/>
      <c r="F279" s="279"/>
      <c r="G279" s="279"/>
      <c r="H279" s="279"/>
      <c r="I279" s="279"/>
      <c r="J279" s="312"/>
      <c r="K279" s="293"/>
      <c r="M279" s="313">
        <v>0</v>
      </c>
      <c r="N279" s="718"/>
      <c r="O279" s="718"/>
      <c r="P279" s="718"/>
      <c r="Q279" s="718"/>
      <c r="R279" s="314"/>
      <c r="S279" s="322"/>
      <c r="T279" s="315"/>
      <c r="U279" s="338"/>
      <c r="V279" s="323"/>
      <c r="Y279" s="321">
        <f>+IFERROR(Y262*(S279*(1+T279)),0)</f>
        <v>0</v>
      </c>
      <c r="Z279" s="318">
        <f>Y262*V279</f>
        <v>0</v>
      </c>
      <c r="AA279" s="300"/>
      <c r="AB279" s="301">
        <f t="shared" si="36"/>
        <v>0</v>
      </c>
      <c r="AC279" s="302">
        <f t="shared" si="37"/>
        <v>0</v>
      </c>
      <c r="AD279" s="280"/>
      <c r="AE279" s="337" t="str">
        <f t="shared" si="35"/>
        <v>CERO</v>
      </c>
    </row>
    <row r="280" spans="3:31" ht="14.4" x14ac:dyDescent="0.3">
      <c r="C280" s="292"/>
      <c r="D280" s="311"/>
      <c r="E280" s="279"/>
      <c r="F280" s="279"/>
      <c r="G280" s="279"/>
      <c r="H280" s="279"/>
      <c r="I280" s="279"/>
      <c r="J280" s="312"/>
      <c r="K280" s="293"/>
      <c r="M280" s="313">
        <v>0</v>
      </c>
      <c r="N280" s="718"/>
      <c r="O280" s="718"/>
      <c r="P280" s="718"/>
      <c r="Q280" s="718"/>
      <c r="R280" s="314"/>
      <c r="S280" s="322"/>
      <c r="T280" s="315"/>
      <c r="U280" s="338"/>
      <c r="V280" s="323"/>
      <c r="Y280" s="321">
        <f>+IFERROR(Y262*(S280*(1+T280)),0)</f>
        <v>0</v>
      </c>
      <c r="Z280" s="318">
        <f>Y262*V280</f>
        <v>0</v>
      </c>
      <c r="AA280" s="300"/>
      <c r="AB280" s="301">
        <f t="shared" si="36"/>
        <v>0</v>
      </c>
      <c r="AC280" s="302">
        <f t="shared" si="37"/>
        <v>0</v>
      </c>
      <c r="AD280" s="280"/>
      <c r="AE280" s="337" t="str">
        <f t="shared" si="35"/>
        <v>CERO</v>
      </c>
    </row>
    <row r="281" spans="3:31" ht="15" thickBot="1" x14ac:dyDescent="0.35">
      <c r="C281" s="292"/>
      <c r="D281" s="311"/>
      <c r="E281" s="279"/>
      <c r="F281" s="279"/>
      <c r="G281" s="279"/>
      <c r="H281" s="279"/>
      <c r="I281" s="279"/>
      <c r="J281" s="312"/>
      <c r="K281" s="293"/>
      <c r="M281" s="313">
        <v>0</v>
      </c>
      <c r="N281" s="727"/>
      <c r="O281" s="727"/>
      <c r="P281" s="727"/>
      <c r="Q281" s="727"/>
      <c r="R281" s="326"/>
      <c r="S281" s="339"/>
      <c r="T281" s="340"/>
      <c r="U281" s="341"/>
      <c r="V281" s="323"/>
      <c r="Y281" s="321">
        <f>+IFERROR(Y262*(S281*(1+T281)),0)</f>
        <v>0</v>
      </c>
      <c r="Z281" s="318">
        <f>Y262*V281</f>
        <v>0</v>
      </c>
      <c r="AA281" s="300"/>
      <c r="AB281" s="301">
        <f t="shared" si="36"/>
        <v>0</v>
      </c>
      <c r="AC281" s="302">
        <f t="shared" si="37"/>
        <v>0</v>
      </c>
      <c r="AD281" s="280"/>
      <c r="AE281" s="337" t="str">
        <f t="shared" si="35"/>
        <v>CERO</v>
      </c>
    </row>
    <row r="282" spans="3:31" ht="15" thickBot="1" x14ac:dyDescent="0.35">
      <c r="C282" s="292"/>
      <c r="D282" s="295" t="s">
        <v>132</v>
      </c>
      <c r="E282" s="296" t="s">
        <v>133</v>
      </c>
      <c r="F282" s="296" t="s">
        <v>134</v>
      </c>
      <c r="G282" s="296" t="s">
        <v>135</v>
      </c>
      <c r="H282" s="296" t="s">
        <v>136</v>
      </c>
      <c r="I282" s="296" t="s">
        <v>137</v>
      </c>
      <c r="J282" s="297" t="s">
        <v>138</v>
      </c>
      <c r="K282" s="293"/>
      <c r="M282" s="724"/>
      <c r="N282" s="725" t="s">
        <v>109</v>
      </c>
      <c r="O282" s="725"/>
      <c r="P282" s="725"/>
      <c r="Q282" s="725"/>
      <c r="R282" s="725"/>
      <c r="S282" s="725"/>
      <c r="T282" s="725"/>
      <c r="U282" s="725"/>
      <c r="V282" s="316">
        <f>+SUM(V275:V281)</f>
        <v>595767.00750000007</v>
      </c>
      <c r="Y282" s="328" t="s">
        <v>139</v>
      </c>
      <c r="Z282" s="329">
        <f>+SUM(Z275:Z281)</f>
        <v>595767.00750000007</v>
      </c>
      <c r="AA282" s="279"/>
      <c r="AB282" s="290"/>
      <c r="AC282" s="291"/>
      <c r="AD282" s="280"/>
      <c r="AE282" s="330"/>
    </row>
    <row r="283" spans="3:31" ht="15" thickBot="1" x14ac:dyDescent="0.35">
      <c r="C283" s="292"/>
      <c r="D283" s="295"/>
      <c r="E283" s="343" t="str">
        <f>+D272</f>
        <v>M 1:3 I.</v>
      </c>
      <c r="F283" s="296"/>
      <c r="G283" s="296"/>
      <c r="H283" s="296"/>
      <c r="I283" s="296"/>
      <c r="J283" s="297"/>
      <c r="K283" s="293"/>
      <c r="M283" s="724"/>
      <c r="N283" s="726" t="s">
        <v>110</v>
      </c>
      <c r="O283" s="726"/>
      <c r="P283" s="726"/>
      <c r="Q283" s="726"/>
      <c r="R283" s="726"/>
      <c r="S283" s="726"/>
      <c r="T283" s="726"/>
      <c r="U283" s="726"/>
      <c r="V283" s="344">
        <f>+ROUND(V282,$AA$2)</f>
        <v>595767</v>
      </c>
      <c r="Y283" s="332" t="s">
        <v>140</v>
      </c>
      <c r="Z283" s="333">
        <f>+ROUND(Z282,$AA$2)</f>
        <v>595767</v>
      </c>
      <c r="AA283" s="279"/>
      <c r="AB283" s="324">
        <f>+V283*Y262</f>
        <v>595767</v>
      </c>
      <c r="AC283" s="325">
        <f>+AB283-Z283</f>
        <v>0</v>
      </c>
      <c r="AD283" s="280"/>
      <c r="AE283" s="334"/>
    </row>
    <row r="284" spans="3:31" ht="14.4" x14ac:dyDescent="0.3">
      <c r="C284" s="292"/>
      <c r="D284" s="304"/>
      <c r="E284" s="305"/>
      <c r="F284" s="305"/>
      <c r="G284" s="305"/>
      <c r="H284" s="305"/>
      <c r="I284" s="305"/>
      <c r="J284" s="306"/>
      <c r="K284" s="293"/>
      <c r="M284" s="733" t="s">
        <v>111</v>
      </c>
      <c r="N284" s="733"/>
      <c r="O284" s="733"/>
      <c r="P284" s="733"/>
      <c r="Q284" s="733"/>
      <c r="R284" s="733"/>
      <c r="S284" s="733"/>
      <c r="T284" s="733"/>
      <c r="U284" s="733"/>
      <c r="V284" s="733"/>
      <c r="Y284" s="298"/>
      <c r="Z284" s="299"/>
      <c r="AA284" s="279"/>
      <c r="AB284" s="342"/>
      <c r="AC284" s="299"/>
      <c r="AD284" s="280"/>
      <c r="AE284" s="335"/>
    </row>
    <row r="285" spans="3:31" ht="27.6" x14ac:dyDescent="0.3">
      <c r="C285" s="292"/>
      <c r="D285" s="311"/>
      <c r="E285" s="279"/>
      <c r="F285" s="279"/>
      <c r="G285" s="279"/>
      <c r="H285" s="279"/>
      <c r="I285" s="279"/>
      <c r="J285" s="312"/>
      <c r="K285" s="293"/>
      <c r="M285" s="307" t="s">
        <v>97</v>
      </c>
      <c r="N285" s="706" t="s">
        <v>98</v>
      </c>
      <c r="O285" s="706"/>
      <c r="P285" s="706"/>
      <c r="Q285" s="307" t="s">
        <v>112</v>
      </c>
      <c r="R285" s="307" t="s">
        <v>113</v>
      </c>
      <c r="S285" s="307" t="s">
        <v>114</v>
      </c>
      <c r="T285" s="734" t="s">
        <v>115</v>
      </c>
      <c r="U285" s="734"/>
      <c r="V285" s="307" t="s">
        <v>101</v>
      </c>
      <c r="Y285" s="308" t="s">
        <v>107</v>
      </c>
      <c r="Z285" s="309" t="s">
        <v>9</v>
      </c>
      <c r="AA285" s="279"/>
      <c r="AB285" s="290"/>
      <c r="AC285" s="291"/>
      <c r="AD285" s="280"/>
      <c r="AE285" s="349"/>
    </row>
    <row r="286" spans="3:31" ht="14.4" x14ac:dyDescent="0.3">
      <c r="C286" s="350"/>
      <c r="D286" s="351"/>
      <c r="E286" s="345"/>
      <c r="F286" s="345"/>
      <c r="G286" s="345"/>
      <c r="H286" s="345"/>
      <c r="I286" s="345"/>
      <c r="J286" s="352"/>
      <c r="K286" s="353"/>
      <c r="M286" s="354">
        <v>120</v>
      </c>
      <c r="N286" s="718" t="str">
        <f>IFERROR(VLOOKUP(M286,INSUMOS!$C$8:$K$934,2,0),"-----")</f>
        <v>Transporte Cemento - San Gil</v>
      </c>
      <c r="O286" s="718"/>
      <c r="P286" s="718"/>
      <c r="Q286" s="314" t="str">
        <f>IFERROR(VLOOKUP(M286,INSUMOS!$C$8:$K$934,5,0),"-----")</f>
        <v>kg/km</v>
      </c>
      <c r="R286" s="355">
        <f>S275*(1+T275)</f>
        <v>476.70000000000005</v>
      </c>
      <c r="S286" s="355">
        <f>IFERROR(VLOOKUP(M286,INSUMOS!$C$8:$K$934,6,0),"0")</f>
        <v>4.87</v>
      </c>
      <c r="T286" s="719">
        <f>IFERROR(VLOOKUP(M286,INSUMOS!$C$8:$K$934,7,0),"0")</f>
        <v>10</v>
      </c>
      <c r="U286" s="719"/>
      <c r="V286" s="515">
        <f>+T286*S286*R286</f>
        <v>23215.290000000005</v>
      </c>
      <c r="Y286" s="321">
        <f>+IFERROR((R286*S286)*Y262,0)</f>
        <v>2321.5290000000005</v>
      </c>
      <c r="Z286" s="318">
        <f>Y262*V286</f>
        <v>23215.290000000005</v>
      </c>
      <c r="AA286" s="345"/>
      <c r="AB286" s="409">
        <f>+Y286*T286</f>
        <v>23215.290000000005</v>
      </c>
      <c r="AC286" s="347">
        <f>+AB286-Z286</f>
        <v>0</v>
      </c>
      <c r="AD286" s="348"/>
      <c r="AE286" s="337" t="str">
        <f t="shared" ref="AE286:AE290" si="38">+IF(V286=0,"CERO","NO")</f>
        <v>NO</v>
      </c>
    </row>
    <row r="287" spans="3:31" ht="14.4" x14ac:dyDescent="0.3">
      <c r="C287" s="350"/>
      <c r="D287" s="351"/>
      <c r="E287" s="345"/>
      <c r="F287" s="345"/>
      <c r="G287" s="345"/>
      <c r="H287" s="345"/>
      <c r="I287" s="345"/>
      <c r="J287" s="352"/>
      <c r="K287" s="353"/>
      <c r="M287" s="354">
        <v>100</v>
      </c>
      <c r="N287" s="718" t="str">
        <f>IFERROR(VLOOKUP(M287,INSUMOS!$C$8:$K$934,2,0),"-----")</f>
        <v>Transporte Arena - Pescadero</v>
      </c>
      <c r="O287" s="718"/>
      <c r="P287" s="718"/>
      <c r="Q287" s="314" t="str">
        <f>IFERROR(VLOOKUP(M287,INSUMOS!$C$8:$K$934,5,0),"-----")</f>
        <v>m3/km</v>
      </c>
      <c r="R287" s="355">
        <f>S277*(1+T277)</f>
        <v>1.1445000000000001</v>
      </c>
      <c r="S287" s="355">
        <f>IFERROR(VLOOKUP(M287,INSUMOS!$C$8:$K$934,6,0),"0")</f>
        <v>60.3</v>
      </c>
      <c r="T287" s="719">
        <f>IFERROR(VLOOKUP(M287,INSUMOS!$C$8:$K$934,7,0),"0")</f>
        <v>1800</v>
      </c>
      <c r="U287" s="719"/>
      <c r="V287" s="515">
        <f>+T287*S287*R287</f>
        <v>124224.03000000001</v>
      </c>
      <c r="Y287" s="321">
        <f>+IFERROR((R287*S287)*Y262,0)</f>
        <v>69.013350000000003</v>
      </c>
      <c r="Z287" s="318">
        <f>Y262*V287</f>
        <v>124224.03000000001</v>
      </c>
      <c r="AA287" s="345"/>
      <c r="AB287" s="409">
        <f>+Y287*T287</f>
        <v>124224.03</v>
      </c>
      <c r="AC287" s="347">
        <f>+AB287-Z287</f>
        <v>0</v>
      </c>
      <c r="AD287" s="348"/>
      <c r="AE287" s="337" t="str">
        <f t="shared" si="38"/>
        <v>NO</v>
      </c>
    </row>
    <row r="288" spans="3:31" ht="14.4" x14ac:dyDescent="0.3">
      <c r="C288" s="350"/>
      <c r="D288" s="351"/>
      <c r="E288" s="345"/>
      <c r="F288" s="345"/>
      <c r="G288" s="345"/>
      <c r="H288" s="345"/>
      <c r="I288" s="345"/>
      <c r="J288" s="352"/>
      <c r="K288" s="353"/>
      <c r="M288" s="354">
        <v>129</v>
      </c>
      <c r="N288" s="718" t="str">
        <f>IFERROR(VLOOKUP(M288,INSUMOS!$C$8:$K$934,2,0),"-----")</f>
        <v>transporte materiales - San Gil</v>
      </c>
      <c r="O288" s="718"/>
      <c r="P288" s="718"/>
      <c r="Q288" s="314" t="str">
        <f>IFERROR(VLOOKUP(M288,INSUMOS!$C$8:$K$934,5,0),"-----")</f>
        <v>kg/km</v>
      </c>
      <c r="R288" s="355">
        <f>S278*(1+T278)</f>
        <v>25.200000000000003</v>
      </c>
      <c r="S288" s="355">
        <f>IFERROR(VLOOKUP(M288,INSUMOS!$C$8:$K$934,6,0),"0")</f>
        <v>4.87</v>
      </c>
      <c r="T288" s="719">
        <f>IFERROR(VLOOKUP(M288,INSUMOS!$C$8:$K$934,7,0),"0")</f>
        <v>1000</v>
      </c>
      <c r="U288" s="719"/>
      <c r="V288" s="515">
        <f>+T288*S288*R288</f>
        <v>122724.00000000001</v>
      </c>
      <c r="Y288" s="321">
        <f>+IFERROR((R288*S288)*Y262,0)</f>
        <v>122.72400000000002</v>
      </c>
      <c r="Z288" s="318">
        <f>Y262*V288</f>
        <v>122724.00000000001</v>
      </c>
      <c r="AA288" s="345"/>
      <c r="AB288" s="346">
        <f t="shared" ref="AB288:AB289" si="39">+Y288*T288</f>
        <v>122724.00000000001</v>
      </c>
      <c r="AC288" s="347">
        <f t="shared" ref="AC288:AC289" si="40">+AB288-Z288</f>
        <v>0</v>
      </c>
      <c r="AD288" s="348"/>
      <c r="AE288" s="337" t="str">
        <f t="shared" si="38"/>
        <v>NO</v>
      </c>
    </row>
    <row r="289" spans="3:31" ht="14.4" x14ac:dyDescent="0.3">
      <c r="C289" s="350"/>
      <c r="D289" s="351"/>
      <c r="E289" s="345"/>
      <c r="F289" s="345"/>
      <c r="G289" s="345"/>
      <c r="H289" s="345"/>
      <c r="I289" s="345"/>
      <c r="J289" s="352"/>
      <c r="K289" s="353"/>
      <c r="M289" s="354">
        <v>0</v>
      </c>
      <c r="N289" s="718"/>
      <c r="O289" s="718"/>
      <c r="P289" s="718"/>
      <c r="Q289" s="357"/>
      <c r="R289" s="355"/>
      <c r="S289" s="358"/>
      <c r="T289" s="719"/>
      <c r="U289" s="719"/>
      <c r="V289" s="515"/>
      <c r="Y289" s="321">
        <f>+IFERROR((R289*S289)*Y262,0)</f>
        <v>0</v>
      </c>
      <c r="Z289" s="318">
        <f>Y262*V289</f>
        <v>0</v>
      </c>
      <c r="AA289" s="345"/>
      <c r="AB289" s="346">
        <f t="shared" si="39"/>
        <v>0</v>
      </c>
      <c r="AC289" s="347">
        <f t="shared" si="40"/>
        <v>0</v>
      </c>
      <c r="AD289" s="348"/>
      <c r="AE289" s="337" t="str">
        <f t="shared" si="38"/>
        <v>CERO</v>
      </c>
    </row>
    <row r="290" spans="3:31" ht="15" thickBot="1" x14ac:dyDescent="0.35">
      <c r="C290" s="350"/>
      <c r="D290" s="360"/>
      <c r="E290" s="361"/>
      <c r="F290" s="361"/>
      <c r="G290" s="361"/>
      <c r="H290" s="361"/>
      <c r="I290" s="361"/>
      <c r="J290" s="362"/>
      <c r="K290" s="353"/>
      <c r="M290" s="354">
        <v>0</v>
      </c>
      <c r="N290" s="718"/>
      <c r="O290" s="718"/>
      <c r="P290" s="718"/>
      <c r="Q290" s="357"/>
      <c r="R290" s="314"/>
      <c r="S290" s="358"/>
      <c r="T290" s="719"/>
      <c r="U290" s="719"/>
      <c r="V290" s="515"/>
      <c r="Y290" s="321">
        <f>+IFERROR((R290*S290)*Y262,0)</f>
        <v>0</v>
      </c>
      <c r="Z290" s="318">
        <f>Y262*V290</f>
        <v>0</v>
      </c>
      <c r="AA290" s="345"/>
      <c r="AB290" s="346">
        <f>+Y290*T290</f>
        <v>0</v>
      </c>
      <c r="AC290" s="347">
        <f>+AB290-Z290</f>
        <v>0</v>
      </c>
      <c r="AD290" s="348"/>
      <c r="AE290" s="337" t="str">
        <f t="shared" si="38"/>
        <v>CERO</v>
      </c>
    </row>
    <row r="291" spans="3:31" ht="15" thickBot="1" x14ac:dyDescent="0.35">
      <c r="C291" s="292"/>
      <c r="D291" s="295" t="s">
        <v>132</v>
      </c>
      <c r="E291" s="296" t="s">
        <v>133</v>
      </c>
      <c r="F291" s="296" t="s">
        <v>134</v>
      </c>
      <c r="G291" s="296" t="s">
        <v>135</v>
      </c>
      <c r="H291" s="296" t="s">
        <v>136</v>
      </c>
      <c r="I291" s="296" t="s">
        <v>137</v>
      </c>
      <c r="J291" s="297" t="s">
        <v>138</v>
      </c>
      <c r="K291" s="293"/>
      <c r="M291" s="720"/>
      <c r="N291" s="721" t="s">
        <v>116</v>
      </c>
      <c r="O291" s="721"/>
      <c r="P291" s="721"/>
      <c r="Q291" s="721"/>
      <c r="R291" s="721"/>
      <c r="S291" s="721"/>
      <c r="T291" s="721"/>
      <c r="U291" s="721"/>
      <c r="V291" s="515">
        <f>+SUM(V286:V290)</f>
        <v>270163.32</v>
      </c>
      <c r="Y291" s="328" t="s">
        <v>139</v>
      </c>
      <c r="Z291" s="329">
        <f>+SUM(Z286:Z290)</f>
        <v>270163.32</v>
      </c>
      <c r="AA291" s="279"/>
      <c r="AB291" s="290"/>
      <c r="AC291" s="291"/>
      <c r="AD291" s="280"/>
      <c r="AE291" s="330"/>
    </row>
    <row r="292" spans="3:31" ht="15" thickBot="1" x14ac:dyDescent="0.35">
      <c r="C292" s="292"/>
      <c r="D292" s="363"/>
      <c r="E292" s="364"/>
      <c r="F292" s="365" t="str">
        <f>+E283</f>
        <v>M 1:3 I.</v>
      </c>
      <c r="G292" s="364"/>
      <c r="H292" s="364"/>
      <c r="I292" s="364"/>
      <c r="J292" s="366"/>
      <c r="K292" s="293"/>
      <c r="M292" s="720"/>
      <c r="N292" s="722" t="s">
        <v>117</v>
      </c>
      <c r="O292" s="722"/>
      <c r="P292" s="722"/>
      <c r="Q292" s="722"/>
      <c r="R292" s="722"/>
      <c r="S292" s="722"/>
      <c r="T292" s="722"/>
      <c r="U292" s="722"/>
      <c r="V292" s="544">
        <f>+ROUND(V291,$AA$2)</f>
        <v>270163</v>
      </c>
      <c r="Y292" s="332" t="s">
        <v>140</v>
      </c>
      <c r="Z292" s="333">
        <f>+ROUND(Z291,$AA$2)</f>
        <v>270163</v>
      </c>
      <c r="AA292" s="279"/>
      <c r="AB292" s="324">
        <f>+V292*Y262</f>
        <v>270163</v>
      </c>
      <c r="AC292" s="359"/>
      <c r="AD292" s="280"/>
      <c r="AE292" s="334"/>
    </row>
    <row r="293" spans="3:31" ht="15" thickBot="1" x14ac:dyDescent="0.35">
      <c r="C293" s="292"/>
      <c r="D293" s="369"/>
      <c r="E293" s="370"/>
      <c r="F293" s="370"/>
      <c r="G293" s="370"/>
      <c r="H293" s="370"/>
      <c r="I293" s="370"/>
      <c r="J293" s="371"/>
      <c r="K293" s="293"/>
      <c r="M293" s="723" t="s">
        <v>118</v>
      </c>
      <c r="N293" s="723"/>
      <c r="O293" s="723"/>
      <c r="P293" s="723"/>
      <c r="Q293" s="723"/>
      <c r="R293" s="723"/>
      <c r="S293" s="723"/>
      <c r="T293" s="723"/>
      <c r="U293" s="723"/>
      <c r="V293" s="723"/>
      <c r="Y293" s="298"/>
      <c r="Z293" s="299"/>
      <c r="AA293" s="279"/>
      <c r="AB293" s="342"/>
      <c r="AC293" s="299"/>
      <c r="AD293" s="280"/>
      <c r="AE293" s="335"/>
    </row>
    <row r="294" spans="3:31" ht="15" thickBot="1" x14ac:dyDescent="0.35">
      <c r="C294" s="292"/>
      <c r="D294" s="295" t="s">
        <v>132</v>
      </c>
      <c r="E294" s="296" t="s">
        <v>133</v>
      </c>
      <c r="F294" s="296" t="s">
        <v>134</v>
      </c>
      <c r="G294" s="296" t="s">
        <v>135</v>
      </c>
      <c r="H294" s="296" t="s">
        <v>136</v>
      </c>
      <c r="I294" s="296" t="s">
        <v>137</v>
      </c>
      <c r="J294" s="297" t="s">
        <v>138</v>
      </c>
      <c r="K294" s="293"/>
      <c r="M294" s="307" t="s">
        <v>97</v>
      </c>
      <c r="N294" s="372" t="s">
        <v>98</v>
      </c>
      <c r="O294" s="307" t="s">
        <v>99</v>
      </c>
      <c r="P294" s="396" t="s">
        <v>107</v>
      </c>
      <c r="Q294" s="307" t="s">
        <v>119</v>
      </c>
      <c r="R294" s="373" t="s">
        <v>120</v>
      </c>
      <c r="S294" s="307" t="s">
        <v>363</v>
      </c>
      <c r="T294" s="374" t="s">
        <v>121</v>
      </c>
      <c r="U294" s="375" t="s">
        <v>122</v>
      </c>
      <c r="V294" s="307" t="s">
        <v>101</v>
      </c>
      <c r="Y294" s="308" t="s">
        <v>107</v>
      </c>
      <c r="Z294" s="309" t="s">
        <v>9</v>
      </c>
      <c r="AA294" s="279"/>
      <c r="AB294" s="290"/>
      <c r="AC294" s="291"/>
      <c r="AD294" s="280"/>
      <c r="AE294" s="349"/>
    </row>
    <row r="295" spans="3:31" ht="14.4" x14ac:dyDescent="0.3">
      <c r="C295" s="292"/>
      <c r="D295" s="376"/>
      <c r="E295" s="377"/>
      <c r="F295" s="377"/>
      <c r="G295" s="377"/>
      <c r="H295" s="377"/>
      <c r="I295" s="377"/>
      <c r="J295" s="378" t="str">
        <f>+F292</f>
        <v>M 1:3 I.</v>
      </c>
      <c r="K295" s="293"/>
      <c r="M295" s="313">
        <v>201</v>
      </c>
      <c r="N295" s="379" t="str">
        <f>IFERROR(VLOOKUP(M295,INSUMOS!$C$8:$K$934,2,0),"-----")</f>
        <v>Oficial Albañileria</v>
      </c>
      <c r="O295" s="314" t="str">
        <f>IFERROR(VLOOKUP(M295,INSUMOS!$C$8:$K$934,3,0),"-----")</f>
        <v>JORNAL+PS</v>
      </c>
      <c r="P295" s="355">
        <v>1</v>
      </c>
      <c r="Q295" s="339">
        <v>7</v>
      </c>
      <c r="R295" s="380">
        <f>IFERROR(VLOOKUP(M295,INSUMOS!$C$8:$K$934,4,0),"-----")</f>
        <v>114970</v>
      </c>
      <c r="S295" s="380">
        <f>IFERROR(VLOOKUP(M295,INSUMOS!$C$8:$K$934,6,0),"-----")</f>
        <v>91976</v>
      </c>
      <c r="T295" s="380">
        <f>IFERROR(VLOOKUP(M295,INSUMOS!$C$8:$K$934,5,0),"-----")</f>
        <v>0</v>
      </c>
      <c r="U295" s="338">
        <f>SUM(R295:T295)</f>
        <v>206946</v>
      </c>
      <c r="V295" s="316">
        <f>+IFERROR((P295/Q295)*U295,0)</f>
        <v>29563.714285714283</v>
      </c>
      <c r="Y295" s="321">
        <f>+IFERROR((Y262/Q295*P295),0)</f>
        <v>0.14285714285714285</v>
      </c>
      <c r="Z295" s="318">
        <f>Y262*V295</f>
        <v>29563.714285714283</v>
      </c>
      <c r="AA295" s="279"/>
      <c r="AB295" s="367">
        <f>+(U295)*Y295</f>
        <v>29563.714285714283</v>
      </c>
      <c r="AC295" s="302">
        <f>+AB295-Z295</f>
        <v>0</v>
      </c>
      <c r="AD295" s="368"/>
      <c r="AE295" s="349" t="str">
        <f>+IF(V295=0,"CERO","NO")</f>
        <v>NO</v>
      </c>
    </row>
    <row r="296" spans="3:31" ht="15" thickBot="1" x14ac:dyDescent="0.35">
      <c r="C296" s="292"/>
      <c r="D296" s="363"/>
      <c r="E296" s="364"/>
      <c r="F296" s="364"/>
      <c r="G296" s="364"/>
      <c r="H296" s="364"/>
      <c r="I296" s="364"/>
      <c r="J296" s="381" t="str">
        <f>+J295</f>
        <v>M 1:3 I.</v>
      </c>
      <c r="K296" s="293"/>
      <c r="M296" s="313">
        <v>202</v>
      </c>
      <c r="N296" s="379" t="str">
        <f>IFERROR(VLOOKUP(M296,INSUMOS!$C$8:$K$934,2,0),"-----")</f>
        <v>Ayudante Albañileria</v>
      </c>
      <c r="O296" s="314" t="str">
        <f>IFERROR(VLOOKUP(M296,INSUMOS!$C$8:$K$934,3,0),"-----")</f>
        <v>JORNAL+PS</v>
      </c>
      <c r="P296" s="355">
        <v>5</v>
      </c>
      <c r="Q296" s="339">
        <v>7</v>
      </c>
      <c r="R296" s="380">
        <f>IFERROR(VLOOKUP(M296,INSUMOS!$C$8:$K$934,4,0),"-----")</f>
        <v>94970</v>
      </c>
      <c r="S296" s="380">
        <f>IFERROR(VLOOKUP(M296,INSUMOS!$C$8:$K$934,6,0),"-----")</f>
        <v>75976</v>
      </c>
      <c r="T296" s="380">
        <f>IFERROR(VLOOKUP(M296,INSUMOS!$C$8:$K$934,5,0),"-----")</f>
        <v>0</v>
      </c>
      <c r="U296" s="338">
        <f>SUM(R296:T296)</f>
        <v>170946</v>
      </c>
      <c r="V296" s="316">
        <f>+IFERROR((P296/Q296)*U296,0)</f>
        <v>122104.28571428571</v>
      </c>
      <c r="Y296" s="321">
        <f>+IFERROR((Y262/Q296*P296),0)</f>
        <v>0.71428571428571419</v>
      </c>
      <c r="Z296" s="318">
        <f>Y262*V296</f>
        <v>122104.28571428571</v>
      </c>
      <c r="AA296" s="279"/>
      <c r="AB296" s="367">
        <f>+U296*Y296</f>
        <v>122104.2857142857</v>
      </c>
      <c r="AC296" s="302">
        <f>+AB296-Z296</f>
        <v>0</v>
      </c>
      <c r="AD296" s="280"/>
      <c r="AE296" s="349" t="str">
        <f t="shared" ref="AE296:AE297" si="41">+IF(V296=0,"CERO","NO")</f>
        <v>NO</v>
      </c>
    </row>
    <row r="297" spans="3:31" ht="15" thickBot="1" x14ac:dyDescent="0.35">
      <c r="C297" s="292"/>
      <c r="D297" s="304"/>
      <c r="E297" s="305"/>
      <c r="F297" s="305"/>
      <c r="G297" s="305"/>
      <c r="H297" s="305"/>
      <c r="I297" s="305"/>
      <c r="J297" s="306"/>
      <c r="K297" s="293"/>
      <c r="M297" s="313">
        <v>0</v>
      </c>
      <c r="N297" s="379"/>
      <c r="O297" s="339"/>
      <c r="P297" s="382"/>
      <c r="Q297" s="319"/>
      <c r="R297" s="383"/>
      <c r="S297" s="384"/>
      <c r="T297" s="383"/>
      <c r="U297" s="338"/>
      <c r="V297" s="323"/>
      <c r="Y297" s="321">
        <f>+IFERROR((Y262/Q297*P297),0)</f>
        <v>0</v>
      </c>
      <c r="Z297" s="318">
        <f>Y262*V297</f>
        <v>0</v>
      </c>
      <c r="AA297" s="279"/>
      <c r="AB297" s="367">
        <f>+(U297)*Y297*P297</f>
        <v>0</v>
      </c>
      <c r="AC297" s="302">
        <f>+AB297-Z297</f>
        <v>0</v>
      </c>
      <c r="AD297" s="280"/>
      <c r="AE297" s="349" t="str">
        <f t="shared" si="41"/>
        <v>CERO</v>
      </c>
    </row>
    <row r="298" spans="3:31" ht="15" thickBot="1" x14ac:dyDescent="0.35">
      <c r="C298" s="292"/>
      <c r="D298" s="295" t="s">
        <v>132</v>
      </c>
      <c r="E298" s="296" t="s">
        <v>133</v>
      </c>
      <c r="F298" s="296" t="s">
        <v>134</v>
      </c>
      <c r="G298" s="296" t="s">
        <v>135</v>
      </c>
      <c r="H298" s="296" t="s">
        <v>136</v>
      </c>
      <c r="I298" s="296" t="s">
        <v>137</v>
      </c>
      <c r="J298" s="297" t="s">
        <v>138</v>
      </c>
      <c r="K298" s="293"/>
      <c r="M298" s="724"/>
      <c r="N298" s="725" t="s">
        <v>123</v>
      </c>
      <c r="O298" s="725"/>
      <c r="P298" s="725"/>
      <c r="Q298" s="725"/>
      <c r="R298" s="725"/>
      <c r="S298" s="725"/>
      <c r="T298" s="725"/>
      <c r="U298" s="725"/>
      <c r="V298" s="316">
        <f>+SUM(V295:V297)</f>
        <v>151668</v>
      </c>
      <c r="Y298" s="328" t="s">
        <v>139</v>
      </c>
      <c r="Z298" s="329">
        <f>+SUM(Z295:Z297)</f>
        <v>151668</v>
      </c>
      <c r="AA298" s="279"/>
      <c r="AB298" s="290"/>
      <c r="AC298" s="291"/>
      <c r="AD298" s="280"/>
      <c r="AE298" s="330"/>
    </row>
    <row r="299" spans="3:31" ht="15" thickBot="1" x14ac:dyDescent="0.35">
      <c r="C299" s="292"/>
      <c r="D299" s="376"/>
      <c r="E299" s="377"/>
      <c r="F299" s="377"/>
      <c r="G299" s="386" t="str">
        <f>+F292</f>
        <v>M 1:3 I.</v>
      </c>
      <c r="H299" s="377"/>
      <c r="I299" s="377"/>
      <c r="J299" s="387"/>
      <c r="K299" s="293"/>
      <c r="M299" s="724"/>
      <c r="N299" s="726" t="s">
        <v>124</v>
      </c>
      <c r="O299" s="726"/>
      <c r="P299" s="726"/>
      <c r="Q299" s="726"/>
      <c r="R299" s="726"/>
      <c r="S299" s="726"/>
      <c r="T299" s="726"/>
      <c r="U299" s="726"/>
      <c r="V299" s="344">
        <f>+ROUND(V298,$AA$2)</f>
        <v>151668</v>
      </c>
      <c r="Y299" s="332" t="s">
        <v>140</v>
      </c>
      <c r="Z299" s="333">
        <f>+ROUND(Z298,$AA$2)</f>
        <v>151668</v>
      </c>
      <c r="AA299" s="279"/>
      <c r="AB299" s="324">
        <f>+V299*Y262</f>
        <v>151668</v>
      </c>
      <c r="AC299" s="325">
        <f>+AB299-Z299</f>
        <v>0</v>
      </c>
      <c r="AD299" s="280"/>
      <c r="AE299" s="334"/>
    </row>
    <row r="300" spans="3:31" ht="15" thickBot="1" x14ac:dyDescent="0.35">
      <c r="C300" s="292"/>
      <c r="D300" s="295" t="s">
        <v>132</v>
      </c>
      <c r="E300" s="296" t="s">
        <v>133</v>
      </c>
      <c r="F300" s="296" t="s">
        <v>134</v>
      </c>
      <c r="G300" s="296" t="s">
        <v>135</v>
      </c>
      <c r="H300" s="296" t="s">
        <v>136</v>
      </c>
      <c r="I300" s="296" t="s">
        <v>137</v>
      </c>
      <c r="J300" s="297" t="s">
        <v>138</v>
      </c>
      <c r="K300" s="293"/>
      <c r="M300" s="727"/>
      <c r="N300" s="727"/>
      <c r="O300" s="727"/>
      <c r="P300" s="727"/>
      <c r="Q300" s="727"/>
      <c r="R300" s="727"/>
      <c r="S300" s="727"/>
      <c r="T300" s="727"/>
      <c r="U300" s="727"/>
      <c r="V300" s="727"/>
      <c r="Y300" s="298"/>
      <c r="Z300" s="299"/>
      <c r="AA300" s="279"/>
      <c r="AB300" s="342"/>
      <c r="AC300" s="299"/>
      <c r="AD300" s="280"/>
      <c r="AE300" s="388"/>
    </row>
    <row r="301" spans="3:31" ht="15" thickBot="1" x14ac:dyDescent="0.35">
      <c r="C301" s="292"/>
      <c r="D301" s="363"/>
      <c r="E301" s="364"/>
      <c r="F301" s="364"/>
      <c r="G301" s="364"/>
      <c r="H301" s="365" t="str">
        <f>G299</f>
        <v>M 1:3 I.</v>
      </c>
      <c r="I301" s="365"/>
      <c r="J301" s="381"/>
      <c r="K301" s="293"/>
      <c r="M301" s="726" t="s">
        <v>125</v>
      </c>
      <c r="N301" s="726"/>
      <c r="O301" s="726"/>
      <c r="P301" s="726"/>
      <c r="Q301" s="726"/>
      <c r="R301" s="726"/>
      <c r="S301" s="726"/>
      <c r="T301" s="726"/>
      <c r="U301" s="728">
        <f>+V299+V292+V283+V272</f>
        <v>1025181</v>
      </c>
      <c r="V301" s="728"/>
      <c r="Y301" s="389"/>
      <c r="Z301" s="390">
        <f>+Z299+Z292+Z283+Z272</f>
        <v>1025181</v>
      </c>
      <c r="AA301" s="279"/>
      <c r="AB301" s="385">
        <f>+AB299+AB292+AB283+AB272</f>
        <v>1025181</v>
      </c>
      <c r="AC301" s="325">
        <f>+AB301-Z301</f>
        <v>0</v>
      </c>
      <c r="AD301" s="280"/>
      <c r="AE301" s="391"/>
    </row>
    <row r="302" spans="3:31" x14ac:dyDescent="0.25">
      <c r="M302" s="785"/>
      <c r="N302" s="785"/>
      <c r="O302" s="785"/>
      <c r="P302" s="785"/>
      <c r="Q302" s="785"/>
      <c r="R302" s="786"/>
      <c r="S302" s="786"/>
      <c r="T302" s="786"/>
      <c r="U302" s="786"/>
      <c r="V302" s="786"/>
    </row>
    <row r="303" spans="3:31" x14ac:dyDescent="0.25">
      <c r="M303" s="705"/>
      <c r="N303" s="705"/>
      <c r="O303" s="705"/>
      <c r="P303" s="705"/>
      <c r="Q303" s="705"/>
      <c r="R303" s="706"/>
      <c r="S303" s="706"/>
      <c r="T303" s="706"/>
      <c r="U303" s="706"/>
      <c r="V303" s="706"/>
    </row>
    <row r="304" spans="3:31" x14ac:dyDescent="0.25">
      <c r="M304" s="705"/>
      <c r="N304" s="705"/>
      <c r="O304" s="705"/>
      <c r="P304" s="705"/>
      <c r="Q304" s="705"/>
      <c r="R304" s="706"/>
      <c r="S304" s="706"/>
      <c r="T304" s="706"/>
      <c r="U304" s="706"/>
      <c r="V304" s="706"/>
    </row>
    <row r="305" spans="3:31" x14ac:dyDescent="0.25">
      <c r="M305" s="705"/>
      <c r="N305" s="705"/>
      <c r="O305" s="705"/>
      <c r="P305" s="705"/>
      <c r="Q305" s="705"/>
      <c r="R305" s="706"/>
      <c r="S305" s="706"/>
      <c r="T305" s="706"/>
      <c r="U305" s="706"/>
      <c r="V305" s="706"/>
    </row>
    <row r="306" spans="3:31" x14ac:dyDescent="0.25">
      <c r="M306" s="707" t="s">
        <v>128</v>
      </c>
      <c r="N306" s="392" t="str">
        <f>$N$6</f>
        <v>ING. JEYSON JULIAN LEON RUEDA</v>
      </c>
      <c r="O306" s="393"/>
      <c r="P306" s="393"/>
      <c r="Q306" s="393"/>
      <c r="R306" s="711" t="s">
        <v>129</v>
      </c>
      <c r="S306" s="392" t="str">
        <f>$S$6</f>
        <v>ARQ. YASMID ROCÍO CARRILLO MORA</v>
      </c>
      <c r="T306" s="393"/>
      <c r="U306" s="394"/>
      <c r="V306" s="394"/>
    </row>
    <row r="307" spans="3:31" x14ac:dyDescent="0.25">
      <c r="M307" s="707"/>
      <c r="N307" s="395" t="str">
        <f>$N$7</f>
        <v>MP. 68202-416348 STD</v>
      </c>
      <c r="O307" s="393"/>
      <c r="P307" s="393"/>
      <c r="Q307" s="393"/>
      <c r="R307" s="711"/>
      <c r="S307" s="395" t="str">
        <f>$S$7</f>
        <v>SECRETARIA DE PLANEACIÓN Y OBRAS PÚBLICAS</v>
      </c>
      <c r="T307" s="393"/>
      <c r="U307" s="394"/>
      <c r="V307" s="394"/>
    </row>
    <row r="308" spans="3:31" x14ac:dyDescent="0.25">
      <c r="M308" s="707"/>
      <c r="N308" s="393"/>
      <c r="O308" s="393"/>
      <c r="P308" s="393"/>
      <c r="Q308" s="393"/>
      <c r="R308" s="711"/>
      <c r="S308" s="395" t="str">
        <f>$S$8</f>
        <v>MUNICIPIO DE PINCHOTE</v>
      </c>
      <c r="T308" s="393"/>
      <c r="U308" s="394"/>
      <c r="V308" s="394"/>
    </row>
    <row r="310" spans="3:31" ht="14.4" thickBot="1" x14ac:dyDescent="0.3"/>
    <row r="311" spans="3:31" ht="14.4" thickBot="1" x14ac:dyDescent="0.3">
      <c r="M311" s="281" t="s">
        <v>90</v>
      </c>
      <c r="N311" s="410" t="s">
        <v>28</v>
      </c>
      <c r="O311" s="706" t="str">
        <f>IFERROR(VLOOKUP(N311,PPTO!$C$9:$H$64,2,0),"----")</f>
        <v>COMPONENTE  ALCANTARILLADO</v>
      </c>
      <c r="P311" s="706"/>
      <c r="Q311" s="706"/>
      <c r="R311" s="706"/>
      <c r="S311" s="706"/>
      <c r="T311" s="706"/>
      <c r="U311" s="706"/>
      <c r="V311" s="283" t="s">
        <v>93</v>
      </c>
      <c r="Y311" s="284" t="s">
        <v>107</v>
      </c>
      <c r="Z311" s="280"/>
      <c r="AA311" s="274"/>
      <c r="AB311" s="735"/>
      <c r="AC311" s="735"/>
      <c r="AD311" s="735"/>
      <c r="AE311" s="280"/>
    </row>
    <row r="312" spans="3:31" ht="15" thickBot="1" x14ac:dyDescent="0.35">
      <c r="C312" s="285" t="str">
        <f>+N312</f>
        <v>1.1</v>
      </c>
      <c r="D312" s="279"/>
      <c r="E312" s="279"/>
      <c r="F312" s="279"/>
      <c r="G312" s="279"/>
      <c r="H312" s="279"/>
      <c r="I312" s="279"/>
      <c r="J312" s="279"/>
      <c r="K312" s="286"/>
      <c r="M312" s="283" t="s">
        <v>94</v>
      </c>
      <c r="N312" s="287" t="s">
        <v>53</v>
      </c>
      <c r="O312" s="736" t="str">
        <f>IFERROR(VLOOKUP(N312,PPTO!$C$9:$H$64,2,0),"----")</f>
        <v>Localización y Replanteo con equipos topográficos</v>
      </c>
      <c r="P312" s="736"/>
      <c r="Q312" s="736"/>
      <c r="R312" s="736"/>
      <c r="S312" s="736"/>
      <c r="T312" s="736"/>
      <c r="U312" s="736"/>
      <c r="V312" s="288" t="str">
        <f>IFERROR(VLOOKUP(N312,PPTO!$C$9:$H$64,3,0),"----")</f>
        <v>m2</v>
      </c>
      <c r="Y312" s="289">
        <f>SUMIFS(PPTO!$F$7:$F$63,PPTO!$C$7:$C$63,APUS!N312)</f>
        <v>99.1</v>
      </c>
      <c r="Z312" s="280"/>
      <c r="AA312" s="279"/>
      <c r="AB312" s="280"/>
      <c r="AC312" s="280"/>
      <c r="AD312" s="280"/>
      <c r="AE312" s="280"/>
    </row>
    <row r="313" spans="3:31" ht="15" thickBot="1" x14ac:dyDescent="0.35">
      <c r="C313" s="292"/>
      <c r="D313" s="279"/>
      <c r="E313" s="279"/>
      <c r="F313" s="279"/>
      <c r="G313" s="279"/>
      <c r="H313" s="279"/>
      <c r="I313" s="279"/>
      <c r="J313" s="279"/>
      <c r="K313" s="293"/>
      <c r="M313" s="737"/>
      <c r="N313" s="737"/>
      <c r="O313" s="737"/>
      <c r="P313" s="737"/>
      <c r="Q313" s="737"/>
      <c r="R313" s="737"/>
      <c r="S313" s="737"/>
      <c r="T313" s="737"/>
      <c r="U313" s="737"/>
      <c r="V313" s="737"/>
      <c r="Y313" s="294"/>
      <c r="Z313" s="280"/>
      <c r="AA313" s="279"/>
      <c r="AB313" s="280"/>
      <c r="AC313" s="280"/>
      <c r="AD313" s="280"/>
      <c r="AE313" s="280"/>
    </row>
    <row r="314" spans="3:31" ht="15" thickBot="1" x14ac:dyDescent="0.35">
      <c r="C314" s="292"/>
      <c r="D314" s="295" t="s">
        <v>132</v>
      </c>
      <c r="E314" s="296" t="s">
        <v>133</v>
      </c>
      <c r="F314" s="296" t="s">
        <v>134</v>
      </c>
      <c r="G314" s="296" t="s">
        <v>135</v>
      </c>
      <c r="H314" s="296" t="s">
        <v>136</v>
      </c>
      <c r="I314" s="296" t="s">
        <v>137</v>
      </c>
      <c r="J314" s="297" t="s">
        <v>138</v>
      </c>
      <c r="K314" s="293"/>
      <c r="M314" s="738" t="s">
        <v>96</v>
      </c>
      <c r="N314" s="738"/>
      <c r="O314" s="738"/>
      <c r="P314" s="738"/>
      <c r="Q314" s="738"/>
      <c r="R314" s="738"/>
      <c r="S314" s="738"/>
      <c r="T314" s="738"/>
      <c r="U314" s="738"/>
      <c r="V314" s="738"/>
      <c r="Y314" s="298"/>
      <c r="Z314" s="299"/>
      <c r="AA314" s="279"/>
      <c r="AB314" s="731"/>
      <c r="AC314" s="732"/>
      <c r="AD314" s="280"/>
      <c r="AE314" s="303"/>
    </row>
    <row r="315" spans="3:31" ht="14.4" x14ac:dyDescent="0.3">
      <c r="C315" s="292"/>
      <c r="D315" s="304"/>
      <c r="E315" s="305"/>
      <c r="F315" s="305"/>
      <c r="G315" s="305"/>
      <c r="H315" s="305"/>
      <c r="I315" s="305"/>
      <c r="J315" s="306"/>
      <c r="K315" s="293"/>
      <c r="M315" s="307" t="s">
        <v>97</v>
      </c>
      <c r="N315" s="706" t="s">
        <v>98</v>
      </c>
      <c r="O315" s="706"/>
      <c r="P315" s="706"/>
      <c r="Q315" s="706"/>
      <c r="R315" s="307" t="s">
        <v>99</v>
      </c>
      <c r="S315" s="307" t="s">
        <v>100</v>
      </c>
      <c r="T315" s="734" t="s">
        <v>8</v>
      </c>
      <c r="U315" s="734"/>
      <c r="V315" s="307" t="s">
        <v>101</v>
      </c>
      <c r="Y315" s="308" t="s">
        <v>107</v>
      </c>
      <c r="Z315" s="309" t="s">
        <v>9</v>
      </c>
      <c r="AA315" s="279"/>
      <c r="AB315" s="290"/>
      <c r="AC315" s="291"/>
      <c r="AD315" s="280"/>
      <c r="AE315" s="310"/>
    </row>
    <row r="316" spans="3:31" ht="14.4" x14ac:dyDescent="0.3">
      <c r="C316" s="292"/>
      <c r="D316" s="311"/>
      <c r="E316" s="279"/>
      <c r="F316" s="279"/>
      <c r="G316" s="279"/>
      <c r="H316" s="279"/>
      <c r="I316" s="279"/>
      <c r="J316" s="312"/>
      <c r="K316" s="293"/>
      <c r="M316" s="313"/>
      <c r="N316" s="718" t="s">
        <v>102</v>
      </c>
      <c r="O316" s="718"/>
      <c r="P316" s="718"/>
      <c r="Q316" s="718"/>
      <c r="R316" s="314" t="s">
        <v>103</v>
      </c>
      <c r="S316" s="315">
        <f>$AA$9</f>
        <v>0.05</v>
      </c>
      <c r="T316" s="766">
        <f>V346</f>
        <v>3659</v>
      </c>
      <c r="U316" s="766"/>
      <c r="V316" s="316">
        <f>+IFERROR(T316*S316,0)</f>
        <v>182.95000000000002</v>
      </c>
      <c r="Y316" s="317"/>
      <c r="Z316" s="318">
        <f>Y312*V316</f>
        <v>18130.345000000001</v>
      </c>
      <c r="AA316" s="279"/>
      <c r="AB316" s="290"/>
      <c r="AC316" s="291"/>
      <c r="AD316" s="280"/>
      <c r="AE316" s="310" t="str">
        <f>+IF(V316=0,"CERO","NO")</f>
        <v>NO</v>
      </c>
    </row>
    <row r="317" spans="3:31" ht="14.4" x14ac:dyDescent="0.3">
      <c r="C317" s="292"/>
      <c r="D317" s="311"/>
      <c r="E317" s="279"/>
      <c r="F317" s="279"/>
      <c r="G317" s="279"/>
      <c r="H317" s="279"/>
      <c r="I317" s="279"/>
      <c r="J317" s="312"/>
      <c r="K317" s="293"/>
      <c r="M317" s="319">
        <v>0</v>
      </c>
      <c r="N317" s="718" t="str">
        <f>IFERROR(VLOOKUP(M317,INSUMOS!$C$8:$K$934,2,0),"-----")</f>
        <v>-----</v>
      </c>
      <c r="O317" s="718"/>
      <c r="P317" s="718"/>
      <c r="Q317" s="718"/>
      <c r="R317" s="314" t="str">
        <f>IFERROR(VLOOKUP(M317,INSUMOS!$C$8:$K$934,6,0),"-----")</f>
        <v>-----</v>
      </c>
      <c r="S317" s="411"/>
      <c r="T317" s="767" t="str">
        <f>IFERROR(VLOOKUP(M317,INSUMOS!$C$8:$K$934,7,0),"0")</f>
        <v>0</v>
      </c>
      <c r="U317" s="767"/>
      <c r="V317" s="316">
        <f>+IFERROR(T317*S317,0)</f>
        <v>0</v>
      </c>
      <c r="Y317" s="321">
        <f>+IFERROR(Y312*S317,0)</f>
        <v>0</v>
      </c>
      <c r="Z317" s="318">
        <f>Y312*V317</f>
        <v>0</v>
      </c>
      <c r="AA317" s="300"/>
      <c r="AB317" s="301">
        <f>+Y317*T317</f>
        <v>0</v>
      </c>
      <c r="AC317" s="302">
        <f>+AB317-Z317</f>
        <v>0</v>
      </c>
      <c r="AD317" s="280"/>
      <c r="AE317" s="310" t="str">
        <f>+IF(V317=0,"CERO","NO")</f>
        <v>CERO</v>
      </c>
    </row>
    <row r="318" spans="3:31" ht="14.4" x14ac:dyDescent="0.3">
      <c r="C318" s="292"/>
      <c r="D318" s="311"/>
      <c r="E318" s="279"/>
      <c r="F318" s="279"/>
      <c r="G318" s="279"/>
      <c r="H318" s="279"/>
      <c r="I318" s="279"/>
      <c r="J318" s="312"/>
      <c r="K318" s="293"/>
      <c r="M318" s="313">
        <v>0</v>
      </c>
      <c r="N318" s="718"/>
      <c r="O318" s="718"/>
      <c r="P318" s="718"/>
      <c r="Q318" s="718"/>
      <c r="R318" s="314"/>
      <c r="S318" s="322"/>
      <c r="T318" s="767"/>
      <c r="U318" s="767"/>
      <c r="V318" s="323"/>
      <c r="Y318" s="321">
        <f>+IFERROR(Y312*S318,0)</f>
        <v>0</v>
      </c>
      <c r="Z318" s="318">
        <f>Y312*V318</f>
        <v>0</v>
      </c>
      <c r="AA318" s="300"/>
      <c r="AB318" s="301">
        <f>+Y318*T318</f>
        <v>0</v>
      </c>
      <c r="AC318" s="302">
        <f>+AB318-Z318</f>
        <v>0</v>
      </c>
      <c r="AD318" s="280"/>
      <c r="AE318" s="310" t="str">
        <f>+IF(V318=0,"CERO","NO")</f>
        <v>CERO</v>
      </c>
    </row>
    <row r="319" spans="3:31" ht="14.4" x14ac:dyDescent="0.3">
      <c r="C319" s="292"/>
      <c r="D319" s="311"/>
      <c r="E319" s="279"/>
      <c r="F319" s="279"/>
      <c r="G319" s="279"/>
      <c r="H319" s="279"/>
      <c r="I319" s="279"/>
      <c r="J319" s="312"/>
      <c r="K319" s="293"/>
      <c r="M319" s="313">
        <v>0</v>
      </c>
      <c r="N319" s="718"/>
      <c r="O319" s="718"/>
      <c r="P319" s="718"/>
      <c r="Q319" s="718"/>
      <c r="R319" s="314"/>
      <c r="S319" s="322"/>
      <c r="T319" s="767"/>
      <c r="U319" s="767"/>
      <c r="V319" s="323"/>
      <c r="Y319" s="321">
        <f>+IFERROR(Y312*S319,0)</f>
        <v>0</v>
      </c>
      <c r="Z319" s="318">
        <f>Y312*V319</f>
        <v>0</v>
      </c>
      <c r="AA319" s="300"/>
      <c r="AB319" s="301">
        <f>+Y319*T319</f>
        <v>0</v>
      </c>
      <c r="AC319" s="302">
        <f>+AB319-Z319</f>
        <v>0</v>
      </c>
      <c r="AD319" s="280"/>
      <c r="AE319" s="310" t="str">
        <f>+IF(V319=0,"CERO","NO")</f>
        <v>CERO</v>
      </c>
    </row>
    <row r="320" spans="3:31" ht="15" thickBot="1" x14ac:dyDescent="0.35">
      <c r="C320" s="292"/>
      <c r="D320" s="311"/>
      <c r="E320" s="279"/>
      <c r="F320" s="279"/>
      <c r="G320" s="279"/>
      <c r="H320" s="279"/>
      <c r="I320" s="279"/>
      <c r="J320" s="312"/>
      <c r="K320" s="293"/>
      <c r="M320" s="313">
        <v>0</v>
      </c>
      <c r="N320" s="727"/>
      <c r="O320" s="727"/>
      <c r="P320" s="727"/>
      <c r="Q320" s="727"/>
      <c r="R320" s="326"/>
      <c r="S320" s="326"/>
      <c r="T320" s="768"/>
      <c r="U320" s="768"/>
      <c r="V320" s="327"/>
      <c r="Y320" s="321">
        <f>+IFERROR(Y312*S320,0)</f>
        <v>0</v>
      </c>
      <c r="Z320" s="318">
        <f>Y312*V320</f>
        <v>0</v>
      </c>
      <c r="AA320" s="300"/>
      <c r="AB320" s="301">
        <f>+Y320*T320</f>
        <v>0</v>
      </c>
      <c r="AC320" s="302">
        <f>+AB320-Z320</f>
        <v>0</v>
      </c>
      <c r="AD320" s="280"/>
      <c r="AE320" s="310" t="str">
        <f>+IF(V320=0,"CERO","NO")</f>
        <v>CERO</v>
      </c>
    </row>
    <row r="321" spans="3:31" ht="15" thickBot="1" x14ac:dyDescent="0.35">
      <c r="C321" s="292"/>
      <c r="D321" s="295" t="s">
        <v>132</v>
      </c>
      <c r="E321" s="296" t="s">
        <v>133</v>
      </c>
      <c r="F321" s="296" t="s">
        <v>134</v>
      </c>
      <c r="G321" s="296" t="s">
        <v>135</v>
      </c>
      <c r="H321" s="296" t="s">
        <v>136</v>
      </c>
      <c r="I321" s="296" t="s">
        <v>137</v>
      </c>
      <c r="J321" s="297" t="s">
        <v>138</v>
      </c>
      <c r="K321" s="293"/>
      <c r="M321" s="724"/>
      <c r="N321" s="725" t="s">
        <v>104</v>
      </c>
      <c r="O321" s="725"/>
      <c r="P321" s="725"/>
      <c r="Q321" s="725"/>
      <c r="R321" s="725"/>
      <c r="S321" s="725"/>
      <c r="T321" s="725"/>
      <c r="U321" s="725"/>
      <c r="V321" s="316">
        <f>+SUM(V316:V320)</f>
        <v>182.95000000000002</v>
      </c>
      <c r="Y321" s="328" t="s">
        <v>139</v>
      </c>
      <c r="Z321" s="329">
        <f>+SUM(Z316:Z320)</f>
        <v>18130.345000000001</v>
      </c>
      <c r="AA321" s="279"/>
      <c r="AB321" s="290"/>
      <c r="AC321" s="291"/>
      <c r="AD321" s="280"/>
      <c r="AE321" s="330"/>
    </row>
    <row r="322" spans="3:31" ht="15" thickBot="1" x14ac:dyDescent="0.35">
      <c r="C322" s="292"/>
      <c r="D322" s="295" t="str">
        <f>C312</f>
        <v>1.1</v>
      </c>
      <c r="E322" s="296"/>
      <c r="F322" s="296"/>
      <c r="G322" s="296"/>
      <c r="H322" s="296"/>
      <c r="I322" s="296"/>
      <c r="J322" s="297"/>
      <c r="K322" s="293"/>
      <c r="M322" s="724"/>
      <c r="N322" s="726" t="s">
        <v>105</v>
      </c>
      <c r="O322" s="726"/>
      <c r="P322" s="726"/>
      <c r="Q322" s="726"/>
      <c r="R322" s="726"/>
      <c r="S322" s="726"/>
      <c r="T322" s="726"/>
      <c r="U322" s="726"/>
      <c r="V322" s="344">
        <f>+ROUND(V321,$AA$2)</f>
        <v>183</v>
      </c>
      <c r="Y322" s="332" t="s">
        <v>140</v>
      </c>
      <c r="Z322" s="333">
        <f>+ROUND(Z321,$AA$2)</f>
        <v>18130</v>
      </c>
      <c r="AA322" s="279"/>
      <c r="AB322" s="324">
        <f>+V322*Y312</f>
        <v>18135.3</v>
      </c>
      <c r="AC322" s="325">
        <f>+AB322-Z322</f>
        <v>5.2999999999992724</v>
      </c>
      <c r="AD322" s="280"/>
      <c r="AE322" s="334"/>
    </row>
    <row r="323" spans="3:31" ht="14.4" x14ac:dyDescent="0.3">
      <c r="C323" s="292"/>
      <c r="D323" s="304"/>
      <c r="E323" s="305"/>
      <c r="F323" s="305"/>
      <c r="G323" s="305"/>
      <c r="H323" s="305"/>
      <c r="I323" s="305"/>
      <c r="J323" s="306"/>
      <c r="K323" s="293"/>
      <c r="M323" s="730" t="s">
        <v>106</v>
      </c>
      <c r="N323" s="730"/>
      <c r="O323" s="730"/>
      <c r="P323" s="730"/>
      <c r="Q323" s="730"/>
      <c r="R323" s="730"/>
      <c r="S323" s="730"/>
      <c r="T323" s="730"/>
      <c r="U323" s="730"/>
      <c r="V323" s="730"/>
      <c r="Y323" s="298"/>
      <c r="Z323" s="299"/>
      <c r="AA323" s="279"/>
      <c r="AB323" s="731"/>
      <c r="AC323" s="732"/>
      <c r="AD323" s="280"/>
      <c r="AE323" s="335"/>
    </row>
    <row r="324" spans="3:31" ht="27" customHeight="1" x14ac:dyDescent="0.3">
      <c r="C324" s="292"/>
      <c r="D324" s="311"/>
      <c r="E324" s="279"/>
      <c r="F324" s="279"/>
      <c r="G324" s="279"/>
      <c r="H324" s="279"/>
      <c r="I324" s="279"/>
      <c r="J324" s="312"/>
      <c r="K324" s="293"/>
      <c r="M324" s="307" t="s">
        <v>97</v>
      </c>
      <c r="N324" s="706" t="s">
        <v>98</v>
      </c>
      <c r="O324" s="706"/>
      <c r="P324" s="706"/>
      <c r="Q324" s="706"/>
      <c r="R324" s="307" t="s">
        <v>99</v>
      </c>
      <c r="S324" s="307" t="s">
        <v>107</v>
      </c>
      <c r="T324" s="336" t="s">
        <v>108</v>
      </c>
      <c r="U324" s="336" t="s">
        <v>8</v>
      </c>
      <c r="V324" s="307" t="s">
        <v>101</v>
      </c>
      <c r="Y324" s="308" t="s">
        <v>107</v>
      </c>
      <c r="Z324" s="309" t="s">
        <v>9</v>
      </c>
      <c r="AA324" s="279"/>
      <c r="AB324" s="290"/>
      <c r="AC324" s="291"/>
      <c r="AD324" s="280"/>
      <c r="AE324" s="337"/>
    </row>
    <row r="325" spans="3:31" ht="14.4" x14ac:dyDescent="0.3">
      <c r="C325" s="292"/>
      <c r="D325" s="311"/>
      <c r="E325" s="279"/>
      <c r="F325" s="279"/>
      <c r="G325" s="279"/>
      <c r="H325" s="279"/>
      <c r="I325" s="279"/>
      <c r="J325" s="312"/>
      <c r="K325" s="293"/>
      <c r="M325" s="313">
        <v>422</v>
      </c>
      <c r="N325" s="718" t="str">
        <f>IFERROR(VLOOKUP(M325,INSUMOS!$C$8:$K$934,2,0),"-----")</f>
        <v>Puntillas 2" con y sin cabeza</v>
      </c>
      <c r="O325" s="718"/>
      <c r="P325" s="718"/>
      <c r="Q325" s="718"/>
      <c r="R325" s="314" t="str">
        <f>IFERROR(VLOOKUP(M325,INSUMOS!$C$8:$K$934,6,0),"-----")</f>
        <v>lb</v>
      </c>
      <c r="S325" s="322">
        <v>0.02</v>
      </c>
      <c r="T325" s="315">
        <v>0</v>
      </c>
      <c r="U325" s="338">
        <f>IFERROR(VLOOKUP(M325,INSUMOS!$C$8:$K$934,7,0),"0")</f>
        <v>5171</v>
      </c>
      <c r="V325" s="316">
        <f>+IFERROR(U325*(S325*(1+T325)),0)</f>
        <v>103.42</v>
      </c>
      <c r="Y325" s="321">
        <f>+IFERROR(Y312*(S325*(1+T325)),0)</f>
        <v>1.982</v>
      </c>
      <c r="Z325" s="318">
        <f>Y312*V325</f>
        <v>10248.922</v>
      </c>
      <c r="AA325" s="300"/>
      <c r="AB325" s="301">
        <f>+Y325*U325</f>
        <v>10248.922</v>
      </c>
      <c r="AC325" s="302">
        <f>+AB325-Z325</f>
        <v>0</v>
      </c>
      <c r="AD325" s="280"/>
      <c r="AE325" s="337" t="str">
        <f t="shared" ref="AE325:AE329" si="42">+IF(V325=0,"CERO","NO")</f>
        <v>NO</v>
      </c>
    </row>
    <row r="326" spans="3:31" ht="14.4" x14ac:dyDescent="0.3">
      <c r="C326" s="292"/>
      <c r="D326" s="311"/>
      <c r="E326" s="279"/>
      <c r="F326" s="279"/>
      <c r="G326" s="279"/>
      <c r="H326" s="279"/>
      <c r="I326" s="279"/>
      <c r="J326" s="312"/>
      <c r="K326" s="293"/>
      <c r="M326" s="313">
        <v>428</v>
      </c>
      <c r="N326" s="718" t="str">
        <f>IFERROR(VLOOKUP(M326,INSUMOS!$C$8:$K$934,2,0),"-----")</f>
        <v>Estaca de madera de 4x4 cm</v>
      </c>
      <c r="O326" s="718"/>
      <c r="P326" s="718"/>
      <c r="Q326" s="718"/>
      <c r="R326" s="314" t="str">
        <f>IFERROR(VLOOKUP(M326,INSUMOS!$C$8:$K$934,6,0),"-----")</f>
        <v>ml</v>
      </c>
      <c r="S326" s="322">
        <v>0.3</v>
      </c>
      <c r="T326" s="315">
        <v>0</v>
      </c>
      <c r="U326" s="338">
        <f>IFERROR(VLOOKUP(M326,INSUMOS!$C$8:$K$934,7,0),"0")</f>
        <v>3500</v>
      </c>
      <c r="V326" s="316">
        <f>+IFERROR(U326*(S326*(1+T326)),0)</f>
        <v>1050</v>
      </c>
      <c r="Y326" s="321">
        <f>+IFERROR(Y312*(S326*(1+T326)),0)</f>
        <v>29.729999999999997</v>
      </c>
      <c r="Z326" s="318">
        <f>Y312*V326</f>
        <v>104055</v>
      </c>
      <c r="AA326" s="300"/>
      <c r="AB326" s="301">
        <f t="shared" ref="AB326:AB329" si="43">+Y326*U326</f>
        <v>104054.99999999999</v>
      </c>
      <c r="AC326" s="302">
        <f t="shared" ref="AC326:AC329" si="44">+AB326-Z326</f>
        <v>0</v>
      </c>
      <c r="AD326" s="280"/>
      <c r="AE326" s="337" t="str">
        <f t="shared" si="42"/>
        <v>NO</v>
      </c>
    </row>
    <row r="327" spans="3:31" ht="14.4" x14ac:dyDescent="0.3">
      <c r="C327" s="292"/>
      <c r="D327" s="311"/>
      <c r="E327" s="279"/>
      <c r="F327" s="279"/>
      <c r="G327" s="279"/>
      <c r="H327" s="279"/>
      <c r="I327" s="279"/>
      <c r="J327" s="312"/>
      <c r="K327" s="293"/>
      <c r="M327" s="313">
        <v>0</v>
      </c>
      <c r="N327" s="718" t="str">
        <f>IFERROR(VLOOKUP(M327,INSUMOS!$C$8:$K$934,2,0),"-----")</f>
        <v>-----</v>
      </c>
      <c r="O327" s="718"/>
      <c r="P327" s="718"/>
      <c r="Q327" s="718"/>
      <c r="R327" s="314" t="str">
        <f>IFERROR(VLOOKUP(M327,INSUMOS!$C$8:$K$934,6,0),"-----")</f>
        <v>-----</v>
      </c>
      <c r="S327" s="322"/>
      <c r="T327" s="315">
        <v>0.05</v>
      </c>
      <c r="U327" s="338" t="str">
        <f>IFERROR(VLOOKUP(M327,INSUMOS!$C$8:$K$934,7,0),"0")</f>
        <v>0</v>
      </c>
      <c r="V327" s="316">
        <f>+IFERROR(U327*(S327*(1+T327)),0)</f>
        <v>0</v>
      </c>
      <c r="Y327" s="321">
        <f>+IFERROR(Y312*(S327*(1+T327)),0)</f>
        <v>0</v>
      </c>
      <c r="Z327" s="318">
        <f>Y312*V327</f>
        <v>0</v>
      </c>
      <c r="AA327" s="300"/>
      <c r="AB327" s="301">
        <f t="shared" si="43"/>
        <v>0</v>
      </c>
      <c r="AC327" s="302">
        <f t="shared" si="44"/>
        <v>0</v>
      </c>
      <c r="AD327" s="280"/>
      <c r="AE327" s="337" t="str">
        <f t="shared" si="42"/>
        <v>CERO</v>
      </c>
    </row>
    <row r="328" spans="3:31" ht="14.4" x14ac:dyDescent="0.3">
      <c r="C328" s="292"/>
      <c r="D328" s="311"/>
      <c r="E328" s="279"/>
      <c r="F328" s="279"/>
      <c r="G328" s="279"/>
      <c r="H328" s="279"/>
      <c r="I328" s="279"/>
      <c r="J328" s="312"/>
      <c r="K328" s="293"/>
      <c r="M328" s="313">
        <v>0</v>
      </c>
      <c r="N328" s="718" t="str">
        <f>IFERROR(VLOOKUP(M328,INSUMOS!$C$8:$K$934,2,0),"-----")</f>
        <v>-----</v>
      </c>
      <c r="O328" s="718"/>
      <c r="P328" s="718"/>
      <c r="Q328" s="718"/>
      <c r="R328" s="314" t="str">
        <f>IFERROR(VLOOKUP(M328,INSUMOS!$C$8:$K$934,6,0),"-----")</f>
        <v>-----</v>
      </c>
      <c r="S328" s="322"/>
      <c r="T328" s="315">
        <v>0</v>
      </c>
      <c r="U328" s="338" t="str">
        <f>IFERROR(VLOOKUP(M328,INSUMOS!$C$8:$K$934,7,0),"0")</f>
        <v>0</v>
      </c>
      <c r="V328" s="316">
        <f>+IFERROR(U328*(S328*(1+T328)),0)</f>
        <v>0</v>
      </c>
      <c r="Y328" s="321">
        <f>+IFERROR(Y312*(S328*(1+T328)),0)</f>
        <v>0</v>
      </c>
      <c r="Z328" s="318">
        <f>Y312*V328</f>
        <v>0</v>
      </c>
      <c r="AA328" s="300"/>
      <c r="AB328" s="301">
        <f t="shared" si="43"/>
        <v>0</v>
      </c>
      <c r="AC328" s="302">
        <f t="shared" si="44"/>
        <v>0</v>
      </c>
      <c r="AD328" s="280"/>
      <c r="AE328" s="337" t="str">
        <f t="shared" si="42"/>
        <v>CERO</v>
      </c>
    </row>
    <row r="329" spans="3:31" ht="15" thickBot="1" x14ac:dyDescent="0.35">
      <c r="C329" s="292"/>
      <c r="D329" s="311"/>
      <c r="E329" s="279"/>
      <c r="F329" s="279"/>
      <c r="G329" s="279"/>
      <c r="H329" s="279"/>
      <c r="I329" s="279"/>
      <c r="J329" s="312"/>
      <c r="K329" s="293"/>
      <c r="M329" s="313">
        <v>0</v>
      </c>
      <c r="N329" s="727"/>
      <c r="O329" s="727"/>
      <c r="P329" s="727"/>
      <c r="Q329" s="727"/>
      <c r="R329" s="326"/>
      <c r="S329" s="339"/>
      <c r="T329" s="340"/>
      <c r="U329" s="341"/>
      <c r="V329" s="323"/>
      <c r="Y329" s="321">
        <f>+IFERROR(Y312*(S329*(1+T329)),0)</f>
        <v>0</v>
      </c>
      <c r="Z329" s="318">
        <f>Y312*V329</f>
        <v>0</v>
      </c>
      <c r="AA329" s="300"/>
      <c r="AB329" s="301">
        <f t="shared" si="43"/>
        <v>0</v>
      </c>
      <c r="AC329" s="302">
        <f t="shared" si="44"/>
        <v>0</v>
      </c>
      <c r="AD329" s="280"/>
      <c r="AE329" s="337" t="str">
        <f t="shared" si="42"/>
        <v>CERO</v>
      </c>
    </row>
    <row r="330" spans="3:31" ht="15" thickBot="1" x14ac:dyDescent="0.35">
      <c r="C330" s="292"/>
      <c r="D330" s="295" t="s">
        <v>132</v>
      </c>
      <c r="E330" s="296" t="s">
        <v>133</v>
      </c>
      <c r="F330" s="296" t="s">
        <v>134</v>
      </c>
      <c r="G330" s="296" t="s">
        <v>135</v>
      </c>
      <c r="H330" s="296" t="s">
        <v>136</v>
      </c>
      <c r="I330" s="296" t="s">
        <v>137</v>
      </c>
      <c r="J330" s="297" t="s">
        <v>138</v>
      </c>
      <c r="K330" s="293"/>
      <c r="M330" s="724"/>
      <c r="N330" s="725" t="s">
        <v>109</v>
      </c>
      <c r="O330" s="725"/>
      <c r="P330" s="725"/>
      <c r="Q330" s="725"/>
      <c r="R330" s="725"/>
      <c r="S330" s="725"/>
      <c r="T330" s="725"/>
      <c r="U330" s="725"/>
      <c r="V330" s="316">
        <f>+SUM(V325:V329)</f>
        <v>1153.42</v>
      </c>
      <c r="Y330" s="328" t="s">
        <v>139</v>
      </c>
      <c r="Z330" s="329">
        <f>+SUM(Z325:Z329)</f>
        <v>114303.92200000001</v>
      </c>
      <c r="AA330" s="279"/>
      <c r="AB330" s="290"/>
      <c r="AC330" s="291"/>
      <c r="AD330" s="280"/>
      <c r="AE330" s="330"/>
    </row>
    <row r="331" spans="3:31" ht="15" thickBot="1" x14ac:dyDescent="0.35">
      <c r="C331" s="292"/>
      <c r="D331" s="295"/>
      <c r="E331" s="343" t="str">
        <f>+D322</f>
        <v>1.1</v>
      </c>
      <c r="F331" s="296"/>
      <c r="G331" s="296"/>
      <c r="H331" s="296"/>
      <c r="I331" s="296"/>
      <c r="J331" s="297"/>
      <c r="K331" s="293"/>
      <c r="M331" s="724"/>
      <c r="N331" s="726" t="s">
        <v>110</v>
      </c>
      <c r="O331" s="726"/>
      <c r="P331" s="726"/>
      <c r="Q331" s="726"/>
      <c r="R331" s="726"/>
      <c r="S331" s="726"/>
      <c r="T331" s="726"/>
      <c r="U331" s="726"/>
      <c r="V331" s="344">
        <f>+ROUND(V330,$AA$2)</f>
        <v>1153</v>
      </c>
      <c r="Y331" s="332" t="s">
        <v>140</v>
      </c>
      <c r="Z331" s="333">
        <f>+ROUND(Z330,$AA$2)</f>
        <v>114304</v>
      </c>
      <c r="AA331" s="279"/>
      <c r="AB331" s="324">
        <f>+V331*Y312</f>
        <v>114262.29999999999</v>
      </c>
      <c r="AC331" s="325">
        <f>+AB331-Z331</f>
        <v>-41.700000000011642</v>
      </c>
      <c r="AD331" s="280"/>
      <c r="AE331" s="334"/>
    </row>
    <row r="332" spans="3:31" ht="14.4" x14ac:dyDescent="0.3">
      <c r="C332" s="292"/>
      <c r="D332" s="304"/>
      <c r="E332" s="305"/>
      <c r="F332" s="305"/>
      <c r="G332" s="305"/>
      <c r="H332" s="305"/>
      <c r="I332" s="305"/>
      <c r="J332" s="306"/>
      <c r="K332" s="293"/>
      <c r="M332" s="733" t="s">
        <v>111</v>
      </c>
      <c r="N332" s="733"/>
      <c r="O332" s="733"/>
      <c r="P332" s="733"/>
      <c r="Q332" s="733"/>
      <c r="R332" s="733"/>
      <c r="S332" s="733"/>
      <c r="T332" s="733"/>
      <c r="U332" s="733"/>
      <c r="V332" s="733"/>
      <c r="Y332" s="298"/>
      <c r="Z332" s="299"/>
      <c r="AA332" s="279"/>
      <c r="AB332" s="342"/>
      <c r="AC332" s="299"/>
      <c r="AD332" s="280"/>
      <c r="AE332" s="335"/>
    </row>
    <row r="333" spans="3:31" ht="27.6" x14ac:dyDescent="0.3">
      <c r="C333" s="292"/>
      <c r="D333" s="311"/>
      <c r="E333" s="279"/>
      <c r="F333" s="279"/>
      <c r="G333" s="279"/>
      <c r="H333" s="279"/>
      <c r="I333" s="279"/>
      <c r="J333" s="312"/>
      <c r="K333" s="293"/>
      <c r="M333" s="307" t="s">
        <v>97</v>
      </c>
      <c r="N333" s="706" t="s">
        <v>98</v>
      </c>
      <c r="O333" s="706"/>
      <c r="P333" s="706"/>
      <c r="Q333" s="307" t="s">
        <v>112</v>
      </c>
      <c r="R333" s="307" t="s">
        <v>113</v>
      </c>
      <c r="S333" s="307" t="s">
        <v>114</v>
      </c>
      <c r="T333" s="734" t="s">
        <v>115</v>
      </c>
      <c r="U333" s="734"/>
      <c r="V333" s="307" t="s">
        <v>101</v>
      </c>
      <c r="Y333" s="308" t="s">
        <v>107</v>
      </c>
      <c r="Z333" s="309" t="s">
        <v>9</v>
      </c>
      <c r="AA333" s="279"/>
      <c r="AB333" s="290"/>
      <c r="AC333" s="291"/>
      <c r="AD333" s="280"/>
      <c r="AE333" s="349"/>
    </row>
    <row r="334" spans="3:31" ht="14.4" x14ac:dyDescent="0.3">
      <c r="C334" s="350"/>
      <c r="D334" s="351"/>
      <c r="E334" s="345"/>
      <c r="F334" s="345"/>
      <c r="G334" s="345"/>
      <c r="H334" s="345"/>
      <c r="I334" s="345"/>
      <c r="J334" s="352"/>
      <c r="K334" s="353"/>
      <c r="M334" s="354">
        <v>0</v>
      </c>
      <c r="N334" s="718" t="str">
        <f>IFERROR(VLOOKUP(M334,INSUMOS!$C$8:$K$934,2,0),"-----")</f>
        <v>-----</v>
      </c>
      <c r="O334" s="718"/>
      <c r="P334" s="718"/>
      <c r="Q334" s="314" t="str">
        <f>IFERROR(VLOOKUP(M334,INSUMOS!$C$8:$K$934,5,0),"-----")</f>
        <v>-----</v>
      </c>
      <c r="R334" s="355">
        <v>40</v>
      </c>
      <c r="S334" s="355" t="str">
        <f>IFERROR(VLOOKUP(M334,INSUMOS!$C$8:$K$934,6,0),"0")</f>
        <v>0</v>
      </c>
      <c r="T334" s="719" t="str">
        <f>IFERROR(VLOOKUP(M334,INSUMOS!$C$8:$K$934,7,0),"0")</f>
        <v>0</v>
      </c>
      <c r="U334" s="719"/>
      <c r="V334" s="356">
        <f>+T334*S334*R334</f>
        <v>0</v>
      </c>
      <c r="Y334" s="321">
        <f>+IFERROR((R334*S334)*Y312,0)</f>
        <v>0</v>
      </c>
      <c r="Z334" s="318">
        <f>Y312*V334</f>
        <v>0</v>
      </c>
      <c r="AA334" s="345"/>
      <c r="AB334" s="346">
        <f>+Y334*T334</f>
        <v>0</v>
      </c>
      <c r="AC334" s="347">
        <f>+AB334-Z334</f>
        <v>0</v>
      </c>
      <c r="AD334" s="348"/>
      <c r="AE334" s="337" t="str">
        <f t="shared" ref="AE334:AE337" si="45">+IF(V334=0,"CERO","NO")</f>
        <v>CERO</v>
      </c>
    </row>
    <row r="335" spans="3:31" ht="14.4" x14ac:dyDescent="0.3">
      <c r="C335" s="350"/>
      <c r="D335" s="351"/>
      <c r="E335" s="345"/>
      <c r="F335" s="345"/>
      <c r="G335" s="345"/>
      <c r="H335" s="345"/>
      <c r="I335" s="345"/>
      <c r="J335" s="352"/>
      <c r="K335" s="353"/>
      <c r="M335" s="354">
        <v>0</v>
      </c>
      <c r="N335" s="718" t="str">
        <f>IFERROR(VLOOKUP(M335,INSUMOS!$C$8:$K$934,2,0),"-----")</f>
        <v>-----</v>
      </c>
      <c r="O335" s="718"/>
      <c r="P335" s="718"/>
      <c r="Q335" s="314" t="str">
        <f>IFERROR(VLOOKUP(M335,INSUMOS!$C$8:$K$934,5,0),"-----")</f>
        <v>-----</v>
      </c>
      <c r="R335" s="355"/>
      <c r="S335" s="355" t="str">
        <f>IFERROR(VLOOKUP(M335,INSUMOS!$C$8:$K$934,6,0),"0")</f>
        <v>0</v>
      </c>
      <c r="T335" s="719" t="str">
        <f>IFERROR(VLOOKUP(M335,INSUMOS!$C$8:$K$934,7,0),"0")</f>
        <v>0</v>
      </c>
      <c r="U335" s="719"/>
      <c r="V335" s="356">
        <f>+T335*S335*R335</f>
        <v>0</v>
      </c>
      <c r="Y335" s="321">
        <f>+IFERROR((R335*S335)*Y312,0)</f>
        <v>0</v>
      </c>
      <c r="Z335" s="318">
        <f>Y312*V335</f>
        <v>0</v>
      </c>
      <c r="AA335" s="345"/>
      <c r="AB335" s="346">
        <f>+Y335*T335</f>
        <v>0</v>
      </c>
      <c r="AC335" s="347">
        <f>+AB335-Z335</f>
        <v>0</v>
      </c>
      <c r="AD335" s="348"/>
      <c r="AE335" s="337" t="str">
        <f t="shared" si="45"/>
        <v>CERO</v>
      </c>
    </row>
    <row r="336" spans="3:31" ht="14.4" x14ac:dyDescent="0.3">
      <c r="C336" s="350"/>
      <c r="D336" s="351"/>
      <c r="E336" s="345"/>
      <c r="F336" s="345"/>
      <c r="G336" s="345"/>
      <c r="H336" s="345"/>
      <c r="I336" s="345"/>
      <c r="J336" s="352"/>
      <c r="K336" s="353"/>
      <c r="M336" s="354">
        <v>0</v>
      </c>
      <c r="N336" s="718" t="str">
        <f>IFERROR(VLOOKUP(M336,INSUMOS!$C$8:$K$934,2,0),"-----")</f>
        <v>-----</v>
      </c>
      <c r="O336" s="718"/>
      <c r="P336" s="718"/>
      <c r="Q336" s="314" t="str">
        <f>IFERROR(VLOOKUP(M336,INSUMOS!$C$8:$K$934,5,0),"-----")</f>
        <v>-----</v>
      </c>
      <c r="R336" s="355"/>
      <c r="S336" s="355" t="str">
        <f>IFERROR(VLOOKUP(M336,INSUMOS!$C$8:$K$934,6,0),"0")</f>
        <v>0</v>
      </c>
      <c r="T336" s="719" t="str">
        <f>IFERROR(VLOOKUP(M336,INSUMOS!$C$8:$K$934,7,0),"0")</f>
        <v>0</v>
      </c>
      <c r="U336" s="719"/>
      <c r="V336" s="356">
        <f>+T336*S336*R336</f>
        <v>0</v>
      </c>
      <c r="Y336" s="321">
        <f>+IFERROR((R336*S336)*Y312,0)</f>
        <v>0</v>
      </c>
      <c r="Z336" s="318">
        <f>Y312*V336</f>
        <v>0</v>
      </c>
      <c r="AA336" s="345"/>
      <c r="AB336" s="346">
        <f t="shared" ref="AB336" si="46">+Y336*T336</f>
        <v>0</v>
      </c>
      <c r="AC336" s="347">
        <f t="shared" ref="AC336" si="47">+AB336-Z336</f>
        <v>0</v>
      </c>
      <c r="AD336" s="348"/>
      <c r="AE336" s="337" t="str">
        <f t="shared" si="45"/>
        <v>CERO</v>
      </c>
    </row>
    <row r="337" spans="3:31" ht="15" thickBot="1" x14ac:dyDescent="0.35">
      <c r="C337" s="350"/>
      <c r="D337" s="360"/>
      <c r="E337" s="361"/>
      <c r="F337" s="361"/>
      <c r="G337" s="361"/>
      <c r="H337" s="361"/>
      <c r="I337" s="361"/>
      <c r="J337" s="362"/>
      <c r="K337" s="353"/>
      <c r="M337" s="354">
        <v>0</v>
      </c>
      <c r="N337" s="718"/>
      <c r="O337" s="718"/>
      <c r="P337" s="718"/>
      <c r="Q337" s="357"/>
      <c r="R337" s="314"/>
      <c r="S337" s="358"/>
      <c r="T337" s="719"/>
      <c r="U337" s="719"/>
      <c r="V337" s="356"/>
      <c r="Y337" s="321">
        <f>+IFERROR((R337*S337)*Y312,0)</f>
        <v>0</v>
      </c>
      <c r="Z337" s="318">
        <f>Y312*V337</f>
        <v>0</v>
      </c>
      <c r="AA337" s="345"/>
      <c r="AB337" s="346">
        <f>+Y337*T337</f>
        <v>0</v>
      </c>
      <c r="AC337" s="347">
        <f>+AB337-Z337</f>
        <v>0</v>
      </c>
      <c r="AD337" s="348"/>
      <c r="AE337" s="337" t="str">
        <f t="shared" si="45"/>
        <v>CERO</v>
      </c>
    </row>
    <row r="338" spans="3:31" ht="15" thickBot="1" x14ac:dyDescent="0.35">
      <c r="C338" s="292"/>
      <c r="D338" s="295" t="s">
        <v>132</v>
      </c>
      <c r="E338" s="296" t="s">
        <v>133</v>
      </c>
      <c r="F338" s="296" t="s">
        <v>134</v>
      </c>
      <c r="G338" s="296" t="s">
        <v>135</v>
      </c>
      <c r="H338" s="296" t="s">
        <v>136</v>
      </c>
      <c r="I338" s="296" t="s">
        <v>137</v>
      </c>
      <c r="J338" s="297" t="s">
        <v>138</v>
      </c>
      <c r="K338" s="293"/>
      <c r="M338" s="720"/>
      <c r="N338" s="721" t="s">
        <v>116</v>
      </c>
      <c r="O338" s="721"/>
      <c r="P338" s="721"/>
      <c r="Q338" s="721"/>
      <c r="R338" s="721"/>
      <c r="S338" s="721"/>
      <c r="T338" s="721"/>
      <c r="U338" s="721"/>
      <c r="V338" s="356">
        <f>+SUM(V334:V337)</f>
        <v>0</v>
      </c>
      <c r="Y338" s="328" t="s">
        <v>139</v>
      </c>
      <c r="Z338" s="329">
        <f>+SUM(Z334:Z337)</f>
        <v>0</v>
      </c>
      <c r="AA338" s="279"/>
      <c r="AB338" s="290"/>
      <c r="AC338" s="291"/>
      <c r="AD338" s="280"/>
      <c r="AE338" s="330"/>
    </row>
    <row r="339" spans="3:31" ht="15" thickBot="1" x14ac:dyDescent="0.35">
      <c r="C339" s="292"/>
      <c r="D339" s="363"/>
      <c r="E339" s="364"/>
      <c r="F339" s="365" t="str">
        <f>+E331</f>
        <v>1.1</v>
      </c>
      <c r="G339" s="364"/>
      <c r="H339" s="364"/>
      <c r="I339" s="364"/>
      <c r="J339" s="366"/>
      <c r="K339" s="293"/>
      <c r="M339" s="720"/>
      <c r="N339" s="722" t="s">
        <v>117</v>
      </c>
      <c r="O339" s="722"/>
      <c r="P339" s="722"/>
      <c r="Q339" s="722"/>
      <c r="R339" s="722"/>
      <c r="S339" s="722"/>
      <c r="T339" s="722"/>
      <c r="U339" s="722"/>
      <c r="V339" s="331">
        <f>+ROUND(V338,$AA$2)</f>
        <v>0</v>
      </c>
      <c r="Y339" s="332" t="s">
        <v>140</v>
      </c>
      <c r="Z339" s="333">
        <f>+ROUND(Z338,$AA$2)</f>
        <v>0</v>
      </c>
      <c r="AA339" s="279"/>
      <c r="AB339" s="324">
        <f>+V339*Y312</f>
        <v>0</v>
      </c>
      <c r="AC339" s="359"/>
      <c r="AD339" s="280"/>
      <c r="AE339" s="334"/>
    </row>
    <row r="340" spans="3:31" ht="15" thickBot="1" x14ac:dyDescent="0.35">
      <c r="C340" s="292"/>
      <c r="D340" s="369"/>
      <c r="E340" s="370"/>
      <c r="F340" s="370"/>
      <c r="G340" s="370"/>
      <c r="H340" s="370"/>
      <c r="I340" s="370"/>
      <c r="J340" s="371"/>
      <c r="K340" s="293"/>
      <c r="M340" s="723" t="s">
        <v>118</v>
      </c>
      <c r="N340" s="723"/>
      <c r="O340" s="723"/>
      <c r="P340" s="723"/>
      <c r="Q340" s="723"/>
      <c r="R340" s="723"/>
      <c r="S340" s="723"/>
      <c r="T340" s="723"/>
      <c r="U340" s="723"/>
      <c r="V340" s="723"/>
      <c r="Y340" s="298"/>
      <c r="Z340" s="299"/>
      <c r="AA340" s="279"/>
      <c r="AB340" s="342"/>
      <c r="AC340" s="299"/>
      <c r="AD340" s="280"/>
      <c r="AE340" s="335"/>
    </row>
    <row r="341" spans="3:31" ht="15" thickBot="1" x14ac:dyDescent="0.35">
      <c r="C341" s="292"/>
      <c r="D341" s="295" t="s">
        <v>132</v>
      </c>
      <c r="E341" s="296" t="s">
        <v>133</v>
      </c>
      <c r="F341" s="296" t="s">
        <v>134</v>
      </c>
      <c r="G341" s="296" t="s">
        <v>135</v>
      </c>
      <c r="H341" s="296" t="s">
        <v>136</v>
      </c>
      <c r="I341" s="296" t="s">
        <v>137</v>
      </c>
      <c r="J341" s="297" t="s">
        <v>138</v>
      </c>
      <c r="K341" s="293"/>
      <c r="M341" s="307" t="s">
        <v>97</v>
      </c>
      <c r="N341" s="372" t="s">
        <v>98</v>
      </c>
      <c r="O341" s="307" t="s">
        <v>99</v>
      </c>
      <c r="P341" s="396" t="s">
        <v>107</v>
      </c>
      <c r="Q341" s="307" t="s">
        <v>119</v>
      </c>
      <c r="R341" s="373" t="s">
        <v>120</v>
      </c>
      <c r="S341" s="307" t="s">
        <v>363</v>
      </c>
      <c r="T341" s="374" t="s">
        <v>121</v>
      </c>
      <c r="U341" s="375" t="s">
        <v>122</v>
      </c>
      <c r="V341" s="307" t="s">
        <v>101</v>
      </c>
      <c r="Y341" s="308" t="s">
        <v>107</v>
      </c>
      <c r="Z341" s="309" t="s">
        <v>9</v>
      </c>
      <c r="AA341" s="279"/>
      <c r="AB341" s="290"/>
      <c r="AC341" s="291"/>
      <c r="AD341" s="280"/>
      <c r="AE341" s="349"/>
    </row>
    <row r="342" spans="3:31" ht="14.4" x14ac:dyDescent="0.3">
      <c r="C342" s="292"/>
      <c r="D342" s="376"/>
      <c r="E342" s="377"/>
      <c r="F342" s="377"/>
      <c r="G342" s="377"/>
      <c r="H342" s="377"/>
      <c r="I342" s="377"/>
      <c r="J342" s="378" t="str">
        <f>+F339</f>
        <v>1.1</v>
      </c>
      <c r="K342" s="293"/>
      <c r="M342" s="313">
        <v>201</v>
      </c>
      <c r="N342" s="379" t="str">
        <f>IFERROR(VLOOKUP(M342,INSUMOS!$C$8:$K$934,2,0),"-----")</f>
        <v>Oficial Albañileria</v>
      </c>
      <c r="O342" s="314" t="str">
        <f>IFERROR(VLOOKUP(M342,INSUMOS!$C$8:$K$934,3,0),"-----")</f>
        <v>JORNAL+PS</v>
      </c>
      <c r="P342" s="355">
        <v>1</v>
      </c>
      <c r="Q342" s="339">
        <v>150</v>
      </c>
      <c r="R342" s="380">
        <f>IFERROR(VLOOKUP(M342,INSUMOS!$C$8:$K$934,4,0),"-----")</f>
        <v>114970</v>
      </c>
      <c r="S342" s="380">
        <f>IFERROR(VLOOKUP(M342,INSUMOS!$C$8:$K$934,6,0),"-----")</f>
        <v>91976</v>
      </c>
      <c r="T342" s="380">
        <f>IFERROR(VLOOKUP(M342,INSUMOS!$C$8:$K$934,5,0),"-----")</f>
        <v>0</v>
      </c>
      <c r="U342" s="338">
        <f>SUM(R342:T342)</f>
        <v>206946</v>
      </c>
      <c r="V342" s="316">
        <f>+IFERROR((P342/Q342)*U342,0)</f>
        <v>1379.64</v>
      </c>
      <c r="Y342" s="321">
        <f>+IFERROR((Y312/Q342*P342),0)</f>
        <v>0.66066666666666662</v>
      </c>
      <c r="Z342" s="318">
        <f>Y312*V342</f>
        <v>136722.32399999999</v>
      </c>
      <c r="AA342" s="279"/>
      <c r="AB342" s="367">
        <f>+(U342)*Y342</f>
        <v>136722.32399999999</v>
      </c>
      <c r="AC342" s="302">
        <f>+AB342-Z342</f>
        <v>0</v>
      </c>
      <c r="AD342" s="368"/>
      <c r="AE342" s="349" t="str">
        <f>+IF(V342=0,"CERO","NO")</f>
        <v>NO</v>
      </c>
    </row>
    <row r="343" spans="3:31" ht="15" thickBot="1" x14ac:dyDescent="0.35">
      <c r="C343" s="292"/>
      <c r="D343" s="363"/>
      <c r="E343" s="364"/>
      <c r="F343" s="364"/>
      <c r="G343" s="364"/>
      <c r="H343" s="364"/>
      <c r="I343" s="364"/>
      <c r="J343" s="381" t="str">
        <f>+J342</f>
        <v>1.1</v>
      </c>
      <c r="K343" s="293"/>
      <c r="M343" s="313">
        <v>202</v>
      </c>
      <c r="N343" s="379" t="str">
        <f>IFERROR(VLOOKUP(M343,INSUMOS!$C$8:$K$934,2,0),"-----")</f>
        <v>Ayudante Albañileria</v>
      </c>
      <c r="O343" s="314" t="str">
        <f>IFERROR(VLOOKUP(M343,INSUMOS!$C$8:$K$934,3,0),"-----")</f>
        <v>JORNAL+PS</v>
      </c>
      <c r="P343" s="355">
        <v>2</v>
      </c>
      <c r="Q343" s="339">
        <v>150</v>
      </c>
      <c r="R343" s="380">
        <f>IFERROR(VLOOKUP(M343,INSUMOS!$C$8:$K$934,4,0),"-----")</f>
        <v>94970</v>
      </c>
      <c r="S343" s="380">
        <f>IFERROR(VLOOKUP(M343,INSUMOS!$C$8:$K$934,6,0),"-----")</f>
        <v>75976</v>
      </c>
      <c r="T343" s="380">
        <f>IFERROR(VLOOKUP(M343,INSUMOS!$C$8:$K$934,5,0),"-----")</f>
        <v>0</v>
      </c>
      <c r="U343" s="338">
        <f>SUM(R343:T343)</f>
        <v>170946</v>
      </c>
      <c r="V343" s="316">
        <f>+IFERROR((P343/Q343)*U343,0)</f>
        <v>2279.2800000000002</v>
      </c>
      <c r="Y343" s="321">
        <f>+IFERROR((Y312/Q343*P343),0)</f>
        <v>1.3213333333333332</v>
      </c>
      <c r="Z343" s="318">
        <f>Y312*V343</f>
        <v>225876.64800000002</v>
      </c>
      <c r="AA343" s="279"/>
      <c r="AB343" s="367">
        <f>+U343*Y343</f>
        <v>225876.64799999999</v>
      </c>
      <c r="AC343" s="302">
        <f>+AB343-Z343</f>
        <v>0</v>
      </c>
      <c r="AD343" s="280"/>
      <c r="AE343" s="349" t="str">
        <f t="shared" ref="AE343:AE344" si="48">+IF(V343=0,"CERO","NO")</f>
        <v>NO</v>
      </c>
    </row>
    <row r="344" spans="3:31" ht="15" thickBot="1" x14ac:dyDescent="0.35">
      <c r="C344" s="292"/>
      <c r="D344" s="304"/>
      <c r="E344" s="305"/>
      <c r="F344" s="305"/>
      <c r="G344" s="305"/>
      <c r="H344" s="305"/>
      <c r="I344" s="305"/>
      <c r="J344" s="306"/>
      <c r="K344" s="293"/>
      <c r="M344" s="313">
        <v>0</v>
      </c>
      <c r="N344" s="379"/>
      <c r="O344" s="339"/>
      <c r="P344" s="382"/>
      <c r="Q344" s="319"/>
      <c r="R344" s="383"/>
      <c r="S344" s="384"/>
      <c r="T344" s="383"/>
      <c r="U344" s="338"/>
      <c r="V344" s="323"/>
      <c r="Y344" s="321">
        <f>+IFERROR((Y312/Q344*P344),0)</f>
        <v>0</v>
      </c>
      <c r="Z344" s="318">
        <f>Y312*V344</f>
        <v>0</v>
      </c>
      <c r="AA344" s="279"/>
      <c r="AB344" s="367">
        <f>+(U344)*Y344*P344</f>
        <v>0</v>
      </c>
      <c r="AC344" s="302">
        <f>+AB344-Z344</f>
        <v>0</v>
      </c>
      <c r="AD344" s="280"/>
      <c r="AE344" s="349" t="str">
        <f t="shared" si="48"/>
        <v>CERO</v>
      </c>
    </row>
    <row r="345" spans="3:31" ht="15" thickBot="1" x14ac:dyDescent="0.35">
      <c r="C345" s="292"/>
      <c r="D345" s="295" t="s">
        <v>132</v>
      </c>
      <c r="E345" s="296" t="s">
        <v>133</v>
      </c>
      <c r="F345" s="296" t="s">
        <v>134</v>
      </c>
      <c r="G345" s="296" t="s">
        <v>135</v>
      </c>
      <c r="H345" s="296" t="s">
        <v>136</v>
      </c>
      <c r="I345" s="296" t="s">
        <v>137</v>
      </c>
      <c r="J345" s="297" t="s">
        <v>138</v>
      </c>
      <c r="K345" s="293"/>
      <c r="M345" s="724"/>
      <c r="N345" s="725" t="s">
        <v>123</v>
      </c>
      <c r="O345" s="725"/>
      <c r="P345" s="725"/>
      <c r="Q345" s="725"/>
      <c r="R345" s="725"/>
      <c r="S345" s="725"/>
      <c r="T345" s="725"/>
      <c r="U345" s="725"/>
      <c r="V345" s="316">
        <f>+SUM(V342:V344)</f>
        <v>3658.92</v>
      </c>
      <c r="Y345" s="328" t="s">
        <v>139</v>
      </c>
      <c r="Z345" s="329">
        <f>+SUM(Z342:Z344)</f>
        <v>362598.97200000001</v>
      </c>
      <c r="AA345" s="279"/>
      <c r="AB345" s="290"/>
      <c r="AC345" s="291"/>
      <c r="AD345" s="280"/>
      <c r="AE345" s="330"/>
    </row>
    <row r="346" spans="3:31" ht="15" thickBot="1" x14ac:dyDescent="0.35">
      <c r="C346" s="292"/>
      <c r="D346" s="376"/>
      <c r="E346" s="377"/>
      <c r="F346" s="377"/>
      <c r="G346" s="386" t="str">
        <f>+F339</f>
        <v>1.1</v>
      </c>
      <c r="H346" s="377"/>
      <c r="I346" s="377"/>
      <c r="J346" s="387"/>
      <c r="K346" s="293"/>
      <c r="M346" s="724"/>
      <c r="N346" s="726" t="s">
        <v>124</v>
      </c>
      <c r="O346" s="726"/>
      <c r="P346" s="726"/>
      <c r="Q346" s="726"/>
      <c r="R346" s="726"/>
      <c r="S346" s="726"/>
      <c r="T346" s="726"/>
      <c r="U346" s="726"/>
      <c r="V346" s="344">
        <f>+ROUND(V345,$AA$2)</f>
        <v>3659</v>
      </c>
      <c r="Y346" s="332" t="s">
        <v>140</v>
      </c>
      <c r="Z346" s="333">
        <f>+ROUND(Z345,$AA$2)</f>
        <v>362599</v>
      </c>
      <c r="AA346" s="279"/>
      <c r="AB346" s="324">
        <f>+V346*Y312</f>
        <v>362606.89999999997</v>
      </c>
      <c r="AC346" s="325">
        <f>+AB346-Z346</f>
        <v>7.8999999999650754</v>
      </c>
      <c r="AD346" s="280"/>
      <c r="AE346" s="334"/>
    </row>
    <row r="347" spans="3:31" ht="15" thickBot="1" x14ac:dyDescent="0.35">
      <c r="C347" s="292"/>
      <c r="D347" s="295" t="s">
        <v>132</v>
      </c>
      <c r="E347" s="296" t="s">
        <v>133</v>
      </c>
      <c r="F347" s="296" t="s">
        <v>134</v>
      </c>
      <c r="G347" s="296" t="s">
        <v>135</v>
      </c>
      <c r="H347" s="296" t="s">
        <v>136</v>
      </c>
      <c r="I347" s="296" t="s">
        <v>137</v>
      </c>
      <c r="J347" s="297" t="s">
        <v>138</v>
      </c>
      <c r="K347" s="293"/>
      <c r="M347" s="727"/>
      <c r="N347" s="727"/>
      <c r="O347" s="727"/>
      <c r="P347" s="727"/>
      <c r="Q347" s="727"/>
      <c r="R347" s="727"/>
      <c r="S347" s="727"/>
      <c r="T347" s="727"/>
      <c r="U347" s="727"/>
      <c r="V347" s="727"/>
      <c r="Y347" s="298"/>
      <c r="Z347" s="299"/>
      <c r="AA347" s="279"/>
      <c r="AB347" s="342"/>
      <c r="AC347" s="299"/>
      <c r="AD347" s="280"/>
      <c r="AE347" s="388"/>
    </row>
    <row r="348" spans="3:31" ht="15" thickBot="1" x14ac:dyDescent="0.35">
      <c r="C348" s="292"/>
      <c r="D348" s="363"/>
      <c r="E348" s="364"/>
      <c r="F348" s="364"/>
      <c r="G348" s="364"/>
      <c r="H348" s="365" t="str">
        <f>G346</f>
        <v>1.1</v>
      </c>
      <c r="I348" s="365"/>
      <c r="J348" s="381"/>
      <c r="K348" s="293"/>
      <c r="M348" s="726" t="s">
        <v>125</v>
      </c>
      <c r="N348" s="726"/>
      <c r="O348" s="726"/>
      <c r="P348" s="726"/>
      <c r="Q348" s="726"/>
      <c r="R348" s="726"/>
      <c r="S348" s="726"/>
      <c r="T348" s="726"/>
      <c r="U348" s="728">
        <f>+V346+V339+V331+V322</f>
        <v>4995</v>
      </c>
      <c r="V348" s="728"/>
      <c r="Y348" s="389"/>
      <c r="Z348" s="390">
        <f>+Z346+Z339+Z331+Z322</f>
        <v>495033</v>
      </c>
      <c r="AA348" s="279"/>
      <c r="AB348" s="385">
        <f>+AB346+AB339+AB331+AB322</f>
        <v>495004.49999999994</v>
      </c>
      <c r="AC348" s="325">
        <f>+AB348-Z348</f>
        <v>-28.500000000058208</v>
      </c>
      <c r="AD348" s="280"/>
      <c r="AE348" s="391"/>
    </row>
    <row r="349" spans="3:31" ht="14.4" thickBot="1" x14ac:dyDescent="0.3">
      <c r="M349" s="412"/>
      <c r="N349" s="412"/>
      <c r="O349" s="412"/>
      <c r="P349" s="412"/>
      <c r="Q349" s="412"/>
      <c r="R349" s="412"/>
      <c r="S349" s="412"/>
      <c r="T349" s="412"/>
      <c r="U349" s="412"/>
      <c r="V349" s="412"/>
    </row>
    <row r="350" spans="3:31" x14ac:dyDescent="0.25">
      <c r="M350" s="729" t="s">
        <v>364</v>
      </c>
      <c r="N350" s="729"/>
      <c r="O350" s="729"/>
      <c r="P350" s="729"/>
      <c r="Q350" s="729"/>
      <c r="R350" s="729"/>
      <c r="S350" s="729"/>
      <c r="T350" s="729"/>
      <c r="U350" s="729"/>
      <c r="V350" s="729"/>
      <c r="Y350" s="298"/>
      <c r="Z350" s="299"/>
      <c r="AA350" s="279"/>
      <c r="AB350" s="280"/>
      <c r="AC350" s="280"/>
      <c r="AD350" s="280"/>
      <c r="AE350" s="335" t="s">
        <v>137</v>
      </c>
    </row>
    <row r="351" spans="3:31" x14ac:dyDescent="0.25">
      <c r="M351" s="700" t="s">
        <v>142</v>
      </c>
      <c r="N351" s="700"/>
      <c r="O351" s="700"/>
      <c r="P351" s="700"/>
      <c r="Q351" s="700"/>
      <c r="R351" s="700"/>
      <c r="S351" s="700"/>
      <c r="T351" s="413">
        <f>$AA$3</f>
        <v>0.25</v>
      </c>
      <c r="U351" s="701">
        <f>+ROUND(U348*T351,$AA$2)</f>
        <v>1249</v>
      </c>
      <c r="V351" s="701"/>
      <c r="Y351" s="317"/>
      <c r="Z351" s="414">
        <f>+Z348*T351</f>
        <v>123758.25</v>
      </c>
      <c r="AA351" s="279"/>
      <c r="AB351" s="280"/>
      <c r="AC351" s="280"/>
      <c r="AD351" s="280"/>
      <c r="AE351" s="310" t="s">
        <v>137</v>
      </c>
    </row>
    <row r="352" spans="3:31" x14ac:dyDescent="0.25">
      <c r="M352" s="700" t="s">
        <v>19</v>
      </c>
      <c r="N352" s="700"/>
      <c r="O352" s="700"/>
      <c r="P352" s="700"/>
      <c r="Q352" s="700"/>
      <c r="R352" s="700"/>
      <c r="S352" s="700"/>
      <c r="T352" s="413">
        <f>$AA$4</f>
        <v>0.03</v>
      </c>
      <c r="U352" s="701">
        <f>+ROUND(U348*T352,$AA$2)</f>
        <v>150</v>
      </c>
      <c r="V352" s="701"/>
      <c r="Y352" s="317"/>
      <c r="Z352" s="414">
        <f>+Z348*T352</f>
        <v>14850.99</v>
      </c>
      <c r="AA352" s="279"/>
      <c r="AB352" s="280"/>
      <c r="AC352" s="280"/>
      <c r="AD352" s="280"/>
      <c r="AE352" s="310" t="s">
        <v>137</v>
      </c>
    </row>
    <row r="353" spans="3:31" x14ac:dyDescent="0.25">
      <c r="M353" s="700" t="s">
        <v>20</v>
      </c>
      <c r="N353" s="700"/>
      <c r="O353" s="700"/>
      <c r="P353" s="700"/>
      <c r="Q353" s="700"/>
      <c r="R353" s="700"/>
      <c r="S353" s="700"/>
      <c r="T353" s="413">
        <f>$AA$5</f>
        <v>0.05</v>
      </c>
      <c r="U353" s="701">
        <f>+ROUND(U348*T353,$AA$2)</f>
        <v>250</v>
      </c>
      <c r="V353" s="701"/>
      <c r="Y353" s="317"/>
      <c r="Z353" s="414">
        <f>+Z348*T353</f>
        <v>24751.65</v>
      </c>
      <c r="AA353" s="279"/>
      <c r="AB353" s="280"/>
      <c r="AC353" s="280"/>
      <c r="AD353" s="280"/>
      <c r="AE353" s="310" t="s">
        <v>137</v>
      </c>
    </row>
    <row r="354" spans="3:31" x14ac:dyDescent="0.25">
      <c r="M354" s="700" t="s">
        <v>21</v>
      </c>
      <c r="N354" s="700"/>
      <c r="O354" s="700"/>
      <c r="P354" s="700"/>
      <c r="Q354" s="700"/>
      <c r="R354" s="700"/>
      <c r="S354" s="700"/>
      <c r="T354" s="413">
        <f>$AA$6</f>
        <v>0</v>
      </c>
      <c r="U354" s="701">
        <f>+ROUND(U348*T354,$AA$2)</f>
        <v>0</v>
      </c>
      <c r="V354" s="701"/>
      <c r="Y354" s="317"/>
      <c r="Z354" s="414">
        <f>+Z353*T354</f>
        <v>0</v>
      </c>
      <c r="AA354" s="279"/>
      <c r="AB354" s="280"/>
      <c r="AC354" s="280"/>
      <c r="AD354" s="280"/>
      <c r="AE354" s="310" t="s">
        <v>137</v>
      </c>
    </row>
    <row r="355" spans="3:31" ht="14.4" thickBot="1" x14ac:dyDescent="0.3">
      <c r="M355" s="702" t="s">
        <v>365</v>
      </c>
      <c r="N355" s="702"/>
      <c r="O355" s="702"/>
      <c r="P355" s="702"/>
      <c r="Q355" s="702"/>
      <c r="R355" s="702"/>
      <c r="S355" s="702"/>
      <c r="T355" s="702"/>
      <c r="U355" s="703">
        <f>+SUM(U351:V354)</f>
        <v>1649</v>
      </c>
      <c r="V355" s="703"/>
      <c r="Y355" s="317"/>
      <c r="Z355" s="415">
        <f>+SUM(Z351:Z354)</f>
        <v>163360.88999999998</v>
      </c>
      <c r="AA355" s="279"/>
      <c r="AB355" s="280"/>
      <c r="AC355" s="280"/>
      <c r="AD355" s="280"/>
      <c r="AE355" s="310" t="s">
        <v>137</v>
      </c>
    </row>
    <row r="356" spans="3:31" ht="14.4" thickBot="1" x14ac:dyDescent="0.3">
      <c r="D356" s="295" t="s">
        <v>132</v>
      </c>
      <c r="E356" s="296" t="s">
        <v>133</v>
      </c>
      <c r="F356" s="296" t="s">
        <v>134</v>
      </c>
      <c r="G356" s="296" t="s">
        <v>135</v>
      </c>
      <c r="H356" s="296" t="s">
        <v>136</v>
      </c>
      <c r="I356" s="296" t="s">
        <v>137</v>
      </c>
      <c r="J356" s="297" t="s">
        <v>138</v>
      </c>
      <c r="M356" s="377"/>
      <c r="N356" s="416"/>
      <c r="O356" s="416"/>
      <c r="P356" s="416"/>
      <c r="Q356" s="377"/>
      <c r="R356" s="377"/>
      <c r="S356" s="377"/>
      <c r="T356" s="417"/>
      <c r="U356" s="701"/>
      <c r="V356" s="701"/>
      <c r="Y356" s="317"/>
      <c r="Z356" s="291"/>
      <c r="AA356" s="279"/>
      <c r="AB356" s="280"/>
      <c r="AC356" s="280"/>
      <c r="AD356" s="280"/>
      <c r="AE356" s="310" t="s">
        <v>137</v>
      </c>
    </row>
    <row r="357" spans="3:31" ht="14.4" thickBot="1" x14ac:dyDescent="0.3">
      <c r="D357" s="363"/>
      <c r="E357" s="364"/>
      <c r="F357" s="364"/>
      <c r="G357" s="364"/>
      <c r="H357" s="365"/>
      <c r="I357" s="365" t="str">
        <f>H348</f>
        <v>1.1</v>
      </c>
      <c r="J357" s="381"/>
      <c r="M357" s="702" t="s">
        <v>11</v>
      </c>
      <c r="N357" s="702"/>
      <c r="O357" s="702"/>
      <c r="P357" s="702"/>
      <c r="Q357" s="702"/>
      <c r="R357" s="702"/>
      <c r="S357" s="702"/>
      <c r="T357" s="702"/>
      <c r="U357" s="704">
        <f>+U355+U348</f>
        <v>6644</v>
      </c>
      <c r="V357" s="704"/>
      <c r="Y357" s="389"/>
      <c r="Z357" s="418">
        <f>+Z355+Z348</f>
        <v>658393.89</v>
      </c>
      <c r="AA357" s="279"/>
      <c r="AB357" s="280"/>
      <c r="AC357" s="280"/>
      <c r="AD357" s="280"/>
      <c r="AE357" s="334" t="s">
        <v>137</v>
      </c>
    </row>
    <row r="358" spans="3:31" x14ac:dyDescent="0.25">
      <c r="M358" s="705"/>
      <c r="N358" s="705"/>
      <c r="O358" s="705"/>
      <c r="P358" s="705"/>
      <c r="Q358" s="705"/>
      <c r="R358" s="706"/>
      <c r="S358" s="706"/>
      <c r="T358" s="706"/>
      <c r="U358" s="706"/>
      <c r="V358" s="706"/>
    </row>
    <row r="359" spans="3:31" x14ac:dyDescent="0.25">
      <c r="M359" s="705"/>
      <c r="N359" s="705"/>
      <c r="O359" s="705"/>
      <c r="P359" s="705"/>
      <c r="Q359" s="705"/>
      <c r="R359" s="706"/>
      <c r="S359" s="706"/>
      <c r="T359" s="706"/>
      <c r="U359" s="706"/>
      <c r="V359" s="706"/>
    </row>
    <row r="360" spans="3:31" x14ac:dyDescent="0.25">
      <c r="M360" s="705"/>
      <c r="N360" s="705"/>
      <c r="O360" s="705"/>
      <c r="P360" s="705"/>
      <c r="Q360" s="705"/>
      <c r="R360" s="706"/>
      <c r="S360" s="706"/>
      <c r="T360" s="706"/>
      <c r="U360" s="706"/>
      <c r="V360" s="706"/>
    </row>
    <row r="361" spans="3:31" x14ac:dyDescent="0.25">
      <c r="M361" s="705"/>
      <c r="N361" s="705"/>
      <c r="O361" s="705"/>
      <c r="P361" s="705"/>
      <c r="Q361" s="705"/>
      <c r="R361" s="706"/>
      <c r="S361" s="706"/>
      <c r="T361" s="706"/>
      <c r="U361" s="706"/>
      <c r="V361" s="706"/>
    </row>
    <row r="362" spans="3:31" x14ac:dyDescent="0.25">
      <c r="M362" s="707" t="s">
        <v>128</v>
      </c>
      <c r="N362" s="788" t="str">
        <f>$N$6</f>
        <v>ING. JEYSON JULIAN LEON RUEDA</v>
      </c>
      <c r="O362" s="788"/>
      <c r="P362" s="788"/>
      <c r="Q362" s="788"/>
      <c r="R362" s="711" t="s">
        <v>129</v>
      </c>
      <c r="S362" s="788" t="str">
        <f>$S$6</f>
        <v>ARQ. YASMID ROCÍO CARRILLO MORA</v>
      </c>
      <c r="T362" s="788"/>
      <c r="U362" s="788"/>
      <c r="V362" s="788"/>
    </row>
    <row r="363" spans="3:31" x14ac:dyDescent="0.25">
      <c r="M363" s="707"/>
      <c r="N363" s="789" t="str">
        <f>$N$7</f>
        <v>MP. 68202-416348 STD</v>
      </c>
      <c r="O363" s="789"/>
      <c r="P363" s="789"/>
      <c r="Q363" s="789"/>
      <c r="R363" s="711"/>
      <c r="S363" s="789" t="str">
        <f>$S$7</f>
        <v>SECRETARIA DE PLANEACIÓN Y OBRAS PÚBLICAS</v>
      </c>
      <c r="T363" s="789"/>
      <c r="U363" s="789"/>
      <c r="V363" s="789"/>
    </row>
    <row r="364" spans="3:31" x14ac:dyDescent="0.25">
      <c r="M364" s="707"/>
      <c r="N364" s="790"/>
      <c r="O364" s="790"/>
      <c r="P364" s="790"/>
      <c r="Q364" s="790"/>
      <c r="R364" s="711"/>
      <c r="S364" s="789" t="str">
        <f>$S$8</f>
        <v>MUNICIPIO DE PINCHOTE</v>
      </c>
      <c r="T364" s="789"/>
      <c r="U364" s="789"/>
      <c r="V364" s="789"/>
    </row>
    <row r="366" spans="3:31" ht="15.9" customHeight="1" thickBot="1" x14ac:dyDescent="0.3"/>
    <row r="367" spans="3:31" ht="15.9" customHeight="1" thickBot="1" x14ac:dyDescent="0.3">
      <c r="M367" s="281" t="s">
        <v>90</v>
      </c>
      <c r="N367" s="410" t="s">
        <v>28</v>
      </c>
      <c r="O367" s="706" t="str">
        <f>IFERROR(VLOOKUP(N367,PPTO!$C$9:$H$64,2,0),"----")</f>
        <v>COMPONENTE  ALCANTARILLADO</v>
      </c>
      <c r="P367" s="706"/>
      <c r="Q367" s="706"/>
      <c r="R367" s="706"/>
      <c r="S367" s="706"/>
      <c r="T367" s="706"/>
      <c r="U367" s="706"/>
      <c r="V367" s="283" t="s">
        <v>93</v>
      </c>
      <c r="Y367" s="284" t="s">
        <v>107</v>
      </c>
      <c r="Z367" s="280"/>
      <c r="AA367" s="274"/>
      <c r="AB367" s="735"/>
      <c r="AC367" s="735"/>
      <c r="AD367" s="735"/>
      <c r="AE367" s="280"/>
    </row>
    <row r="368" spans="3:31" ht="15.9" customHeight="1" thickBot="1" x14ac:dyDescent="0.35">
      <c r="C368" s="285" t="str">
        <f>+N368</f>
        <v>1.2</v>
      </c>
      <c r="D368" s="279"/>
      <c r="E368" s="279"/>
      <c r="F368" s="279"/>
      <c r="G368" s="279"/>
      <c r="H368" s="279"/>
      <c r="I368" s="279"/>
      <c r="J368" s="279"/>
      <c r="K368" s="286"/>
      <c r="M368" s="283" t="s">
        <v>94</v>
      </c>
      <c r="N368" s="287" t="s">
        <v>48</v>
      </c>
      <c r="O368" s="736" t="str">
        <f>IFERROR(VLOOKUP(N368,PPTO!$C$9:$H$64,2,0),"----")</f>
        <v>Desmonte de pavimento en piedra labor (Incluye retiro y disposición final)</v>
      </c>
      <c r="P368" s="736"/>
      <c r="Q368" s="736"/>
      <c r="R368" s="736"/>
      <c r="S368" s="736"/>
      <c r="T368" s="736"/>
      <c r="U368" s="736"/>
      <c r="V368" s="288" t="str">
        <f>IFERROR(VLOOKUP(N368,PPTO!$C$9:$H$64,3,0),"----")</f>
        <v>m2</v>
      </c>
      <c r="Y368" s="289">
        <f>SUMIFS(PPTO!$F$7:$F$63,PPTO!$C$7:$C$63,APUS!N368)</f>
        <v>99.1</v>
      </c>
      <c r="Z368" s="280"/>
      <c r="AA368" s="279"/>
      <c r="AB368" s="280"/>
      <c r="AC368" s="280"/>
      <c r="AD368" s="280"/>
      <c r="AE368" s="280"/>
    </row>
    <row r="369" spans="3:31" ht="15.9" customHeight="1" thickBot="1" x14ac:dyDescent="0.35">
      <c r="C369" s="292"/>
      <c r="D369" s="279"/>
      <c r="E369" s="279"/>
      <c r="F369" s="279"/>
      <c r="G369" s="279"/>
      <c r="H369" s="279"/>
      <c r="I369" s="279"/>
      <c r="J369" s="279"/>
      <c r="K369" s="293"/>
      <c r="M369" s="737"/>
      <c r="N369" s="737"/>
      <c r="O369" s="737"/>
      <c r="P369" s="737"/>
      <c r="Q369" s="737"/>
      <c r="R369" s="737"/>
      <c r="S369" s="737"/>
      <c r="T369" s="737"/>
      <c r="U369" s="737"/>
      <c r="V369" s="737"/>
      <c r="Y369" s="294"/>
      <c r="Z369" s="280"/>
      <c r="AA369" s="279"/>
      <c r="AB369" s="280"/>
      <c r="AC369" s="280"/>
      <c r="AD369" s="280"/>
      <c r="AE369" s="280"/>
    </row>
    <row r="370" spans="3:31" ht="15.9" customHeight="1" thickBot="1" x14ac:dyDescent="0.35">
      <c r="C370" s="292"/>
      <c r="D370" s="295" t="s">
        <v>132</v>
      </c>
      <c r="E370" s="296" t="s">
        <v>133</v>
      </c>
      <c r="F370" s="296" t="s">
        <v>134</v>
      </c>
      <c r="G370" s="296" t="s">
        <v>135</v>
      </c>
      <c r="H370" s="296" t="s">
        <v>136</v>
      </c>
      <c r="I370" s="296" t="s">
        <v>137</v>
      </c>
      <c r="J370" s="297" t="s">
        <v>138</v>
      </c>
      <c r="K370" s="293"/>
      <c r="M370" s="738" t="s">
        <v>96</v>
      </c>
      <c r="N370" s="738"/>
      <c r="O370" s="738"/>
      <c r="P370" s="738"/>
      <c r="Q370" s="738"/>
      <c r="R370" s="738"/>
      <c r="S370" s="738"/>
      <c r="T370" s="738"/>
      <c r="U370" s="738"/>
      <c r="V370" s="738"/>
      <c r="Y370" s="298"/>
      <c r="Z370" s="299"/>
      <c r="AA370" s="279"/>
      <c r="AB370" s="731"/>
      <c r="AC370" s="732"/>
      <c r="AD370" s="280"/>
      <c r="AE370" s="303"/>
    </row>
    <row r="371" spans="3:31" ht="15.9" customHeight="1" x14ac:dyDescent="0.3">
      <c r="C371" s="292"/>
      <c r="D371" s="304"/>
      <c r="E371" s="305"/>
      <c r="F371" s="305"/>
      <c r="G371" s="305"/>
      <c r="H371" s="305"/>
      <c r="I371" s="305"/>
      <c r="J371" s="306"/>
      <c r="K371" s="293"/>
      <c r="M371" s="307" t="s">
        <v>97</v>
      </c>
      <c r="N371" s="706" t="s">
        <v>98</v>
      </c>
      <c r="O371" s="706"/>
      <c r="P371" s="706"/>
      <c r="Q371" s="706"/>
      <c r="R371" s="307" t="s">
        <v>99</v>
      </c>
      <c r="S371" s="307" t="s">
        <v>100</v>
      </c>
      <c r="T371" s="734" t="s">
        <v>8</v>
      </c>
      <c r="U371" s="734"/>
      <c r="V371" s="307" t="s">
        <v>101</v>
      </c>
      <c r="Y371" s="308" t="s">
        <v>107</v>
      </c>
      <c r="Z371" s="309" t="s">
        <v>9</v>
      </c>
      <c r="AA371" s="279"/>
      <c r="AB371" s="290"/>
      <c r="AC371" s="291"/>
      <c r="AD371" s="280"/>
      <c r="AE371" s="310"/>
    </row>
    <row r="372" spans="3:31" ht="15.9" customHeight="1" x14ac:dyDescent="0.3">
      <c r="C372" s="292"/>
      <c r="D372" s="311"/>
      <c r="E372" s="279"/>
      <c r="F372" s="279"/>
      <c r="G372" s="279"/>
      <c r="H372" s="279"/>
      <c r="I372" s="279"/>
      <c r="J372" s="312"/>
      <c r="K372" s="293"/>
      <c r="M372" s="313"/>
      <c r="N372" s="718" t="s">
        <v>102</v>
      </c>
      <c r="O372" s="718"/>
      <c r="P372" s="718"/>
      <c r="Q372" s="718"/>
      <c r="R372" s="314" t="s">
        <v>103</v>
      </c>
      <c r="S372" s="315">
        <f>$AA$9</f>
        <v>0.05</v>
      </c>
      <c r="T372" s="766">
        <f>V399</f>
        <v>17095</v>
      </c>
      <c r="U372" s="766"/>
      <c r="V372" s="316">
        <f>+IFERROR(T372*S372,0)</f>
        <v>854.75</v>
      </c>
      <c r="Y372" s="317"/>
      <c r="Z372" s="318">
        <f>Y368*V372</f>
        <v>84705.724999999991</v>
      </c>
      <c r="AA372" s="279"/>
      <c r="AB372" s="290"/>
      <c r="AC372" s="291"/>
      <c r="AD372" s="280"/>
      <c r="AE372" s="310" t="str">
        <f>+IF(V372=0,"CERO","NO")</f>
        <v>NO</v>
      </c>
    </row>
    <row r="373" spans="3:31" ht="15.9" customHeight="1" x14ac:dyDescent="0.3">
      <c r="C373" s="292"/>
      <c r="D373" s="311"/>
      <c r="E373" s="279"/>
      <c r="F373" s="279"/>
      <c r="G373" s="279"/>
      <c r="H373" s="279"/>
      <c r="I373" s="279"/>
      <c r="J373" s="312"/>
      <c r="K373" s="293"/>
      <c r="M373" s="319">
        <v>99</v>
      </c>
      <c r="N373" s="718" t="str">
        <f>IFERROR(VLOOKUP(M373,INSUMOS!$C$8:$K$934,2,0),"-----")</f>
        <v>Disposicion final de escombros</v>
      </c>
      <c r="O373" s="718"/>
      <c r="P373" s="718"/>
      <c r="Q373" s="718"/>
      <c r="R373" s="314" t="str">
        <f>IFERROR(VLOOKUP(M373,INSUMOS!$C$8:$K$934,6,0),"-----")</f>
        <v>m3</v>
      </c>
      <c r="S373" s="320">
        <v>0.2</v>
      </c>
      <c r="T373" s="767">
        <f>IFERROR(VLOOKUP(M373,INSUMOS!$C$8:$K$934,7,0),"0")</f>
        <v>9683</v>
      </c>
      <c r="U373" s="767"/>
      <c r="V373" s="316">
        <f>+IFERROR(T373*S373,0)</f>
        <v>1936.6000000000001</v>
      </c>
      <c r="Y373" s="321">
        <f>+IFERROR(Y368*S373,0)</f>
        <v>19.82</v>
      </c>
      <c r="Z373" s="318">
        <f>Y368*V373</f>
        <v>191917.06</v>
      </c>
      <c r="AA373" s="300"/>
      <c r="AB373" s="301">
        <f>+Y373*T373</f>
        <v>191917.06</v>
      </c>
      <c r="AC373" s="302">
        <f>+AB373-Z373</f>
        <v>0</v>
      </c>
      <c r="AD373" s="280"/>
      <c r="AE373" s="310" t="str">
        <f>+IF(V373=0,"CERO","NO")</f>
        <v>NO</v>
      </c>
    </row>
    <row r="374" spans="3:31" ht="15.9" customHeight="1" x14ac:dyDescent="0.3">
      <c r="C374" s="292"/>
      <c r="D374" s="311"/>
      <c r="E374" s="279"/>
      <c r="F374" s="279"/>
      <c r="G374" s="279"/>
      <c r="H374" s="279"/>
      <c r="I374" s="279"/>
      <c r="J374" s="312"/>
      <c r="K374" s="293"/>
      <c r="M374" s="313">
        <v>30</v>
      </c>
      <c r="N374" s="718" t="str">
        <f>IFERROR(VLOOKUP(M374,INSUMOS!$C$8:$K$934,2,0),"-----")</f>
        <v>RetroExcavadora</v>
      </c>
      <c r="O374" s="718"/>
      <c r="P374" s="718"/>
      <c r="Q374" s="718"/>
      <c r="R374" s="314" t="str">
        <f>IFERROR(VLOOKUP(M374,INSUMOS!$C$8:$K$934,6,0),"-----")</f>
        <v>Hora</v>
      </c>
      <c r="S374" s="320">
        <v>0.03</v>
      </c>
      <c r="T374" s="767">
        <f>IFERROR(VLOOKUP(M374,INSUMOS!$C$8:$K$934,7,0),"0")</f>
        <v>190000</v>
      </c>
      <c r="U374" s="767"/>
      <c r="V374" s="316">
        <f>+IFERROR(T374*S374,0)</f>
        <v>5700</v>
      </c>
      <c r="Y374" s="321">
        <f>+IFERROR(Y368*S374,0)</f>
        <v>2.9729999999999999</v>
      </c>
      <c r="Z374" s="318">
        <f>Y368*V374</f>
        <v>564870</v>
      </c>
      <c r="AA374" s="300"/>
      <c r="AB374" s="301">
        <f>+Y374*T374</f>
        <v>564870</v>
      </c>
      <c r="AC374" s="302">
        <f>+AB374-Z374</f>
        <v>0</v>
      </c>
      <c r="AD374" s="280"/>
      <c r="AE374" s="310" t="str">
        <f>+IF(V374=0,"CERO","NO")</f>
        <v>NO</v>
      </c>
    </row>
    <row r="375" spans="3:31" ht="15.9" customHeight="1" thickBot="1" x14ac:dyDescent="0.35">
      <c r="C375" s="292"/>
      <c r="D375" s="311"/>
      <c r="E375" s="279"/>
      <c r="F375" s="279"/>
      <c r="G375" s="279"/>
      <c r="H375" s="279"/>
      <c r="I375" s="279"/>
      <c r="J375" s="312"/>
      <c r="K375" s="293"/>
      <c r="M375" s="313">
        <v>0</v>
      </c>
      <c r="N375" s="727"/>
      <c r="O375" s="727"/>
      <c r="P375" s="727"/>
      <c r="Q375" s="727"/>
      <c r="R375" s="326"/>
      <c r="S375" s="326"/>
      <c r="T375" s="768"/>
      <c r="U375" s="768"/>
      <c r="V375" s="327"/>
      <c r="Y375" s="321">
        <f>+IFERROR(Y368*S375,0)</f>
        <v>0</v>
      </c>
      <c r="Z375" s="318">
        <f>Y368*V375</f>
        <v>0</v>
      </c>
      <c r="AA375" s="300"/>
      <c r="AB375" s="301">
        <f>+Y375*T375</f>
        <v>0</v>
      </c>
      <c r="AC375" s="302">
        <f>+AB375-Z375</f>
        <v>0</v>
      </c>
      <c r="AD375" s="280"/>
      <c r="AE375" s="310" t="str">
        <f>+IF(V375=0,"CERO","NO")</f>
        <v>CERO</v>
      </c>
    </row>
    <row r="376" spans="3:31" ht="15.9" customHeight="1" thickBot="1" x14ac:dyDescent="0.35">
      <c r="C376" s="292"/>
      <c r="D376" s="295" t="s">
        <v>132</v>
      </c>
      <c r="E376" s="296" t="s">
        <v>133</v>
      </c>
      <c r="F376" s="296" t="s">
        <v>134</v>
      </c>
      <c r="G376" s="296" t="s">
        <v>135</v>
      </c>
      <c r="H376" s="296" t="s">
        <v>136</v>
      </c>
      <c r="I376" s="296" t="s">
        <v>137</v>
      </c>
      <c r="J376" s="297" t="s">
        <v>138</v>
      </c>
      <c r="K376" s="293"/>
      <c r="M376" s="724"/>
      <c r="N376" s="725" t="s">
        <v>104</v>
      </c>
      <c r="O376" s="725"/>
      <c r="P376" s="725"/>
      <c r="Q376" s="725"/>
      <c r="R376" s="725"/>
      <c r="S376" s="725"/>
      <c r="T376" s="725"/>
      <c r="U376" s="725"/>
      <c r="V376" s="316">
        <f>+SUM(V372:V375)</f>
        <v>8491.35</v>
      </c>
      <c r="Y376" s="328" t="s">
        <v>139</v>
      </c>
      <c r="Z376" s="329">
        <f>+SUM(Z372:Z375)</f>
        <v>841492.78499999992</v>
      </c>
      <c r="AA376" s="279"/>
      <c r="AB376" s="290"/>
      <c r="AC376" s="291"/>
      <c r="AD376" s="280"/>
      <c r="AE376" s="330"/>
    </row>
    <row r="377" spans="3:31" ht="15.9" customHeight="1" thickBot="1" x14ac:dyDescent="0.35">
      <c r="C377" s="292"/>
      <c r="D377" s="295" t="str">
        <f>C368</f>
        <v>1.2</v>
      </c>
      <c r="E377" s="296"/>
      <c r="F377" s="296"/>
      <c r="G377" s="296"/>
      <c r="H377" s="296"/>
      <c r="I377" s="296"/>
      <c r="J377" s="297"/>
      <c r="K377" s="293"/>
      <c r="M377" s="724"/>
      <c r="N377" s="726" t="s">
        <v>105</v>
      </c>
      <c r="O377" s="726"/>
      <c r="P377" s="726"/>
      <c r="Q377" s="726"/>
      <c r="R377" s="726"/>
      <c r="S377" s="726"/>
      <c r="T377" s="726"/>
      <c r="U377" s="726"/>
      <c r="V377" s="344">
        <f>+ROUND(V376,$AA$2)</f>
        <v>8491</v>
      </c>
      <c r="Y377" s="332" t="s">
        <v>140</v>
      </c>
      <c r="Z377" s="333">
        <f>+ROUND(Z376,$AA$2)</f>
        <v>841493</v>
      </c>
      <c r="AA377" s="279"/>
      <c r="AB377" s="324">
        <f>+V377*Y368</f>
        <v>841458.1</v>
      </c>
      <c r="AC377" s="325">
        <f>+AB377-Z377</f>
        <v>-34.900000000023283</v>
      </c>
      <c r="AD377" s="280"/>
      <c r="AE377" s="334"/>
    </row>
    <row r="378" spans="3:31" ht="15.9" customHeight="1" x14ac:dyDescent="0.3">
      <c r="C378" s="292"/>
      <c r="D378" s="304"/>
      <c r="E378" s="305"/>
      <c r="F378" s="305"/>
      <c r="G378" s="305"/>
      <c r="H378" s="305"/>
      <c r="I378" s="305"/>
      <c r="J378" s="306"/>
      <c r="K378" s="293"/>
      <c r="M378" s="730" t="s">
        <v>106</v>
      </c>
      <c r="N378" s="730"/>
      <c r="O378" s="730"/>
      <c r="P378" s="730"/>
      <c r="Q378" s="730"/>
      <c r="R378" s="730"/>
      <c r="S378" s="730"/>
      <c r="T378" s="730"/>
      <c r="U378" s="730"/>
      <c r="V378" s="730"/>
      <c r="Y378" s="298"/>
      <c r="Z378" s="299"/>
      <c r="AA378" s="279"/>
      <c r="AB378" s="731"/>
      <c r="AC378" s="732"/>
      <c r="AD378" s="280"/>
      <c r="AE378" s="335"/>
    </row>
    <row r="379" spans="3:31" ht="15.9" customHeight="1" x14ac:dyDescent="0.3">
      <c r="C379" s="292"/>
      <c r="D379" s="311"/>
      <c r="E379" s="279"/>
      <c r="F379" s="279"/>
      <c r="G379" s="279"/>
      <c r="H379" s="279"/>
      <c r="I379" s="279"/>
      <c r="J379" s="312"/>
      <c r="K379" s="293"/>
      <c r="M379" s="307" t="s">
        <v>97</v>
      </c>
      <c r="N379" s="706" t="s">
        <v>98</v>
      </c>
      <c r="O379" s="706"/>
      <c r="P379" s="706"/>
      <c r="Q379" s="706"/>
      <c r="R379" s="307" t="s">
        <v>99</v>
      </c>
      <c r="S379" s="307" t="s">
        <v>107</v>
      </c>
      <c r="T379" s="336" t="s">
        <v>108</v>
      </c>
      <c r="U379" s="336" t="s">
        <v>8</v>
      </c>
      <c r="V379" s="307" t="s">
        <v>101</v>
      </c>
      <c r="Y379" s="308" t="s">
        <v>107</v>
      </c>
      <c r="Z379" s="309" t="s">
        <v>9</v>
      </c>
      <c r="AA379" s="279"/>
      <c r="AB379" s="290"/>
      <c r="AC379" s="291"/>
      <c r="AD379" s="280"/>
      <c r="AE379" s="337"/>
    </row>
    <row r="380" spans="3:31" ht="15.9" customHeight="1" x14ac:dyDescent="0.3">
      <c r="C380" s="292"/>
      <c r="D380" s="311"/>
      <c r="E380" s="279"/>
      <c r="F380" s="279"/>
      <c r="G380" s="279"/>
      <c r="H380" s="279"/>
      <c r="I380" s="279"/>
      <c r="J380" s="312"/>
      <c r="K380" s="293"/>
      <c r="M380" s="313">
        <v>0</v>
      </c>
      <c r="N380" s="718" t="str">
        <f>IFERROR(VLOOKUP(M380,INSUMOS!$C$8:$K$934,2,0),"-----")</f>
        <v>-----</v>
      </c>
      <c r="O380" s="718"/>
      <c r="P380" s="718"/>
      <c r="Q380" s="718"/>
      <c r="R380" s="314" t="str">
        <f>IFERROR(VLOOKUP(M380,INSUMOS!$C$8:$K$934,6,0),"-----")</f>
        <v>-----</v>
      </c>
      <c r="S380" s="322"/>
      <c r="T380" s="315">
        <v>0</v>
      </c>
      <c r="U380" s="338" t="str">
        <f>IFERROR(VLOOKUP(M380,INSUMOS!$C$8:$K$934,7,0),"0")</f>
        <v>0</v>
      </c>
      <c r="V380" s="316">
        <f>+IFERROR(U380*(S380*(1+T380)),0)</f>
        <v>0</v>
      </c>
      <c r="Y380" s="321">
        <f>+IFERROR(Y368*(S380*(1+T380)),0)</f>
        <v>0</v>
      </c>
      <c r="Z380" s="318">
        <f>Y368*V380</f>
        <v>0</v>
      </c>
      <c r="AA380" s="300"/>
      <c r="AB380" s="301">
        <f>+Y380*U380</f>
        <v>0</v>
      </c>
      <c r="AC380" s="302">
        <f>+AB380-Z380</f>
        <v>0</v>
      </c>
      <c r="AD380" s="280"/>
      <c r="AE380" s="337" t="str">
        <f t="shared" ref="AE380:AE382" si="49">+IF(V380=0,"CERO","NO")</f>
        <v>CERO</v>
      </c>
    </row>
    <row r="381" spans="3:31" ht="15.9" customHeight="1" x14ac:dyDescent="0.3">
      <c r="C381" s="292"/>
      <c r="D381" s="311"/>
      <c r="E381" s="279"/>
      <c r="F381" s="279"/>
      <c r="G381" s="279"/>
      <c r="H381" s="279"/>
      <c r="I381" s="279"/>
      <c r="J381" s="312"/>
      <c r="K381" s="293"/>
      <c r="M381" s="313">
        <v>0</v>
      </c>
      <c r="N381" s="718" t="str">
        <f>IFERROR(VLOOKUP(M381,INSUMOS!$C$8:$K$934,2,0),"-----")</f>
        <v>-----</v>
      </c>
      <c r="O381" s="718"/>
      <c r="P381" s="718"/>
      <c r="Q381" s="718"/>
      <c r="R381" s="314" t="str">
        <f>IFERROR(VLOOKUP(M381,INSUMOS!$C$8:$K$934,6,0),"-----")</f>
        <v>-----</v>
      </c>
      <c r="S381" s="322"/>
      <c r="T381" s="315">
        <v>0</v>
      </c>
      <c r="U381" s="338" t="str">
        <f>IFERROR(VLOOKUP(M381,INSUMOS!$C$8:$K$934,7,0),"0")</f>
        <v>0</v>
      </c>
      <c r="V381" s="316">
        <f>+IFERROR(U381*(S381*(1+T381)),0)</f>
        <v>0</v>
      </c>
      <c r="Y381" s="321">
        <f>+IFERROR(Y368*(S381*(1+T381)),0)</f>
        <v>0</v>
      </c>
      <c r="Z381" s="318">
        <f>Y368*V381</f>
        <v>0</v>
      </c>
      <c r="AA381" s="300"/>
      <c r="AB381" s="301">
        <f t="shared" ref="AB381:AB382" si="50">+Y381*U381</f>
        <v>0</v>
      </c>
      <c r="AC381" s="302">
        <f t="shared" ref="AC381:AC382" si="51">+AB381-Z381</f>
        <v>0</v>
      </c>
      <c r="AD381" s="280"/>
      <c r="AE381" s="337" t="str">
        <f t="shared" si="49"/>
        <v>CERO</v>
      </c>
    </row>
    <row r="382" spans="3:31" ht="15.9" customHeight="1" thickBot="1" x14ac:dyDescent="0.35">
      <c r="C382" s="292"/>
      <c r="D382" s="311"/>
      <c r="E382" s="279"/>
      <c r="F382" s="279"/>
      <c r="G382" s="279"/>
      <c r="H382" s="279"/>
      <c r="I382" s="279"/>
      <c r="J382" s="312"/>
      <c r="K382" s="293"/>
      <c r="M382" s="313">
        <v>0</v>
      </c>
      <c r="N382" s="718" t="str">
        <f>IFERROR(VLOOKUP(M382,INSUMOS!$C$8:$K$934,2,0),"-----")</f>
        <v>-----</v>
      </c>
      <c r="O382" s="718"/>
      <c r="P382" s="718"/>
      <c r="Q382" s="718"/>
      <c r="R382" s="314" t="str">
        <f>IFERROR(VLOOKUP(M382,INSUMOS!$C$8:$K$934,6,0),"-----")</f>
        <v>-----</v>
      </c>
      <c r="S382" s="322"/>
      <c r="T382" s="315">
        <v>0</v>
      </c>
      <c r="U382" s="338" t="str">
        <f>IFERROR(VLOOKUP(M382,INSUMOS!$C$8:$K$934,7,0),"0")</f>
        <v>0</v>
      </c>
      <c r="V382" s="316">
        <f>+IFERROR(U382*(S382*(1+T382)),0)</f>
        <v>0</v>
      </c>
      <c r="Y382" s="321">
        <f>+IFERROR(Y368*(S382*(1+T382)),0)</f>
        <v>0</v>
      </c>
      <c r="Z382" s="318">
        <f>Y368*V382</f>
        <v>0</v>
      </c>
      <c r="AA382" s="300"/>
      <c r="AB382" s="301">
        <f t="shared" si="50"/>
        <v>0</v>
      </c>
      <c r="AC382" s="302">
        <f t="shared" si="51"/>
        <v>0</v>
      </c>
      <c r="AD382" s="280"/>
      <c r="AE382" s="337" t="str">
        <f t="shared" si="49"/>
        <v>CERO</v>
      </c>
    </row>
    <row r="383" spans="3:31" ht="15.9" customHeight="1" thickBot="1" x14ac:dyDescent="0.35">
      <c r="C383" s="292"/>
      <c r="D383" s="295" t="s">
        <v>132</v>
      </c>
      <c r="E383" s="296" t="s">
        <v>133</v>
      </c>
      <c r="F383" s="296" t="s">
        <v>134</v>
      </c>
      <c r="G383" s="296" t="s">
        <v>135</v>
      </c>
      <c r="H383" s="296" t="s">
        <v>136</v>
      </c>
      <c r="I383" s="296" t="s">
        <v>137</v>
      </c>
      <c r="J383" s="297" t="s">
        <v>138</v>
      </c>
      <c r="K383" s="293"/>
      <c r="M383" s="724"/>
      <c r="N383" s="725" t="s">
        <v>109</v>
      </c>
      <c r="O383" s="725"/>
      <c r="P383" s="725"/>
      <c r="Q383" s="725"/>
      <c r="R383" s="725"/>
      <c r="S383" s="725"/>
      <c r="T383" s="725"/>
      <c r="U383" s="725"/>
      <c r="V383" s="316">
        <f>+SUM(V380:V382)</f>
        <v>0</v>
      </c>
      <c r="Y383" s="328" t="s">
        <v>139</v>
      </c>
      <c r="Z383" s="329">
        <f>+SUM(Z380:Z382)</f>
        <v>0</v>
      </c>
      <c r="AA383" s="279"/>
      <c r="AB383" s="290"/>
      <c r="AC383" s="291"/>
      <c r="AD383" s="280"/>
      <c r="AE383" s="330"/>
    </row>
    <row r="384" spans="3:31" ht="15.9" customHeight="1" thickBot="1" x14ac:dyDescent="0.35">
      <c r="C384" s="292"/>
      <c r="D384" s="295"/>
      <c r="E384" s="343" t="str">
        <f>+D377</f>
        <v>1.2</v>
      </c>
      <c r="F384" s="296"/>
      <c r="G384" s="296"/>
      <c r="H384" s="296"/>
      <c r="I384" s="296"/>
      <c r="J384" s="297"/>
      <c r="K384" s="293"/>
      <c r="M384" s="724"/>
      <c r="N384" s="726" t="s">
        <v>110</v>
      </c>
      <c r="O384" s="726"/>
      <c r="P384" s="726"/>
      <c r="Q384" s="726"/>
      <c r="R384" s="726"/>
      <c r="S384" s="726"/>
      <c r="T384" s="726"/>
      <c r="U384" s="726"/>
      <c r="V384" s="344">
        <f>+ROUND(V383,$AA$2)</f>
        <v>0</v>
      </c>
      <c r="Y384" s="332" t="s">
        <v>140</v>
      </c>
      <c r="Z384" s="333">
        <f>+ROUND(Z383,$AA$2)</f>
        <v>0</v>
      </c>
      <c r="AA384" s="279"/>
      <c r="AB384" s="324">
        <f>+V384*Y368</f>
        <v>0</v>
      </c>
      <c r="AC384" s="325">
        <f>+AB384-Z384</f>
        <v>0</v>
      </c>
      <c r="AD384" s="280"/>
      <c r="AE384" s="334"/>
    </row>
    <row r="385" spans="3:31" ht="15.9" customHeight="1" x14ac:dyDescent="0.3">
      <c r="C385" s="292"/>
      <c r="D385" s="304"/>
      <c r="E385" s="305"/>
      <c r="F385" s="305"/>
      <c r="G385" s="305"/>
      <c r="H385" s="305"/>
      <c r="I385" s="305"/>
      <c r="J385" s="306"/>
      <c r="K385" s="293"/>
      <c r="M385" s="733" t="s">
        <v>111</v>
      </c>
      <c r="N385" s="733"/>
      <c r="O385" s="733"/>
      <c r="P385" s="733"/>
      <c r="Q385" s="733"/>
      <c r="R385" s="733"/>
      <c r="S385" s="733"/>
      <c r="T385" s="733"/>
      <c r="U385" s="733"/>
      <c r="V385" s="733"/>
      <c r="Y385" s="298"/>
      <c r="Z385" s="299"/>
      <c r="AA385" s="279"/>
      <c r="AB385" s="342"/>
      <c r="AC385" s="299"/>
      <c r="AD385" s="280"/>
      <c r="AE385" s="335"/>
    </row>
    <row r="386" spans="3:31" ht="27.6" x14ac:dyDescent="0.3">
      <c r="C386" s="292"/>
      <c r="D386" s="311"/>
      <c r="E386" s="279"/>
      <c r="F386" s="279"/>
      <c r="G386" s="279"/>
      <c r="H386" s="279"/>
      <c r="I386" s="279"/>
      <c r="J386" s="312"/>
      <c r="K386" s="293"/>
      <c r="M386" s="307" t="s">
        <v>97</v>
      </c>
      <c r="N386" s="706" t="s">
        <v>98</v>
      </c>
      <c r="O386" s="706"/>
      <c r="P386" s="706"/>
      <c r="Q386" s="307" t="s">
        <v>112</v>
      </c>
      <c r="R386" s="307" t="s">
        <v>113</v>
      </c>
      <c r="S386" s="307" t="s">
        <v>114</v>
      </c>
      <c r="T386" s="734" t="s">
        <v>115</v>
      </c>
      <c r="U386" s="734"/>
      <c r="V386" s="307" t="s">
        <v>101</v>
      </c>
      <c r="Y386" s="308" t="s">
        <v>107</v>
      </c>
      <c r="Z386" s="309" t="s">
        <v>9</v>
      </c>
      <c r="AA386" s="279"/>
      <c r="AB386" s="290"/>
      <c r="AC386" s="291"/>
      <c r="AD386" s="280"/>
      <c r="AE386" s="349"/>
    </row>
    <row r="387" spans="3:31" ht="14.4" x14ac:dyDescent="0.3">
      <c r="C387" s="350"/>
      <c r="D387" s="351"/>
      <c r="E387" s="345"/>
      <c r="F387" s="345"/>
      <c r="G387" s="345"/>
      <c r="H387" s="345"/>
      <c r="I387" s="345"/>
      <c r="J387" s="352"/>
      <c r="K387" s="353"/>
      <c r="M387" s="354">
        <v>105</v>
      </c>
      <c r="N387" s="718" t="str">
        <f>IFERROR(VLOOKUP(M387,INSUMOS!$C$8:$K$934,2,0),"-----")</f>
        <v>Transporte Retiro de material sobrante</v>
      </c>
      <c r="O387" s="718"/>
      <c r="P387" s="718"/>
      <c r="Q387" s="314" t="str">
        <f>IFERROR(VLOOKUP(M387,INSUMOS!$C$8:$K$934,5,0),"-----")</f>
        <v>m3/km</v>
      </c>
      <c r="R387" s="355">
        <v>0.2</v>
      </c>
      <c r="S387" s="355">
        <f>IFERROR(VLOOKUP(M387,INSUMOS!$C$8:$K$934,6,0),"0")</f>
        <v>1.9</v>
      </c>
      <c r="T387" s="719">
        <f>IFERROR(VLOOKUP(M387,INSUMOS!$C$8:$K$934,7,0),"0")</f>
        <v>1800</v>
      </c>
      <c r="U387" s="719"/>
      <c r="V387" s="515">
        <f>+T387*S387*R387</f>
        <v>684</v>
      </c>
      <c r="Y387" s="321">
        <f>+IFERROR((R387*S387)*Y368,0)</f>
        <v>37.658000000000001</v>
      </c>
      <c r="Z387" s="318">
        <f>Y368*V387</f>
        <v>67784.399999999994</v>
      </c>
      <c r="AA387" s="345"/>
      <c r="AB387" s="346">
        <f>+Y387*T387</f>
        <v>67784.400000000009</v>
      </c>
      <c r="AC387" s="347">
        <f>+AB387-Z387</f>
        <v>0</v>
      </c>
      <c r="AD387" s="348"/>
      <c r="AE387" s="337" t="str">
        <f t="shared" ref="AE387:AE390" si="52">+IF(V387=0,"CERO","NO")</f>
        <v>NO</v>
      </c>
    </row>
    <row r="388" spans="3:31" ht="15.9" customHeight="1" x14ac:dyDescent="0.3">
      <c r="C388" s="350"/>
      <c r="D388" s="351"/>
      <c r="E388" s="345"/>
      <c r="F388" s="345"/>
      <c r="G388" s="345"/>
      <c r="H388" s="345"/>
      <c r="I388" s="345"/>
      <c r="J388" s="352"/>
      <c r="K388" s="353"/>
      <c r="M388" s="354">
        <v>0</v>
      </c>
      <c r="N388" s="718" t="str">
        <f>IFERROR(VLOOKUP(M388,INSUMOS!$C$8:$K$934,2,0),"-----")</f>
        <v>-----</v>
      </c>
      <c r="O388" s="718"/>
      <c r="P388" s="718"/>
      <c r="Q388" s="314" t="str">
        <f>IFERROR(VLOOKUP(M388,INSUMOS!$C$8:$K$934,5,0),"-----")</f>
        <v>-----</v>
      </c>
      <c r="R388" s="355"/>
      <c r="S388" s="355" t="str">
        <f>IFERROR(VLOOKUP(M388,INSUMOS!$C$8:$K$934,6,0),"0")</f>
        <v>0</v>
      </c>
      <c r="T388" s="719" t="str">
        <f>IFERROR(VLOOKUP(M388,INSUMOS!$C$8:$K$934,7,0),"0")</f>
        <v>0</v>
      </c>
      <c r="U388" s="719"/>
      <c r="V388" s="515">
        <f>+T388*S388*R388</f>
        <v>0</v>
      </c>
      <c r="Y388" s="321">
        <f>+IFERROR((R388*S388)*Y368,0)</f>
        <v>0</v>
      </c>
      <c r="Z388" s="318">
        <f>Y368*V388</f>
        <v>0</v>
      </c>
      <c r="AA388" s="345"/>
      <c r="AB388" s="346">
        <f>+Y388*T388</f>
        <v>0</v>
      </c>
      <c r="AC388" s="347">
        <f>+AB388-Z388</f>
        <v>0</v>
      </c>
      <c r="AD388" s="348"/>
      <c r="AE388" s="337" t="str">
        <f t="shared" si="52"/>
        <v>CERO</v>
      </c>
    </row>
    <row r="389" spans="3:31" ht="15.9" customHeight="1" x14ac:dyDescent="0.3">
      <c r="C389" s="350"/>
      <c r="D389" s="351"/>
      <c r="E389" s="345"/>
      <c r="F389" s="345"/>
      <c r="G389" s="345"/>
      <c r="H389" s="345"/>
      <c r="I389" s="345"/>
      <c r="J389" s="352"/>
      <c r="K389" s="353"/>
      <c r="M389" s="354">
        <v>0</v>
      </c>
      <c r="N389" s="718" t="str">
        <f>IFERROR(VLOOKUP(M389,INSUMOS!$C$8:$K$934,2,0),"-----")</f>
        <v>-----</v>
      </c>
      <c r="O389" s="718"/>
      <c r="P389" s="718"/>
      <c r="Q389" s="314" t="str">
        <f>IFERROR(VLOOKUP(M389,INSUMOS!$C$8:$K$934,5,0),"-----")</f>
        <v>-----</v>
      </c>
      <c r="R389" s="355"/>
      <c r="S389" s="355" t="str">
        <f>IFERROR(VLOOKUP(M389,INSUMOS!$C$8:$K$934,6,0),"0")</f>
        <v>0</v>
      </c>
      <c r="T389" s="719" t="str">
        <f>IFERROR(VLOOKUP(M389,INSUMOS!$C$8:$K$934,7,0),"0")</f>
        <v>0</v>
      </c>
      <c r="U389" s="719"/>
      <c r="V389" s="515">
        <f>+T389*S389*R389</f>
        <v>0</v>
      </c>
      <c r="Y389" s="321">
        <f>+IFERROR((R389*S389)*Y368,0)</f>
        <v>0</v>
      </c>
      <c r="Z389" s="318">
        <f>Y368*V389</f>
        <v>0</v>
      </c>
      <c r="AA389" s="345"/>
      <c r="AB389" s="346">
        <f t="shared" ref="AB389" si="53">+Y389*T389</f>
        <v>0</v>
      </c>
      <c r="AC389" s="347">
        <f t="shared" ref="AC389" si="54">+AB389-Z389</f>
        <v>0</v>
      </c>
      <c r="AD389" s="348"/>
      <c r="AE389" s="337" t="str">
        <f t="shared" si="52"/>
        <v>CERO</v>
      </c>
    </row>
    <row r="390" spans="3:31" ht="15.9" customHeight="1" thickBot="1" x14ac:dyDescent="0.35">
      <c r="C390" s="350"/>
      <c r="D390" s="360"/>
      <c r="E390" s="361"/>
      <c r="F390" s="361"/>
      <c r="G390" s="361"/>
      <c r="H390" s="361"/>
      <c r="I390" s="361"/>
      <c r="J390" s="362"/>
      <c r="K390" s="353"/>
      <c r="M390" s="354">
        <v>0</v>
      </c>
      <c r="N390" s="718"/>
      <c r="O390" s="718"/>
      <c r="P390" s="718"/>
      <c r="Q390" s="357"/>
      <c r="R390" s="314"/>
      <c r="S390" s="358"/>
      <c r="T390" s="719"/>
      <c r="U390" s="719"/>
      <c r="V390" s="515"/>
      <c r="Y390" s="321">
        <f>+IFERROR((R390*S390)*Y368,0)</f>
        <v>0</v>
      </c>
      <c r="Z390" s="318">
        <f>Y368*V390</f>
        <v>0</v>
      </c>
      <c r="AA390" s="345"/>
      <c r="AB390" s="346">
        <f>+Y390*T390</f>
        <v>0</v>
      </c>
      <c r="AC390" s="347">
        <f>+AB390-Z390</f>
        <v>0</v>
      </c>
      <c r="AD390" s="348"/>
      <c r="AE390" s="337" t="str">
        <f t="shared" si="52"/>
        <v>CERO</v>
      </c>
    </row>
    <row r="391" spans="3:31" ht="15.9" customHeight="1" thickBot="1" x14ac:dyDescent="0.35">
      <c r="C391" s="292"/>
      <c r="D391" s="295" t="s">
        <v>132</v>
      </c>
      <c r="E391" s="296" t="s">
        <v>133</v>
      </c>
      <c r="F391" s="296" t="s">
        <v>134</v>
      </c>
      <c r="G391" s="296" t="s">
        <v>135</v>
      </c>
      <c r="H391" s="296" t="s">
        <v>136</v>
      </c>
      <c r="I391" s="296" t="s">
        <v>137</v>
      </c>
      <c r="J391" s="297" t="s">
        <v>138</v>
      </c>
      <c r="K391" s="293"/>
      <c r="M391" s="720"/>
      <c r="N391" s="721" t="s">
        <v>116</v>
      </c>
      <c r="O391" s="721"/>
      <c r="P391" s="721"/>
      <c r="Q391" s="721"/>
      <c r="R391" s="721"/>
      <c r="S391" s="721"/>
      <c r="T391" s="721"/>
      <c r="U391" s="721"/>
      <c r="V391" s="499">
        <f>+SUM(V387:V390)</f>
        <v>684</v>
      </c>
      <c r="Y391" s="328" t="s">
        <v>139</v>
      </c>
      <c r="Z391" s="329">
        <f>+SUM(Z387:Z390)</f>
        <v>67784.399999999994</v>
      </c>
      <c r="AA391" s="279"/>
      <c r="AB391" s="290"/>
      <c r="AC391" s="291"/>
      <c r="AD391" s="280"/>
      <c r="AE391" s="330"/>
    </row>
    <row r="392" spans="3:31" ht="15.9" customHeight="1" thickBot="1" x14ac:dyDescent="0.35">
      <c r="C392" s="292"/>
      <c r="D392" s="363"/>
      <c r="E392" s="364"/>
      <c r="F392" s="365" t="str">
        <f>+E384</f>
        <v>1.2</v>
      </c>
      <c r="G392" s="364"/>
      <c r="H392" s="364"/>
      <c r="I392" s="364"/>
      <c r="J392" s="366"/>
      <c r="K392" s="293"/>
      <c r="M392" s="720"/>
      <c r="N392" s="722" t="s">
        <v>117</v>
      </c>
      <c r="O392" s="722"/>
      <c r="P392" s="722"/>
      <c r="Q392" s="722"/>
      <c r="R392" s="722"/>
      <c r="S392" s="722"/>
      <c r="T392" s="722"/>
      <c r="U392" s="722"/>
      <c r="V392" s="344">
        <f>+ROUND(V391,$AA$2)</f>
        <v>684</v>
      </c>
      <c r="Y392" s="332" t="s">
        <v>140</v>
      </c>
      <c r="Z392" s="333">
        <f>+ROUND(Z391,$AA$2)</f>
        <v>67784</v>
      </c>
      <c r="AA392" s="279"/>
      <c r="AB392" s="324">
        <f>+V392*Y368</f>
        <v>67784.399999999994</v>
      </c>
      <c r="AC392" s="359"/>
      <c r="AD392" s="280"/>
      <c r="AE392" s="334"/>
    </row>
    <row r="393" spans="3:31" ht="15.9" customHeight="1" thickBot="1" x14ac:dyDescent="0.35">
      <c r="C393" s="292"/>
      <c r="D393" s="369"/>
      <c r="E393" s="370"/>
      <c r="F393" s="370"/>
      <c r="G393" s="370"/>
      <c r="H393" s="370"/>
      <c r="I393" s="370"/>
      <c r="J393" s="371"/>
      <c r="K393" s="293"/>
      <c r="M393" s="723" t="s">
        <v>118</v>
      </c>
      <c r="N393" s="723"/>
      <c r="O393" s="723"/>
      <c r="P393" s="723"/>
      <c r="Q393" s="723"/>
      <c r="R393" s="723"/>
      <c r="S393" s="723"/>
      <c r="T393" s="723"/>
      <c r="U393" s="723"/>
      <c r="V393" s="723"/>
      <c r="Y393" s="298"/>
      <c r="Z393" s="299"/>
      <c r="AA393" s="279"/>
      <c r="AB393" s="342"/>
      <c r="AC393" s="299"/>
      <c r="AD393" s="280"/>
      <c r="AE393" s="335"/>
    </row>
    <row r="394" spans="3:31" ht="15.9" customHeight="1" thickBot="1" x14ac:dyDescent="0.35">
      <c r="C394" s="292"/>
      <c r="D394" s="295" t="s">
        <v>132</v>
      </c>
      <c r="E394" s="296" t="s">
        <v>133</v>
      </c>
      <c r="F394" s="296" t="s">
        <v>134</v>
      </c>
      <c r="G394" s="296" t="s">
        <v>135</v>
      </c>
      <c r="H394" s="296" t="s">
        <v>136</v>
      </c>
      <c r="I394" s="296" t="s">
        <v>137</v>
      </c>
      <c r="J394" s="297" t="s">
        <v>138</v>
      </c>
      <c r="K394" s="293"/>
      <c r="M394" s="307" t="s">
        <v>97</v>
      </c>
      <c r="N394" s="372" t="s">
        <v>98</v>
      </c>
      <c r="O394" s="307" t="s">
        <v>99</v>
      </c>
      <c r="P394" s="396" t="s">
        <v>107</v>
      </c>
      <c r="Q394" s="307" t="s">
        <v>119</v>
      </c>
      <c r="R394" s="373" t="s">
        <v>120</v>
      </c>
      <c r="S394" s="307" t="s">
        <v>363</v>
      </c>
      <c r="T394" s="374" t="s">
        <v>121</v>
      </c>
      <c r="U394" s="375" t="s">
        <v>122</v>
      </c>
      <c r="V394" s="307" t="s">
        <v>101</v>
      </c>
      <c r="Y394" s="308" t="s">
        <v>107</v>
      </c>
      <c r="Z394" s="309" t="s">
        <v>9</v>
      </c>
      <c r="AA394" s="279"/>
      <c r="AB394" s="290"/>
      <c r="AC394" s="291"/>
      <c r="AD394" s="280"/>
      <c r="AE394" s="349"/>
    </row>
    <row r="395" spans="3:31" ht="14.4" x14ac:dyDescent="0.3">
      <c r="C395" s="292"/>
      <c r="D395" s="376"/>
      <c r="E395" s="377"/>
      <c r="F395" s="377"/>
      <c r="G395" s="377"/>
      <c r="H395" s="377"/>
      <c r="I395" s="377"/>
      <c r="J395" s="378" t="str">
        <f>+F392</f>
        <v>1.2</v>
      </c>
      <c r="K395" s="293"/>
      <c r="M395" s="313">
        <v>202</v>
      </c>
      <c r="N395" s="379" t="str">
        <f>IFERROR(VLOOKUP(M395,INSUMOS!$C$8:$K$934,2,0),"-----")</f>
        <v>Ayudante Albañileria</v>
      </c>
      <c r="O395" s="314" t="str">
        <f>IFERROR(VLOOKUP(M395,INSUMOS!$C$8:$K$934,3,0),"-----")</f>
        <v>JORNAL+PS</v>
      </c>
      <c r="P395" s="355">
        <v>2</v>
      </c>
      <c r="Q395" s="339">
        <v>20</v>
      </c>
      <c r="R395" s="380">
        <f>IFERROR(VLOOKUP(M395,INSUMOS!$C$8:$K$934,4,0),"-----")</f>
        <v>94970</v>
      </c>
      <c r="S395" s="380">
        <f>IFERROR(VLOOKUP(M395,INSUMOS!$C$8:$K$934,6,0),"-----")</f>
        <v>75976</v>
      </c>
      <c r="T395" s="380">
        <f>IFERROR(VLOOKUP(M395,INSUMOS!$C$8:$K$934,5,0),"-----")</f>
        <v>0</v>
      </c>
      <c r="U395" s="338">
        <f>SUM(R395:T395)</f>
        <v>170946</v>
      </c>
      <c r="V395" s="316">
        <f>+IFERROR((P395/Q395)*U395,0)</f>
        <v>17094.600000000002</v>
      </c>
      <c r="Y395" s="321">
        <f>+IFERROR((Y368/Q395*P395),0)</f>
        <v>9.91</v>
      </c>
      <c r="Z395" s="318">
        <f>Y368*V395</f>
        <v>1694074.86</v>
      </c>
      <c r="AA395" s="279"/>
      <c r="AB395" s="367">
        <f>+(U395)*Y395</f>
        <v>1694074.86</v>
      </c>
      <c r="AC395" s="302">
        <f>+AB395-Z395</f>
        <v>0</v>
      </c>
      <c r="AD395" s="368"/>
      <c r="AE395" s="349" t="str">
        <f>+IF(V395=0,"CERO","NO")</f>
        <v>NO</v>
      </c>
    </row>
    <row r="396" spans="3:31" ht="15.9" customHeight="1" thickBot="1" x14ac:dyDescent="0.35">
      <c r="C396" s="292"/>
      <c r="D396" s="363"/>
      <c r="E396" s="364"/>
      <c r="F396" s="364"/>
      <c r="G396" s="364"/>
      <c r="H396" s="364"/>
      <c r="I396" s="364"/>
      <c r="J396" s="381" t="str">
        <f>+J395</f>
        <v>1.2</v>
      </c>
      <c r="K396" s="293"/>
      <c r="M396" s="313">
        <v>0</v>
      </c>
      <c r="N396" s="379" t="str">
        <f>IFERROR(VLOOKUP(M396,INSUMOS!$C$8:$K$934,2,0),"-----")</f>
        <v>-----</v>
      </c>
      <c r="O396" s="314" t="str">
        <f>IFERROR(VLOOKUP(M396,INSUMOS!$C$8:$K$934,3,0),"-----")</f>
        <v>-----</v>
      </c>
      <c r="P396" s="355"/>
      <c r="Q396" s="339"/>
      <c r="R396" s="380" t="str">
        <f>IFERROR(VLOOKUP(M396,INSUMOS!$C$8:$K$934,4,0),"-----")</f>
        <v>-----</v>
      </c>
      <c r="S396" s="380" t="str">
        <f>IFERROR(VLOOKUP(M396,INSUMOS!$C$8:$K$934,6,0),"-----")</f>
        <v>-----</v>
      </c>
      <c r="T396" s="380" t="str">
        <f>IFERROR(VLOOKUP(M396,INSUMOS!$C$8:$K$934,5,0),"-----")</f>
        <v>-----</v>
      </c>
      <c r="U396" s="338">
        <f>SUM(R396:T396)</f>
        <v>0</v>
      </c>
      <c r="V396" s="316">
        <f>+IFERROR((P396/Q396)*U396,0)</f>
        <v>0</v>
      </c>
      <c r="Y396" s="321">
        <f>+IFERROR((Y368/Q396*P396),0)</f>
        <v>0</v>
      </c>
      <c r="Z396" s="318">
        <f>Y368*V396</f>
        <v>0</v>
      </c>
      <c r="AA396" s="279"/>
      <c r="AB396" s="367">
        <f>+U396*Y396</f>
        <v>0</v>
      </c>
      <c r="AC396" s="302">
        <f>+AB396-Z396</f>
        <v>0</v>
      </c>
      <c r="AD396" s="280"/>
      <c r="AE396" s="349" t="str">
        <f t="shared" ref="AE396:AE397" si="55">+IF(V396=0,"CERO","NO")</f>
        <v>CERO</v>
      </c>
    </row>
    <row r="397" spans="3:31" ht="15.9" customHeight="1" thickBot="1" x14ac:dyDescent="0.35">
      <c r="C397" s="292"/>
      <c r="D397" s="304"/>
      <c r="E397" s="305"/>
      <c r="F397" s="305"/>
      <c r="G397" s="305"/>
      <c r="H397" s="305"/>
      <c r="I397" s="305"/>
      <c r="J397" s="306"/>
      <c r="K397" s="293"/>
      <c r="M397" s="313">
        <v>0</v>
      </c>
      <c r="N397" s="379"/>
      <c r="O397" s="339"/>
      <c r="P397" s="382"/>
      <c r="Q397" s="319"/>
      <c r="R397" s="383"/>
      <c r="S397" s="384"/>
      <c r="T397" s="383"/>
      <c r="U397" s="338"/>
      <c r="V397" s="323"/>
      <c r="Y397" s="321">
        <f>+IFERROR((Y368/Q397*P397),0)</f>
        <v>0</v>
      </c>
      <c r="Z397" s="318">
        <f>Y368*V397</f>
        <v>0</v>
      </c>
      <c r="AA397" s="279"/>
      <c r="AB397" s="367">
        <f>+(U397)*Y397*P397</f>
        <v>0</v>
      </c>
      <c r="AC397" s="302">
        <f>+AB397-Z397</f>
        <v>0</v>
      </c>
      <c r="AD397" s="280"/>
      <c r="AE397" s="349" t="str">
        <f t="shared" si="55"/>
        <v>CERO</v>
      </c>
    </row>
    <row r="398" spans="3:31" ht="15.9" customHeight="1" thickBot="1" x14ac:dyDescent="0.35">
      <c r="C398" s="292"/>
      <c r="D398" s="295" t="s">
        <v>132</v>
      </c>
      <c r="E398" s="296" t="s">
        <v>133</v>
      </c>
      <c r="F398" s="296" t="s">
        <v>134</v>
      </c>
      <c r="G398" s="296" t="s">
        <v>135</v>
      </c>
      <c r="H398" s="296" t="s">
        <v>136</v>
      </c>
      <c r="I398" s="296" t="s">
        <v>137</v>
      </c>
      <c r="J398" s="297" t="s">
        <v>138</v>
      </c>
      <c r="K398" s="293"/>
      <c r="M398" s="724"/>
      <c r="N398" s="725" t="s">
        <v>123</v>
      </c>
      <c r="O398" s="725"/>
      <c r="P398" s="725"/>
      <c r="Q398" s="725"/>
      <c r="R398" s="725"/>
      <c r="S398" s="725"/>
      <c r="T398" s="725"/>
      <c r="U398" s="725"/>
      <c r="V398" s="316">
        <f>+SUM(V395:V397)</f>
        <v>17094.600000000002</v>
      </c>
      <c r="Y398" s="328" t="s">
        <v>139</v>
      </c>
      <c r="Z398" s="329">
        <f>+SUM(Z395:Z397)</f>
        <v>1694074.86</v>
      </c>
      <c r="AA398" s="279"/>
      <c r="AB398" s="290"/>
      <c r="AC398" s="291"/>
      <c r="AD398" s="280"/>
      <c r="AE398" s="330"/>
    </row>
    <row r="399" spans="3:31" ht="15.9" customHeight="1" thickBot="1" x14ac:dyDescent="0.35">
      <c r="C399" s="292"/>
      <c r="D399" s="376"/>
      <c r="E399" s="377"/>
      <c r="F399" s="377"/>
      <c r="G399" s="386" t="str">
        <f>+F392</f>
        <v>1.2</v>
      </c>
      <c r="H399" s="377"/>
      <c r="I399" s="377"/>
      <c r="J399" s="387"/>
      <c r="K399" s="293"/>
      <c r="M399" s="724"/>
      <c r="N399" s="726" t="s">
        <v>124</v>
      </c>
      <c r="O399" s="726"/>
      <c r="P399" s="726"/>
      <c r="Q399" s="726"/>
      <c r="R399" s="726"/>
      <c r="S399" s="726"/>
      <c r="T399" s="726"/>
      <c r="U399" s="726"/>
      <c r="V399" s="344">
        <f>+ROUND(V398,$AA$2)</f>
        <v>17095</v>
      </c>
      <c r="Y399" s="332" t="s">
        <v>140</v>
      </c>
      <c r="Z399" s="333">
        <f>+ROUND(Z398,$AA$2)</f>
        <v>1694075</v>
      </c>
      <c r="AA399" s="279"/>
      <c r="AB399" s="324">
        <f>+V399*Y368</f>
        <v>1694114.5</v>
      </c>
      <c r="AC399" s="325">
        <f>+AB399-Z399</f>
        <v>39.5</v>
      </c>
      <c r="AD399" s="280"/>
      <c r="AE399" s="334"/>
    </row>
    <row r="400" spans="3:31" ht="15.9" customHeight="1" thickBot="1" x14ac:dyDescent="0.35">
      <c r="C400" s="292"/>
      <c r="D400" s="295" t="s">
        <v>132</v>
      </c>
      <c r="E400" s="296" t="s">
        <v>133</v>
      </c>
      <c r="F400" s="296" t="s">
        <v>134</v>
      </c>
      <c r="G400" s="296" t="s">
        <v>135</v>
      </c>
      <c r="H400" s="296" t="s">
        <v>136</v>
      </c>
      <c r="I400" s="296" t="s">
        <v>137</v>
      </c>
      <c r="J400" s="297" t="s">
        <v>138</v>
      </c>
      <c r="K400" s="293"/>
      <c r="M400" s="727"/>
      <c r="N400" s="727"/>
      <c r="O400" s="727"/>
      <c r="P400" s="727"/>
      <c r="Q400" s="727"/>
      <c r="R400" s="727"/>
      <c r="S400" s="727"/>
      <c r="T400" s="727"/>
      <c r="U400" s="727"/>
      <c r="V400" s="727"/>
      <c r="Y400" s="298"/>
      <c r="Z400" s="299"/>
      <c r="AA400" s="279"/>
      <c r="AB400" s="342"/>
      <c r="AC400" s="299"/>
      <c r="AD400" s="280"/>
      <c r="AE400" s="388"/>
    </row>
    <row r="401" spans="3:31" ht="15.9" customHeight="1" thickBot="1" x14ac:dyDescent="0.35">
      <c r="C401" s="292"/>
      <c r="D401" s="363"/>
      <c r="E401" s="364"/>
      <c r="F401" s="364"/>
      <c r="G401" s="364"/>
      <c r="H401" s="365" t="str">
        <f>G399</f>
        <v>1.2</v>
      </c>
      <c r="I401" s="365"/>
      <c r="J401" s="381"/>
      <c r="K401" s="293"/>
      <c r="M401" s="726" t="s">
        <v>125</v>
      </c>
      <c r="N401" s="726"/>
      <c r="O401" s="726"/>
      <c r="P401" s="726"/>
      <c r="Q401" s="726"/>
      <c r="R401" s="726"/>
      <c r="S401" s="726"/>
      <c r="T401" s="726"/>
      <c r="U401" s="728">
        <f>+V399+V392+V384+V377</f>
        <v>26270</v>
      </c>
      <c r="V401" s="728"/>
      <c r="Y401" s="389"/>
      <c r="Z401" s="390">
        <f>+Z399+Z392+Z384+Z377</f>
        <v>2603352</v>
      </c>
      <c r="AA401" s="279"/>
      <c r="AB401" s="385">
        <f>+AB399+AB392+AB384+AB377</f>
        <v>2603357</v>
      </c>
      <c r="AC401" s="325">
        <f>+AB401-Z401</f>
        <v>5</v>
      </c>
      <c r="AD401" s="280"/>
      <c r="AE401" s="391"/>
    </row>
    <row r="402" spans="3:31" ht="15.9" customHeight="1" thickBot="1" x14ac:dyDescent="0.3">
      <c r="M402" s="412"/>
      <c r="N402" s="412"/>
      <c r="O402" s="412"/>
      <c r="P402" s="412"/>
      <c r="Q402" s="412"/>
      <c r="R402" s="412"/>
      <c r="S402" s="412"/>
      <c r="T402" s="412"/>
      <c r="U402" s="412"/>
      <c r="V402" s="412"/>
    </row>
    <row r="403" spans="3:31" ht="15.9" customHeight="1" x14ac:dyDescent="0.25">
      <c r="M403" s="729" t="s">
        <v>364</v>
      </c>
      <c r="N403" s="729"/>
      <c r="O403" s="729"/>
      <c r="P403" s="729"/>
      <c r="Q403" s="729"/>
      <c r="R403" s="729"/>
      <c r="S403" s="729"/>
      <c r="T403" s="729"/>
      <c r="U403" s="729"/>
      <c r="V403" s="729"/>
      <c r="Y403" s="298"/>
      <c r="Z403" s="299"/>
      <c r="AA403" s="279"/>
      <c r="AB403" s="280"/>
      <c r="AC403" s="280"/>
      <c r="AD403" s="280"/>
      <c r="AE403" s="335" t="s">
        <v>137</v>
      </c>
    </row>
    <row r="404" spans="3:31" ht="15.9" customHeight="1" x14ac:dyDescent="0.25">
      <c r="M404" s="700" t="s">
        <v>142</v>
      </c>
      <c r="N404" s="700"/>
      <c r="O404" s="700"/>
      <c r="P404" s="700"/>
      <c r="Q404" s="700"/>
      <c r="R404" s="700"/>
      <c r="S404" s="700"/>
      <c r="T404" s="413">
        <f>$AA$3</f>
        <v>0.25</v>
      </c>
      <c r="U404" s="701">
        <f>+ROUND(U401*T404,$AA$2)</f>
        <v>6568</v>
      </c>
      <c r="V404" s="701"/>
      <c r="Y404" s="317"/>
      <c r="Z404" s="414">
        <f>+Z401*T404</f>
        <v>650838</v>
      </c>
      <c r="AA404" s="279"/>
      <c r="AB404" s="280"/>
      <c r="AC404" s="280"/>
      <c r="AD404" s="280"/>
      <c r="AE404" s="310" t="s">
        <v>137</v>
      </c>
    </row>
    <row r="405" spans="3:31" ht="15.9" customHeight="1" x14ac:dyDescent="0.25">
      <c r="M405" s="700" t="s">
        <v>19</v>
      </c>
      <c r="N405" s="700"/>
      <c r="O405" s="700"/>
      <c r="P405" s="700"/>
      <c r="Q405" s="700"/>
      <c r="R405" s="700"/>
      <c r="S405" s="700"/>
      <c r="T405" s="413">
        <f>$AA$4</f>
        <v>0.03</v>
      </c>
      <c r="U405" s="701">
        <f>+ROUND(U401*T405,$AA$2)</f>
        <v>788</v>
      </c>
      <c r="V405" s="701"/>
      <c r="Y405" s="317"/>
      <c r="Z405" s="414">
        <f>+Z401*T405</f>
        <v>78100.56</v>
      </c>
      <c r="AA405" s="279"/>
      <c r="AB405" s="280"/>
      <c r="AC405" s="280"/>
      <c r="AD405" s="280"/>
      <c r="AE405" s="310" t="s">
        <v>137</v>
      </c>
    </row>
    <row r="406" spans="3:31" ht="15.9" customHeight="1" x14ac:dyDescent="0.25">
      <c r="M406" s="700" t="s">
        <v>20</v>
      </c>
      <c r="N406" s="700"/>
      <c r="O406" s="700"/>
      <c r="P406" s="700"/>
      <c r="Q406" s="700"/>
      <c r="R406" s="700"/>
      <c r="S406" s="700"/>
      <c r="T406" s="413">
        <f>$AA$5</f>
        <v>0.05</v>
      </c>
      <c r="U406" s="701">
        <f>+ROUND(U401*T406,$AA$2)</f>
        <v>1314</v>
      </c>
      <c r="V406" s="701"/>
      <c r="Y406" s="317"/>
      <c r="Z406" s="414">
        <f>+Z401*T406</f>
        <v>130167.6</v>
      </c>
      <c r="AA406" s="279"/>
      <c r="AB406" s="280"/>
      <c r="AC406" s="280"/>
      <c r="AD406" s="280"/>
      <c r="AE406" s="310" t="s">
        <v>137</v>
      </c>
    </row>
    <row r="407" spans="3:31" ht="15.9" customHeight="1" x14ac:dyDescent="0.25">
      <c r="M407" s="700" t="s">
        <v>21</v>
      </c>
      <c r="N407" s="700"/>
      <c r="O407" s="700"/>
      <c r="P407" s="700"/>
      <c r="Q407" s="700"/>
      <c r="R407" s="700"/>
      <c r="S407" s="700"/>
      <c r="T407" s="413">
        <f>$AA$6</f>
        <v>0</v>
      </c>
      <c r="U407" s="701">
        <f>+ROUND(U401*T407,$AA$2)</f>
        <v>0</v>
      </c>
      <c r="V407" s="701"/>
      <c r="Y407" s="317"/>
      <c r="Z407" s="414">
        <f>+Z406*T407</f>
        <v>0</v>
      </c>
      <c r="AA407" s="279"/>
      <c r="AB407" s="280"/>
      <c r="AC407" s="280"/>
      <c r="AD407" s="280"/>
      <c r="AE407" s="310" t="s">
        <v>137</v>
      </c>
    </row>
    <row r="408" spans="3:31" ht="15.9" customHeight="1" thickBot="1" x14ac:dyDescent="0.3">
      <c r="M408" s="702" t="s">
        <v>365</v>
      </c>
      <c r="N408" s="702"/>
      <c r="O408" s="702"/>
      <c r="P408" s="702"/>
      <c r="Q408" s="702"/>
      <c r="R408" s="702"/>
      <c r="S408" s="702"/>
      <c r="T408" s="702"/>
      <c r="U408" s="703">
        <f>+SUM(U404:V407)</f>
        <v>8670</v>
      </c>
      <c r="V408" s="703"/>
      <c r="Y408" s="317"/>
      <c r="Z408" s="415">
        <f>+SUM(Z404:Z407)</f>
        <v>859106.16</v>
      </c>
      <c r="AA408" s="279"/>
      <c r="AB408" s="280"/>
      <c r="AC408" s="280"/>
      <c r="AD408" s="280"/>
      <c r="AE408" s="310" t="s">
        <v>137</v>
      </c>
    </row>
    <row r="409" spans="3:31" ht="15.9" customHeight="1" thickBot="1" x14ac:dyDescent="0.3">
      <c r="D409" s="295" t="s">
        <v>132</v>
      </c>
      <c r="E409" s="296" t="s">
        <v>133</v>
      </c>
      <c r="F409" s="296" t="s">
        <v>134</v>
      </c>
      <c r="G409" s="296" t="s">
        <v>135</v>
      </c>
      <c r="H409" s="296" t="s">
        <v>136</v>
      </c>
      <c r="I409" s="296" t="s">
        <v>137</v>
      </c>
      <c r="J409" s="297" t="s">
        <v>138</v>
      </c>
      <c r="M409" s="377"/>
      <c r="N409" s="416"/>
      <c r="O409" s="416"/>
      <c r="P409" s="416"/>
      <c r="Q409" s="377"/>
      <c r="R409" s="377"/>
      <c r="S409" s="377"/>
      <c r="T409" s="417"/>
      <c r="U409" s="701"/>
      <c r="V409" s="701"/>
      <c r="Y409" s="317"/>
      <c r="Z409" s="291"/>
      <c r="AA409" s="279"/>
      <c r="AB409" s="280"/>
      <c r="AC409" s="280"/>
      <c r="AD409" s="280"/>
      <c r="AE409" s="310" t="s">
        <v>137</v>
      </c>
    </row>
    <row r="410" spans="3:31" ht="15.9" customHeight="1" thickBot="1" x14ac:dyDescent="0.3">
      <c r="D410" s="363"/>
      <c r="E410" s="364"/>
      <c r="F410" s="364"/>
      <c r="G410" s="364"/>
      <c r="H410" s="365"/>
      <c r="I410" s="365" t="str">
        <f>H401</f>
        <v>1.2</v>
      </c>
      <c r="J410" s="381"/>
      <c r="M410" s="702" t="s">
        <v>11</v>
      </c>
      <c r="N410" s="702"/>
      <c r="O410" s="702"/>
      <c r="P410" s="702"/>
      <c r="Q410" s="702"/>
      <c r="R410" s="702"/>
      <c r="S410" s="702"/>
      <c r="T410" s="702"/>
      <c r="U410" s="704">
        <f>+U408+U401</f>
        <v>34940</v>
      </c>
      <c r="V410" s="704"/>
      <c r="Y410" s="389"/>
      <c r="Z410" s="418">
        <f>+Z408+Z401</f>
        <v>3462458.16</v>
      </c>
      <c r="AA410" s="279"/>
      <c r="AB410" s="280"/>
      <c r="AC410" s="280"/>
      <c r="AD410" s="280"/>
      <c r="AE410" s="334" t="s">
        <v>137</v>
      </c>
    </row>
    <row r="411" spans="3:31" ht="15.9" customHeight="1" x14ac:dyDescent="0.25">
      <c r="M411" s="705"/>
      <c r="N411" s="705"/>
      <c r="O411" s="705"/>
      <c r="P411" s="705"/>
      <c r="Q411" s="705"/>
      <c r="R411" s="706"/>
      <c r="S411" s="706"/>
      <c r="T411" s="706"/>
      <c r="U411" s="706"/>
      <c r="V411" s="706"/>
    </row>
    <row r="412" spans="3:31" ht="15.9" customHeight="1" x14ac:dyDescent="0.25">
      <c r="M412" s="705"/>
      <c r="N412" s="705"/>
      <c r="O412" s="705"/>
      <c r="P412" s="705"/>
      <c r="Q412" s="705"/>
      <c r="R412" s="706"/>
      <c r="S412" s="706"/>
      <c r="T412" s="706"/>
      <c r="U412" s="706"/>
      <c r="V412" s="706"/>
    </row>
    <row r="413" spans="3:31" ht="15.9" customHeight="1" x14ac:dyDescent="0.25">
      <c r="M413" s="705"/>
      <c r="N413" s="705"/>
      <c r="O413" s="705"/>
      <c r="P413" s="705"/>
      <c r="Q413" s="705"/>
      <c r="R413" s="706"/>
      <c r="S413" s="706"/>
      <c r="T413" s="706"/>
      <c r="U413" s="706"/>
      <c r="V413" s="706"/>
    </row>
    <row r="414" spans="3:31" ht="15.9" customHeight="1" x14ac:dyDescent="0.25">
      <c r="M414" s="705"/>
      <c r="N414" s="705"/>
      <c r="O414" s="705"/>
      <c r="P414" s="705"/>
      <c r="Q414" s="705"/>
      <c r="R414" s="706"/>
      <c r="S414" s="706"/>
      <c r="T414" s="706"/>
      <c r="U414" s="706"/>
      <c r="V414" s="706"/>
    </row>
    <row r="415" spans="3:31" ht="15.9" customHeight="1" x14ac:dyDescent="0.25">
      <c r="M415" s="707" t="s">
        <v>128</v>
      </c>
      <c r="N415" s="708" t="str">
        <f>$N$6</f>
        <v>ING. JEYSON JULIAN LEON RUEDA</v>
      </c>
      <c r="O415" s="709"/>
      <c r="P415" s="709"/>
      <c r="Q415" s="710"/>
      <c r="R415" s="711" t="s">
        <v>129</v>
      </c>
      <c r="S415" s="708" t="str">
        <f>$S$6</f>
        <v>ARQ. YASMID ROCÍO CARRILLO MORA</v>
      </c>
      <c r="T415" s="709"/>
      <c r="U415" s="709"/>
      <c r="V415" s="710"/>
    </row>
    <row r="416" spans="3:31" ht="15.9" customHeight="1" x14ac:dyDescent="0.25">
      <c r="M416" s="707"/>
      <c r="N416" s="712" t="str">
        <f>$N$7</f>
        <v>MP. 68202-416348 STD</v>
      </c>
      <c r="O416" s="713"/>
      <c r="P416" s="713"/>
      <c r="Q416" s="714"/>
      <c r="R416" s="711"/>
      <c r="S416" s="712" t="str">
        <f>$S$7</f>
        <v>SECRETARIA DE PLANEACIÓN Y OBRAS PÚBLICAS</v>
      </c>
      <c r="T416" s="713"/>
      <c r="U416" s="713"/>
      <c r="V416" s="714"/>
    </row>
    <row r="417" spans="3:31" ht="15.9" customHeight="1" x14ac:dyDescent="0.25">
      <c r="M417" s="707"/>
      <c r="N417" s="715"/>
      <c r="O417" s="716"/>
      <c r="P417" s="716"/>
      <c r="Q417" s="717"/>
      <c r="R417" s="711"/>
      <c r="S417" s="712" t="str">
        <f>$S$8</f>
        <v>MUNICIPIO DE PINCHOTE</v>
      </c>
      <c r="T417" s="713"/>
      <c r="U417" s="713"/>
      <c r="V417" s="714"/>
    </row>
    <row r="418" spans="3:31" ht="15.9" customHeight="1" x14ac:dyDescent="0.25"/>
    <row r="419" spans="3:31" ht="15.9" customHeight="1" thickBot="1" x14ac:dyDescent="0.3"/>
    <row r="420" spans="3:31" ht="15.9" customHeight="1" thickBot="1" x14ac:dyDescent="0.3">
      <c r="M420" s="281" t="s">
        <v>90</v>
      </c>
      <c r="N420" s="410" t="s">
        <v>28</v>
      </c>
      <c r="O420" s="706" t="str">
        <f>IFERROR(VLOOKUP(N420,PPTO!$C$9:$H$64,2,0),"----")</f>
        <v>COMPONENTE  ALCANTARILLADO</v>
      </c>
      <c r="P420" s="706"/>
      <c r="Q420" s="706"/>
      <c r="R420" s="706"/>
      <c r="S420" s="706"/>
      <c r="T420" s="706"/>
      <c r="U420" s="706"/>
      <c r="V420" s="283" t="s">
        <v>93</v>
      </c>
      <c r="Y420" s="284" t="s">
        <v>107</v>
      </c>
      <c r="Z420" s="280"/>
      <c r="AA420" s="274"/>
      <c r="AB420" s="735"/>
      <c r="AC420" s="735"/>
      <c r="AD420" s="735"/>
      <c r="AE420" s="280"/>
    </row>
    <row r="421" spans="3:31" ht="15.9" customHeight="1" thickBot="1" x14ac:dyDescent="0.35">
      <c r="C421" s="285" t="str">
        <f>+N421</f>
        <v>1.3</v>
      </c>
      <c r="D421" s="279"/>
      <c r="E421" s="279"/>
      <c r="F421" s="279"/>
      <c r="G421" s="279"/>
      <c r="H421" s="279"/>
      <c r="I421" s="279"/>
      <c r="J421" s="279"/>
      <c r="K421" s="286"/>
      <c r="M421" s="283" t="s">
        <v>94</v>
      </c>
      <c r="N421" s="287" t="s">
        <v>54</v>
      </c>
      <c r="O421" s="736" t="str">
        <f>IFERROR(VLOOKUP(N421,PPTO!$C$9:$H$64,2,0),"----")</f>
        <v>Retiro de tubería existente de alcantarillado (Incluye retiro y disposición final)</v>
      </c>
      <c r="P421" s="736"/>
      <c r="Q421" s="736"/>
      <c r="R421" s="736"/>
      <c r="S421" s="736"/>
      <c r="T421" s="736"/>
      <c r="U421" s="736"/>
      <c r="V421" s="288" t="str">
        <f>IFERROR(VLOOKUP(N421,PPTO!$C$9:$H$64,3,0),"----")</f>
        <v>ml</v>
      </c>
      <c r="Y421" s="289">
        <f>SUMIFS(PPTO!$F$7:$F$63,PPTO!$C$7:$C$63,APUS!N421)</f>
        <v>98.61</v>
      </c>
      <c r="Z421" s="280"/>
      <c r="AA421" s="279"/>
      <c r="AB421" s="280"/>
      <c r="AC421" s="280"/>
      <c r="AD421" s="280"/>
      <c r="AE421" s="280"/>
    </row>
    <row r="422" spans="3:31" ht="15.9" customHeight="1" thickBot="1" x14ac:dyDescent="0.35">
      <c r="C422" s="292"/>
      <c r="D422" s="279"/>
      <c r="E422" s="279"/>
      <c r="F422" s="279"/>
      <c r="G422" s="279"/>
      <c r="H422" s="279"/>
      <c r="I422" s="279"/>
      <c r="J422" s="279"/>
      <c r="K422" s="293"/>
      <c r="M422" s="737"/>
      <c r="N422" s="737"/>
      <c r="O422" s="737"/>
      <c r="P422" s="737"/>
      <c r="Q422" s="737"/>
      <c r="R422" s="737"/>
      <c r="S422" s="737"/>
      <c r="T422" s="737"/>
      <c r="U422" s="737"/>
      <c r="V422" s="737"/>
      <c r="Y422" s="294"/>
      <c r="Z422" s="280"/>
      <c r="AA422" s="279"/>
      <c r="AB422" s="280"/>
      <c r="AC422" s="280"/>
      <c r="AD422" s="280"/>
      <c r="AE422" s="280"/>
    </row>
    <row r="423" spans="3:31" ht="15.9" customHeight="1" thickBot="1" x14ac:dyDescent="0.35">
      <c r="C423" s="292"/>
      <c r="D423" s="295" t="s">
        <v>132</v>
      </c>
      <c r="E423" s="296" t="s">
        <v>133</v>
      </c>
      <c r="F423" s="296" t="s">
        <v>134</v>
      </c>
      <c r="G423" s="296" t="s">
        <v>135</v>
      </c>
      <c r="H423" s="296" t="s">
        <v>136</v>
      </c>
      <c r="I423" s="296" t="s">
        <v>137</v>
      </c>
      <c r="J423" s="297" t="s">
        <v>138</v>
      </c>
      <c r="K423" s="293"/>
      <c r="M423" s="738" t="s">
        <v>96</v>
      </c>
      <c r="N423" s="738"/>
      <c r="O423" s="738"/>
      <c r="P423" s="738"/>
      <c r="Q423" s="738"/>
      <c r="R423" s="738"/>
      <c r="S423" s="738"/>
      <c r="T423" s="738"/>
      <c r="U423" s="738"/>
      <c r="V423" s="738"/>
      <c r="Y423" s="298"/>
      <c r="Z423" s="299"/>
      <c r="AA423" s="279"/>
      <c r="AB423" s="731"/>
      <c r="AC423" s="732"/>
      <c r="AD423" s="280"/>
      <c r="AE423" s="303"/>
    </row>
    <row r="424" spans="3:31" ht="15.9" customHeight="1" x14ac:dyDescent="0.3">
      <c r="C424" s="292"/>
      <c r="D424" s="304"/>
      <c r="E424" s="305"/>
      <c r="F424" s="305"/>
      <c r="G424" s="305"/>
      <c r="H424" s="305"/>
      <c r="I424" s="305"/>
      <c r="J424" s="306"/>
      <c r="K424" s="293"/>
      <c r="M424" s="307" t="s">
        <v>97</v>
      </c>
      <c r="N424" s="706" t="s">
        <v>98</v>
      </c>
      <c r="O424" s="706"/>
      <c r="P424" s="706"/>
      <c r="Q424" s="706"/>
      <c r="R424" s="307" t="s">
        <v>99</v>
      </c>
      <c r="S424" s="307" t="s">
        <v>100</v>
      </c>
      <c r="T424" s="734" t="s">
        <v>8</v>
      </c>
      <c r="U424" s="734"/>
      <c r="V424" s="307" t="s">
        <v>101</v>
      </c>
      <c r="Y424" s="308" t="s">
        <v>107</v>
      </c>
      <c r="Z424" s="309" t="s">
        <v>9</v>
      </c>
      <c r="AA424" s="279"/>
      <c r="AB424" s="290"/>
      <c r="AC424" s="291"/>
      <c r="AD424" s="280"/>
      <c r="AE424" s="310"/>
    </row>
    <row r="425" spans="3:31" ht="15.9" customHeight="1" x14ac:dyDescent="0.3">
      <c r="C425" s="292"/>
      <c r="D425" s="311"/>
      <c r="E425" s="279"/>
      <c r="F425" s="279"/>
      <c r="G425" s="279"/>
      <c r="H425" s="279"/>
      <c r="I425" s="279"/>
      <c r="J425" s="312"/>
      <c r="K425" s="293"/>
      <c r="M425" s="313"/>
      <c r="N425" s="718" t="s">
        <v>102</v>
      </c>
      <c r="O425" s="718"/>
      <c r="P425" s="718"/>
      <c r="Q425" s="718"/>
      <c r="R425" s="314" t="s">
        <v>103</v>
      </c>
      <c r="S425" s="315">
        <f>$AA$9</f>
        <v>0.05</v>
      </c>
      <c r="T425" s="766">
        <f>V452</f>
        <v>17095</v>
      </c>
      <c r="U425" s="766"/>
      <c r="V425" s="316">
        <f>+IFERROR(T425*S425,0)</f>
        <v>854.75</v>
      </c>
      <c r="Y425" s="317"/>
      <c r="Z425" s="318">
        <f>Y421*V425</f>
        <v>84286.897500000006</v>
      </c>
      <c r="AA425" s="279"/>
      <c r="AB425" s="290"/>
      <c r="AC425" s="291"/>
      <c r="AD425" s="280"/>
      <c r="AE425" s="310" t="str">
        <f>+IF(V425=0,"CERO","NO")</f>
        <v>NO</v>
      </c>
    </row>
    <row r="426" spans="3:31" ht="15.9" customHeight="1" x14ac:dyDescent="0.3">
      <c r="C426" s="292"/>
      <c r="D426" s="311"/>
      <c r="E426" s="279"/>
      <c r="F426" s="279"/>
      <c r="G426" s="279"/>
      <c r="H426" s="279"/>
      <c r="I426" s="279"/>
      <c r="J426" s="312"/>
      <c r="K426" s="293"/>
      <c r="M426" s="319">
        <v>99</v>
      </c>
      <c r="N426" s="718" t="str">
        <f>IFERROR(VLOOKUP(M426,INSUMOS!$C$8:$K$934,2,0),"-----")</f>
        <v>Disposicion final de escombros</v>
      </c>
      <c r="O426" s="718"/>
      <c r="P426" s="718"/>
      <c r="Q426" s="718"/>
      <c r="R426" s="314" t="str">
        <f>IFERROR(VLOOKUP(M426,INSUMOS!$C$8:$K$934,6,0),"-----")</f>
        <v>m3</v>
      </c>
      <c r="S426" s="320">
        <v>0.1</v>
      </c>
      <c r="T426" s="767">
        <f>IFERROR(VLOOKUP(M426,INSUMOS!$C$8:$K$934,7,0),"0")</f>
        <v>9683</v>
      </c>
      <c r="U426" s="767"/>
      <c r="V426" s="316">
        <f>+IFERROR(T426*S426,0)</f>
        <v>968.30000000000007</v>
      </c>
      <c r="Y426" s="321">
        <f>+IFERROR(Y421*S426,0)</f>
        <v>9.8610000000000007</v>
      </c>
      <c r="Z426" s="318">
        <f>Y421*V426</f>
        <v>95484.063000000009</v>
      </c>
      <c r="AA426" s="300"/>
      <c r="AB426" s="301">
        <f>+Y426*T426</f>
        <v>95484.063000000009</v>
      </c>
      <c r="AC426" s="302">
        <f>+AB426-Z426</f>
        <v>0</v>
      </c>
      <c r="AD426" s="280"/>
      <c r="AE426" s="310" t="str">
        <f>+IF(V426=0,"CERO","NO")</f>
        <v>NO</v>
      </c>
    </row>
    <row r="427" spans="3:31" ht="15.9" customHeight="1" x14ac:dyDescent="0.3">
      <c r="C427" s="292"/>
      <c r="D427" s="311"/>
      <c r="E427" s="279"/>
      <c r="F427" s="279"/>
      <c r="G427" s="279"/>
      <c r="H427" s="279"/>
      <c r="I427" s="279"/>
      <c r="J427" s="312"/>
      <c r="K427" s="293"/>
      <c r="M427" s="313">
        <v>30</v>
      </c>
      <c r="N427" s="718" t="str">
        <f>IFERROR(VLOOKUP(M427,INSUMOS!$C$8:$K$934,2,0),"-----")</f>
        <v>RetroExcavadora</v>
      </c>
      <c r="O427" s="718"/>
      <c r="P427" s="718"/>
      <c r="Q427" s="718"/>
      <c r="R427" s="314" t="str">
        <f>IFERROR(VLOOKUP(M427,INSUMOS!$C$8:$K$934,6,0),"-----")</f>
        <v>Hora</v>
      </c>
      <c r="S427" s="320">
        <v>0.02</v>
      </c>
      <c r="T427" s="767">
        <f>IFERROR(VLOOKUP(M427,INSUMOS!$C$8:$K$934,7,0),"0")</f>
        <v>190000</v>
      </c>
      <c r="U427" s="767"/>
      <c r="V427" s="316">
        <f>+IFERROR(T427*S427,0)</f>
        <v>3800</v>
      </c>
      <c r="Y427" s="321">
        <f>+IFERROR(Y421*S427,0)</f>
        <v>1.9722</v>
      </c>
      <c r="Z427" s="318">
        <f>Y421*V427</f>
        <v>374718</v>
      </c>
      <c r="AA427" s="300"/>
      <c r="AB427" s="301">
        <f>+Y427*T427</f>
        <v>374718</v>
      </c>
      <c r="AC427" s="302">
        <f>+AB427-Z427</f>
        <v>0</v>
      </c>
      <c r="AD427" s="280"/>
      <c r="AE427" s="310" t="str">
        <f>+IF(V427=0,"CERO","NO")</f>
        <v>NO</v>
      </c>
    </row>
    <row r="428" spans="3:31" ht="15.9" customHeight="1" thickBot="1" x14ac:dyDescent="0.35">
      <c r="C428" s="292"/>
      <c r="D428" s="311"/>
      <c r="E428" s="279"/>
      <c r="F428" s="279"/>
      <c r="G428" s="279"/>
      <c r="H428" s="279"/>
      <c r="I428" s="279"/>
      <c r="J428" s="312"/>
      <c r="K428" s="293"/>
      <c r="M428" s="313">
        <v>0</v>
      </c>
      <c r="N428" s="727"/>
      <c r="O428" s="727"/>
      <c r="P428" s="727"/>
      <c r="Q428" s="727"/>
      <c r="R428" s="326"/>
      <c r="S428" s="326"/>
      <c r="T428" s="768"/>
      <c r="U428" s="768"/>
      <c r="V428" s="327"/>
      <c r="Y428" s="321">
        <f>+IFERROR(Y421*S428,0)</f>
        <v>0</v>
      </c>
      <c r="Z428" s="318">
        <f>Y421*V428</f>
        <v>0</v>
      </c>
      <c r="AA428" s="300"/>
      <c r="AB428" s="301">
        <f>+Y428*T428</f>
        <v>0</v>
      </c>
      <c r="AC428" s="302">
        <f>+AB428-Z428</f>
        <v>0</v>
      </c>
      <c r="AD428" s="280"/>
      <c r="AE428" s="310" t="str">
        <f>+IF(V428=0,"CERO","NO")</f>
        <v>CERO</v>
      </c>
    </row>
    <row r="429" spans="3:31" ht="15.9" customHeight="1" thickBot="1" x14ac:dyDescent="0.35">
      <c r="C429" s="292"/>
      <c r="D429" s="295" t="s">
        <v>132</v>
      </c>
      <c r="E429" s="296" t="s">
        <v>133</v>
      </c>
      <c r="F429" s="296" t="s">
        <v>134</v>
      </c>
      <c r="G429" s="296" t="s">
        <v>135</v>
      </c>
      <c r="H429" s="296" t="s">
        <v>136</v>
      </c>
      <c r="I429" s="296" t="s">
        <v>137</v>
      </c>
      <c r="J429" s="297" t="s">
        <v>138</v>
      </c>
      <c r="K429" s="293"/>
      <c r="M429" s="724"/>
      <c r="N429" s="725" t="s">
        <v>104</v>
      </c>
      <c r="O429" s="725"/>
      <c r="P429" s="725"/>
      <c r="Q429" s="725"/>
      <c r="R429" s="725"/>
      <c r="S429" s="725"/>
      <c r="T429" s="725"/>
      <c r="U429" s="725"/>
      <c r="V429" s="316">
        <f>+SUM(V425:V428)</f>
        <v>5623.05</v>
      </c>
      <c r="Y429" s="328" t="s">
        <v>139</v>
      </c>
      <c r="Z429" s="329">
        <f>+SUM(Z425:Z428)</f>
        <v>554488.96050000004</v>
      </c>
      <c r="AA429" s="279"/>
      <c r="AB429" s="290"/>
      <c r="AC429" s="291"/>
      <c r="AD429" s="280"/>
      <c r="AE429" s="330"/>
    </row>
    <row r="430" spans="3:31" ht="15.9" customHeight="1" thickBot="1" x14ac:dyDescent="0.35">
      <c r="C430" s="292"/>
      <c r="D430" s="295" t="str">
        <f>C421</f>
        <v>1.3</v>
      </c>
      <c r="E430" s="296"/>
      <c r="F430" s="296"/>
      <c r="G430" s="296"/>
      <c r="H430" s="296"/>
      <c r="I430" s="296"/>
      <c r="J430" s="297"/>
      <c r="K430" s="293"/>
      <c r="M430" s="724"/>
      <c r="N430" s="726" t="s">
        <v>105</v>
      </c>
      <c r="O430" s="726"/>
      <c r="P430" s="726"/>
      <c r="Q430" s="726"/>
      <c r="R430" s="726"/>
      <c r="S430" s="726"/>
      <c r="T430" s="726"/>
      <c r="U430" s="726"/>
      <c r="V430" s="344">
        <f>+ROUND(V429,$AA$2)</f>
        <v>5623</v>
      </c>
      <c r="Y430" s="332" t="s">
        <v>140</v>
      </c>
      <c r="Z430" s="333">
        <f>+ROUND(Z429,$AA$2)</f>
        <v>554489</v>
      </c>
      <c r="AA430" s="279"/>
      <c r="AB430" s="324">
        <f>+V430*Y421</f>
        <v>554484.03</v>
      </c>
      <c r="AC430" s="325">
        <f>+AB430-Z430</f>
        <v>-4.9699999999720603</v>
      </c>
      <c r="AD430" s="280"/>
      <c r="AE430" s="334"/>
    </row>
    <row r="431" spans="3:31" ht="15.9" customHeight="1" x14ac:dyDescent="0.3">
      <c r="C431" s="292"/>
      <c r="D431" s="304"/>
      <c r="E431" s="305"/>
      <c r="F431" s="305"/>
      <c r="G431" s="305"/>
      <c r="H431" s="305"/>
      <c r="I431" s="305"/>
      <c r="J431" s="306"/>
      <c r="K431" s="293"/>
      <c r="M431" s="730" t="s">
        <v>106</v>
      </c>
      <c r="N431" s="730"/>
      <c r="O431" s="730"/>
      <c r="P431" s="730"/>
      <c r="Q431" s="730"/>
      <c r="R431" s="730"/>
      <c r="S431" s="730"/>
      <c r="T431" s="730"/>
      <c r="U431" s="730"/>
      <c r="V431" s="730"/>
      <c r="Y431" s="298"/>
      <c r="Z431" s="299"/>
      <c r="AA431" s="279"/>
      <c r="AB431" s="731"/>
      <c r="AC431" s="732"/>
      <c r="AD431" s="280"/>
      <c r="AE431" s="335"/>
    </row>
    <row r="432" spans="3:31" ht="15.9" customHeight="1" x14ac:dyDescent="0.3">
      <c r="C432" s="292"/>
      <c r="D432" s="311"/>
      <c r="E432" s="279"/>
      <c r="F432" s="279"/>
      <c r="G432" s="279"/>
      <c r="H432" s="279"/>
      <c r="I432" s="279"/>
      <c r="J432" s="312"/>
      <c r="K432" s="293"/>
      <c r="M432" s="307" t="s">
        <v>97</v>
      </c>
      <c r="N432" s="706" t="s">
        <v>98</v>
      </c>
      <c r="O432" s="706"/>
      <c r="P432" s="706"/>
      <c r="Q432" s="706"/>
      <c r="R432" s="307" t="s">
        <v>99</v>
      </c>
      <c r="S432" s="307" t="s">
        <v>107</v>
      </c>
      <c r="T432" s="336" t="s">
        <v>108</v>
      </c>
      <c r="U432" s="336" t="s">
        <v>8</v>
      </c>
      <c r="V432" s="307" t="s">
        <v>101</v>
      </c>
      <c r="Y432" s="308" t="s">
        <v>107</v>
      </c>
      <c r="Z432" s="309" t="s">
        <v>9</v>
      </c>
      <c r="AA432" s="279"/>
      <c r="AB432" s="290"/>
      <c r="AC432" s="291"/>
      <c r="AD432" s="280"/>
      <c r="AE432" s="337"/>
    </row>
    <row r="433" spans="3:31" ht="15.9" customHeight="1" x14ac:dyDescent="0.3">
      <c r="C433" s="292"/>
      <c r="D433" s="311"/>
      <c r="E433" s="279"/>
      <c r="F433" s="279"/>
      <c r="G433" s="279"/>
      <c r="H433" s="279"/>
      <c r="I433" s="279"/>
      <c r="J433" s="312"/>
      <c r="K433" s="293"/>
      <c r="M433" s="313">
        <v>0</v>
      </c>
      <c r="N433" s="718" t="str">
        <f>IFERROR(VLOOKUP(M433,INSUMOS!$C$8:$K$934,2,0),"-----")</f>
        <v>-----</v>
      </c>
      <c r="O433" s="718"/>
      <c r="P433" s="718"/>
      <c r="Q433" s="718"/>
      <c r="R433" s="314" t="str">
        <f>IFERROR(VLOOKUP(M433,INSUMOS!$C$8:$K$934,6,0),"-----")</f>
        <v>-----</v>
      </c>
      <c r="S433" s="322"/>
      <c r="T433" s="315">
        <v>0</v>
      </c>
      <c r="U433" s="338" t="str">
        <f>IFERROR(VLOOKUP(M433,INSUMOS!$C$8:$K$934,7,0),"0")</f>
        <v>0</v>
      </c>
      <c r="V433" s="316">
        <f>+IFERROR(U433*(S433*(1+T433)),0)</f>
        <v>0</v>
      </c>
      <c r="Y433" s="321">
        <f>+IFERROR(Y421*(S433*(1+T433)),0)</f>
        <v>0</v>
      </c>
      <c r="Z433" s="318">
        <f>Y421*V433</f>
        <v>0</v>
      </c>
      <c r="AA433" s="300"/>
      <c r="AB433" s="301">
        <f>+Y433*U433</f>
        <v>0</v>
      </c>
      <c r="AC433" s="302">
        <f>+AB433-Z433</f>
        <v>0</v>
      </c>
      <c r="AD433" s="280"/>
      <c r="AE433" s="337" t="str">
        <f t="shared" ref="AE433:AE435" si="56">+IF(V433=0,"CERO","NO")</f>
        <v>CERO</v>
      </c>
    </row>
    <row r="434" spans="3:31" ht="15.9" customHeight="1" x14ac:dyDescent="0.3">
      <c r="C434" s="292"/>
      <c r="D434" s="311"/>
      <c r="E434" s="279"/>
      <c r="F434" s="279"/>
      <c r="G434" s="279"/>
      <c r="H434" s="279"/>
      <c r="I434" s="279"/>
      <c r="J434" s="312"/>
      <c r="K434" s="293"/>
      <c r="M434" s="313">
        <v>0</v>
      </c>
      <c r="N434" s="718" t="str">
        <f>IFERROR(VLOOKUP(M434,INSUMOS!$C$8:$K$934,2,0),"-----")</f>
        <v>-----</v>
      </c>
      <c r="O434" s="718"/>
      <c r="P434" s="718"/>
      <c r="Q434" s="718"/>
      <c r="R434" s="314" t="str">
        <f>IFERROR(VLOOKUP(M434,INSUMOS!$C$8:$K$934,6,0),"-----")</f>
        <v>-----</v>
      </c>
      <c r="S434" s="322"/>
      <c r="T434" s="315">
        <v>0</v>
      </c>
      <c r="U434" s="338" t="str">
        <f>IFERROR(VLOOKUP(M434,INSUMOS!$C$8:$K$934,7,0),"0")</f>
        <v>0</v>
      </c>
      <c r="V434" s="316">
        <f>+IFERROR(U434*(S434*(1+T434)),0)</f>
        <v>0</v>
      </c>
      <c r="Y434" s="321">
        <f>+IFERROR(Y421*(S434*(1+T434)),0)</f>
        <v>0</v>
      </c>
      <c r="Z434" s="318">
        <f>Y421*V434</f>
        <v>0</v>
      </c>
      <c r="AA434" s="300"/>
      <c r="AB434" s="301">
        <f t="shared" ref="AB434:AB435" si="57">+Y434*U434</f>
        <v>0</v>
      </c>
      <c r="AC434" s="302">
        <f t="shared" ref="AC434:AC435" si="58">+AB434-Z434</f>
        <v>0</v>
      </c>
      <c r="AD434" s="280"/>
      <c r="AE434" s="337" t="str">
        <f t="shared" si="56"/>
        <v>CERO</v>
      </c>
    </row>
    <row r="435" spans="3:31" ht="15.9" customHeight="1" thickBot="1" x14ac:dyDescent="0.35">
      <c r="C435" s="292"/>
      <c r="D435" s="311"/>
      <c r="E435" s="279"/>
      <c r="F435" s="279"/>
      <c r="G435" s="279"/>
      <c r="H435" s="279"/>
      <c r="I435" s="279"/>
      <c r="J435" s="312"/>
      <c r="K435" s="293"/>
      <c r="M435" s="313">
        <v>0</v>
      </c>
      <c r="N435" s="718" t="str">
        <f>IFERROR(VLOOKUP(M435,INSUMOS!$C$8:$K$934,2,0),"-----")</f>
        <v>-----</v>
      </c>
      <c r="O435" s="718"/>
      <c r="P435" s="718"/>
      <c r="Q435" s="718"/>
      <c r="R435" s="314" t="str">
        <f>IFERROR(VLOOKUP(M435,INSUMOS!$C$8:$K$934,6,0),"-----")</f>
        <v>-----</v>
      </c>
      <c r="S435" s="322"/>
      <c r="T435" s="315">
        <v>0</v>
      </c>
      <c r="U435" s="338" t="str">
        <f>IFERROR(VLOOKUP(M435,INSUMOS!$C$8:$K$934,7,0),"0")</f>
        <v>0</v>
      </c>
      <c r="V435" s="316">
        <f>+IFERROR(U435*(S435*(1+T435)),0)</f>
        <v>0</v>
      </c>
      <c r="Y435" s="321">
        <f>+IFERROR(Y421*(S435*(1+T435)),0)</f>
        <v>0</v>
      </c>
      <c r="Z435" s="318">
        <f>Y421*V435</f>
        <v>0</v>
      </c>
      <c r="AA435" s="300"/>
      <c r="AB435" s="301">
        <f t="shared" si="57"/>
        <v>0</v>
      </c>
      <c r="AC435" s="302">
        <f t="shared" si="58"/>
        <v>0</v>
      </c>
      <c r="AD435" s="280"/>
      <c r="AE435" s="337" t="str">
        <f t="shared" si="56"/>
        <v>CERO</v>
      </c>
    </row>
    <row r="436" spans="3:31" ht="15.9" customHeight="1" thickBot="1" x14ac:dyDescent="0.35">
      <c r="C436" s="292"/>
      <c r="D436" s="295" t="s">
        <v>132</v>
      </c>
      <c r="E436" s="296" t="s">
        <v>133</v>
      </c>
      <c r="F436" s="296" t="s">
        <v>134</v>
      </c>
      <c r="G436" s="296" t="s">
        <v>135</v>
      </c>
      <c r="H436" s="296" t="s">
        <v>136</v>
      </c>
      <c r="I436" s="296" t="s">
        <v>137</v>
      </c>
      <c r="J436" s="297" t="s">
        <v>138</v>
      </c>
      <c r="K436" s="293"/>
      <c r="M436" s="724"/>
      <c r="N436" s="725" t="s">
        <v>109</v>
      </c>
      <c r="O436" s="725"/>
      <c r="P436" s="725"/>
      <c r="Q436" s="725"/>
      <c r="R436" s="725"/>
      <c r="S436" s="725"/>
      <c r="T436" s="725"/>
      <c r="U436" s="725"/>
      <c r="V436" s="316">
        <f>+SUM(V433:V435)</f>
        <v>0</v>
      </c>
      <c r="Y436" s="328" t="s">
        <v>139</v>
      </c>
      <c r="Z436" s="329">
        <f>+SUM(Z433:Z435)</f>
        <v>0</v>
      </c>
      <c r="AA436" s="279"/>
      <c r="AB436" s="290"/>
      <c r="AC436" s="291"/>
      <c r="AD436" s="280"/>
      <c r="AE436" s="330"/>
    </row>
    <row r="437" spans="3:31" ht="15.9" customHeight="1" thickBot="1" x14ac:dyDescent="0.35">
      <c r="C437" s="292"/>
      <c r="D437" s="295"/>
      <c r="E437" s="343" t="str">
        <f>+D430</f>
        <v>1.3</v>
      </c>
      <c r="F437" s="296"/>
      <c r="G437" s="296"/>
      <c r="H437" s="296"/>
      <c r="I437" s="296"/>
      <c r="J437" s="297"/>
      <c r="K437" s="293"/>
      <c r="M437" s="724"/>
      <c r="N437" s="726" t="s">
        <v>110</v>
      </c>
      <c r="O437" s="726"/>
      <c r="P437" s="726"/>
      <c r="Q437" s="726"/>
      <c r="R437" s="726"/>
      <c r="S437" s="726"/>
      <c r="T437" s="726"/>
      <c r="U437" s="726"/>
      <c r="V437" s="344">
        <f>+ROUND(V436,$AA$2)</f>
        <v>0</v>
      </c>
      <c r="Y437" s="332" t="s">
        <v>140</v>
      </c>
      <c r="Z437" s="333">
        <f>+ROUND(Z436,$AA$2)</f>
        <v>0</v>
      </c>
      <c r="AA437" s="279"/>
      <c r="AB437" s="324">
        <f>+V437*Y421</f>
        <v>0</v>
      </c>
      <c r="AC437" s="325">
        <f>+AB437-Z437</f>
        <v>0</v>
      </c>
      <c r="AD437" s="280"/>
      <c r="AE437" s="334"/>
    </row>
    <row r="438" spans="3:31" ht="15.9" customHeight="1" x14ac:dyDescent="0.3">
      <c r="C438" s="292"/>
      <c r="D438" s="304"/>
      <c r="E438" s="305"/>
      <c r="F438" s="305"/>
      <c r="G438" s="305"/>
      <c r="H438" s="305"/>
      <c r="I438" s="305"/>
      <c r="J438" s="306"/>
      <c r="K438" s="293"/>
      <c r="M438" s="733" t="s">
        <v>111</v>
      </c>
      <c r="N438" s="733"/>
      <c r="O438" s="733"/>
      <c r="P438" s="733"/>
      <c r="Q438" s="733"/>
      <c r="R438" s="733"/>
      <c r="S438" s="733"/>
      <c r="T438" s="733"/>
      <c r="U438" s="733"/>
      <c r="V438" s="733"/>
      <c r="Y438" s="298"/>
      <c r="Z438" s="299"/>
      <c r="AA438" s="279"/>
      <c r="AB438" s="342"/>
      <c r="AC438" s="299"/>
      <c r="AD438" s="280"/>
      <c r="AE438" s="335"/>
    </row>
    <row r="439" spans="3:31" ht="27.6" x14ac:dyDescent="0.3">
      <c r="C439" s="292"/>
      <c r="D439" s="311"/>
      <c r="E439" s="279"/>
      <c r="F439" s="279"/>
      <c r="G439" s="279"/>
      <c r="H439" s="279"/>
      <c r="I439" s="279"/>
      <c r="J439" s="312"/>
      <c r="K439" s="293"/>
      <c r="M439" s="307" t="s">
        <v>97</v>
      </c>
      <c r="N439" s="706" t="s">
        <v>98</v>
      </c>
      <c r="O439" s="706"/>
      <c r="P439" s="706"/>
      <c r="Q439" s="307" t="s">
        <v>112</v>
      </c>
      <c r="R439" s="307" t="s">
        <v>113</v>
      </c>
      <c r="S439" s="307" t="s">
        <v>114</v>
      </c>
      <c r="T439" s="734" t="s">
        <v>115</v>
      </c>
      <c r="U439" s="734"/>
      <c r="V439" s="307" t="s">
        <v>101</v>
      </c>
      <c r="Y439" s="308" t="s">
        <v>107</v>
      </c>
      <c r="Z439" s="309" t="s">
        <v>9</v>
      </c>
      <c r="AA439" s="279"/>
      <c r="AB439" s="290"/>
      <c r="AC439" s="291"/>
      <c r="AD439" s="280"/>
      <c r="AE439" s="349"/>
    </row>
    <row r="440" spans="3:31" ht="14.4" x14ac:dyDescent="0.3">
      <c r="C440" s="350"/>
      <c r="D440" s="351"/>
      <c r="E440" s="345"/>
      <c r="F440" s="345"/>
      <c r="G440" s="345"/>
      <c r="H440" s="345"/>
      <c r="I440" s="345"/>
      <c r="J440" s="352"/>
      <c r="K440" s="353"/>
      <c r="M440" s="354">
        <v>105</v>
      </c>
      <c r="N440" s="718" t="str">
        <f>IFERROR(VLOOKUP(M440,INSUMOS!$C$8:$K$934,2,0),"-----")</f>
        <v>Transporte Retiro de material sobrante</v>
      </c>
      <c r="O440" s="718"/>
      <c r="P440" s="718"/>
      <c r="Q440" s="314" t="str">
        <f>IFERROR(VLOOKUP(M440,INSUMOS!$C$8:$K$934,5,0),"-----")</f>
        <v>m3/km</v>
      </c>
      <c r="R440" s="355">
        <v>0.1</v>
      </c>
      <c r="S440" s="355">
        <f>IFERROR(VLOOKUP(M440,INSUMOS!$C$8:$K$934,6,0),"0")</f>
        <v>1.9</v>
      </c>
      <c r="T440" s="719">
        <f>IFERROR(VLOOKUP(M440,INSUMOS!$C$8:$K$934,7,0),"0")</f>
        <v>1800</v>
      </c>
      <c r="U440" s="719"/>
      <c r="V440" s="515">
        <f>+T440*S440*R440</f>
        <v>342</v>
      </c>
      <c r="Y440" s="321">
        <f>+IFERROR((R440*S440)*Y421,0)</f>
        <v>18.735900000000001</v>
      </c>
      <c r="Z440" s="318">
        <f>Y421*V440</f>
        <v>33724.620000000003</v>
      </c>
      <c r="AA440" s="345"/>
      <c r="AB440" s="346">
        <f>+Y440*T440</f>
        <v>33724.620000000003</v>
      </c>
      <c r="AC440" s="347">
        <f>+AB440-Z440</f>
        <v>0</v>
      </c>
      <c r="AD440" s="348"/>
      <c r="AE440" s="337" t="str">
        <f t="shared" ref="AE440:AE443" si="59">+IF(V440=0,"CERO","NO")</f>
        <v>NO</v>
      </c>
    </row>
    <row r="441" spans="3:31" ht="15.9" customHeight="1" x14ac:dyDescent="0.3">
      <c r="C441" s="350"/>
      <c r="D441" s="351"/>
      <c r="E441" s="345"/>
      <c r="F441" s="345"/>
      <c r="G441" s="345"/>
      <c r="H441" s="345"/>
      <c r="I441" s="345"/>
      <c r="J441" s="352"/>
      <c r="K441" s="353"/>
      <c r="M441" s="354">
        <v>0</v>
      </c>
      <c r="N441" s="718" t="str">
        <f>IFERROR(VLOOKUP(M441,INSUMOS!$C$8:$K$934,2,0),"-----")</f>
        <v>-----</v>
      </c>
      <c r="O441" s="718"/>
      <c r="P441" s="718"/>
      <c r="Q441" s="314" t="str">
        <f>IFERROR(VLOOKUP(M441,INSUMOS!$C$8:$K$934,5,0),"-----")</f>
        <v>-----</v>
      </c>
      <c r="R441" s="355"/>
      <c r="S441" s="355" t="str">
        <f>IFERROR(VLOOKUP(M441,INSUMOS!$C$8:$K$934,6,0),"0")</f>
        <v>0</v>
      </c>
      <c r="T441" s="719" t="str">
        <f>IFERROR(VLOOKUP(M441,INSUMOS!$C$8:$K$934,7,0),"0")</f>
        <v>0</v>
      </c>
      <c r="U441" s="719"/>
      <c r="V441" s="515">
        <f>+T441*S441*R441</f>
        <v>0</v>
      </c>
      <c r="Y441" s="321">
        <f>+IFERROR((R441*S441)*Y421,0)</f>
        <v>0</v>
      </c>
      <c r="Z441" s="318">
        <f>Y421*V441</f>
        <v>0</v>
      </c>
      <c r="AA441" s="345"/>
      <c r="AB441" s="346">
        <f>+Y441*T441</f>
        <v>0</v>
      </c>
      <c r="AC441" s="347">
        <f>+AB441-Z441</f>
        <v>0</v>
      </c>
      <c r="AD441" s="348"/>
      <c r="AE441" s="337" t="str">
        <f t="shared" si="59"/>
        <v>CERO</v>
      </c>
    </row>
    <row r="442" spans="3:31" ht="15.9" customHeight="1" x14ac:dyDescent="0.3">
      <c r="C442" s="350"/>
      <c r="D442" s="351"/>
      <c r="E442" s="345"/>
      <c r="F442" s="345"/>
      <c r="G442" s="345"/>
      <c r="H442" s="345"/>
      <c r="I442" s="345"/>
      <c r="J442" s="352"/>
      <c r="K442" s="353"/>
      <c r="M442" s="354">
        <v>0</v>
      </c>
      <c r="N442" s="718" t="str">
        <f>IFERROR(VLOOKUP(M442,INSUMOS!$C$8:$K$934,2,0),"-----")</f>
        <v>-----</v>
      </c>
      <c r="O442" s="718"/>
      <c r="P442" s="718"/>
      <c r="Q442" s="314" t="str">
        <f>IFERROR(VLOOKUP(M442,INSUMOS!$C$8:$K$934,5,0),"-----")</f>
        <v>-----</v>
      </c>
      <c r="R442" s="355"/>
      <c r="S442" s="355" t="str">
        <f>IFERROR(VLOOKUP(M442,INSUMOS!$C$8:$K$934,6,0),"0")</f>
        <v>0</v>
      </c>
      <c r="T442" s="719" t="str">
        <f>IFERROR(VLOOKUP(M442,INSUMOS!$C$8:$K$934,7,0),"0")</f>
        <v>0</v>
      </c>
      <c r="U442" s="719"/>
      <c r="V442" s="515">
        <f>+T442*S442*R442</f>
        <v>0</v>
      </c>
      <c r="Y442" s="321">
        <f>+IFERROR((R442*S442)*Y421,0)</f>
        <v>0</v>
      </c>
      <c r="Z442" s="318">
        <f>Y421*V442</f>
        <v>0</v>
      </c>
      <c r="AA442" s="345"/>
      <c r="AB442" s="346">
        <f t="shared" ref="AB442" si="60">+Y442*T442</f>
        <v>0</v>
      </c>
      <c r="AC442" s="347">
        <f t="shared" ref="AC442" si="61">+AB442-Z442</f>
        <v>0</v>
      </c>
      <c r="AD442" s="348"/>
      <c r="AE442" s="337" t="str">
        <f t="shared" si="59"/>
        <v>CERO</v>
      </c>
    </row>
    <row r="443" spans="3:31" ht="15.9" customHeight="1" thickBot="1" x14ac:dyDescent="0.35">
      <c r="C443" s="350"/>
      <c r="D443" s="360"/>
      <c r="E443" s="361"/>
      <c r="F443" s="361"/>
      <c r="G443" s="361"/>
      <c r="H443" s="361"/>
      <c r="I443" s="361"/>
      <c r="J443" s="362"/>
      <c r="K443" s="353"/>
      <c r="M443" s="354">
        <v>0</v>
      </c>
      <c r="N443" s="718"/>
      <c r="O443" s="718"/>
      <c r="P443" s="718"/>
      <c r="Q443" s="357"/>
      <c r="R443" s="314"/>
      <c r="S443" s="358"/>
      <c r="T443" s="719"/>
      <c r="U443" s="719"/>
      <c r="V443" s="515"/>
      <c r="Y443" s="321">
        <f>+IFERROR((R443*S443)*Y421,0)</f>
        <v>0</v>
      </c>
      <c r="Z443" s="318">
        <f>Y421*V443</f>
        <v>0</v>
      </c>
      <c r="AA443" s="345"/>
      <c r="AB443" s="346">
        <f>+Y443*T443</f>
        <v>0</v>
      </c>
      <c r="AC443" s="347">
        <f>+AB443-Z443</f>
        <v>0</v>
      </c>
      <c r="AD443" s="348"/>
      <c r="AE443" s="337" t="str">
        <f t="shared" si="59"/>
        <v>CERO</v>
      </c>
    </row>
    <row r="444" spans="3:31" ht="15.9" customHeight="1" thickBot="1" x14ac:dyDescent="0.35">
      <c r="C444" s="292"/>
      <c r="D444" s="295" t="s">
        <v>132</v>
      </c>
      <c r="E444" s="296" t="s">
        <v>133</v>
      </c>
      <c r="F444" s="296" t="s">
        <v>134</v>
      </c>
      <c r="G444" s="296" t="s">
        <v>135</v>
      </c>
      <c r="H444" s="296" t="s">
        <v>136</v>
      </c>
      <c r="I444" s="296" t="s">
        <v>137</v>
      </c>
      <c r="J444" s="297" t="s">
        <v>138</v>
      </c>
      <c r="K444" s="293"/>
      <c r="M444" s="720"/>
      <c r="N444" s="721" t="s">
        <v>116</v>
      </c>
      <c r="O444" s="721"/>
      <c r="P444" s="721"/>
      <c r="Q444" s="721"/>
      <c r="R444" s="721"/>
      <c r="S444" s="721"/>
      <c r="T444" s="721"/>
      <c r="U444" s="721"/>
      <c r="V444" s="499">
        <f>+SUM(V440:V443)</f>
        <v>342</v>
      </c>
      <c r="Y444" s="328" t="s">
        <v>139</v>
      </c>
      <c r="Z444" s="329">
        <f>+SUM(Z440:Z443)</f>
        <v>33724.620000000003</v>
      </c>
      <c r="AA444" s="279"/>
      <c r="AB444" s="290"/>
      <c r="AC444" s="291"/>
      <c r="AD444" s="280"/>
      <c r="AE444" s="330"/>
    </row>
    <row r="445" spans="3:31" ht="15.9" customHeight="1" thickBot="1" x14ac:dyDescent="0.35">
      <c r="C445" s="292"/>
      <c r="D445" s="363"/>
      <c r="E445" s="364"/>
      <c r="F445" s="365" t="str">
        <f>+E437</f>
        <v>1.3</v>
      </c>
      <c r="G445" s="364"/>
      <c r="H445" s="364"/>
      <c r="I445" s="364"/>
      <c r="J445" s="366"/>
      <c r="K445" s="293"/>
      <c r="M445" s="720"/>
      <c r="N445" s="722" t="s">
        <v>117</v>
      </c>
      <c r="O445" s="722"/>
      <c r="P445" s="722"/>
      <c r="Q445" s="722"/>
      <c r="R445" s="722"/>
      <c r="S445" s="722"/>
      <c r="T445" s="722"/>
      <c r="U445" s="722"/>
      <c r="V445" s="344">
        <f>+ROUND(V444,$AA$2)</f>
        <v>342</v>
      </c>
      <c r="Y445" s="332" t="s">
        <v>140</v>
      </c>
      <c r="Z445" s="333">
        <f>+ROUND(Z444,$AA$2)</f>
        <v>33725</v>
      </c>
      <c r="AA445" s="279"/>
      <c r="AB445" s="324">
        <f>+V445*Y421</f>
        <v>33724.620000000003</v>
      </c>
      <c r="AC445" s="359"/>
      <c r="AD445" s="280"/>
      <c r="AE445" s="334"/>
    </row>
    <row r="446" spans="3:31" ht="15.9" customHeight="1" thickBot="1" x14ac:dyDescent="0.35">
      <c r="C446" s="292"/>
      <c r="D446" s="369"/>
      <c r="E446" s="370"/>
      <c r="F446" s="370"/>
      <c r="G446" s="370"/>
      <c r="H446" s="370"/>
      <c r="I446" s="370"/>
      <c r="J446" s="371"/>
      <c r="K446" s="293"/>
      <c r="M446" s="723" t="s">
        <v>118</v>
      </c>
      <c r="N446" s="723"/>
      <c r="O446" s="723"/>
      <c r="P446" s="723"/>
      <c r="Q446" s="723"/>
      <c r="R446" s="723"/>
      <c r="S446" s="723"/>
      <c r="T446" s="723"/>
      <c r="U446" s="723"/>
      <c r="V446" s="723"/>
      <c r="Y446" s="298"/>
      <c r="Z446" s="299"/>
      <c r="AA446" s="279"/>
      <c r="AB446" s="342"/>
      <c r="AC446" s="299"/>
      <c r="AD446" s="280"/>
      <c r="AE446" s="335"/>
    </row>
    <row r="447" spans="3:31" ht="15.9" customHeight="1" thickBot="1" x14ac:dyDescent="0.35">
      <c r="C447" s="292"/>
      <c r="D447" s="295" t="s">
        <v>132</v>
      </c>
      <c r="E447" s="296" t="s">
        <v>133</v>
      </c>
      <c r="F447" s="296" t="s">
        <v>134</v>
      </c>
      <c r="G447" s="296" t="s">
        <v>135</v>
      </c>
      <c r="H447" s="296" t="s">
        <v>136</v>
      </c>
      <c r="I447" s="296" t="s">
        <v>137</v>
      </c>
      <c r="J447" s="297" t="s">
        <v>138</v>
      </c>
      <c r="K447" s="293"/>
      <c r="M447" s="307" t="s">
        <v>97</v>
      </c>
      <c r="N447" s="372" t="s">
        <v>98</v>
      </c>
      <c r="O447" s="307" t="s">
        <v>99</v>
      </c>
      <c r="P447" s="396" t="s">
        <v>107</v>
      </c>
      <c r="Q447" s="307" t="s">
        <v>119</v>
      </c>
      <c r="R447" s="373" t="s">
        <v>120</v>
      </c>
      <c r="S447" s="307" t="s">
        <v>363</v>
      </c>
      <c r="T447" s="374" t="s">
        <v>121</v>
      </c>
      <c r="U447" s="375" t="s">
        <v>122</v>
      </c>
      <c r="V447" s="307" t="s">
        <v>101</v>
      </c>
      <c r="Y447" s="308" t="s">
        <v>107</v>
      </c>
      <c r="Z447" s="309" t="s">
        <v>9</v>
      </c>
      <c r="AA447" s="279"/>
      <c r="AB447" s="290"/>
      <c r="AC447" s="291"/>
      <c r="AD447" s="280"/>
      <c r="AE447" s="349"/>
    </row>
    <row r="448" spans="3:31" ht="14.4" x14ac:dyDescent="0.3">
      <c r="C448" s="292"/>
      <c r="D448" s="376"/>
      <c r="E448" s="377"/>
      <c r="F448" s="377"/>
      <c r="G448" s="377"/>
      <c r="H448" s="377"/>
      <c r="I448" s="377"/>
      <c r="J448" s="378" t="str">
        <f>+F445</f>
        <v>1.3</v>
      </c>
      <c r="K448" s="293"/>
      <c r="M448" s="313">
        <v>202</v>
      </c>
      <c r="N448" s="379" t="str">
        <f>IFERROR(VLOOKUP(M448,INSUMOS!$C$8:$K$934,2,0),"-----")</f>
        <v>Ayudante Albañileria</v>
      </c>
      <c r="O448" s="314" t="str">
        <f>IFERROR(VLOOKUP(M448,INSUMOS!$C$8:$K$934,3,0),"-----")</f>
        <v>JORNAL+PS</v>
      </c>
      <c r="P448" s="355">
        <v>2</v>
      </c>
      <c r="Q448" s="339">
        <v>20</v>
      </c>
      <c r="R448" s="380">
        <f>IFERROR(VLOOKUP(M448,INSUMOS!$C$8:$K$934,4,0),"-----")</f>
        <v>94970</v>
      </c>
      <c r="S448" s="380">
        <f>IFERROR(VLOOKUP(M448,INSUMOS!$C$8:$K$934,6,0),"-----")</f>
        <v>75976</v>
      </c>
      <c r="T448" s="380">
        <f>IFERROR(VLOOKUP(M448,INSUMOS!$C$8:$K$934,5,0),"-----")</f>
        <v>0</v>
      </c>
      <c r="U448" s="338">
        <f>SUM(R448:T448)</f>
        <v>170946</v>
      </c>
      <c r="V448" s="316">
        <f>+IFERROR((P448/Q448)*U448,0)</f>
        <v>17094.600000000002</v>
      </c>
      <c r="Y448" s="321">
        <f>+IFERROR((Y421/Q448*P448),0)</f>
        <v>9.8610000000000007</v>
      </c>
      <c r="Z448" s="318">
        <f>Y421*V448</f>
        <v>1685698.5060000003</v>
      </c>
      <c r="AA448" s="279"/>
      <c r="AB448" s="367">
        <f>+(U448)*Y448</f>
        <v>1685698.5060000001</v>
      </c>
      <c r="AC448" s="302">
        <f>+AB448-Z448</f>
        <v>0</v>
      </c>
      <c r="AD448" s="368"/>
      <c r="AE448" s="349" t="str">
        <f>+IF(V448=0,"CERO","NO")</f>
        <v>NO</v>
      </c>
    </row>
    <row r="449" spans="3:31" ht="15.9" customHeight="1" thickBot="1" x14ac:dyDescent="0.35">
      <c r="C449" s="292"/>
      <c r="D449" s="363"/>
      <c r="E449" s="364"/>
      <c r="F449" s="364"/>
      <c r="G449" s="364"/>
      <c r="H449" s="364"/>
      <c r="I449" s="364"/>
      <c r="J449" s="381" t="str">
        <f>+J448</f>
        <v>1.3</v>
      </c>
      <c r="K449" s="293"/>
      <c r="M449" s="313">
        <v>0</v>
      </c>
      <c r="N449" s="379" t="str">
        <f>IFERROR(VLOOKUP(M449,INSUMOS!$C$8:$K$934,2,0),"-----")</f>
        <v>-----</v>
      </c>
      <c r="O449" s="314" t="str">
        <f>IFERROR(VLOOKUP(M449,INSUMOS!$C$8:$K$934,3,0),"-----")</f>
        <v>-----</v>
      </c>
      <c r="P449" s="355"/>
      <c r="Q449" s="339"/>
      <c r="R449" s="380" t="str">
        <f>IFERROR(VLOOKUP(M449,INSUMOS!$C$8:$K$934,4,0),"-----")</f>
        <v>-----</v>
      </c>
      <c r="S449" s="380" t="str">
        <f>IFERROR(VLOOKUP(M449,INSUMOS!$C$8:$K$934,6,0),"-----")</f>
        <v>-----</v>
      </c>
      <c r="T449" s="380" t="str">
        <f>IFERROR(VLOOKUP(M449,INSUMOS!$C$8:$K$934,5,0),"-----")</f>
        <v>-----</v>
      </c>
      <c r="U449" s="338">
        <f>SUM(R449:T449)</f>
        <v>0</v>
      </c>
      <c r="V449" s="316">
        <f>+IFERROR((P449/Q449)*U449,0)</f>
        <v>0</v>
      </c>
      <c r="Y449" s="321">
        <f>+IFERROR((Y421/Q449*P449),0)</f>
        <v>0</v>
      </c>
      <c r="Z449" s="318">
        <f>Y421*V449</f>
        <v>0</v>
      </c>
      <c r="AA449" s="279"/>
      <c r="AB449" s="367">
        <f>+U449*Y449</f>
        <v>0</v>
      </c>
      <c r="AC449" s="302">
        <f>+AB449-Z449</f>
        <v>0</v>
      </c>
      <c r="AD449" s="280"/>
      <c r="AE449" s="349" t="str">
        <f t="shared" ref="AE449:AE450" si="62">+IF(V449=0,"CERO","NO")</f>
        <v>CERO</v>
      </c>
    </row>
    <row r="450" spans="3:31" ht="15.9" customHeight="1" thickBot="1" x14ac:dyDescent="0.35">
      <c r="C450" s="292"/>
      <c r="D450" s="304"/>
      <c r="E450" s="305"/>
      <c r="F450" s="305"/>
      <c r="G450" s="305"/>
      <c r="H450" s="305"/>
      <c r="I450" s="305"/>
      <c r="J450" s="306"/>
      <c r="K450" s="293"/>
      <c r="M450" s="313">
        <v>0</v>
      </c>
      <c r="N450" s="379"/>
      <c r="O450" s="339"/>
      <c r="P450" s="382"/>
      <c r="Q450" s="319"/>
      <c r="R450" s="383"/>
      <c r="S450" s="384"/>
      <c r="T450" s="383"/>
      <c r="U450" s="338"/>
      <c r="V450" s="323"/>
      <c r="Y450" s="321">
        <f>+IFERROR((Y421/Q450*P450),0)</f>
        <v>0</v>
      </c>
      <c r="Z450" s="318">
        <f>Y421*V450</f>
        <v>0</v>
      </c>
      <c r="AA450" s="279"/>
      <c r="AB450" s="367">
        <f>+(U450)*Y450*P450</f>
        <v>0</v>
      </c>
      <c r="AC450" s="302">
        <f>+AB450-Z450</f>
        <v>0</v>
      </c>
      <c r="AD450" s="280"/>
      <c r="AE450" s="349" t="str">
        <f t="shared" si="62"/>
        <v>CERO</v>
      </c>
    </row>
    <row r="451" spans="3:31" ht="15.9" customHeight="1" thickBot="1" x14ac:dyDescent="0.35">
      <c r="C451" s="292"/>
      <c r="D451" s="295" t="s">
        <v>132</v>
      </c>
      <c r="E451" s="296" t="s">
        <v>133</v>
      </c>
      <c r="F451" s="296" t="s">
        <v>134</v>
      </c>
      <c r="G451" s="296" t="s">
        <v>135</v>
      </c>
      <c r="H451" s="296" t="s">
        <v>136</v>
      </c>
      <c r="I451" s="296" t="s">
        <v>137</v>
      </c>
      <c r="J451" s="297" t="s">
        <v>138</v>
      </c>
      <c r="K451" s="293"/>
      <c r="M451" s="724"/>
      <c r="N451" s="725" t="s">
        <v>123</v>
      </c>
      <c r="O451" s="725"/>
      <c r="P451" s="725"/>
      <c r="Q451" s="725"/>
      <c r="R451" s="725"/>
      <c r="S451" s="725"/>
      <c r="T451" s="725"/>
      <c r="U451" s="725"/>
      <c r="V451" s="316">
        <f>+SUM(V448:V450)</f>
        <v>17094.600000000002</v>
      </c>
      <c r="Y451" s="328" t="s">
        <v>139</v>
      </c>
      <c r="Z451" s="329">
        <f>+SUM(Z448:Z450)</f>
        <v>1685698.5060000003</v>
      </c>
      <c r="AA451" s="279"/>
      <c r="AB451" s="290"/>
      <c r="AC451" s="291"/>
      <c r="AD451" s="280"/>
      <c r="AE451" s="330"/>
    </row>
    <row r="452" spans="3:31" ht="15.9" customHeight="1" thickBot="1" x14ac:dyDescent="0.35">
      <c r="C452" s="292"/>
      <c r="D452" s="376"/>
      <c r="E452" s="377"/>
      <c r="F452" s="377"/>
      <c r="G452" s="386" t="str">
        <f>+F445</f>
        <v>1.3</v>
      </c>
      <c r="H452" s="377"/>
      <c r="I452" s="377"/>
      <c r="J452" s="387"/>
      <c r="K452" s="293"/>
      <c r="M452" s="724"/>
      <c r="N452" s="726" t="s">
        <v>124</v>
      </c>
      <c r="O452" s="726"/>
      <c r="P452" s="726"/>
      <c r="Q452" s="726"/>
      <c r="R452" s="726"/>
      <c r="S452" s="726"/>
      <c r="T452" s="726"/>
      <c r="U452" s="726"/>
      <c r="V452" s="344">
        <f>+ROUND(V451,$AA$2)</f>
        <v>17095</v>
      </c>
      <c r="Y452" s="332" t="s">
        <v>140</v>
      </c>
      <c r="Z452" s="333">
        <f>+ROUND(Z451,$AA$2)</f>
        <v>1685699</v>
      </c>
      <c r="AA452" s="279"/>
      <c r="AB452" s="324">
        <f>+V452*Y421</f>
        <v>1685737.95</v>
      </c>
      <c r="AC452" s="325">
        <f>+AB452-Z452</f>
        <v>38.949999999953434</v>
      </c>
      <c r="AD452" s="280"/>
      <c r="AE452" s="334"/>
    </row>
    <row r="453" spans="3:31" ht="15.9" customHeight="1" thickBot="1" x14ac:dyDescent="0.35">
      <c r="C453" s="292"/>
      <c r="D453" s="295" t="s">
        <v>132</v>
      </c>
      <c r="E453" s="296" t="s">
        <v>133</v>
      </c>
      <c r="F453" s="296" t="s">
        <v>134</v>
      </c>
      <c r="G453" s="296" t="s">
        <v>135</v>
      </c>
      <c r="H453" s="296" t="s">
        <v>136</v>
      </c>
      <c r="I453" s="296" t="s">
        <v>137</v>
      </c>
      <c r="J453" s="297" t="s">
        <v>138</v>
      </c>
      <c r="K453" s="293"/>
      <c r="M453" s="727"/>
      <c r="N453" s="727"/>
      <c r="O453" s="727"/>
      <c r="P453" s="727"/>
      <c r="Q453" s="727"/>
      <c r="R453" s="727"/>
      <c r="S453" s="727"/>
      <c r="T453" s="727"/>
      <c r="U453" s="727"/>
      <c r="V453" s="727"/>
      <c r="Y453" s="298"/>
      <c r="Z453" s="299"/>
      <c r="AA453" s="279"/>
      <c r="AB453" s="342"/>
      <c r="AC453" s="299"/>
      <c r="AD453" s="280"/>
      <c r="AE453" s="388"/>
    </row>
    <row r="454" spans="3:31" ht="15.9" customHeight="1" thickBot="1" x14ac:dyDescent="0.35">
      <c r="C454" s="292"/>
      <c r="D454" s="363"/>
      <c r="E454" s="364"/>
      <c r="F454" s="364"/>
      <c r="G454" s="364"/>
      <c r="H454" s="365" t="str">
        <f>G452</f>
        <v>1.3</v>
      </c>
      <c r="I454" s="365"/>
      <c r="J454" s="381"/>
      <c r="K454" s="293"/>
      <c r="M454" s="726" t="s">
        <v>125</v>
      </c>
      <c r="N454" s="726"/>
      <c r="O454" s="726"/>
      <c r="P454" s="726"/>
      <c r="Q454" s="726"/>
      <c r="R454" s="726"/>
      <c r="S454" s="726"/>
      <c r="T454" s="726"/>
      <c r="U454" s="728">
        <f>+V452+V445+V437+V430</f>
        <v>23060</v>
      </c>
      <c r="V454" s="728"/>
      <c r="Y454" s="389"/>
      <c r="Z454" s="390">
        <f>+Z452+Z445+Z437+Z430</f>
        <v>2273913</v>
      </c>
      <c r="AA454" s="279"/>
      <c r="AB454" s="385">
        <f>+AB452+AB445+AB437+AB430</f>
        <v>2273946.6</v>
      </c>
      <c r="AC454" s="325">
        <f>+AB454-Z454</f>
        <v>33.600000000093132</v>
      </c>
      <c r="AD454" s="280"/>
      <c r="AE454" s="391"/>
    </row>
    <row r="455" spans="3:31" ht="15.9" customHeight="1" thickBot="1" x14ac:dyDescent="0.3">
      <c r="M455" s="412"/>
      <c r="N455" s="412"/>
      <c r="O455" s="412"/>
      <c r="P455" s="412"/>
      <c r="Q455" s="412"/>
      <c r="R455" s="412"/>
      <c r="S455" s="412"/>
      <c r="T455" s="412"/>
      <c r="U455" s="412"/>
      <c r="V455" s="412"/>
    </row>
    <row r="456" spans="3:31" ht="15.9" customHeight="1" x14ac:dyDescent="0.25">
      <c r="M456" s="729" t="s">
        <v>364</v>
      </c>
      <c r="N456" s="729"/>
      <c r="O456" s="729"/>
      <c r="P456" s="729"/>
      <c r="Q456" s="729"/>
      <c r="R456" s="729"/>
      <c r="S456" s="729"/>
      <c r="T456" s="729"/>
      <c r="U456" s="729"/>
      <c r="V456" s="729"/>
      <c r="Y456" s="298"/>
      <c r="Z456" s="299"/>
      <c r="AA456" s="279"/>
      <c r="AB456" s="280"/>
      <c r="AC456" s="280"/>
      <c r="AD456" s="280"/>
      <c r="AE456" s="335" t="s">
        <v>137</v>
      </c>
    </row>
    <row r="457" spans="3:31" ht="15.9" customHeight="1" x14ac:dyDescent="0.25">
      <c r="M457" s="700" t="s">
        <v>142</v>
      </c>
      <c r="N457" s="700"/>
      <c r="O457" s="700"/>
      <c r="P457" s="700"/>
      <c r="Q457" s="700"/>
      <c r="R457" s="700"/>
      <c r="S457" s="700"/>
      <c r="T457" s="413">
        <f>$AA$3</f>
        <v>0.25</v>
      </c>
      <c r="U457" s="701">
        <f>+ROUND(U454*T457,$AA$2)</f>
        <v>5765</v>
      </c>
      <c r="V457" s="701"/>
      <c r="Y457" s="317"/>
      <c r="Z457" s="414">
        <f>+Z454*T457</f>
        <v>568478.25</v>
      </c>
      <c r="AA457" s="279"/>
      <c r="AB457" s="280"/>
      <c r="AC457" s="280"/>
      <c r="AD457" s="280"/>
      <c r="AE457" s="310" t="s">
        <v>137</v>
      </c>
    </row>
    <row r="458" spans="3:31" ht="15.9" customHeight="1" x14ac:dyDescent="0.25">
      <c r="M458" s="700" t="s">
        <v>19</v>
      </c>
      <c r="N458" s="700"/>
      <c r="O458" s="700"/>
      <c r="P458" s="700"/>
      <c r="Q458" s="700"/>
      <c r="R458" s="700"/>
      <c r="S458" s="700"/>
      <c r="T458" s="413">
        <f>$AA$4</f>
        <v>0.03</v>
      </c>
      <c r="U458" s="701">
        <f>+ROUND(U454*T458,$AA$2)</f>
        <v>692</v>
      </c>
      <c r="V458" s="701"/>
      <c r="Y458" s="317"/>
      <c r="Z458" s="414">
        <f>+Z454*T458</f>
        <v>68217.39</v>
      </c>
      <c r="AA458" s="279"/>
      <c r="AB458" s="280"/>
      <c r="AC458" s="280"/>
      <c r="AD458" s="280"/>
      <c r="AE458" s="310" t="s">
        <v>137</v>
      </c>
    </row>
    <row r="459" spans="3:31" ht="15.9" customHeight="1" x14ac:dyDescent="0.25">
      <c r="M459" s="700" t="s">
        <v>20</v>
      </c>
      <c r="N459" s="700"/>
      <c r="O459" s="700"/>
      <c r="P459" s="700"/>
      <c r="Q459" s="700"/>
      <c r="R459" s="700"/>
      <c r="S459" s="700"/>
      <c r="T459" s="413">
        <f>$AA$5</f>
        <v>0.05</v>
      </c>
      <c r="U459" s="701">
        <f>+ROUND(U454*T459,$AA$2)</f>
        <v>1153</v>
      </c>
      <c r="V459" s="701"/>
      <c r="Y459" s="317"/>
      <c r="Z459" s="414">
        <f>+Z454*T459</f>
        <v>113695.65000000001</v>
      </c>
      <c r="AA459" s="279"/>
      <c r="AB459" s="280"/>
      <c r="AC459" s="280"/>
      <c r="AD459" s="280"/>
      <c r="AE459" s="310" t="s">
        <v>137</v>
      </c>
    </row>
    <row r="460" spans="3:31" ht="15.9" customHeight="1" x14ac:dyDescent="0.25">
      <c r="M460" s="700" t="s">
        <v>21</v>
      </c>
      <c r="N460" s="700"/>
      <c r="O460" s="700"/>
      <c r="P460" s="700"/>
      <c r="Q460" s="700"/>
      <c r="R460" s="700"/>
      <c r="S460" s="700"/>
      <c r="T460" s="413">
        <f>$AA$6</f>
        <v>0</v>
      </c>
      <c r="U460" s="701">
        <f>+ROUND(U454*T460,$AA$2)</f>
        <v>0</v>
      </c>
      <c r="V460" s="701"/>
      <c r="Y460" s="317"/>
      <c r="Z460" s="414">
        <f>+Z459*T460</f>
        <v>0</v>
      </c>
      <c r="AA460" s="279"/>
      <c r="AB460" s="280"/>
      <c r="AC460" s="280"/>
      <c r="AD460" s="280"/>
      <c r="AE460" s="310" t="s">
        <v>137</v>
      </c>
    </row>
    <row r="461" spans="3:31" ht="15.9" customHeight="1" thickBot="1" x14ac:dyDescent="0.3">
      <c r="M461" s="702" t="s">
        <v>365</v>
      </c>
      <c r="N461" s="702"/>
      <c r="O461" s="702"/>
      <c r="P461" s="702"/>
      <c r="Q461" s="702"/>
      <c r="R461" s="702"/>
      <c r="S461" s="702"/>
      <c r="T461" s="702"/>
      <c r="U461" s="703">
        <f>+SUM(U457:V460)</f>
        <v>7610</v>
      </c>
      <c r="V461" s="703"/>
      <c r="Y461" s="317"/>
      <c r="Z461" s="415">
        <f>+SUM(Z457:Z460)</f>
        <v>750391.29</v>
      </c>
      <c r="AA461" s="279"/>
      <c r="AB461" s="280"/>
      <c r="AC461" s="280"/>
      <c r="AD461" s="280"/>
      <c r="AE461" s="310" t="s">
        <v>137</v>
      </c>
    </row>
    <row r="462" spans="3:31" ht="15.9" customHeight="1" thickBot="1" x14ac:dyDescent="0.3">
      <c r="D462" s="295" t="s">
        <v>132</v>
      </c>
      <c r="E462" s="296" t="s">
        <v>133</v>
      </c>
      <c r="F462" s="296" t="s">
        <v>134</v>
      </c>
      <c r="G462" s="296" t="s">
        <v>135</v>
      </c>
      <c r="H462" s="296" t="s">
        <v>136</v>
      </c>
      <c r="I462" s="296" t="s">
        <v>137</v>
      </c>
      <c r="J462" s="297" t="s">
        <v>138</v>
      </c>
      <c r="M462" s="377"/>
      <c r="N462" s="416"/>
      <c r="O462" s="416"/>
      <c r="P462" s="416"/>
      <c r="Q462" s="377"/>
      <c r="R462" s="377"/>
      <c r="S462" s="377"/>
      <c r="T462" s="417"/>
      <c r="U462" s="701"/>
      <c r="V462" s="701"/>
      <c r="Y462" s="317"/>
      <c r="Z462" s="291"/>
      <c r="AA462" s="279"/>
      <c r="AB462" s="280"/>
      <c r="AC462" s="280"/>
      <c r="AD462" s="280"/>
      <c r="AE462" s="310" t="s">
        <v>137</v>
      </c>
    </row>
    <row r="463" spans="3:31" ht="15.9" customHeight="1" thickBot="1" x14ac:dyDescent="0.3">
      <c r="D463" s="363"/>
      <c r="E463" s="364"/>
      <c r="F463" s="364"/>
      <c r="G463" s="364"/>
      <c r="H463" s="365"/>
      <c r="I463" s="365" t="str">
        <f>H454</f>
        <v>1.3</v>
      </c>
      <c r="J463" s="381"/>
      <c r="M463" s="702" t="s">
        <v>11</v>
      </c>
      <c r="N463" s="702"/>
      <c r="O463" s="702"/>
      <c r="P463" s="702"/>
      <c r="Q463" s="702"/>
      <c r="R463" s="702"/>
      <c r="S463" s="702"/>
      <c r="T463" s="702"/>
      <c r="U463" s="704">
        <f>+U461+U454</f>
        <v>30670</v>
      </c>
      <c r="V463" s="704"/>
      <c r="Y463" s="389"/>
      <c r="Z463" s="418">
        <f>+Z461+Z454</f>
        <v>3024304.29</v>
      </c>
      <c r="AA463" s="279"/>
      <c r="AB463" s="280"/>
      <c r="AC463" s="280"/>
      <c r="AD463" s="280"/>
      <c r="AE463" s="334" t="s">
        <v>137</v>
      </c>
    </row>
    <row r="464" spans="3:31" ht="15.9" customHeight="1" x14ac:dyDescent="0.25">
      <c r="M464" s="705"/>
      <c r="N464" s="705"/>
      <c r="O464" s="705"/>
      <c r="P464" s="705"/>
      <c r="Q464" s="705"/>
      <c r="R464" s="706"/>
      <c r="S464" s="706"/>
      <c r="T464" s="706"/>
      <c r="U464" s="706"/>
      <c r="V464" s="706"/>
    </row>
    <row r="465" spans="3:31" ht="15.9" customHeight="1" x14ac:dyDescent="0.25">
      <c r="M465" s="705"/>
      <c r="N465" s="705"/>
      <c r="O465" s="705"/>
      <c r="P465" s="705"/>
      <c r="Q465" s="705"/>
      <c r="R465" s="706"/>
      <c r="S465" s="706"/>
      <c r="T465" s="706"/>
      <c r="U465" s="706"/>
      <c r="V465" s="706"/>
    </row>
    <row r="466" spans="3:31" ht="15.9" customHeight="1" x14ac:dyDescent="0.25">
      <c r="M466" s="705"/>
      <c r="N466" s="705"/>
      <c r="O466" s="705"/>
      <c r="P466" s="705"/>
      <c r="Q466" s="705"/>
      <c r="R466" s="706"/>
      <c r="S466" s="706"/>
      <c r="T466" s="706"/>
      <c r="U466" s="706"/>
      <c r="V466" s="706"/>
    </row>
    <row r="467" spans="3:31" ht="15.9" customHeight="1" x14ac:dyDescent="0.25">
      <c r="M467" s="705"/>
      <c r="N467" s="705"/>
      <c r="O467" s="705"/>
      <c r="P467" s="705"/>
      <c r="Q467" s="705"/>
      <c r="R467" s="706"/>
      <c r="S467" s="706"/>
      <c r="T467" s="706"/>
      <c r="U467" s="706"/>
      <c r="V467" s="706"/>
    </row>
    <row r="468" spans="3:31" ht="15.9" customHeight="1" x14ac:dyDescent="0.25">
      <c r="M468" s="707" t="s">
        <v>128</v>
      </c>
      <c r="N468" s="708" t="str">
        <f>$N$6</f>
        <v>ING. JEYSON JULIAN LEON RUEDA</v>
      </c>
      <c r="O468" s="709"/>
      <c r="P468" s="709"/>
      <c r="Q468" s="710"/>
      <c r="R468" s="711" t="s">
        <v>129</v>
      </c>
      <c r="S468" s="708" t="str">
        <f>$S$6</f>
        <v>ARQ. YASMID ROCÍO CARRILLO MORA</v>
      </c>
      <c r="T468" s="709"/>
      <c r="U468" s="709"/>
      <c r="V468" s="710"/>
    </row>
    <row r="469" spans="3:31" ht="15.9" customHeight="1" x14ac:dyDescent="0.25">
      <c r="M469" s="707"/>
      <c r="N469" s="712" t="str">
        <f>$N$7</f>
        <v>MP. 68202-416348 STD</v>
      </c>
      <c r="O469" s="713"/>
      <c r="P469" s="713"/>
      <c r="Q469" s="714"/>
      <c r="R469" s="711"/>
      <c r="S469" s="712" t="str">
        <f>$S$7</f>
        <v>SECRETARIA DE PLANEACIÓN Y OBRAS PÚBLICAS</v>
      </c>
      <c r="T469" s="713"/>
      <c r="U469" s="713"/>
      <c r="V469" s="714"/>
    </row>
    <row r="470" spans="3:31" ht="15.9" customHeight="1" x14ac:dyDescent="0.25">
      <c r="M470" s="707"/>
      <c r="N470" s="715"/>
      <c r="O470" s="716"/>
      <c r="P470" s="716"/>
      <c r="Q470" s="717"/>
      <c r="R470" s="711"/>
      <c r="S470" s="712" t="str">
        <f>$S$8</f>
        <v>MUNICIPIO DE PINCHOTE</v>
      </c>
      <c r="T470" s="713"/>
      <c r="U470" s="713"/>
      <c r="V470" s="714"/>
    </row>
    <row r="471" spans="3:31" ht="15.9" customHeight="1" x14ac:dyDescent="0.25"/>
    <row r="472" spans="3:31" ht="15.9" customHeight="1" thickBot="1" x14ac:dyDescent="0.3"/>
    <row r="473" spans="3:31" ht="15.9" customHeight="1" thickBot="1" x14ac:dyDescent="0.3">
      <c r="M473" s="281" t="s">
        <v>90</v>
      </c>
      <c r="N473" s="410" t="s">
        <v>29</v>
      </c>
      <c r="O473" s="706" t="str">
        <f>IFERROR(VLOOKUP(N473,PPTO!$C$9:$H$64,2,0),"----")</f>
        <v>COMPONENTE ACUEDUCTO</v>
      </c>
      <c r="P473" s="706"/>
      <c r="Q473" s="706"/>
      <c r="R473" s="706"/>
      <c r="S473" s="706"/>
      <c r="T473" s="706"/>
      <c r="U473" s="706"/>
      <c r="V473" s="283" t="s">
        <v>93</v>
      </c>
      <c r="Y473" s="284" t="s">
        <v>107</v>
      </c>
      <c r="Z473" s="280"/>
      <c r="AA473" s="274"/>
      <c r="AB473" s="735"/>
      <c r="AC473" s="735"/>
      <c r="AD473" s="735"/>
      <c r="AE473" s="280"/>
    </row>
    <row r="474" spans="3:31" ht="15.9" customHeight="1" thickBot="1" x14ac:dyDescent="0.35">
      <c r="C474" s="285">
        <f>+N474</f>
        <v>1.4</v>
      </c>
      <c r="D474" s="279"/>
      <c r="E474" s="279"/>
      <c r="F474" s="279"/>
      <c r="G474" s="279"/>
      <c r="H474" s="279"/>
      <c r="I474" s="279"/>
      <c r="J474" s="279"/>
      <c r="K474" s="286"/>
      <c r="M474" s="283" t="s">
        <v>94</v>
      </c>
      <c r="N474" s="287">
        <v>1.4</v>
      </c>
      <c r="O474" s="736" t="str">
        <f>IFERROR(VLOOKUP(N474,PPTO!$C$9:$H$64,2,0),"----")</f>
        <v>Excavaciones en material común en seco a maquina (Incluye retiro y disposición final)</v>
      </c>
      <c r="P474" s="736"/>
      <c r="Q474" s="736"/>
      <c r="R474" s="736"/>
      <c r="S474" s="736"/>
      <c r="T474" s="736"/>
      <c r="U474" s="736"/>
      <c r="V474" s="288" t="str">
        <f>IFERROR(VLOOKUP(N474,PPTO!$C$9:$H$64,3,0),"----")</f>
        <v>m3</v>
      </c>
      <c r="Y474" s="289">
        <f>SUMIFS(PPTO!$F$7:$F$63,PPTO!$C$7:$C$63,APUS!N474)</f>
        <v>103.54050000000001</v>
      </c>
      <c r="Z474" s="280"/>
      <c r="AA474" s="279"/>
      <c r="AB474" s="280"/>
      <c r="AC474" s="280"/>
      <c r="AD474" s="280"/>
      <c r="AE474" s="280"/>
    </row>
    <row r="475" spans="3:31" ht="15.9" customHeight="1" thickBot="1" x14ac:dyDescent="0.35">
      <c r="C475" s="292"/>
      <c r="D475" s="279"/>
      <c r="E475" s="279"/>
      <c r="F475" s="279"/>
      <c r="G475" s="279"/>
      <c r="H475" s="279"/>
      <c r="I475" s="279"/>
      <c r="J475" s="279"/>
      <c r="K475" s="293"/>
      <c r="M475" s="737"/>
      <c r="N475" s="737"/>
      <c r="O475" s="737"/>
      <c r="P475" s="737"/>
      <c r="Q475" s="737"/>
      <c r="R475" s="737"/>
      <c r="S475" s="737"/>
      <c r="T475" s="737"/>
      <c r="U475" s="737"/>
      <c r="V475" s="737"/>
      <c r="Y475" s="294"/>
      <c r="Z475" s="280"/>
      <c r="AA475" s="279"/>
      <c r="AB475" s="280"/>
      <c r="AC475" s="280"/>
      <c r="AD475" s="280"/>
      <c r="AE475" s="280"/>
    </row>
    <row r="476" spans="3:31" ht="15.9" customHeight="1" thickBot="1" x14ac:dyDescent="0.35">
      <c r="C476" s="292"/>
      <c r="D476" s="295" t="s">
        <v>132</v>
      </c>
      <c r="E476" s="296" t="s">
        <v>133</v>
      </c>
      <c r="F476" s="296" t="s">
        <v>134</v>
      </c>
      <c r="G476" s="296" t="s">
        <v>135</v>
      </c>
      <c r="H476" s="296" t="s">
        <v>136</v>
      </c>
      <c r="I476" s="296" t="s">
        <v>137</v>
      </c>
      <c r="J476" s="297" t="s">
        <v>138</v>
      </c>
      <c r="K476" s="293"/>
      <c r="M476" s="738" t="s">
        <v>96</v>
      </c>
      <c r="N476" s="738"/>
      <c r="O476" s="738"/>
      <c r="P476" s="738"/>
      <c r="Q476" s="738"/>
      <c r="R476" s="738"/>
      <c r="S476" s="738"/>
      <c r="T476" s="738"/>
      <c r="U476" s="738"/>
      <c r="V476" s="738"/>
      <c r="Y476" s="298"/>
      <c r="Z476" s="299"/>
      <c r="AA476" s="279"/>
      <c r="AB476" s="731"/>
      <c r="AC476" s="732"/>
      <c r="AD476" s="280"/>
      <c r="AE476" s="303"/>
    </row>
    <row r="477" spans="3:31" ht="15.9" customHeight="1" x14ac:dyDescent="0.3">
      <c r="C477" s="292"/>
      <c r="D477" s="304"/>
      <c r="E477" s="305"/>
      <c r="F477" s="305"/>
      <c r="G477" s="305"/>
      <c r="H477" s="305"/>
      <c r="I477" s="305"/>
      <c r="J477" s="306"/>
      <c r="K477" s="293"/>
      <c r="M477" s="307" t="s">
        <v>97</v>
      </c>
      <c r="N477" s="706" t="s">
        <v>98</v>
      </c>
      <c r="O477" s="706"/>
      <c r="P477" s="706"/>
      <c r="Q477" s="706"/>
      <c r="R477" s="307" t="s">
        <v>99</v>
      </c>
      <c r="S477" s="307" t="s">
        <v>100</v>
      </c>
      <c r="T477" s="734" t="s">
        <v>8</v>
      </c>
      <c r="U477" s="734"/>
      <c r="V477" s="307" t="s">
        <v>101</v>
      </c>
      <c r="Y477" s="308" t="s">
        <v>107</v>
      </c>
      <c r="Z477" s="309" t="s">
        <v>9</v>
      </c>
      <c r="AA477" s="279"/>
      <c r="AB477" s="290"/>
      <c r="AC477" s="291"/>
      <c r="AD477" s="280"/>
      <c r="AE477" s="310"/>
    </row>
    <row r="478" spans="3:31" ht="15.9" customHeight="1" x14ac:dyDescent="0.3">
      <c r="C478" s="292"/>
      <c r="D478" s="311"/>
      <c r="E478" s="279"/>
      <c r="F478" s="279"/>
      <c r="G478" s="279"/>
      <c r="H478" s="279"/>
      <c r="I478" s="279"/>
      <c r="J478" s="312"/>
      <c r="K478" s="293"/>
      <c r="M478" s="313"/>
      <c r="N478" s="718" t="s">
        <v>102</v>
      </c>
      <c r="O478" s="718"/>
      <c r="P478" s="718"/>
      <c r="Q478" s="718"/>
      <c r="R478" s="314" t="s">
        <v>103</v>
      </c>
      <c r="S478" s="315">
        <f>$AA$9</f>
        <v>0.05</v>
      </c>
      <c r="T478" s="766">
        <f>V505</f>
        <v>3419</v>
      </c>
      <c r="U478" s="766"/>
      <c r="V478" s="316">
        <f>+IFERROR(T478*S478,0)</f>
        <v>170.95000000000002</v>
      </c>
      <c r="Y478" s="317"/>
      <c r="Z478" s="318">
        <f>Y474*V478</f>
        <v>17700.248475000004</v>
      </c>
      <c r="AA478" s="279"/>
      <c r="AB478" s="290"/>
      <c r="AC478" s="291"/>
      <c r="AD478" s="280"/>
      <c r="AE478" s="310" t="str">
        <f>+IF(V478=0,"CERO","NO")</f>
        <v>NO</v>
      </c>
    </row>
    <row r="479" spans="3:31" ht="15.9" customHeight="1" x14ac:dyDescent="0.3">
      <c r="C479" s="292"/>
      <c r="D479" s="311"/>
      <c r="E479" s="279"/>
      <c r="F479" s="279"/>
      <c r="G479" s="279"/>
      <c r="H479" s="279"/>
      <c r="I479" s="279"/>
      <c r="J479" s="312"/>
      <c r="K479" s="293"/>
      <c r="M479" s="319">
        <v>99</v>
      </c>
      <c r="N479" s="718" t="str">
        <f>IFERROR(VLOOKUP(M479,INSUMOS!$C$8:$K$934,2,0),"-----")</f>
        <v>Disposicion final de escombros</v>
      </c>
      <c r="O479" s="718"/>
      <c r="P479" s="718"/>
      <c r="Q479" s="718"/>
      <c r="R479" s="314" t="str">
        <f>IFERROR(VLOOKUP(M479,INSUMOS!$C$8:$K$934,6,0),"-----")</f>
        <v>m3</v>
      </c>
      <c r="S479" s="320">
        <v>1.2</v>
      </c>
      <c r="T479" s="767">
        <f>IFERROR(VLOOKUP(M479,INSUMOS!$C$8:$K$934,7,0),"0")</f>
        <v>9683</v>
      </c>
      <c r="U479" s="767"/>
      <c r="V479" s="316">
        <f>+IFERROR(T479*S479,0)</f>
        <v>11619.6</v>
      </c>
      <c r="Y479" s="321">
        <f>+IFERROR(Y474*S479,0)</f>
        <v>124.24860000000001</v>
      </c>
      <c r="Z479" s="318">
        <f>Y474*V479</f>
        <v>1203099.1938000002</v>
      </c>
      <c r="AA479" s="300"/>
      <c r="AB479" s="301">
        <f>+Y479*T479</f>
        <v>1203099.1938</v>
      </c>
      <c r="AC479" s="302">
        <f>+AB479-Z479</f>
        <v>0</v>
      </c>
      <c r="AD479" s="280"/>
      <c r="AE479" s="310" t="str">
        <f>+IF(V479=0,"CERO","NO")</f>
        <v>NO</v>
      </c>
    </row>
    <row r="480" spans="3:31" ht="15.9" customHeight="1" x14ac:dyDescent="0.3">
      <c r="C480" s="292"/>
      <c r="D480" s="311"/>
      <c r="E480" s="279"/>
      <c r="F480" s="279"/>
      <c r="G480" s="279"/>
      <c r="H480" s="279"/>
      <c r="I480" s="279"/>
      <c r="J480" s="312"/>
      <c r="K480" s="293"/>
      <c r="M480" s="313">
        <v>30</v>
      </c>
      <c r="N480" s="718" t="str">
        <f>IFERROR(VLOOKUP(M480,INSUMOS!$C$8:$K$934,2,0),"-----")</f>
        <v>RetroExcavadora</v>
      </c>
      <c r="O480" s="718"/>
      <c r="P480" s="718"/>
      <c r="Q480" s="718"/>
      <c r="R480" s="314" t="str">
        <f>IFERROR(VLOOKUP(M480,INSUMOS!$C$8:$K$934,6,0),"-----")</f>
        <v>Hora</v>
      </c>
      <c r="S480" s="320">
        <v>0.2</v>
      </c>
      <c r="T480" s="767">
        <f>IFERROR(VLOOKUP(M480,INSUMOS!$C$8:$K$934,7,0),"0")</f>
        <v>190000</v>
      </c>
      <c r="U480" s="767"/>
      <c r="V480" s="316">
        <f>+IFERROR(T480*S480,0)</f>
        <v>38000</v>
      </c>
      <c r="Y480" s="321">
        <f>+IFERROR(Y474*S480,0)</f>
        <v>20.708100000000002</v>
      </c>
      <c r="Z480" s="318">
        <f>Y474*V480</f>
        <v>3934539.0000000005</v>
      </c>
      <c r="AA480" s="300"/>
      <c r="AB480" s="301">
        <f>+Y480*T480</f>
        <v>3934539.0000000005</v>
      </c>
      <c r="AC480" s="302">
        <f>+AB480-Z480</f>
        <v>0</v>
      </c>
      <c r="AD480" s="280"/>
      <c r="AE480" s="310" t="str">
        <f>+IF(V480=0,"CERO","NO")</f>
        <v>NO</v>
      </c>
    </row>
    <row r="481" spans="3:31" ht="15.9" customHeight="1" thickBot="1" x14ac:dyDescent="0.35">
      <c r="C481" s="292"/>
      <c r="D481" s="311"/>
      <c r="E481" s="279"/>
      <c r="F481" s="279"/>
      <c r="G481" s="279"/>
      <c r="H481" s="279"/>
      <c r="I481" s="279"/>
      <c r="J481" s="312"/>
      <c r="K481" s="293"/>
      <c r="M481" s="313">
        <v>0</v>
      </c>
      <c r="N481" s="727"/>
      <c r="O481" s="727"/>
      <c r="P481" s="727"/>
      <c r="Q481" s="727"/>
      <c r="R481" s="326"/>
      <c r="S481" s="326"/>
      <c r="T481" s="768"/>
      <c r="U481" s="768"/>
      <c r="V481" s="327"/>
      <c r="Y481" s="321">
        <f>+IFERROR(Y474*S481,0)</f>
        <v>0</v>
      </c>
      <c r="Z481" s="318">
        <f>Y474*V481</f>
        <v>0</v>
      </c>
      <c r="AA481" s="300"/>
      <c r="AB481" s="301">
        <f>+Y481*T481</f>
        <v>0</v>
      </c>
      <c r="AC481" s="302">
        <f>+AB481-Z481</f>
        <v>0</v>
      </c>
      <c r="AD481" s="280"/>
      <c r="AE481" s="310" t="str">
        <f>+IF(V481=0,"CERO","NO")</f>
        <v>CERO</v>
      </c>
    </row>
    <row r="482" spans="3:31" ht="15.9" customHeight="1" thickBot="1" x14ac:dyDescent="0.35">
      <c r="C482" s="292"/>
      <c r="D482" s="295" t="s">
        <v>132</v>
      </c>
      <c r="E482" s="296" t="s">
        <v>133</v>
      </c>
      <c r="F482" s="296" t="s">
        <v>134</v>
      </c>
      <c r="G482" s="296" t="s">
        <v>135</v>
      </c>
      <c r="H482" s="296" t="s">
        <v>136</v>
      </c>
      <c r="I482" s="296" t="s">
        <v>137</v>
      </c>
      <c r="J482" s="297" t="s">
        <v>138</v>
      </c>
      <c r="K482" s="293"/>
      <c r="M482" s="724"/>
      <c r="N482" s="725" t="s">
        <v>104</v>
      </c>
      <c r="O482" s="725"/>
      <c r="P482" s="725"/>
      <c r="Q482" s="725"/>
      <c r="R482" s="725"/>
      <c r="S482" s="725"/>
      <c r="T482" s="725"/>
      <c r="U482" s="725"/>
      <c r="V482" s="316">
        <f>+SUM(V478:V481)</f>
        <v>49790.55</v>
      </c>
      <c r="Y482" s="328" t="s">
        <v>139</v>
      </c>
      <c r="Z482" s="329">
        <f>+SUM(Z478:Z481)</f>
        <v>5155338.4422750007</v>
      </c>
      <c r="AA482" s="279"/>
      <c r="AB482" s="290"/>
      <c r="AC482" s="291"/>
      <c r="AD482" s="280"/>
      <c r="AE482" s="330"/>
    </row>
    <row r="483" spans="3:31" ht="15.9" customHeight="1" thickBot="1" x14ac:dyDescent="0.35">
      <c r="C483" s="292"/>
      <c r="D483" s="295">
        <f>C474</f>
        <v>1.4</v>
      </c>
      <c r="E483" s="296"/>
      <c r="F483" s="296"/>
      <c r="G483" s="296"/>
      <c r="H483" s="296"/>
      <c r="I483" s="296"/>
      <c r="J483" s="297"/>
      <c r="K483" s="293"/>
      <c r="M483" s="724"/>
      <c r="N483" s="726" t="s">
        <v>105</v>
      </c>
      <c r="O483" s="726"/>
      <c r="P483" s="726"/>
      <c r="Q483" s="726"/>
      <c r="R483" s="726"/>
      <c r="S483" s="726"/>
      <c r="T483" s="726"/>
      <c r="U483" s="726"/>
      <c r="V483" s="344">
        <f>+ROUND(V482,$AA$2)</f>
        <v>49791</v>
      </c>
      <c r="Y483" s="332" t="s">
        <v>140</v>
      </c>
      <c r="Z483" s="333">
        <f>+ROUND(Z482,$AA$2)</f>
        <v>5155338</v>
      </c>
      <c r="AA483" s="279"/>
      <c r="AB483" s="324">
        <f>+V483*Y474</f>
        <v>5155385.0355000002</v>
      </c>
      <c r="AC483" s="325">
        <f>+AB483-Z483</f>
        <v>47.035500000230968</v>
      </c>
      <c r="AD483" s="280"/>
      <c r="AE483" s="334"/>
    </row>
    <row r="484" spans="3:31" ht="15.9" customHeight="1" x14ac:dyDescent="0.3">
      <c r="C484" s="292"/>
      <c r="D484" s="304"/>
      <c r="E484" s="305"/>
      <c r="F484" s="305"/>
      <c r="G484" s="305"/>
      <c r="H484" s="305"/>
      <c r="I484" s="305"/>
      <c r="J484" s="306"/>
      <c r="K484" s="293"/>
      <c r="M484" s="730" t="s">
        <v>106</v>
      </c>
      <c r="N484" s="730"/>
      <c r="O484" s="730"/>
      <c r="P484" s="730"/>
      <c r="Q484" s="730"/>
      <c r="R484" s="730"/>
      <c r="S484" s="730"/>
      <c r="T484" s="730"/>
      <c r="U484" s="730"/>
      <c r="V484" s="730"/>
      <c r="Y484" s="298"/>
      <c r="Z484" s="299"/>
      <c r="AA484" s="279"/>
      <c r="AB484" s="731"/>
      <c r="AC484" s="732"/>
      <c r="AD484" s="280"/>
      <c r="AE484" s="335"/>
    </row>
    <row r="485" spans="3:31" ht="15.9" customHeight="1" x14ac:dyDescent="0.3">
      <c r="C485" s="292"/>
      <c r="D485" s="311"/>
      <c r="E485" s="279"/>
      <c r="F485" s="279"/>
      <c r="G485" s="279"/>
      <c r="H485" s="279"/>
      <c r="I485" s="279"/>
      <c r="J485" s="312"/>
      <c r="K485" s="293"/>
      <c r="M485" s="307" t="s">
        <v>97</v>
      </c>
      <c r="N485" s="706" t="s">
        <v>98</v>
      </c>
      <c r="O485" s="706"/>
      <c r="P485" s="706"/>
      <c r="Q485" s="706"/>
      <c r="R485" s="307" t="s">
        <v>99</v>
      </c>
      <c r="S485" s="307" t="s">
        <v>107</v>
      </c>
      <c r="T485" s="336" t="s">
        <v>108</v>
      </c>
      <c r="U485" s="336" t="s">
        <v>8</v>
      </c>
      <c r="V485" s="307" t="s">
        <v>101</v>
      </c>
      <c r="Y485" s="308" t="s">
        <v>107</v>
      </c>
      <c r="Z485" s="309" t="s">
        <v>9</v>
      </c>
      <c r="AA485" s="279"/>
      <c r="AB485" s="290"/>
      <c r="AC485" s="291"/>
      <c r="AD485" s="280"/>
      <c r="AE485" s="337"/>
    </row>
    <row r="486" spans="3:31" ht="15.9" customHeight="1" x14ac:dyDescent="0.3">
      <c r="C486" s="292"/>
      <c r="D486" s="311"/>
      <c r="E486" s="279"/>
      <c r="F486" s="279"/>
      <c r="G486" s="279"/>
      <c r="H486" s="279"/>
      <c r="I486" s="279"/>
      <c r="J486" s="312"/>
      <c r="K486" s="293"/>
      <c r="M486" s="313">
        <v>0</v>
      </c>
      <c r="N486" s="718" t="str">
        <f>IFERROR(VLOOKUP(M486,INSUMOS!$C$8:$K$934,2,0),"-----")</f>
        <v>-----</v>
      </c>
      <c r="O486" s="718"/>
      <c r="P486" s="718"/>
      <c r="Q486" s="718"/>
      <c r="R486" s="314" t="str">
        <f>IFERROR(VLOOKUP(M486,INSUMOS!$C$8:$K$934,6,0),"-----")</f>
        <v>-----</v>
      </c>
      <c r="S486" s="322"/>
      <c r="T486" s="315">
        <v>0</v>
      </c>
      <c r="U486" s="338" t="str">
        <f>IFERROR(VLOOKUP(M486,INSUMOS!$C$8:$K$934,7,0),"0")</f>
        <v>0</v>
      </c>
      <c r="V486" s="316">
        <f>+IFERROR(U486*(S486*(1+T486)),0)</f>
        <v>0</v>
      </c>
      <c r="Y486" s="321">
        <f>+IFERROR(Y474*(S486*(1+T486)),0)</f>
        <v>0</v>
      </c>
      <c r="Z486" s="318">
        <f>Y474*V486</f>
        <v>0</v>
      </c>
      <c r="AA486" s="300"/>
      <c r="AB486" s="301">
        <f>+Y486*U486</f>
        <v>0</v>
      </c>
      <c r="AC486" s="302">
        <f>+AB486-Z486</f>
        <v>0</v>
      </c>
      <c r="AD486" s="280"/>
      <c r="AE486" s="337" t="str">
        <f t="shared" ref="AE486:AE488" si="63">+IF(V486=0,"CERO","NO")</f>
        <v>CERO</v>
      </c>
    </row>
    <row r="487" spans="3:31" ht="15.9" customHeight="1" x14ac:dyDescent="0.3">
      <c r="C487" s="292"/>
      <c r="D487" s="311"/>
      <c r="E487" s="279"/>
      <c r="F487" s="279"/>
      <c r="G487" s="279"/>
      <c r="H487" s="279"/>
      <c r="I487" s="279"/>
      <c r="J487" s="312"/>
      <c r="K487" s="293"/>
      <c r="M487" s="313">
        <v>0</v>
      </c>
      <c r="N487" s="718" t="str">
        <f>IFERROR(VLOOKUP(M487,INSUMOS!$C$8:$K$934,2,0),"-----")</f>
        <v>-----</v>
      </c>
      <c r="O487" s="718"/>
      <c r="P487" s="718"/>
      <c r="Q487" s="718"/>
      <c r="R487" s="314" t="str">
        <f>IFERROR(VLOOKUP(M487,INSUMOS!$C$8:$K$934,6,0),"-----")</f>
        <v>-----</v>
      </c>
      <c r="S487" s="322"/>
      <c r="T487" s="315">
        <v>0</v>
      </c>
      <c r="U487" s="338" t="str">
        <f>IFERROR(VLOOKUP(M487,INSUMOS!$C$8:$K$934,7,0),"0")</f>
        <v>0</v>
      </c>
      <c r="V487" s="316">
        <f>+IFERROR(U487*(S487*(1+T487)),0)</f>
        <v>0</v>
      </c>
      <c r="Y487" s="321">
        <f>+IFERROR(Y474*(S487*(1+T487)),0)</f>
        <v>0</v>
      </c>
      <c r="Z487" s="318">
        <f>Y474*V487</f>
        <v>0</v>
      </c>
      <c r="AA487" s="300"/>
      <c r="AB487" s="301">
        <f t="shared" ref="AB487:AB488" si="64">+Y487*U487</f>
        <v>0</v>
      </c>
      <c r="AC487" s="302">
        <f t="shared" ref="AC487:AC488" si="65">+AB487-Z487</f>
        <v>0</v>
      </c>
      <c r="AD487" s="280"/>
      <c r="AE487" s="337" t="str">
        <f t="shared" si="63"/>
        <v>CERO</v>
      </c>
    </row>
    <row r="488" spans="3:31" ht="15.9" customHeight="1" thickBot="1" x14ac:dyDescent="0.35">
      <c r="C488" s="292"/>
      <c r="D488" s="311"/>
      <c r="E488" s="279"/>
      <c r="F488" s="279"/>
      <c r="G488" s="279"/>
      <c r="H488" s="279"/>
      <c r="I488" s="279"/>
      <c r="J488" s="312"/>
      <c r="K488" s="293"/>
      <c r="M488" s="313">
        <v>0</v>
      </c>
      <c r="N488" s="718" t="str">
        <f>IFERROR(VLOOKUP(M488,INSUMOS!$C$8:$K$934,2,0),"-----")</f>
        <v>-----</v>
      </c>
      <c r="O488" s="718"/>
      <c r="P488" s="718"/>
      <c r="Q488" s="718"/>
      <c r="R488" s="314" t="str">
        <f>IFERROR(VLOOKUP(M488,INSUMOS!$C$8:$K$934,6,0),"-----")</f>
        <v>-----</v>
      </c>
      <c r="S488" s="322"/>
      <c r="T488" s="315">
        <v>0</v>
      </c>
      <c r="U488" s="338" t="str">
        <f>IFERROR(VLOOKUP(M488,INSUMOS!$C$8:$K$934,7,0),"0")</f>
        <v>0</v>
      </c>
      <c r="V488" s="316">
        <f>+IFERROR(U488*(S488*(1+T488)),0)</f>
        <v>0</v>
      </c>
      <c r="Y488" s="321">
        <f>+IFERROR(Y474*(S488*(1+T488)),0)</f>
        <v>0</v>
      </c>
      <c r="Z488" s="318">
        <f>Y474*V488</f>
        <v>0</v>
      </c>
      <c r="AA488" s="300"/>
      <c r="AB488" s="301">
        <f t="shared" si="64"/>
        <v>0</v>
      </c>
      <c r="AC488" s="302">
        <f t="shared" si="65"/>
        <v>0</v>
      </c>
      <c r="AD488" s="280"/>
      <c r="AE488" s="337" t="str">
        <f t="shared" si="63"/>
        <v>CERO</v>
      </c>
    </row>
    <row r="489" spans="3:31" ht="15.9" customHeight="1" thickBot="1" x14ac:dyDescent="0.35">
      <c r="C489" s="292"/>
      <c r="D489" s="295" t="s">
        <v>132</v>
      </c>
      <c r="E489" s="296" t="s">
        <v>133</v>
      </c>
      <c r="F489" s="296" t="s">
        <v>134</v>
      </c>
      <c r="G489" s="296" t="s">
        <v>135</v>
      </c>
      <c r="H489" s="296" t="s">
        <v>136</v>
      </c>
      <c r="I489" s="296" t="s">
        <v>137</v>
      </c>
      <c r="J489" s="297" t="s">
        <v>138</v>
      </c>
      <c r="K489" s="293"/>
      <c r="M489" s="724"/>
      <c r="N489" s="725" t="s">
        <v>109</v>
      </c>
      <c r="O489" s="725"/>
      <c r="P489" s="725"/>
      <c r="Q489" s="725"/>
      <c r="R489" s="725"/>
      <c r="S489" s="725"/>
      <c r="T489" s="725"/>
      <c r="U489" s="725"/>
      <c r="V489" s="316">
        <f>+SUM(V486:V488)</f>
        <v>0</v>
      </c>
      <c r="Y489" s="328" t="s">
        <v>139</v>
      </c>
      <c r="Z489" s="329">
        <f>+SUM(Z486:Z488)</f>
        <v>0</v>
      </c>
      <c r="AA489" s="279"/>
      <c r="AB489" s="290"/>
      <c r="AC489" s="291"/>
      <c r="AD489" s="280"/>
      <c r="AE489" s="330"/>
    </row>
    <row r="490" spans="3:31" ht="15.9" customHeight="1" thickBot="1" x14ac:dyDescent="0.35">
      <c r="C490" s="292"/>
      <c r="D490" s="295"/>
      <c r="E490" s="343">
        <f>+D483</f>
        <v>1.4</v>
      </c>
      <c r="F490" s="296"/>
      <c r="G490" s="296"/>
      <c r="H490" s="296"/>
      <c r="I490" s="296"/>
      <c r="J490" s="297"/>
      <c r="K490" s="293"/>
      <c r="M490" s="724"/>
      <c r="N490" s="726" t="s">
        <v>110</v>
      </c>
      <c r="O490" s="726"/>
      <c r="P490" s="726"/>
      <c r="Q490" s="726"/>
      <c r="R490" s="726"/>
      <c r="S490" s="726"/>
      <c r="T490" s="726"/>
      <c r="U490" s="726"/>
      <c r="V490" s="344">
        <f>+ROUND(V489,$AA$2)</f>
        <v>0</v>
      </c>
      <c r="Y490" s="332" t="s">
        <v>140</v>
      </c>
      <c r="Z490" s="333">
        <f>+ROUND(Z489,$AA$2)</f>
        <v>0</v>
      </c>
      <c r="AA490" s="279"/>
      <c r="AB490" s="324">
        <f>+V490*Y474</f>
        <v>0</v>
      </c>
      <c r="AC490" s="325">
        <f>+AB490-Z490</f>
        <v>0</v>
      </c>
      <c r="AD490" s="280"/>
      <c r="AE490" s="334"/>
    </row>
    <row r="491" spans="3:31" ht="15.9" customHeight="1" x14ac:dyDescent="0.3">
      <c r="C491" s="292"/>
      <c r="D491" s="304"/>
      <c r="E491" s="305"/>
      <c r="F491" s="305"/>
      <c r="G491" s="305"/>
      <c r="H491" s="305"/>
      <c r="I491" s="305"/>
      <c r="J491" s="306"/>
      <c r="K491" s="293"/>
      <c r="M491" s="733" t="s">
        <v>111</v>
      </c>
      <c r="N491" s="733"/>
      <c r="O491" s="733"/>
      <c r="P491" s="733"/>
      <c r="Q491" s="733"/>
      <c r="R491" s="733"/>
      <c r="S491" s="733"/>
      <c r="T491" s="733"/>
      <c r="U491" s="733"/>
      <c r="V491" s="733"/>
      <c r="Y491" s="298"/>
      <c r="Z491" s="299"/>
      <c r="AA491" s="279"/>
      <c r="AB491" s="342"/>
      <c r="AC491" s="299"/>
      <c r="AD491" s="280"/>
      <c r="AE491" s="335"/>
    </row>
    <row r="492" spans="3:31" ht="27.6" x14ac:dyDescent="0.3">
      <c r="C492" s="292"/>
      <c r="D492" s="311"/>
      <c r="E492" s="279"/>
      <c r="F492" s="279"/>
      <c r="G492" s="279"/>
      <c r="H492" s="279"/>
      <c r="I492" s="279"/>
      <c r="J492" s="312"/>
      <c r="K492" s="293"/>
      <c r="M492" s="307" t="s">
        <v>97</v>
      </c>
      <c r="N492" s="706" t="s">
        <v>98</v>
      </c>
      <c r="O492" s="706"/>
      <c r="P492" s="706"/>
      <c r="Q492" s="307" t="s">
        <v>112</v>
      </c>
      <c r="R492" s="307" t="s">
        <v>113</v>
      </c>
      <c r="S492" s="307" t="s">
        <v>114</v>
      </c>
      <c r="T492" s="734" t="s">
        <v>115</v>
      </c>
      <c r="U492" s="734"/>
      <c r="V492" s="307" t="s">
        <v>101</v>
      </c>
      <c r="Y492" s="308" t="s">
        <v>107</v>
      </c>
      <c r="Z492" s="309" t="s">
        <v>9</v>
      </c>
      <c r="AA492" s="279"/>
      <c r="AB492" s="290"/>
      <c r="AC492" s="291"/>
      <c r="AD492" s="280"/>
      <c r="AE492" s="349"/>
    </row>
    <row r="493" spans="3:31" ht="14.4" x14ac:dyDescent="0.3">
      <c r="C493" s="350"/>
      <c r="D493" s="351"/>
      <c r="E493" s="345"/>
      <c r="F493" s="345"/>
      <c r="G493" s="345"/>
      <c r="H493" s="345"/>
      <c r="I493" s="345"/>
      <c r="J493" s="352"/>
      <c r="K493" s="353"/>
      <c r="M493" s="354">
        <v>105</v>
      </c>
      <c r="N493" s="718" t="str">
        <f>IFERROR(VLOOKUP(M493,INSUMOS!$C$8:$K$934,2,0),"-----")</f>
        <v>Transporte Retiro de material sobrante</v>
      </c>
      <c r="O493" s="718"/>
      <c r="P493" s="718"/>
      <c r="Q493" s="314" t="str">
        <f>IFERROR(VLOOKUP(M493,INSUMOS!$C$8:$K$934,5,0),"-----")</f>
        <v>m3/km</v>
      </c>
      <c r="R493" s="355">
        <v>1.2</v>
      </c>
      <c r="S493" s="355">
        <f>IFERROR(VLOOKUP(M493,INSUMOS!$C$8:$K$934,6,0),"0")</f>
        <v>1.9</v>
      </c>
      <c r="T493" s="719">
        <f>IFERROR(VLOOKUP(M493,INSUMOS!$C$8:$K$934,7,0),"0")</f>
        <v>1800</v>
      </c>
      <c r="U493" s="719"/>
      <c r="V493" s="515">
        <f>+T493*S493*R493</f>
        <v>4104</v>
      </c>
      <c r="Y493" s="321">
        <f>+IFERROR((R493*S493)*Y474,0)</f>
        <v>236.07234</v>
      </c>
      <c r="Z493" s="318">
        <f>Y474*V493</f>
        <v>424930.21200000006</v>
      </c>
      <c r="AA493" s="345"/>
      <c r="AB493" s="346">
        <f>+Y493*T493</f>
        <v>424930.212</v>
      </c>
      <c r="AC493" s="347">
        <f>+AB493-Z493</f>
        <v>0</v>
      </c>
      <c r="AD493" s="348"/>
      <c r="AE493" s="337" t="str">
        <f t="shared" ref="AE493:AE496" si="66">+IF(V493=0,"CERO","NO")</f>
        <v>NO</v>
      </c>
    </row>
    <row r="494" spans="3:31" ht="15.9" customHeight="1" x14ac:dyDescent="0.3">
      <c r="C494" s="350"/>
      <c r="D494" s="351"/>
      <c r="E494" s="345"/>
      <c r="F494" s="345"/>
      <c r="G494" s="345"/>
      <c r="H494" s="345"/>
      <c r="I494" s="345"/>
      <c r="J494" s="352"/>
      <c r="K494" s="353"/>
      <c r="M494" s="354">
        <v>0</v>
      </c>
      <c r="N494" s="718" t="str">
        <f>IFERROR(VLOOKUP(M494,INSUMOS!$C$8:$K$934,2,0),"-----")</f>
        <v>-----</v>
      </c>
      <c r="O494" s="718"/>
      <c r="P494" s="718"/>
      <c r="Q494" s="314" t="str">
        <f>IFERROR(VLOOKUP(M494,INSUMOS!$C$8:$K$934,5,0),"-----")</f>
        <v>-----</v>
      </c>
      <c r="R494" s="355"/>
      <c r="S494" s="355" t="str">
        <f>IFERROR(VLOOKUP(M494,INSUMOS!$C$8:$K$934,6,0),"0")</f>
        <v>0</v>
      </c>
      <c r="T494" s="719" t="str">
        <f>IFERROR(VLOOKUP(M494,INSUMOS!$C$8:$K$934,7,0),"0")</f>
        <v>0</v>
      </c>
      <c r="U494" s="719"/>
      <c r="V494" s="515">
        <f>+T494*S494*R494</f>
        <v>0</v>
      </c>
      <c r="Y494" s="321">
        <f>+IFERROR((R494*S494)*Y474,0)</f>
        <v>0</v>
      </c>
      <c r="Z494" s="318">
        <f>Y474*V494</f>
        <v>0</v>
      </c>
      <c r="AA494" s="345"/>
      <c r="AB494" s="346">
        <f>+Y494*T494</f>
        <v>0</v>
      </c>
      <c r="AC494" s="347">
        <f>+AB494-Z494</f>
        <v>0</v>
      </c>
      <c r="AD494" s="348"/>
      <c r="AE494" s="337" t="str">
        <f t="shared" si="66"/>
        <v>CERO</v>
      </c>
    </row>
    <row r="495" spans="3:31" ht="15.9" customHeight="1" x14ac:dyDescent="0.3">
      <c r="C495" s="350"/>
      <c r="D495" s="351"/>
      <c r="E495" s="345"/>
      <c r="F495" s="345"/>
      <c r="G495" s="345"/>
      <c r="H495" s="345"/>
      <c r="I495" s="345"/>
      <c r="J495" s="352"/>
      <c r="K495" s="353"/>
      <c r="M495" s="354">
        <v>0</v>
      </c>
      <c r="N495" s="718" t="str">
        <f>IFERROR(VLOOKUP(M495,INSUMOS!$C$8:$K$934,2,0),"-----")</f>
        <v>-----</v>
      </c>
      <c r="O495" s="718"/>
      <c r="P495" s="718"/>
      <c r="Q495" s="314" t="str">
        <f>IFERROR(VLOOKUP(M495,INSUMOS!$C$8:$K$934,5,0),"-----")</f>
        <v>-----</v>
      </c>
      <c r="R495" s="355"/>
      <c r="S495" s="355" t="str">
        <f>IFERROR(VLOOKUP(M495,INSUMOS!$C$8:$K$934,6,0),"0")</f>
        <v>0</v>
      </c>
      <c r="T495" s="719" t="str">
        <f>IFERROR(VLOOKUP(M495,INSUMOS!$C$8:$K$934,7,0),"0")</f>
        <v>0</v>
      </c>
      <c r="U495" s="719"/>
      <c r="V495" s="515">
        <f>+T495*S495*R495</f>
        <v>0</v>
      </c>
      <c r="Y495" s="321">
        <f>+IFERROR((R495*S495)*Y474,0)</f>
        <v>0</v>
      </c>
      <c r="Z495" s="318">
        <f>Y474*V495</f>
        <v>0</v>
      </c>
      <c r="AA495" s="345"/>
      <c r="AB495" s="346">
        <f t="shared" ref="AB495" si="67">+Y495*T495</f>
        <v>0</v>
      </c>
      <c r="AC495" s="347">
        <f t="shared" ref="AC495" si="68">+AB495-Z495</f>
        <v>0</v>
      </c>
      <c r="AD495" s="348"/>
      <c r="AE495" s="337" t="str">
        <f t="shared" si="66"/>
        <v>CERO</v>
      </c>
    </row>
    <row r="496" spans="3:31" ht="15.9" customHeight="1" thickBot="1" x14ac:dyDescent="0.35">
      <c r="C496" s="350"/>
      <c r="D496" s="360"/>
      <c r="E496" s="361"/>
      <c r="F496" s="361"/>
      <c r="G496" s="361"/>
      <c r="H496" s="361"/>
      <c r="I496" s="361"/>
      <c r="J496" s="362"/>
      <c r="K496" s="353"/>
      <c r="M496" s="354">
        <v>0</v>
      </c>
      <c r="N496" s="718"/>
      <c r="O496" s="718"/>
      <c r="P496" s="718"/>
      <c r="Q496" s="357"/>
      <c r="R496" s="314"/>
      <c r="S496" s="358"/>
      <c r="T496" s="719"/>
      <c r="U496" s="719"/>
      <c r="V496" s="515"/>
      <c r="Y496" s="321">
        <f>+IFERROR((R496*S496)*Y474,0)</f>
        <v>0</v>
      </c>
      <c r="Z496" s="318">
        <f>Y474*V496</f>
        <v>0</v>
      </c>
      <c r="AA496" s="345"/>
      <c r="AB496" s="346">
        <f>+Y496*T496</f>
        <v>0</v>
      </c>
      <c r="AC496" s="347">
        <f>+AB496-Z496</f>
        <v>0</v>
      </c>
      <c r="AD496" s="348"/>
      <c r="AE496" s="337" t="str">
        <f t="shared" si="66"/>
        <v>CERO</v>
      </c>
    </row>
    <row r="497" spans="3:31" ht="15.9" customHeight="1" thickBot="1" x14ac:dyDescent="0.35">
      <c r="C497" s="292"/>
      <c r="D497" s="295" t="s">
        <v>132</v>
      </c>
      <c r="E497" s="296" t="s">
        <v>133</v>
      </c>
      <c r="F497" s="296" t="s">
        <v>134</v>
      </c>
      <c r="G497" s="296" t="s">
        <v>135</v>
      </c>
      <c r="H497" s="296" t="s">
        <v>136</v>
      </c>
      <c r="I497" s="296" t="s">
        <v>137</v>
      </c>
      <c r="J497" s="297" t="s">
        <v>138</v>
      </c>
      <c r="K497" s="293"/>
      <c r="M497" s="720"/>
      <c r="N497" s="721" t="s">
        <v>116</v>
      </c>
      <c r="O497" s="721"/>
      <c r="P497" s="721"/>
      <c r="Q497" s="721"/>
      <c r="R497" s="721"/>
      <c r="S497" s="721"/>
      <c r="T497" s="721"/>
      <c r="U497" s="721"/>
      <c r="V497" s="499">
        <f>+SUM(V493:V496)</f>
        <v>4104</v>
      </c>
      <c r="Y497" s="328" t="s">
        <v>139</v>
      </c>
      <c r="Z497" s="329">
        <f>+SUM(Z493:Z496)</f>
        <v>424930.21200000006</v>
      </c>
      <c r="AA497" s="279"/>
      <c r="AB497" s="290"/>
      <c r="AC497" s="291"/>
      <c r="AD497" s="280"/>
      <c r="AE497" s="330"/>
    </row>
    <row r="498" spans="3:31" ht="15.9" customHeight="1" thickBot="1" x14ac:dyDescent="0.35">
      <c r="C498" s="292"/>
      <c r="D498" s="363"/>
      <c r="E498" s="364"/>
      <c r="F498" s="365">
        <f>+E490</f>
        <v>1.4</v>
      </c>
      <c r="G498" s="364"/>
      <c r="H498" s="364"/>
      <c r="I498" s="364"/>
      <c r="J498" s="366"/>
      <c r="K498" s="293"/>
      <c r="M498" s="720"/>
      <c r="N498" s="722" t="s">
        <v>117</v>
      </c>
      <c r="O498" s="722"/>
      <c r="P498" s="722"/>
      <c r="Q498" s="722"/>
      <c r="R498" s="722"/>
      <c r="S498" s="722"/>
      <c r="T498" s="722"/>
      <c r="U498" s="722"/>
      <c r="V498" s="344">
        <f>+ROUND(V497,$AA$2)</f>
        <v>4104</v>
      </c>
      <c r="Y498" s="332" t="s">
        <v>140</v>
      </c>
      <c r="Z498" s="333">
        <f>+ROUND(Z497,$AA$2)</f>
        <v>424930</v>
      </c>
      <c r="AA498" s="279"/>
      <c r="AB498" s="324">
        <f>+V498*Y474</f>
        <v>424930.21200000006</v>
      </c>
      <c r="AC498" s="359"/>
      <c r="AD498" s="280"/>
      <c r="AE498" s="334"/>
    </row>
    <row r="499" spans="3:31" ht="15.9" customHeight="1" thickBot="1" x14ac:dyDescent="0.35">
      <c r="C499" s="292"/>
      <c r="D499" s="369"/>
      <c r="E499" s="370"/>
      <c r="F499" s="370"/>
      <c r="G499" s="370"/>
      <c r="H499" s="370"/>
      <c r="I499" s="370"/>
      <c r="J499" s="371"/>
      <c r="K499" s="293"/>
      <c r="M499" s="723" t="s">
        <v>118</v>
      </c>
      <c r="N499" s="723"/>
      <c r="O499" s="723"/>
      <c r="P499" s="723"/>
      <c r="Q499" s="723"/>
      <c r="R499" s="723"/>
      <c r="S499" s="723"/>
      <c r="T499" s="723"/>
      <c r="U499" s="723"/>
      <c r="V499" s="723"/>
      <c r="Y499" s="298"/>
      <c r="Z499" s="299"/>
      <c r="AA499" s="279"/>
      <c r="AB499" s="342"/>
      <c r="AC499" s="299"/>
      <c r="AD499" s="280"/>
      <c r="AE499" s="335"/>
    </row>
    <row r="500" spans="3:31" ht="15.9" customHeight="1" thickBot="1" x14ac:dyDescent="0.35">
      <c r="C500" s="292"/>
      <c r="D500" s="295" t="s">
        <v>132</v>
      </c>
      <c r="E500" s="296" t="s">
        <v>133</v>
      </c>
      <c r="F500" s="296" t="s">
        <v>134</v>
      </c>
      <c r="G500" s="296" t="s">
        <v>135</v>
      </c>
      <c r="H500" s="296" t="s">
        <v>136</v>
      </c>
      <c r="I500" s="296" t="s">
        <v>137</v>
      </c>
      <c r="J500" s="297" t="s">
        <v>138</v>
      </c>
      <c r="K500" s="293"/>
      <c r="M500" s="307" t="s">
        <v>97</v>
      </c>
      <c r="N500" s="372" t="s">
        <v>98</v>
      </c>
      <c r="O500" s="307" t="s">
        <v>99</v>
      </c>
      <c r="P500" s="396" t="s">
        <v>107</v>
      </c>
      <c r="Q500" s="307" t="s">
        <v>119</v>
      </c>
      <c r="R500" s="373" t="s">
        <v>120</v>
      </c>
      <c r="S500" s="307" t="s">
        <v>363</v>
      </c>
      <c r="T500" s="374" t="s">
        <v>121</v>
      </c>
      <c r="U500" s="375" t="s">
        <v>122</v>
      </c>
      <c r="V500" s="307" t="s">
        <v>101</v>
      </c>
      <c r="Y500" s="308" t="s">
        <v>107</v>
      </c>
      <c r="Z500" s="309" t="s">
        <v>9</v>
      </c>
      <c r="AA500" s="279"/>
      <c r="AB500" s="290"/>
      <c r="AC500" s="291"/>
      <c r="AD500" s="280"/>
      <c r="AE500" s="349"/>
    </row>
    <row r="501" spans="3:31" ht="14.4" x14ac:dyDescent="0.3">
      <c r="C501" s="292"/>
      <c r="D501" s="376"/>
      <c r="E501" s="377"/>
      <c r="F501" s="377"/>
      <c r="G501" s="377"/>
      <c r="H501" s="377"/>
      <c r="I501" s="377"/>
      <c r="J501" s="378">
        <f>+F498</f>
        <v>1.4</v>
      </c>
      <c r="K501" s="293"/>
      <c r="M501" s="313">
        <v>202</v>
      </c>
      <c r="N501" s="379" t="str">
        <f>IFERROR(VLOOKUP(M501,INSUMOS!$C$8:$K$934,2,0),"-----")</f>
        <v>Ayudante Albañileria</v>
      </c>
      <c r="O501" s="314" t="str">
        <f>IFERROR(VLOOKUP(M501,INSUMOS!$C$8:$K$934,3,0),"-----")</f>
        <v>JORNAL+PS</v>
      </c>
      <c r="P501" s="355">
        <v>1</v>
      </c>
      <c r="Q501" s="339">
        <v>50</v>
      </c>
      <c r="R501" s="380">
        <f>IFERROR(VLOOKUP(M501,INSUMOS!$C$8:$K$934,4,0),"-----")</f>
        <v>94970</v>
      </c>
      <c r="S501" s="380">
        <f>IFERROR(VLOOKUP(M501,INSUMOS!$C$8:$K$934,6,0),"-----")</f>
        <v>75976</v>
      </c>
      <c r="T501" s="380">
        <f>IFERROR(VLOOKUP(M501,INSUMOS!$C$8:$K$934,5,0),"-----")</f>
        <v>0</v>
      </c>
      <c r="U501" s="338">
        <f>SUM(R501:T501)</f>
        <v>170946</v>
      </c>
      <c r="V501" s="316">
        <f>+IFERROR((P501/Q501)*U501,0)</f>
        <v>3418.92</v>
      </c>
      <c r="Y501" s="321">
        <f>+IFERROR((Y474/Q501*P501),0)</f>
        <v>2.0708100000000003</v>
      </c>
      <c r="Z501" s="318">
        <f>Y474*V501</f>
        <v>353996.68626000005</v>
      </c>
      <c r="AA501" s="279"/>
      <c r="AB501" s="367">
        <f>+(U501)*Y501</f>
        <v>353996.68626000005</v>
      </c>
      <c r="AC501" s="302">
        <f>+AB501-Z501</f>
        <v>0</v>
      </c>
      <c r="AD501" s="368"/>
      <c r="AE501" s="349" t="str">
        <f>+IF(V501=0,"CERO","NO")</f>
        <v>NO</v>
      </c>
    </row>
    <row r="502" spans="3:31" ht="15.9" customHeight="1" thickBot="1" x14ac:dyDescent="0.35">
      <c r="C502" s="292"/>
      <c r="D502" s="363"/>
      <c r="E502" s="364"/>
      <c r="F502" s="364"/>
      <c r="G502" s="364"/>
      <c r="H502" s="364"/>
      <c r="I502" s="364"/>
      <c r="J502" s="381">
        <f>+J501</f>
        <v>1.4</v>
      </c>
      <c r="K502" s="293"/>
      <c r="M502" s="313">
        <v>0</v>
      </c>
      <c r="N502" s="379" t="str">
        <f>IFERROR(VLOOKUP(M502,INSUMOS!$C$8:$K$934,2,0),"-----")</f>
        <v>-----</v>
      </c>
      <c r="O502" s="314" t="str">
        <f>IFERROR(VLOOKUP(M502,INSUMOS!$C$8:$K$934,3,0),"-----")</f>
        <v>-----</v>
      </c>
      <c r="P502" s="355"/>
      <c r="Q502" s="339"/>
      <c r="R502" s="380" t="str">
        <f>IFERROR(VLOOKUP(M502,INSUMOS!$C$8:$K$934,4,0),"-----")</f>
        <v>-----</v>
      </c>
      <c r="S502" s="380" t="str">
        <f>IFERROR(VLOOKUP(M502,INSUMOS!$C$8:$K$934,6,0),"-----")</f>
        <v>-----</v>
      </c>
      <c r="T502" s="380" t="str">
        <f>IFERROR(VLOOKUP(M502,INSUMOS!$C$8:$K$934,5,0),"-----")</f>
        <v>-----</v>
      </c>
      <c r="U502" s="338">
        <f>SUM(R502:T502)</f>
        <v>0</v>
      </c>
      <c r="V502" s="316">
        <f>+IFERROR((P502/Q502)*U502,0)</f>
        <v>0</v>
      </c>
      <c r="Y502" s="321">
        <f>+IFERROR((Y474/Q502*P502),0)</f>
        <v>0</v>
      </c>
      <c r="Z502" s="318">
        <f>Y474*V502</f>
        <v>0</v>
      </c>
      <c r="AA502" s="279"/>
      <c r="AB502" s="367">
        <f>+U502*Y502</f>
        <v>0</v>
      </c>
      <c r="AC502" s="302">
        <f>+AB502-Z502</f>
        <v>0</v>
      </c>
      <c r="AD502" s="280"/>
      <c r="AE502" s="349" t="str">
        <f t="shared" ref="AE502:AE503" si="69">+IF(V502=0,"CERO","NO")</f>
        <v>CERO</v>
      </c>
    </row>
    <row r="503" spans="3:31" ht="15.9" customHeight="1" thickBot="1" x14ac:dyDescent="0.35">
      <c r="C503" s="292"/>
      <c r="D503" s="304"/>
      <c r="E503" s="305"/>
      <c r="F503" s="305"/>
      <c r="G503" s="305"/>
      <c r="H503" s="305"/>
      <c r="I503" s="305"/>
      <c r="J503" s="306"/>
      <c r="K503" s="293"/>
      <c r="M503" s="313">
        <v>0</v>
      </c>
      <c r="N503" s="379"/>
      <c r="O503" s="339"/>
      <c r="P503" s="382"/>
      <c r="Q503" s="319"/>
      <c r="R503" s="383"/>
      <c r="S503" s="384"/>
      <c r="T503" s="383"/>
      <c r="U503" s="338"/>
      <c r="V503" s="323"/>
      <c r="Y503" s="321">
        <f>+IFERROR((Y474/Q503*P503),0)</f>
        <v>0</v>
      </c>
      <c r="Z503" s="318">
        <f>Y474*V503</f>
        <v>0</v>
      </c>
      <c r="AA503" s="279"/>
      <c r="AB503" s="367">
        <f>+(U503)*Y503*P503</f>
        <v>0</v>
      </c>
      <c r="AC503" s="302">
        <f>+AB503-Z503</f>
        <v>0</v>
      </c>
      <c r="AD503" s="280"/>
      <c r="AE503" s="349" t="str">
        <f t="shared" si="69"/>
        <v>CERO</v>
      </c>
    </row>
    <row r="504" spans="3:31" ht="15.9" customHeight="1" thickBot="1" x14ac:dyDescent="0.35">
      <c r="C504" s="292"/>
      <c r="D504" s="295" t="s">
        <v>132</v>
      </c>
      <c r="E504" s="296" t="s">
        <v>133</v>
      </c>
      <c r="F504" s="296" t="s">
        <v>134</v>
      </c>
      <c r="G504" s="296" t="s">
        <v>135</v>
      </c>
      <c r="H504" s="296" t="s">
        <v>136</v>
      </c>
      <c r="I504" s="296" t="s">
        <v>137</v>
      </c>
      <c r="J504" s="297" t="s">
        <v>138</v>
      </c>
      <c r="K504" s="293"/>
      <c r="M504" s="724"/>
      <c r="N504" s="725" t="s">
        <v>123</v>
      </c>
      <c r="O504" s="725"/>
      <c r="P504" s="725"/>
      <c r="Q504" s="725"/>
      <c r="R504" s="725"/>
      <c r="S504" s="725"/>
      <c r="T504" s="725"/>
      <c r="U504" s="725"/>
      <c r="V504" s="316">
        <f>+SUM(V501:V503)</f>
        <v>3418.92</v>
      </c>
      <c r="Y504" s="328" t="s">
        <v>139</v>
      </c>
      <c r="Z504" s="329">
        <f>+SUM(Z501:Z503)</f>
        <v>353996.68626000005</v>
      </c>
      <c r="AA504" s="279"/>
      <c r="AB504" s="290"/>
      <c r="AC504" s="291"/>
      <c r="AD504" s="280"/>
      <c r="AE504" s="330"/>
    </row>
    <row r="505" spans="3:31" ht="15.9" customHeight="1" thickBot="1" x14ac:dyDescent="0.35">
      <c r="C505" s="292"/>
      <c r="D505" s="376"/>
      <c r="E505" s="377"/>
      <c r="F505" s="377"/>
      <c r="G505" s="386">
        <f>+F498</f>
        <v>1.4</v>
      </c>
      <c r="H505" s="377"/>
      <c r="I505" s="377"/>
      <c r="J505" s="387"/>
      <c r="K505" s="293"/>
      <c r="M505" s="724"/>
      <c r="N505" s="726" t="s">
        <v>124</v>
      </c>
      <c r="O505" s="726"/>
      <c r="P505" s="726"/>
      <c r="Q505" s="726"/>
      <c r="R505" s="726"/>
      <c r="S505" s="726"/>
      <c r="T505" s="726"/>
      <c r="U505" s="726"/>
      <c r="V505" s="344">
        <f>+ROUND(V504,$AA$2)</f>
        <v>3419</v>
      </c>
      <c r="Y505" s="332" t="s">
        <v>140</v>
      </c>
      <c r="Z505" s="333">
        <f>+ROUND(Z504,$AA$2)</f>
        <v>353997</v>
      </c>
      <c r="AA505" s="279"/>
      <c r="AB505" s="324">
        <f>+V505*Y474</f>
        <v>354004.96950000001</v>
      </c>
      <c r="AC505" s="325">
        <f>+AB505-Z505</f>
        <v>7.9695000000065193</v>
      </c>
      <c r="AD505" s="280"/>
      <c r="AE505" s="334"/>
    </row>
    <row r="506" spans="3:31" ht="15.9" customHeight="1" thickBot="1" x14ac:dyDescent="0.35">
      <c r="C506" s="292"/>
      <c r="D506" s="295" t="s">
        <v>132</v>
      </c>
      <c r="E506" s="296" t="s">
        <v>133</v>
      </c>
      <c r="F506" s="296" t="s">
        <v>134</v>
      </c>
      <c r="G506" s="296" t="s">
        <v>135</v>
      </c>
      <c r="H506" s="296" t="s">
        <v>136</v>
      </c>
      <c r="I506" s="296" t="s">
        <v>137</v>
      </c>
      <c r="J506" s="297" t="s">
        <v>138</v>
      </c>
      <c r="K506" s="293"/>
      <c r="M506" s="727"/>
      <c r="N506" s="727"/>
      <c r="O506" s="727"/>
      <c r="P506" s="727"/>
      <c r="Q506" s="727"/>
      <c r="R506" s="727"/>
      <c r="S506" s="727"/>
      <c r="T506" s="727"/>
      <c r="U506" s="727"/>
      <c r="V506" s="727"/>
      <c r="Y506" s="298"/>
      <c r="Z506" s="299"/>
      <c r="AA506" s="279"/>
      <c r="AB506" s="342"/>
      <c r="AC506" s="299"/>
      <c r="AD506" s="280"/>
      <c r="AE506" s="388"/>
    </row>
    <row r="507" spans="3:31" ht="15.9" customHeight="1" thickBot="1" x14ac:dyDescent="0.35">
      <c r="C507" s="292"/>
      <c r="D507" s="363"/>
      <c r="E507" s="364"/>
      <c r="F507" s="364"/>
      <c r="G507" s="364"/>
      <c r="H507" s="365">
        <f>G505</f>
        <v>1.4</v>
      </c>
      <c r="I507" s="365"/>
      <c r="J507" s="381"/>
      <c r="K507" s="293"/>
      <c r="M507" s="726" t="s">
        <v>125</v>
      </c>
      <c r="N507" s="726"/>
      <c r="O507" s="726"/>
      <c r="P507" s="726"/>
      <c r="Q507" s="726"/>
      <c r="R507" s="726"/>
      <c r="S507" s="726"/>
      <c r="T507" s="726"/>
      <c r="U507" s="728">
        <f>+V505+V498+V490+V483</f>
        <v>57314</v>
      </c>
      <c r="V507" s="728"/>
      <c r="Y507" s="389"/>
      <c r="Z507" s="390">
        <f>+Z505+Z498+Z490+Z483</f>
        <v>5934265</v>
      </c>
      <c r="AA507" s="279"/>
      <c r="AB507" s="385">
        <f>+AB505+AB498+AB490+AB483</f>
        <v>5934320.2170000002</v>
      </c>
      <c r="AC507" s="325">
        <f>+AB507-Z507</f>
        <v>55.217000000178814</v>
      </c>
      <c r="AD507" s="280"/>
      <c r="AE507" s="391"/>
    </row>
    <row r="508" spans="3:31" ht="15.9" customHeight="1" thickBot="1" x14ac:dyDescent="0.3">
      <c r="M508" s="412"/>
      <c r="N508" s="412"/>
      <c r="O508" s="412"/>
      <c r="P508" s="412"/>
      <c r="Q508" s="412"/>
      <c r="R508" s="412"/>
      <c r="S508" s="412"/>
      <c r="T508" s="412"/>
      <c r="U508" s="412"/>
      <c r="V508" s="412"/>
    </row>
    <row r="509" spans="3:31" ht="15.9" customHeight="1" x14ac:dyDescent="0.25">
      <c r="M509" s="729" t="s">
        <v>364</v>
      </c>
      <c r="N509" s="729"/>
      <c r="O509" s="729"/>
      <c r="P509" s="729"/>
      <c r="Q509" s="729"/>
      <c r="R509" s="729"/>
      <c r="S509" s="729"/>
      <c r="T509" s="729"/>
      <c r="U509" s="729"/>
      <c r="V509" s="729"/>
      <c r="Y509" s="298"/>
      <c r="Z509" s="299"/>
      <c r="AA509" s="279"/>
      <c r="AB509" s="280"/>
      <c r="AC509" s="280"/>
      <c r="AD509" s="280"/>
      <c r="AE509" s="335" t="s">
        <v>137</v>
      </c>
    </row>
    <row r="510" spans="3:31" ht="15.9" customHeight="1" x14ac:dyDescent="0.25">
      <c r="M510" s="700" t="s">
        <v>142</v>
      </c>
      <c r="N510" s="700"/>
      <c r="O510" s="700"/>
      <c r="P510" s="700"/>
      <c r="Q510" s="700"/>
      <c r="R510" s="700"/>
      <c r="S510" s="700"/>
      <c r="T510" s="413">
        <f>$AA$3</f>
        <v>0.25</v>
      </c>
      <c r="U510" s="701">
        <f>+ROUND(U507*T510,$AA$2)</f>
        <v>14329</v>
      </c>
      <c r="V510" s="701"/>
      <c r="Y510" s="317"/>
      <c r="Z510" s="414">
        <f>+Z507*T510</f>
        <v>1483566.25</v>
      </c>
      <c r="AA510" s="279"/>
      <c r="AB510" s="280"/>
      <c r="AC510" s="280"/>
      <c r="AD510" s="280"/>
      <c r="AE510" s="310" t="s">
        <v>137</v>
      </c>
    </row>
    <row r="511" spans="3:31" ht="15.9" customHeight="1" x14ac:dyDescent="0.25">
      <c r="M511" s="700" t="s">
        <v>19</v>
      </c>
      <c r="N511" s="700"/>
      <c r="O511" s="700"/>
      <c r="P511" s="700"/>
      <c r="Q511" s="700"/>
      <c r="R511" s="700"/>
      <c r="S511" s="700"/>
      <c r="T511" s="413">
        <f>$AA$4</f>
        <v>0.03</v>
      </c>
      <c r="U511" s="701">
        <f>+ROUND(U507*T511,$AA$2)</f>
        <v>1719</v>
      </c>
      <c r="V511" s="701"/>
      <c r="Y511" s="317"/>
      <c r="Z511" s="414">
        <f>+Z507*T511</f>
        <v>178027.94999999998</v>
      </c>
      <c r="AA511" s="279"/>
      <c r="AB511" s="280"/>
      <c r="AC511" s="280"/>
      <c r="AD511" s="280"/>
      <c r="AE511" s="310" t="s">
        <v>137</v>
      </c>
    </row>
    <row r="512" spans="3:31" ht="15.9" customHeight="1" x14ac:dyDescent="0.25">
      <c r="M512" s="700" t="s">
        <v>20</v>
      </c>
      <c r="N512" s="700"/>
      <c r="O512" s="700"/>
      <c r="P512" s="700"/>
      <c r="Q512" s="700"/>
      <c r="R512" s="700"/>
      <c r="S512" s="700"/>
      <c r="T512" s="413">
        <f>$AA$5</f>
        <v>0.05</v>
      </c>
      <c r="U512" s="701">
        <f>+ROUND(U507*T512,$AA$2)</f>
        <v>2866</v>
      </c>
      <c r="V512" s="701"/>
      <c r="Y512" s="317"/>
      <c r="Z512" s="414">
        <f>+Z507*T512</f>
        <v>296713.25</v>
      </c>
      <c r="AA512" s="279"/>
      <c r="AB512" s="280"/>
      <c r="AC512" s="280"/>
      <c r="AD512" s="280"/>
      <c r="AE512" s="310" t="s">
        <v>137</v>
      </c>
    </row>
    <row r="513" spans="3:31" ht="15.9" customHeight="1" x14ac:dyDescent="0.25">
      <c r="M513" s="700" t="s">
        <v>21</v>
      </c>
      <c r="N513" s="700"/>
      <c r="O513" s="700"/>
      <c r="P513" s="700"/>
      <c r="Q513" s="700"/>
      <c r="R513" s="700"/>
      <c r="S513" s="700"/>
      <c r="T513" s="413">
        <f>$AA$6</f>
        <v>0</v>
      </c>
      <c r="U513" s="701">
        <f>+ROUND(U507*T513,$AA$2)</f>
        <v>0</v>
      </c>
      <c r="V513" s="701"/>
      <c r="Y513" s="317"/>
      <c r="Z513" s="414">
        <f>+Z512*T513</f>
        <v>0</v>
      </c>
      <c r="AA513" s="279"/>
      <c r="AB513" s="280"/>
      <c r="AC513" s="280"/>
      <c r="AD513" s="280"/>
      <c r="AE513" s="310" t="s">
        <v>137</v>
      </c>
    </row>
    <row r="514" spans="3:31" ht="15.9" customHeight="1" thickBot="1" x14ac:dyDescent="0.3">
      <c r="M514" s="702" t="s">
        <v>365</v>
      </c>
      <c r="N514" s="702"/>
      <c r="O514" s="702"/>
      <c r="P514" s="702"/>
      <c r="Q514" s="702"/>
      <c r="R514" s="702"/>
      <c r="S514" s="702"/>
      <c r="T514" s="702"/>
      <c r="U514" s="703">
        <f>+SUM(U510:V513)</f>
        <v>18914</v>
      </c>
      <c r="V514" s="703"/>
      <c r="Y514" s="317"/>
      <c r="Z514" s="415">
        <f>+SUM(Z510:Z513)</f>
        <v>1958307.45</v>
      </c>
      <c r="AA514" s="279"/>
      <c r="AB514" s="280"/>
      <c r="AC514" s="280"/>
      <c r="AD514" s="280"/>
      <c r="AE514" s="310" t="s">
        <v>137</v>
      </c>
    </row>
    <row r="515" spans="3:31" ht="15.9" customHeight="1" thickBot="1" x14ac:dyDescent="0.3">
      <c r="D515" s="295" t="s">
        <v>132</v>
      </c>
      <c r="E515" s="296" t="s">
        <v>133</v>
      </c>
      <c r="F515" s="296" t="s">
        <v>134</v>
      </c>
      <c r="G515" s="296" t="s">
        <v>135</v>
      </c>
      <c r="H515" s="296" t="s">
        <v>136</v>
      </c>
      <c r="I515" s="296" t="s">
        <v>137</v>
      </c>
      <c r="J515" s="297" t="s">
        <v>138</v>
      </c>
      <c r="M515" s="377"/>
      <c r="N515" s="416"/>
      <c r="O515" s="416"/>
      <c r="P515" s="416"/>
      <c r="Q515" s="377"/>
      <c r="R515" s="377"/>
      <c r="S515" s="377"/>
      <c r="T515" s="417"/>
      <c r="U515" s="701"/>
      <c r="V515" s="701"/>
      <c r="Y515" s="317"/>
      <c r="Z515" s="291"/>
      <c r="AA515" s="279"/>
      <c r="AB515" s="280"/>
      <c r="AC515" s="280"/>
      <c r="AD515" s="280"/>
      <c r="AE515" s="310" t="s">
        <v>137</v>
      </c>
    </row>
    <row r="516" spans="3:31" ht="15.9" customHeight="1" thickBot="1" x14ac:dyDescent="0.3">
      <c r="D516" s="363"/>
      <c r="E516" s="364"/>
      <c r="F516" s="364"/>
      <c r="G516" s="364"/>
      <c r="H516" s="365"/>
      <c r="I516" s="365">
        <f>H507</f>
        <v>1.4</v>
      </c>
      <c r="J516" s="381"/>
      <c r="M516" s="702" t="s">
        <v>11</v>
      </c>
      <c r="N516" s="702"/>
      <c r="O516" s="702"/>
      <c r="P516" s="702"/>
      <c r="Q516" s="702"/>
      <c r="R516" s="702"/>
      <c r="S516" s="702"/>
      <c r="T516" s="702"/>
      <c r="U516" s="704">
        <f>+U514+U507</f>
        <v>76228</v>
      </c>
      <c r="V516" s="704"/>
      <c r="Y516" s="389"/>
      <c r="Z516" s="418">
        <f>+Z514+Z507</f>
        <v>7892572.4500000002</v>
      </c>
      <c r="AA516" s="279"/>
      <c r="AB516" s="280"/>
      <c r="AC516" s="280"/>
      <c r="AD516" s="280"/>
      <c r="AE516" s="334" t="s">
        <v>137</v>
      </c>
    </row>
    <row r="517" spans="3:31" ht="15.9" customHeight="1" x14ac:dyDescent="0.25">
      <c r="M517" s="705"/>
      <c r="N517" s="705"/>
      <c r="O517" s="705"/>
      <c r="P517" s="705"/>
      <c r="Q517" s="705"/>
      <c r="R517" s="706"/>
      <c r="S517" s="706"/>
      <c r="T517" s="706"/>
      <c r="U517" s="706"/>
      <c r="V517" s="706"/>
    </row>
    <row r="518" spans="3:31" ht="15.9" customHeight="1" x14ac:dyDescent="0.25">
      <c r="M518" s="705"/>
      <c r="N518" s="705"/>
      <c r="O518" s="705"/>
      <c r="P518" s="705"/>
      <c r="Q518" s="705"/>
      <c r="R518" s="706"/>
      <c r="S518" s="706"/>
      <c r="T518" s="706"/>
      <c r="U518" s="706"/>
      <c r="V518" s="706"/>
    </row>
    <row r="519" spans="3:31" ht="15.9" customHeight="1" x14ac:dyDescent="0.25">
      <c r="M519" s="705"/>
      <c r="N519" s="705"/>
      <c r="O519" s="705"/>
      <c r="P519" s="705"/>
      <c r="Q519" s="705"/>
      <c r="R519" s="706"/>
      <c r="S519" s="706"/>
      <c r="T519" s="706"/>
      <c r="U519" s="706"/>
      <c r="V519" s="706"/>
    </row>
    <row r="520" spans="3:31" ht="15.9" customHeight="1" x14ac:dyDescent="0.25">
      <c r="M520" s="705"/>
      <c r="N520" s="705"/>
      <c r="O520" s="705"/>
      <c r="P520" s="705"/>
      <c r="Q520" s="705"/>
      <c r="R520" s="706"/>
      <c r="S520" s="706"/>
      <c r="T520" s="706"/>
      <c r="U520" s="706"/>
      <c r="V520" s="706"/>
    </row>
    <row r="521" spans="3:31" ht="15.9" customHeight="1" x14ac:dyDescent="0.25">
      <c r="M521" s="707" t="s">
        <v>128</v>
      </c>
      <c r="N521" s="708" t="str">
        <f>$N$6</f>
        <v>ING. JEYSON JULIAN LEON RUEDA</v>
      </c>
      <c r="O521" s="709"/>
      <c r="P521" s="709"/>
      <c r="Q521" s="710"/>
      <c r="R521" s="711" t="s">
        <v>129</v>
      </c>
      <c r="S521" s="708" t="str">
        <f>$S$6</f>
        <v>ARQ. YASMID ROCÍO CARRILLO MORA</v>
      </c>
      <c r="T521" s="709"/>
      <c r="U521" s="709"/>
      <c r="V521" s="710"/>
    </row>
    <row r="522" spans="3:31" ht="15.9" customHeight="1" x14ac:dyDescent="0.25">
      <c r="M522" s="707"/>
      <c r="N522" s="712" t="str">
        <f>$N$7</f>
        <v>MP. 68202-416348 STD</v>
      </c>
      <c r="O522" s="713"/>
      <c r="P522" s="713"/>
      <c r="Q522" s="714"/>
      <c r="R522" s="711"/>
      <c r="S522" s="712" t="str">
        <f>$S$7</f>
        <v>SECRETARIA DE PLANEACIÓN Y OBRAS PÚBLICAS</v>
      </c>
      <c r="T522" s="713"/>
      <c r="U522" s="713"/>
      <c r="V522" s="714"/>
    </row>
    <row r="523" spans="3:31" ht="15.9" customHeight="1" x14ac:dyDescent="0.25">
      <c r="M523" s="707"/>
      <c r="N523" s="715"/>
      <c r="O523" s="716"/>
      <c r="P523" s="716"/>
      <c r="Q523" s="717"/>
      <c r="R523" s="711"/>
      <c r="S523" s="712" t="str">
        <f>$S$8</f>
        <v>MUNICIPIO DE PINCHOTE</v>
      </c>
      <c r="T523" s="713"/>
      <c r="U523" s="713"/>
      <c r="V523" s="714"/>
    </row>
    <row r="524" spans="3:31" ht="15.9" customHeight="1" x14ac:dyDescent="0.25"/>
    <row r="525" spans="3:31" ht="15.9" customHeight="1" thickBot="1" x14ac:dyDescent="0.3"/>
    <row r="526" spans="3:31" ht="15.9" customHeight="1" thickBot="1" x14ac:dyDescent="0.3">
      <c r="M526" s="281" t="s">
        <v>90</v>
      </c>
      <c r="N526" s="410" t="s">
        <v>29</v>
      </c>
      <c r="O526" s="706" t="str">
        <f>IFERROR(VLOOKUP(N526,PPTO!$C$9:$H$64,2,0),"----")</f>
        <v>COMPONENTE ACUEDUCTO</v>
      </c>
      <c r="P526" s="706"/>
      <c r="Q526" s="706"/>
      <c r="R526" s="706"/>
      <c r="S526" s="706"/>
      <c r="T526" s="706"/>
      <c r="U526" s="706"/>
      <c r="V526" s="283" t="s">
        <v>93</v>
      </c>
      <c r="Y526" s="284" t="s">
        <v>107</v>
      </c>
      <c r="Z526" s="280"/>
      <c r="AA526" s="274"/>
      <c r="AB526" s="735"/>
      <c r="AC526" s="735"/>
      <c r="AD526" s="735"/>
      <c r="AE526" s="280"/>
    </row>
    <row r="527" spans="3:31" ht="15.9" customHeight="1" thickBot="1" x14ac:dyDescent="0.35">
      <c r="C527" s="285">
        <f>+N527</f>
        <v>1.5</v>
      </c>
      <c r="D527" s="279"/>
      <c r="E527" s="279"/>
      <c r="F527" s="279"/>
      <c r="G527" s="279"/>
      <c r="H527" s="279"/>
      <c r="I527" s="279"/>
      <c r="J527" s="279"/>
      <c r="K527" s="286"/>
      <c r="M527" s="283" t="s">
        <v>94</v>
      </c>
      <c r="N527" s="287">
        <v>1.5</v>
      </c>
      <c r="O527" s="736" t="str">
        <f>IFERROR(VLOOKUP(N527,PPTO!$C$9:$H$64,2,0),"----")</f>
        <v>Excavaciones en material común en seco a mano (Incluye retiro y disposición final)</v>
      </c>
      <c r="P527" s="736"/>
      <c r="Q527" s="736"/>
      <c r="R527" s="736"/>
      <c r="S527" s="736"/>
      <c r="T527" s="736"/>
      <c r="U527" s="736"/>
      <c r="V527" s="288" t="str">
        <f>IFERROR(VLOOKUP(N527,PPTO!$C$9:$H$64,3,0),"----")</f>
        <v>m3</v>
      </c>
      <c r="Y527" s="289">
        <f>SUMIFS(PPTO!$F$7:$F$63,PPTO!$C$7:$C$63,APUS!N527)</f>
        <v>45.110799999999998</v>
      </c>
      <c r="Z527" s="280"/>
      <c r="AA527" s="279"/>
      <c r="AB527" s="280"/>
      <c r="AC527" s="280"/>
      <c r="AD527" s="280"/>
      <c r="AE527" s="280"/>
    </row>
    <row r="528" spans="3:31" ht="15.9" customHeight="1" thickBot="1" x14ac:dyDescent="0.35">
      <c r="C528" s="292"/>
      <c r="D528" s="279"/>
      <c r="E528" s="279"/>
      <c r="F528" s="279"/>
      <c r="G528" s="279"/>
      <c r="H528" s="279"/>
      <c r="I528" s="279"/>
      <c r="J528" s="279"/>
      <c r="K528" s="293"/>
      <c r="M528" s="737"/>
      <c r="N528" s="737"/>
      <c r="O528" s="737"/>
      <c r="P528" s="737"/>
      <c r="Q528" s="737"/>
      <c r="R528" s="737"/>
      <c r="S528" s="737"/>
      <c r="T528" s="737"/>
      <c r="U528" s="737"/>
      <c r="V528" s="737"/>
      <c r="Y528" s="294"/>
      <c r="Z528" s="280"/>
      <c r="AA528" s="279"/>
      <c r="AB528" s="280"/>
      <c r="AC528" s="280"/>
      <c r="AD528" s="280"/>
      <c r="AE528" s="280"/>
    </row>
    <row r="529" spans="3:31" ht="15.9" customHeight="1" thickBot="1" x14ac:dyDescent="0.35">
      <c r="C529" s="292"/>
      <c r="D529" s="295" t="s">
        <v>132</v>
      </c>
      <c r="E529" s="296" t="s">
        <v>133</v>
      </c>
      <c r="F529" s="296" t="s">
        <v>134</v>
      </c>
      <c r="G529" s="296" t="s">
        <v>135</v>
      </c>
      <c r="H529" s="296" t="s">
        <v>136</v>
      </c>
      <c r="I529" s="296" t="s">
        <v>137</v>
      </c>
      <c r="J529" s="297" t="s">
        <v>138</v>
      </c>
      <c r="K529" s="293"/>
      <c r="M529" s="738" t="s">
        <v>96</v>
      </c>
      <c r="N529" s="738"/>
      <c r="O529" s="738"/>
      <c r="P529" s="738"/>
      <c r="Q529" s="738"/>
      <c r="R529" s="738"/>
      <c r="S529" s="738"/>
      <c r="T529" s="738"/>
      <c r="U529" s="738"/>
      <c r="V529" s="738"/>
      <c r="Y529" s="298"/>
      <c r="Z529" s="299"/>
      <c r="AA529" s="279"/>
      <c r="AB529" s="731"/>
      <c r="AC529" s="732"/>
      <c r="AD529" s="280"/>
      <c r="AE529" s="303"/>
    </row>
    <row r="530" spans="3:31" ht="15.9" customHeight="1" x14ac:dyDescent="0.3">
      <c r="C530" s="292"/>
      <c r="D530" s="304"/>
      <c r="E530" s="305"/>
      <c r="F530" s="305"/>
      <c r="G530" s="305"/>
      <c r="H530" s="305"/>
      <c r="I530" s="305"/>
      <c r="J530" s="306"/>
      <c r="K530" s="293"/>
      <c r="M530" s="307" t="s">
        <v>97</v>
      </c>
      <c r="N530" s="706" t="s">
        <v>98</v>
      </c>
      <c r="O530" s="706"/>
      <c r="P530" s="706"/>
      <c r="Q530" s="706"/>
      <c r="R530" s="307" t="s">
        <v>99</v>
      </c>
      <c r="S530" s="307" t="s">
        <v>100</v>
      </c>
      <c r="T530" s="734" t="s">
        <v>8</v>
      </c>
      <c r="U530" s="734"/>
      <c r="V530" s="307" t="s">
        <v>101</v>
      </c>
      <c r="Y530" s="308" t="s">
        <v>107</v>
      </c>
      <c r="Z530" s="309" t="s">
        <v>9</v>
      </c>
      <c r="AA530" s="279"/>
      <c r="AB530" s="290"/>
      <c r="AC530" s="291"/>
      <c r="AD530" s="280"/>
      <c r="AE530" s="310"/>
    </row>
    <row r="531" spans="3:31" ht="15.9" customHeight="1" x14ac:dyDescent="0.3">
      <c r="C531" s="292"/>
      <c r="D531" s="311"/>
      <c r="E531" s="279"/>
      <c r="F531" s="279"/>
      <c r="G531" s="279"/>
      <c r="H531" s="279"/>
      <c r="I531" s="279"/>
      <c r="J531" s="312"/>
      <c r="K531" s="293"/>
      <c r="M531" s="313"/>
      <c r="N531" s="718" t="s">
        <v>102</v>
      </c>
      <c r="O531" s="718"/>
      <c r="P531" s="718"/>
      <c r="Q531" s="718"/>
      <c r="R531" s="314" t="s">
        <v>103</v>
      </c>
      <c r="S531" s="315">
        <f>$AA$9</f>
        <v>0.05</v>
      </c>
      <c r="T531" s="766">
        <f>V558</f>
        <v>56982</v>
      </c>
      <c r="U531" s="766"/>
      <c r="V531" s="316">
        <f>+IFERROR(T531*S531,0)</f>
        <v>2849.1000000000004</v>
      </c>
      <c r="Y531" s="317"/>
      <c r="Z531" s="318">
        <f>Y527*V531</f>
        <v>128525.18028000002</v>
      </c>
      <c r="AA531" s="279"/>
      <c r="AB531" s="290"/>
      <c r="AC531" s="291"/>
      <c r="AD531" s="280"/>
      <c r="AE531" s="310" t="str">
        <f>+IF(V531=0,"CERO","NO")</f>
        <v>NO</v>
      </c>
    </row>
    <row r="532" spans="3:31" ht="15.9" customHeight="1" x14ac:dyDescent="0.3">
      <c r="C532" s="292"/>
      <c r="D532" s="311"/>
      <c r="E532" s="279"/>
      <c r="F532" s="279"/>
      <c r="G532" s="279"/>
      <c r="H532" s="279"/>
      <c r="I532" s="279"/>
      <c r="J532" s="312"/>
      <c r="K532" s="293"/>
      <c r="M532" s="319">
        <v>99</v>
      </c>
      <c r="N532" s="718" t="str">
        <f>IFERROR(VLOOKUP(M532,INSUMOS!$C$8:$K$934,2,0),"-----")</f>
        <v>Disposicion final de escombros</v>
      </c>
      <c r="O532" s="718"/>
      <c r="P532" s="718"/>
      <c r="Q532" s="718"/>
      <c r="R532" s="314" t="str">
        <f>IFERROR(VLOOKUP(M532,INSUMOS!$C$8:$K$934,6,0),"-----")</f>
        <v>m3</v>
      </c>
      <c r="S532" s="320">
        <v>1.2</v>
      </c>
      <c r="T532" s="767">
        <f>IFERROR(VLOOKUP(M532,INSUMOS!$C$8:$K$934,7,0),"0")</f>
        <v>9683</v>
      </c>
      <c r="U532" s="767"/>
      <c r="V532" s="316">
        <f>+IFERROR(T532*S532,0)</f>
        <v>11619.6</v>
      </c>
      <c r="Y532" s="321">
        <f>+IFERROR(Y527*S532,0)</f>
        <v>54.132959999999997</v>
      </c>
      <c r="Z532" s="318">
        <f>Y527*V532</f>
        <v>524169.45168</v>
      </c>
      <c r="AA532" s="300"/>
      <c r="AB532" s="301">
        <f>+Y532*T532</f>
        <v>524169.45168</v>
      </c>
      <c r="AC532" s="302">
        <f>+AB532-Z532</f>
        <v>0</v>
      </c>
      <c r="AD532" s="280"/>
      <c r="AE532" s="310" t="str">
        <f>+IF(V532=0,"CERO","NO")</f>
        <v>NO</v>
      </c>
    </row>
    <row r="533" spans="3:31" ht="15.9" customHeight="1" x14ac:dyDescent="0.3">
      <c r="C533" s="292"/>
      <c r="D533" s="311"/>
      <c r="E533" s="279"/>
      <c r="F533" s="279"/>
      <c r="G533" s="279"/>
      <c r="H533" s="279"/>
      <c r="I533" s="279"/>
      <c r="J533" s="312"/>
      <c r="K533" s="293"/>
      <c r="M533" s="313">
        <v>0</v>
      </c>
      <c r="N533" s="718" t="str">
        <f>IFERROR(VLOOKUP(M533,INSUMOS!$C$8:$K$934,2,0),"-----")</f>
        <v>-----</v>
      </c>
      <c r="O533" s="718"/>
      <c r="P533" s="718"/>
      <c r="Q533" s="718"/>
      <c r="R533" s="314" t="str">
        <f>IFERROR(VLOOKUP(M533,INSUMOS!$C$8:$K$934,6,0),"-----")</f>
        <v>-----</v>
      </c>
      <c r="S533" s="320"/>
      <c r="T533" s="767" t="str">
        <f>IFERROR(VLOOKUP(M533,INSUMOS!$C$8:$K$934,7,0),"0")</f>
        <v>0</v>
      </c>
      <c r="U533" s="767"/>
      <c r="V533" s="316">
        <f>+IFERROR(T533*S533,0)</f>
        <v>0</v>
      </c>
      <c r="Y533" s="321">
        <f>+IFERROR(Y527*S533,0)</f>
        <v>0</v>
      </c>
      <c r="Z533" s="318">
        <f>Y527*V533</f>
        <v>0</v>
      </c>
      <c r="AA533" s="300"/>
      <c r="AB533" s="301">
        <f>+Y533*T533</f>
        <v>0</v>
      </c>
      <c r="AC533" s="302">
        <f>+AB533-Z533</f>
        <v>0</v>
      </c>
      <c r="AD533" s="280"/>
      <c r="AE533" s="310" t="str">
        <f>+IF(V533=0,"CERO","NO")</f>
        <v>CERO</v>
      </c>
    </row>
    <row r="534" spans="3:31" ht="15.9" customHeight="1" thickBot="1" x14ac:dyDescent="0.35">
      <c r="C534" s="292"/>
      <c r="D534" s="311"/>
      <c r="E534" s="279"/>
      <c r="F534" s="279"/>
      <c r="G534" s="279"/>
      <c r="H534" s="279"/>
      <c r="I534" s="279"/>
      <c r="J534" s="312"/>
      <c r="K534" s="293"/>
      <c r="M534" s="313">
        <v>0</v>
      </c>
      <c r="N534" s="727"/>
      <c r="O534" s="727"/>
      <c r="P534" s="727"/>
      <c r="Q534" s="727"/>
      <c r="R534" s="326"/>
      <c r="S534" s="326"/>
      <c r="T534" s="768"/>
      <c r="U534" s="768"/>
      <c r="V534" s="327"/>
      <c r="Y534" s="321">
        <f>+IFERROR(Y527*S534,0)</f>
        <v>0</v>
      </c>
      <c r="Z534" s="318">
        <f>Y527*V534</f>
        <v>0</v>
      </c>
      <c r="AA534" s="300"/>
      <c r="AB534" s="301">
        <f>+Y534*T534</f>
        <v>0</v>
      </c>
      <c r="AC534" s="302">
        <f>+AB534-Z534</f>
        <v>0</v>
      </c>
      <c r="AD534" s="280"/>
      <c r="AE534" s="310" t="str">
        <f>+IF(V534=0,"CERO","NO")</f>
        <v>CERO</v>
      </c>
    </row>
    <row r="535" spans="3:31" ht="15.9" customHeight="1" thickBot="1" x14ac:dyDescent="0.35">
      <c r="C535" s="292"/>
      <c r="D535" s="295" t="s">
        <v>132</v>
      </c>
      <c r="E535" s="296" t="s">
        <v>133</v>
      </c>
      <c r="F535" s="296" t="s">
        <v>134</v>
      </c>
      <c r="G535" s="296" t="s">
        <v>135</v>
      </c>
      <c r="H535" s="296" t="s">
        <v>136</v>
      </c>
      <c r="I535" s="296" t="s">
        <v>137</v>
      </c>
      <c r="J535" s="297" t="s">
        <v>138</v>
      </c>
      <c r="K535" s="293"/>
      <c r="M535" s="724"/>
      <c r="N535" s="725" t="s">
        <v>104</v>
      </c>
      <c r="O535" s="725"/>
      <c r="P535" s="725"/>
      <c r="Q535" s="725"/>
      <c r="R535" s="725"/>
      <c r="S535" s="725"/>
      <c r="T535" s="725"/>
      <c r="U535" s="725"/>
      <c r="V535" s="316">
        <f>+SUM(V531:V534)</f>
        <v>14468.7</v>
      </c>
      <c r="Y535" s="328" t="s">
        <v>139</v>
      </c>
      <c r="Z535" s="329">
        <f>+SUM(Z531:Z534)</f>
        <v>652694.63196000003</v>
      </c>
      <c r="AA535" s="279"/>
      <c r="AB535" s="290"/>
      <c r="AC535" s="291"/>
      <c r="AD535" s="280"/>
      <c r="AE535" s="330"/>
    </row>
    <row r="536" spans="3:31" ht="15.9" customHeight="1" thickBot="1" x14ac:dyDescent="0.35">
      <c r="C536" s="292"/>
      <c r="D536" s="295">
        <f>C527</f>
        <v>1.5</v>
      </c>
      <c r="E536" s="296"/>
      <c r="F536" s="296"/>
      <c r="G536" s="296"/>
      <c r="H536" s="296"/>
      <c r="I536" s="296"/>
      <c r="J536" s="297"/>
      <c r="K536" s="293"/>
      <c r="M536" s="724"/>
      <c r="N536" s="726" t="s">
        <v>105</v>
      </c>
      <c r="O536" s="726"/>
      <c r="P536" s="726"/>
      <c r="Q536" s="726"/>
      <c r="R536" s="726"/>
      <c r="S536" s="726"/>
      <c r="T536" s="726"/>
      <c r="U536" s="726"/>
      <c r="V536" s="344">
        <f>+ROUND(V535,$AA$2)</f>
        <v>14469</v>
      </c>
      <c r="Y536" s="332" t="s">
        <v>140</v>
      </c>
      <c r="Z536" s="333">
        <f>+ROUND(Z535,$AA$2)</f>
        <v>652695</v>
      </c>
      <c r="AA536" s="279"/>
      <c r="AB536" s="324">
        <f>+V536*Y527</f>
        <v>652708.16519999993</v>
      </c>
      <c r="AC536" s="325">
        <f>+AB536-Z536</f>
        <v>13.165199999930337</v>
      </c>
      <c r="AD536" s="280"/>
      <c r="AE536" s="334"/>
    </row>
    <row r="537" spans="3:31" ht="15.9" customHeight="1" x14ac:dyDescent="0.3">
      <c r="C537" s="292"/>
      <c r="D537" s="304"/>
      <c r="E537" s="305"/>
      <c r="F537" s="305"/>
      <c r="G537" s="305"/>
      <c r="H537" s="305"/>
      <c r="I537" s="305"/>
      <c r="J537" s="306"/>
      <c r="K537" s="293"/>
      <c r="M537" s="730" t="s">
        <v>106</v>
      </c>
      <c r="N537" s="730"/>
      <c r="O537" s="730"/>
      <c r="P537" s="730"/>
      <c r="Q537" s="730"/>
      <c r="R537" s="730"/>
      <c r="S537" s="730"/>
      <c r="T537" s="730"/>
      <c r="U537" s="730"/>
      <c r="V537" s="730"/>
      <c r="Y537" s="298"/>
      <c r="Z537" s="299"/>
      <c r="AA537" s="279"/>
      <c r="AB537" s="731"/>
      <c r="AC537" s="732"/>
      <c r="AD537" s="280"/>
      <c r="AE537" s="335"/>
    </row>
    <row r="538" spans="3:31" ht="15.9" customHeight="1" x14ac:dyDescent="0.3">
      <c r="C538" s="292"/>
      <c r="D538" s="311"/>
      <c r="E538" s="279"/>
      <c r="F538" s="279"/>
      <c r="G538" s="279"/>
      <c r="H538" s="279"/>
      <c r="I538" s="279"/>
      <c r="J538" s="312"/>
      <c r="K538" s="293"/>
      <c r="M538" s="307" t="s">
        <v>97</v>
      </c>
      <c r="N538" s="706" t="s">
        <v>98</v>
      </c>
      <c r="O538" s="706"/>
      <c r="P538" s="706"/>
      <c r="Q538" s="706"/>
      <c r="R538" s="307" t="s">
        <v>99</v>
      </c>
      <c r="S538" s="307" t="s">
        <v>107</v>
      </c>
      <c r="T538" s="336" t="s">
        <v>108</v>
      </c>
      <c r="U538" s="336" t="s">
        <v>8</v>
      </c>
      <c r="V538" s="307" t="s">
        <v>101</v>
      </c>
      <c r="Y538" s="308" t="s">
        <v>107</v>
      </c>
      <c r="Z538" s="309" t="s">
        <v>9</v>
      </c>
      <c r="AA538" s="279"/>
      <c r="AB538" s="290"/>
      <c r="AC538" s="291"/>
      <c r="AD538" s="280"/>
      <c r="AE538" s="337"/>
    </row>
    <row r="539" spans="3:31" ht="15.9" customHeight="1" x14ac:dyDescent="0.3">
      <c r="C539" s="292"/>
      <c r="D539" s="311"/>
      <c r="E539" s="279"/>
      <c r="F539" s="279"/>
      <c r="G539" s="279"/>
      <c r="H539" s="279"/>
      <c r="I539" s="279"/>
      <c r="J539" s="312"/>
      <c r="K539" s="293"/>
      <c r="M539" s="313">
        <v>0</v>
      </c>
      <c r="N539" s="718" t="str">
        <f>IFERROR(VLOOKUP(M539,INSUMOS!$C$8:$K$934,2,0),"-----")</f>
        <v>-----</v>
      </c>
      <c r="O539" s="718"/>
      <c r="P539" s="718"/>
      <c r="Q539" s="718"/>
      <c r="R539" s="314" t="str">
        <f>IFERROR(VLOOKUP(M539,INSUMOS!$C$8:$K$934,6,0),"-----")</f>
        <v>-----</v>
      </c>
      <c r="S539" s="322"/>
      <c r="T539" s="315">
        <v>0</v>
      </c>
      <c r="U539" s="338" t="str">
        <f>IFERROR(VLOOKUP(M539,INSUMOS!$C$8:$K$934,7,0),"0")</f>
        <v>0</v>
      </c>
      <c r="V539" s="316">
        <f>+IFERROR(U539*(S539*(1+T539)),0)</f>
        <v>0</v>
      </c>
      <c r="Y539" s="321">
        <f>+IFERROR(Y527*(S539*(1+T539)),0)</f>
        <v>0</v>
      </c>
      <c r="Z539" s="318">
        <f>Y527*V539</f>
        <v>0</v>
      </c>
      <c r="AA539" s="300"/>
      <c r="AB539" s="301">
        <f>+Y539*U539</f>
        <v>0</v>
      </c>
      <c r="AC539" s="302">
        <f>+AB539-Z539</f>
        <v>0</v>
      </c>
      <c r="AD539" s="280"/>
      <c r="AE539" s="337" t="str">
        <f t="shared" ref="AE539:AE541" si="70">+IF(V539=0,"CERO","NO")</f>
        <v>CERO</v>
      </c>
    </row>
    <row r="540" spans="3:31" ht="15.9" customHeight="1" x14ac:dyDescent="0.3">
      <c r="C540" s="292"/>
      <c r="D540" s="311"/>
      <c r="E540" s="279"/>
      <c r="F540" s="279"/>
      <c r="G540" s="279"/>
      <c r="H540" s="279"/>
      <c r="I540" s="279"/>
      <c r="J540" s="312"/>
      <c r="K540" s="293"/>
      <c r="M540" s="313">
        <v>0</v>
      </c>
      <c r="N540" s="718" t="str">
        <f>IFERROR(VLOOKUP(M540,INSUMOS!$C$8:$K$934,2,0),"-----")</f>
        <v>-----</v>
      </c>
      <c r="O540" s="718"/>
      <c r="P540" s="718"/>
      <c r="Q540" s="718"/>
      <c r="R540" s="314" t="str">
        <f>IFERROR(VLOOKUP(M540,INSUMOS!$C$8:$K$934,6,0),"-----")</f>
        <v>-----</v>
      </c>
      <c r="S540" s="322"/>
      <c r="T540" s="315">
        <v>0</v>
      </c>
      <c r="U540" s="338" t="str">
        <f>IFERROR(VLOOKUP(M540,INSUMOS!$C$8:$K$934,7,0),"0")</f>
        <v>0</v>
      </c>
      <c r="V540" s="316">
        <f>+IFERROR(U540*(S540*(1+T540)),0)</f>
        <v>0</v>
      </c>
      <c r="Y540" s="321">
        <f>+IFERROR(Y527*(S540*(1+T540)),0)</f>
        <v>0</v>
      </c>
      <c r="Z540" s="318">
        <f>Y527*V540</f>
        <v>0</v>
      </c>
      <c r="AA540" s="300"/>
      <c r="AB540" s="301">
        <f t="shared" ref="AB540:AB541" si="71">+Y540*U540</f>
        <v>0</v>
      </c>
      <c r="AC540" s="302">
        <f t="shared" ref="AC540:AC541" si="72">+AB540-Z540</f>
        <v>0</v>
      </c>
      <c r="AD540" s="280"/>
      <c r="AE540" s="337" t="str">
        <f t="shared" si="70"/>
        <v>CERO</v>
      </c>
    </row>
    <row r="541" spans="3:31" ht="15.9" customHeight="1" thickBot="1" x14ac:dyDescent="0.35">
      <c r="C541" s="292"/>
      <c r="D541" s="311"/>
      <c r="E541" s="279"/>
      <c r="F541" s="279"/>
      <c r="G541" s="279"/>
      <c r="H541" s="279"/>
      <c r="I541" s="279"/>
      <c r="J541" s="312"/>
      <c r="K541" s="293"/>
      <c r="M541" s="313">
        <v>0</v>
      </c>
      <c r="N541" s="718" t="str">
        <f>IFERROR(VLOOKUP(M541,INSUMOS!$C$8:$K$934,2,0),"-----")</f>
        <v>-----</v>
      </c>
      <c r="O541" s="718"/>
      <c r="P541" s="718"/>
      <c r="Q541" s="718"/>
      <c r="R541" s="314" t="str">
        <f>IFERROR(VLOOKUP(M541,INSUMOS!$C$8:$K$934,6,0),"-----")</f>
        <v>-----</v>
      </c>
      <c r="S541" s="322"/>
      <c r="T541" s="315">
        <v>0</v>
      </c>
      <c r="U541" s="338" t="str">
        <f>IFERROR(VLOOKUP(M541,INSUMOS!$C$8:$K$934,7,0),"0")</f>
        <v>0</v>
      </c>
      <c r="V541" s="316">
        <f>+IFERROR(U541*(S541*(1+T541)),0)</f>
        <v>0</v>
      </c>
      <c r="Y541" s="321">
        <f>+IFERROR(Y527*(S541*(1+T541)),0)</f>
        <v>0</v>
      </c>
      <c r="Z541" s="318">
        <f>Y527*V541</f>
        <v>0</v>
      </c>
      <c r="AA541" s="300"/>
      <c r="AB541" s="301">
        <f t="shared" si="71"/>
        <v>0</v>
      </c>
      <c r="AC541" s="302">
        <f t="shared" si="72"/>
        <v>0</v>
      </c>
      <c r="AD541" s="280"/>
      <c r="AE541" s="337" t="str">
        <f t="shared" si="70"/>
        <v>CERO</v>
      </c>
    </row>
    <row r="542" spans="3:31" ht="15.9" customHeight="1" thickBot="1" x14ac:dyDescent="0.35">
      <c r="C542" s="292"/>
      <c r="D542" s="295" t="s">
        <v>132</v>
      </c>
      <c r="E542" s="296" t="s">
        <v>133</v>
      </c>
      <c r="F542" s="296" t="s">
        <v>134</v>
      </c>
      <c r="G542" s="296" t="s">
        <v>135</v>
      </c>
      <c r="H542" s="296" t="s">
        <v>136</v>
      </c>
      <c r="I542" s="296" t="s">
        <v>137</v>
      </c>
      <c r="J542" s="297" t="s">
        <v>138</v>
      </c>
      <c r="K542" s="293"/>
      <c r="M542" s="724"/>
      <c r="N542" s="725" t="s">
        <v>109</v>
      </c>
      <c r="O542" s="725"/>
      <c r="P542" s="725"/>
      <c r="Q542" s="725"/>
      <c r="R542" s="725"/>
      <c r="S542" s="725"/>
      <c r="T542" s="725"/>
      <c r="U542" s="725"/>
      <c r="V542" s="316">
        <f>+SUM(V539:V541)</f>
        <v>0</v>
      </c>
      <c r="Y542" s="328" t="s">
        <v>139</v>
      </c>
      <c r="Z542" s="329">
        <f>+SUM(Z539:Z541)</f>
        <v>0</v>
      </c>
      <c r="AA542" s="279"/>
      <c r="AB542" s="290"/>
      <c r="AC542" s="291"/>
      <c r="AD542" s="280"/>
      <c r="AE542" s="330"/>
    </row>
    <row r="543" spans="3:31" ht="15.9" customHeight="1" thickBot="1" x14ac:dyDescent="0.35">
      <c r="C543" s="292"/>
      <c r="D543" s="295"/>
      <c r="E543" s="343">
        <f>+D536</f>
        <v>1.5</v>
      </c>
      <c r="F543" s="296"/>
      <c r="G543" s="296"/>
      <c r="H543" s="296"/>
      <c r="I543" s="296"/>
      <c r="J543" s="297"/>
      <c r="K543" s="293"/>
      <c r="M543" s="724"/>
      <c r="N543" s="726" t="s">
        <v>110</v>
      </c>
      <c r="O543" s="726"/>
      <c r="P543" s="726"/>
      <c r="Q543" s="726"/>
      <c r="R543" s="726"/>
      <c r="S543" s="726"/>
      <c r="T543" s="726"/>
      <c r="U543" s="726"/>
      <c r="V543" s="344">
        <f>+ROUND(V542,$AA$2)</f>
        <v>0</v>
      </c>
      <c r="Y543" s="332" t="s">
        <v>140</v>
      </c>
      <c r="Z543" s="333">
        <f>+ROUND(Z542,$AA$2)</f>
        <v>0</v>
      </c>
      <c r="AA543" s="279"/>
      <c r="AB543" s="324">
        <f>+V543*Y527</f>
        <v>0</v>
      </c>
      <c r="AC543" s="325">
        <f>+AB543-Z543</f>
        <v>0</v>
      </c>
      <c r="AD543" s="280"/>
      <c r="AE543" s="334"/>
    </row>
    <row r="544" spans="3:31" ht="15.9" customHeight="1" x14ac:dyDescent="0.3">
      <c r="C544" s="292"/>
      <c r="D544" s="304"/>
      <c r="E544" s="305"/>
      <c r="F544" s="305"/>
      <c r="G544" s="305"/>
      <c r="H544" s="305"/>
      <c r="I544" s="305"/>
      <c r="J544" s="306"/>
      <c r="K544" s="293"/>
      <c r="M544" s="733" t="s">
        <v>111</v>
      </c>
      <c r="N544" s="733"/>
      <c r="O544" s="733"/>
      <c r="P544" s="733"/>
      <c r="Q544" s="733"/>
      <c r="R544" s="733"/>
      <c r="S544" s="733"/>
      <c r="T544" s="733"/>
      <c r="U544" s="733"/>
      <c r="V544" s="733"/>
      <c r="Y544" s="298"/>
      <c r="Z544" s="299"/>
      <c r="AA544" s="279"/>
      <c r="AB544" s="342"/>
      <c r="AC544" s="299"/>
      <c r="AD544" s="280"/>
      <c r="AE544" s="335"/>
    </row>
    <row r="545" spans="3:31" ht="27.6" x14ac:dyDescent="0.3">
      <c r="C545" s="292"/>
      <c r="D545" s="311"/>
      <c r="E545" s="279"/>
      <c r="F545" s="279"/>
      <c r="G545" s="279"/>
      <c r="H545" s="279"/>
      <c r="I545" s="279"/>
      <c r="J545" s="312"/>
      <c r="K545" s="293"/>
      <c r="M545" s="307" t="s">
        <v>97</v>
      </c>
      <c r="N545" s="706" t="s">
        <v>98</v>
      </c>
      <c r="O545" s="706"/>
      <c r="P545" s="706"/>
      <c r="Q545" s="307" t="s">
        <v>112</v>
      </c>
      <c r="R545" s="307" t="s">
        <v>113</v>
      </c>
      <c r="S545" s="307" t="s">
        <v>114</v>
      </c>
      <c r="T545" s="734" t="s">
        <v>115</v>
      </c>
      <c r="U545" s="734"/>
      <c r="V545" s="307" t="s">
        <v>101</v>
      </c>
      <c r="Y545" s="308" t="s">
        <v>107</v>
      </c>
      <c r="Z545" s="309" t="s">
        <v>9</v>
      </c>
      <c r="AA545" s="279"/>
      <c r="AB545" s="290"/>
      <c r="AC545" s="291"/>
      <c r="AD545" s="280"/>
      <c r="AE545" s="349"/>
    </row>
    <row r="546" spans="3:31" ht="14.4" x14ac:dyDescent="0.3">
      <c r="C546" s="350"/>
      <c r="D546" s="351"/>
      <c r="E546" s="345"/>
      <c r="F546" s="345"/>
      <c r="G546" s="345"/>
      <c r="H546" s="345"/>
      <c r="I546" s="345"/>
      <c r="J546" s="352"/>
      <c r="K546" s="353"/>
      <c r="M546" s="354">
        <v>105</v>
      </c>
      <c r="N546" s="718" t="str">
        <f>IFERROR(VLOOKUP(M546,INSUMOS!$C$8:$K$934,2,0),"-----")</f>
        <v>Transporte Retiro de material sobrante</v>
      </c>
      <c r="O546" s="718"/>
      <c r="P546" s="718"/>
      <c r="Q546" s="314" t="str">
        <f>IFERROR(VLOOKUP(M546,INSUMOS!$C$8:$K$934,5,0),"-----")</f>
        <v>m3/km</v>
      </c>
      <c r="R546" s="355">
        <v>1.2</v>
      </c>
      <c r="S546" s="355">
        <f>IFERROR(VLOOKUP(M546,INSUMOS!$C$8:$K$934,6,0),"0")</f>
        <v>1.9</v>
      </c>
      <c r="T546" s="719">
        <f>IFERROR(VLOOKUP(M546,INSUMOS!$C$8:$K$934,7,0),"0")</f>
        <v>1800</v>
      </c>
      <c r="U546" s="719"/>
      <c r="V546" s="515">
        <f>+T546*S546*R546</f>
        <v>4104</v>
      </c>
      <c r="Y546" s="321">
        <f>+IFERROR((R546*S546)*Y527,0)</f>
        <v>102.85262399999999</v>
      </c>
      <c r="Z546" s="318">
        <f>Y527*V546</f>
        <v>185134.72319999998</v>
      </c>
      <c r="AA546" s="345"/>
      <c r="AB546" s="346">
        <f>+Y546*T546</f>
        <v>185134.72319999998</v>
      </c>
      <c r="AC546" s="347">
        <f>+AB546-Z546</f>
        <v>0</v>
      </c>
      <c r="AD546" s="348"/>
      <c r="AE546" s="337" t="str">
        <f t="shared" ref="AE546:AE549" si="73">+IF(V546=0,"CERO","NO")</f>
        <v>NO</v>
      </c>
    </row>
    <row r="547" spans="3:31" ht="15.9" customHeight="1" x14ac:dyDescent="0.3">
      <c r="C547" s="350"/>
      <c r="D547" s="351"/>
      <c r="E547" s="345"/>
      <c r="F547" s="345"/>
      <c r="G547" s="345"/>
      <c r="H547" s="345"/>
      <c r="I547" s="345"/>
      <c r="J547" s="352"/>
      <c r="K547" s="353"/>
      <c r="M547" s="354">
        <v>0</v>
      </c>
      <c r="N547" s="718" t="str">
        <f>IFERROR(VLOOKUP(M547,INSUMOS!$C$8:$K$934,2,0),"-----")</f>
        <v>-----</v>
      </c>
      <c r="O547" s="718"/>
      <c r="P547" s="718"/>
      <c r="Q547" s="314" t="str">
        <f>IFERROR(VLOOKUP(M547,INSUMOS!$C$8:$K$934,5,0),"-----")</f>
        <v>-----</v>
      </c>
      <c r="R547" s="355"/>
      <c r="S547" s="355" t="str">
        <f>IFERROR(VLOOKUP(M547,INSUMOS!$C$8:$K$934,6,0),"0")</f>
        <v>0</v>
      </c>
      <c r="T547" s="719" t="str">
        <f>IFERROR(VLOOKUP(M547,INSUMOS!$C$8:$K$934,7,0),"0")</f>
        <v>0</v>
      </c>
      <c r="U547" s="719"/>
      <c r="V547" s="515">
        <f>+T547*S547*R547</f>
        <v>0</v>
      </c>
      <c r="Y547" s="321">
        <f>+IFERROR((R547*S547)*Y527,0)</f>
        <v>0</v>
      </c>
      <c r="Z547" s="318">
        <f>Y527*V547</f>
        <v>0</v>
      </c>
      <c r="AA547" s="345"/>
      <c r="AB547" s="346">
        <f>+Y547*T547</f>
        <v>0</v>
      </c>
      <c r="AC547" s="347">
        <f>+AB547-Z547</f>
        <v>0</v>
      </c>
      <c r="AD547" s="348"/>
      <c r="AE547" s="337" t="str">
        <f t="shared" si="73"/>
        <v>CERO</v>
      </c>
    </row>
    <row r="548" spans="3:31" ht="15.9" customHeight="1" x14ac:dyDescent="0.3">
      <c r="C548" s="350"/>
      <c r="D548" s="351"/>
      <c r="E548" s="345"/>
      <c r="F548" s="345"/>
      <c r="G548" s="345"/>
      <c r="H548" s="345"/>
      <c r="I548" s="345"/>
      <c r="J548" s="352"/>
      <c r="K548" s="353"/>
      <c r="M548" s="354">
        <v>0</v>
      </c>
      <c r="N548" s="718" t="str">
        <f>IFERROR(VLOOKUP(M548,INSUMOS!$C$8:$K$934,2,0),"-----")</f>
        <v>-----</v>
      </c>
      <c r="O548" s="718"/>
      <c r="P548" s="718"/>
      <c r="Q548" s="314" t="str">
        <f>IFERROR(VLOOKUP(M548,INSUMOS!$C$8:$K$934,5,0),"-----")</f>
        <v>-----</v>
      </c>
      <c r="R548" s="355"/>
      <c r="S548" s="355" t="str">
        <f>IFERROR(VLOOKUP(M548,INSUMOS!$C$8:$K$934,6,0),"0")</f>
        <v>0</v>
      </c>
      <c r="T548" s="719" t="str">
        <f>IFERROR(VLOOKUP(M548,INSUMOS!$C$8:$K$934,7,0),"0")</f>
        <v>0</v>
      </c>
      <c r="U548" s="719"/>
      <c r="V548" s="515">
        <f>+T548*S548*R548</f>
        <v>0</v>
      </c>
      <c r="Y548" s="321">
        <f>+IFERROR((R548*S548)*Y527,0)</f>
        <v>0</v>
      </c>
      <c r="Z548" s="318">
        <f>Y527*V548</f>
        <v>0</v>
      </c>
      <c r="AA548" s="345"/>
      <c r="AB548" s="346">
        <f t="shared" ref="AB548" si="74">+Y548*T548</f>
        <v>0</v>
      </c>
      <c r="AC548" s="347">
        <f t="shared" ref="AC548" si="75">+AB548-Z548</f>
        <v>0</v>
      </c>
      <c r="AD548" s="348"/>
      <c r="AE548" s="337" t="str">
        <f t="shared" si="73"/>
        <v>CERO</v>
      </c>
    </row>
    <row r="549" spans="3:31" ht="15.9" customHeight="1" thickBot="1" x14ac:dyDescent="0.35">
      <c r="C549" s="350"/>
      <c r="D549" s="360"/>
      <c r="E549" s="361"/>
      <c r="F549" s="361"/>
      <c r="G549" s="361"/>
      <c r="H549" s="361"/>
      <c r="I549" s="361"/>
      <c r="J549" s="362"/>
      <c r="K549" s="353"/>
      <c r="M549" s="354">
        <v>0</v>
      </c>
      <c r="N549" s="718"/>
      <c r="O549" s="718"/>
      <c r="P549" s="718"/>
      <c r="Q549" s="357"/>
      <c r="R549" s="314"/>
      <c r="S549" s="358"/>
      <c r="T549" s="719"/>
      <c r="U549" s="719"/>
      <c r="V549" s="515"/>
      <c r="Y549" s="321">
        <f>+IFERROR((R549*S549)*Y527,0)</f>
        <v>0</v>
      </c>
      <c r="Z549" s="318">
        <f>Y527*V549</f>
        <v>0</v>
      </c>
      <c r="AA549" s="345"/>
      <c r="AB549" s="346">
        <f>+Y549*T549</f>
        <v>0</v>
      </c>
      <c r="AC549" s="347">
        <f>+AB549-Z549</f>
        <v>0</v>
      </c>
      <c r="AD549" s="348"/>
      <c r="AE549" s="337" t="str">
        <f t="shared" si="73"/>
        <v>CERO</v>
      </c>
    </row>
    <row r="550" spans="3:31" ht="15.9" customHeight="1" thickBot="1" x14ac:dyDescent="0.35">
      <c r="C550" s="292"/>
      <c r="D550" s="295" t="s">
        <v>132</v>
      </c>
      <c r="E550" s="296" t="s">
        <v>133</v>
      </c>
      <c r="F550" s="296" t="s">
        <v>134</v>
      </c>
      <c r="G550" s="296" t="s">
        <v>135</v>
      </c>
      <c r="H550" s="296" t="s">
        <v>136</v>
      </c>
      <c r="I550" s="296" t="s">
        <v>137</v>
      </c>
      <c r="J550" s="297" t="s">
        <v>138</v>
      </c>
      <c r="K550" s="293"/>
      <c r="M550" s="720"/>
      <c r="N550" s="721" t="s">
        <v>116</v>
      </c>
      <c r="O550" s="721"/>
      <c r="P550" s="721"/>
      <c r="Q550" s="721"/>
      <c r="R550" s="721"/>
      <c r="S550" s="721"/>
      <c r="T550" s="721"/>
      <c r="U550" s="721"/>
      <c r="V550" s="499">
        <f>+SUM(V546:V549)</f>
        <v>4104</v>
      </c>
      <c r="Y550" s="328" t="s">
        <v>139</v>
      </c>
      <c r="Z550" s="329">
        <f>+SUM(Z546:Z549)</f>
        <v>185134.72319999998</v>
      </c>
      <c r="AA550" s="279"/>
      <c r="AB550" s="290"/>
      <c r="AC550" s="291"/>
      <c r="AD550" s="280"/>
      <c r="AE550" s="330"/>
    </row>
    <row r="551" spans="3:31" ht="15.9" customHeight="1" thickBot="1" x14ac:dyDescent="0.35">
      <c r="C551" s="292"/>
      <c r="D551" s="363"/>
      <c r="E551" s="364"/>
      <c r="F551" s="365">
        <f>+E543</f>
        <v>1.5</v>
      </c>
      <c r="G551" s="364"/>
      <c r="H551" s="364"/>
      <c r="I551" s="364"/>
      <c r="J551" s="366"/>
      <c r="K551" s="293"/>
      <c r="M551" s="720"/>
      <c r="N551" s="722" t="s">
        <v>117</v>
      </c>
      <c r="O551" s="722"/>
      <c r="P551" s="722"/>
      <c r="Q551" s="722"/>
      <c r="R551" s="722"/>
      <c r="S551" s="722"/>
      <c r="T551" s="722"/>
      <c r="U551" s="722"/>
      <c r="V551" s="344">
        <f>+ROUND(V550,$AA$2)</f>
        <v>4104</v>
      </c>
      <c r="Y551" s="332" t="s">
        <v>140</v>
      </c>
      <c r="Z551" s="333">
        <f>+ROUND(Z550,$AA$2)</f>
        <v>185135</v>
      </c>
      <c r="AA551" s="279"/>
      <c r="AB551" s="324">
        <f>+V551*Y527</f>
        <v>185134.72319999998</v>
      </c>
      <c r="AC551" s="359"/>
      <c r="AD551" s="280"/>
      <c r="AE551" s="334"/>
    </row>
    <row r="552" spans="3:31" ht="15.9" customHeight="1" thickBot="1" x14ac:dyDescent="0.35">
      <c r="C552" s="292"/>
      <c r="D552" s="369"/>
      <c r="E552" s="370"/>
      <c r="F552" s="370"/>
      <c r="G552" s="370"/>
      <c r="H552" s="370"/>
      <c r="I552" s="370"/>
      <c r="J552" s="371"/>
      <c r="K552" s="293"/>
      <c r="M552" s="723" t="s">
        <v>118</v>
      </c>
      <c r="N552" s="723"/>
      <c r="O552" s="723"/>
      <c r="P552" s="723"/>
      <c r="Q552" s="723"/>
      <c r="R552" s="723"/>
      <c r="S552" s="723"/>
      <c r="T552" s="723"/>
      <c r="U552" s="723"/>
      <c r="V552" s="723"/>
      <c r="Y552" s="298"/>
      <c r="Z552" s="299"/>
      <c r="AA552" s="279"/>
      <c r="AB552" s="342"/>
      <c r="AC552" s="299"/>
      <c r="AD552" s="280"/>
      <c r="AE552" s="335"/>
    </row>
    <row r="553" spans="3:31" ht="15.9" customHeight="1" thickBot="1" x14ac:dyDescent="0.35">
      <c r="C553" s="292"/>
      <c r="D553" s="295" t="s">
        <v>132</v>
      </c>
      <c r="E553" s="296" t="s">
        <v>133</v>
      </c>
      <c r="F553" s="296" t="s">
        <v>134</v>
      </c>
      <c r="G553" s="296" t="s">
        <v>135</v>
      </c>
      <c r="H553" s="296" t="s">
        <v>136</v>
      </c>
      <c r="I553" s="296" t="s">
        <v>137</v>
      </c>
      <c r="J553" s="297" t="s">
        <v>138</v>
      </c>
      <c r="K553" s="293"/>
      <c r="M553" s="307" t="s">
        <v>97</v>
      </c>
      <c r="N553" s="372" t="s">
        <v>98</v>
      </c>
      <c r="O553" s="307" t="s">
        <v>99</v>
      </c>
      <c r="P553" s="396" t="s">
        <v>107</v>
      </c>
      <c r="Q553" s="307" t="s">
        <v>119</v>
      </c>
      <c r="R553" s="373" t="s">
        <v>120</v>
      </c>
      <c r="S553" s="307" t="s">
        <v>363</v>
      </c>
      <c r="T553" s="374" t="s">
        <v>121</v>
      </c>
      <c r="U553" s="375" t="s">
        <v>122</v>
      </c>
      <c r="V553" s="307" t="s">
        <v>101</v>
      </c>
      <c r="Y553" s="308" t="s">
        <v>107</v>
      </c>
      <c r="Z553" s="309" t="s">
        <v>9</v>
      </c>
      <c r="AA553" s="279"/>
      <c r="AB553" s="290"/>
      <c r="AC553" s="291"/>
      <c r="AD553" s="280"/>
      <c r="AE553" s="349"/>
    </row>
    <row r="554" spans="3:31" ht="14.4" x14ac:dyDescent="0.3">
      <c r="C554" s="292"/>
      <c r="D554" s="376"/>
      <c r="E554" s="377"/>
      <c r="F554" s="377"/>
      <c r="G554" s="377"/>
      <c r="H554" s="377"/>
      <c r="I554" s="377"/>
      <c r="J554" s="378">
        <f>+F551</f>
        <v>1.5</v>
      </c>
      <c r="K554" s="293"/>
      <c r="M554" s="313">
        <v>202</v>
      </c>
      <c r="N554" s="379" t="str">
        <f>IFERROR(VLOOKUP(M554,INSUMOS!$C$8:$K$934,2,0),"-----")</f>
        <v>Ayudante Albañileria</v>
      </c>
      <c r="O554" s="314" t="str">
        <f>IFERROR(VLOOKUP(M554,INSUMOS!$C$8:$K$934,3,0),"-----")</f>
        <v>JORNAL+PS</v>
      </c>
      <c r="P554" s="355">
        <v>3</v>
      </c>
      <c r="Q554" s="339">
        <v>9</v>
      </c>
      <c r="R554" s="380">
        <f>IFERROR(VLOOKUP(M554,INSUMOS!$C$8:$K$934,4,0),"-----")</f>
        <v>94970</v>
      </c>
      <c r="S554" s="380">
        <f>IFERROR(VLOOKUP(M554,INSUMOS!$C$8:$K$934,6,0),"-----")</f>
        <v>75976</v>
      </c>
      <c r="T554" s="380">
        <f>IFERROR(VLOOKUP(M554,INSUMOS!$C$8:$K$934,5,0),"-----")</f>
        <v>0</v>
      </c>
      <c r="U554" s="338">
        <f>SUM(R554:T554)</f>
        <v>170946</v>
      </c>
      <c r="V554" s="316">
        <f>+IFERROR((P554/Q554)*U554,0)</f>
        <v>56982</v>
      </c>
      <c r="Y554" s="321">
        <f>+IFERROR((Y527/Q554*P554),0)</f>
        <v>15.036933333333334</v>
      </c>
      <c r="Z554" s="318">
        <f>Y527*V554</f>
        <v>2570503.6055999999</v>
      </c>
      <c r="AA554" s="279"/>
      <c r="AB554" s="367">
        <f>+(U554)*Y554</f>
        <v>2570503.6055999999</v>
      </c>
      <c r="AC554" s="302">
        <f>+AB554-Z554</f>
        <v>0</v>
      </c>
      <c r="AD554" s="368"/>
      <c r="AE554" s="349" t="str">
        <f>+IF(V554=0,"CERO","NO")</f>
        <v>NO</v>
      </c>
    </row>
    <row r="555" spans="3:31" ht="15.9" customHeight="1" thickBot="1" x14ac:dyDescent="0.35">
      <c r="C555" s="292"/>
      <c r="D555" s="363"/>
      <c r="E555" s="364"/>
      <c r="F555" s="364"/>
      <c r="G555" s="364"/>
      <c r="H555" s="364"/>
      <c r="I555" s="364"/>
      <c r="J555" s="381">
        <f>+J554</f>
        <v>1.5</v>
      </c>
      <c r="K555" s="293"/>
      <c r="M555" s="313">
        <v>0</v>
      </c>
      <c r="N555" s="379" t="str">
        <f>IFERROR(VLOOKUP(M555,INSUMOS!$C$8:$K$934,2,0),"-----")</f>
        <v>-----</v>
      </c>
      <c r="O555" s="314" t="str">
        <f>IFERROR(VLOOKUP(M555,INSUMOS!$C$8:$K$934,3,0),"-----")</f>
        <v>-----</v>
      </c>
      <c r="P555" s="355"/>
      <c r="Q555" s="339"/>
      <c r="R555" s="380" t="str">
        <f>IFERROR(VLOOKUP(M555,INSUMOS!$C$8:$K$934,4,0),"-----")</f>
        <v>-----</v>
      </c>
      <c r="S555" s="380" t="str">
        <f>IFERROR(VLOOKUP(M555,INSUMOS!$C$8:$K$934,6,0),"-----")</f>
        <v>-----</v>
      </c>
      <c r="T555" s="380" t="str">
        <f>IFERROR(VLOOKUP(M555,INSUMOS!$C$8:$K$934,5,0),"-----")</f>
        <v>-----</v>
      </c>
      <c r="U555" s="338">
        <f>SUM(R555:T555)</f>
        <v>0</v>
      </c>
      <c r="V555" s="316">
        <f>+IFERROR((P555/Q555)*U555,0)</f>
        <v>0</v>
      </c>
      <c r="Y555" s="321">
        <f>+IFERROR((Y527/Q555*P555),0)</f>
        <v>0</v>
      </c>
      <c r="Z555" s="318">
        <f>Y527*V555</f>
        <v>0</v>
      </c>
      <c r="AA555" s="279"/>
      <c r="AB555" s="367">
        <f>+U555*Y555</f>
        <v>0</v>
      </c>
      <c r="AC555" s="302">
        <f>+AB555-Z555</f>
        <v>0</v>
      </c>
      <c r="AD555" s="280"/>
      <c r="AE555" s="349" t="str">
        <f t="shared" ref="AE555:AE556" si="76">+IF(V555=0,"CERO","NO")</f>
        <v>CERO</v>
      </c>
    </row>
    <row r="556" spans="3:31" ht="15.9" customHeight="1" thickBot="1" x14ac:dyDescent="0.35">
      <c r="C556" s="292"/>
      <c r="D556" s="304"/>
      <c r="E556" s="305"/>
      <c r="F556" s="305"/>
      <c r="G556" s="305"/>
      <c r="H556" s="305"/>
      <c r="I556" s="305"/>
      <c r="J556" s="306"/>
      <c r="K556" s="293"/>
      <c r="M556" s="313">
        <v>0</v>
      </c>
      <c r="N556" s="379"/>
      <c r="O556" s="339"/>
      <c r="P556" s="382"/>
      <c r="Q556" s="319"/>
      <c r="R556" s="383"/>
      <c r="S556" s="384"/>
      <c r="T556" s="383"/>
      <c r="U556" s="338"/>
      <c r="V556" s="323"/>
      <c r="Y556" s="321">
        <f>+IFERROR((Y527/Q556*P556),0)</f>
        <v>0</v>
      </c>
      <c r="Z556" s="318">
        <f>Y527*V556</f>
        <v>0</v>
      </c>
      <c r="AA556" s="279"/>
      <c r="AB556" s="367">
        <f>+(U556)*Y556*P556</f>
        <v>0</v>
      </c>
      <c r="AC556" s="302">
        <f>+AB556-Z556</f>
        <v>0</v>
      </c>
      <c r="AD556" s="280"/>
      <c r="AE556" s="349" t="str">
        <f t="shared" si="76"/>
        <v>CERO</v>
      </c>
    </row>
    <row r="557" spans="3:31" ht="15.9" customHeight="1" thickBot="1" x14ac:dyDescent="0.35">
      <c r="C557" s="292"/>
      <c r="D557" s="295" t="s">
        <v>132</v>
      </c>
      <c r="E557" s="296" t="s">
        <v>133</v>
      </c>
      <c r="F557" s="296" t="s">
        <v>134</v>
      </c>
      <c r="G557" s="296" t="s">
        <v>135</v>
      </c>
      <c r="H557" s="296" t="s">
        <v>136</v>
      </c>
      <c r="I557" s="296" t="s">
        <v>137</v>
      </c>
      <c r="J557" s="297" t="s">
        <v>138</v>
      </c>
      <c r="K557" s="293"/>
      <c r="M557" s="724"/>
      <c r="N557" s="725" t="s">
        <v>123</v>
      </c>
      <c r="O557" s="725"/>
      <c r="P557" s="725"/>
      <c r="Q557" s="725"/>
      <c r="R557" s="725"/>
      <c r="S557" s="725"/>
      <c r="T557" s="725"/>
      <c r="U557" s="725"/>
      <c r="V557" s="316">
        <f>+SUM(V554:V556)</f>
        <v>56982</v>
      </c>
      <c r="Y557" s="328" t="s">
        <v>139</v>
      </c>
      <c r="Z557" s="329">
        <f>+SUM(Z554:Z556)</f>
        <v>2570503.6055999999</v>
      </c>
      <c r="AA557" s="279"/>
      <c r="AB557" s="290"/>
      <c r="AC557" s="291"/>
      <c r="AD557" s="280"/>
      <c r="AE557" s="330"/>
    </row>
    <row r="558" spans="3:31" ht="15.9" customHeight="1" thickBot="1" x14ac:dyDescent="0.35">
      <c r="C558" s="292"/>
      <c r="D558" s="376"/>
      <c r="E558" s="377"/>
      <c r="F558" s="377"/>
      <c r="G558" s="386">
        <f>+F551</f>
        <v>1.5</v>
      </c>
      <c r="H558" s="377"/>
      <c r="I558" s="377"/>
      <c r="J558" s="387"/>
      <c r="K558" s="293"/>
      <c r="M558" s="724"/>
      <c r="N558" s="726" t="s">
        <v>124</v>
      </c>
      <c r="O558" s="726"/>
      <c r="P558" s="726"/>
      <c r="Q558" s="726"/>
      <c r="R558" s="726"/>
      <c r="S558" s="726"/>
      <c r="T558" s="726"/>
      <c r="U558" s="726"/>
      <c r="V558" s="344">
        <f>+ROUND(V557,$AA$2)</f>
        <v>56982</v>
      </c>
      <c r="Y558" s="332" t="s">
        <v>140</v>
      </c>
      <c r="Z558" s="333">
        <f>+ROUND(Z557,$AA$2)</f>
        <v>2570504</v>
      </c>
      <c r="AA558" s="279"/>
      <c r="AB558" s="324">
        <f>+V558*Y527</f>
        <v>2570503.6055999999</v>
      </c>
      <c r="AC558" s="325">
        <f>+AB558-Z558</f>
        <v>-0.3944000001065433</v>
      </c>
      <c r="AD558" s="280"/>
      <c r="AE558" s="334"/>
    </row>
    <row r="559" spans="3:31" ht="15.9" customHeight="1" thickBot="1" x14ac:dyDescent="0.35">
      <c r="C559" s="292"/>
      <c r="D559" s="295" t="s">
        <v>132</v>
      </c>
      <c r="E559" s="296" t="s">
        <v>133</v>
      </c>
      <c r="F559" s="296" t="s">
        <v>134</v>
      </c>
      <c r="G559" s="296" t="s">
        <v>135</v>
      </c>
      <c r="H559" s="296" t="s">
        <v>136</v>
      </c>
      <c r="I559" s="296" t="s">
        <v>137</v>
      </c>
      <c r="J559" s="297" t="s">
        <v>138</v>
      </c>
      <c r="K559" s="293"/>
      <c r="M559" s="727"/>
      <c r="N559" s="727"/>
      <c r="O559" s="727"/>
      <c r="P559" s="727"/>
      <c r="Q559" s="727"/>
      <c r="R559" s="727"/>
      <c r="S559" s="727"/>
      <c r="T559" s="727"/>
      <c r="U559" s="727"/>
      <c r="V559" s="727"/>
      <c r="Y559" s="298"/>
      <c r="Z559" s="299"/>
      <c r="AA559" s="279"/>
      <c r="AB559" s="342"/>
      <c r="AC559" s="299"/>
      <c r="AD559" s="280"/>
      <c r="AE559" s="388"/>
    </row>
    <row r="560" spans="3:31" ht="15.9" customHeight="1" thickBot="1" x14ac:dyDescent="0.35">
      <c r="C560" s="292"/>
      <c r="D560" s="363"/>
      <c r="E560" s="364"/>
      <c r="F560" s="364"/>
      <c r="G560" s="364"/>
      <c r="H560" s="365">
        <f>G558</f>
        <v>1.5</v>
      </c>
      <c r="I560" s="365"/>
      <c r="J560" s="381"/>
      <c r="K560" s="293"/>
      <c r="M560" s="726" t="s">
        <v>125</v>
      </c>
      <c r="N560" s="726"/>
      <c r="O560" s="726"/>
      <c r="P560" s="726"/>
      <c r="Q560" s="726"/>
      <c r="R560" s="726"/>
      <c r="S560" s="726"/>
      <c r="T560" s="726"/>
      <c r="U560" s="728">
        <f>+V558+V551+V543+V536</f>
        <v>75555</v>
      </c>
      <c r="V560" s="728"/>
      <c r="Y560" s="389"/>
      <c r="Z560" s="390">
        <f>+Z558+Z551+Z543+Z536</f>
        <v>3408334</v>
      </c>
      <c r="AA560" s="279"/>
      <c r="AB560" s="385">
        <f>+AB558+AB551+AB543+AB536</f>
        <v>3408346.4939999999</v>
      </c>
      <c r="AC560" s="325">
        <f>+AB560-Z560</f>
        <v>12.493999999947846</v>
      </c>
      <c r="AD560" s="280"/>
      <c r="AE560" s="391"/>
    </row>
    <row r="561" spans="4:31" ht="15.9" customHeight="1" thickBot="1" x14ac:dyDescent="0.3">
      <c r="M561" s="412"/>
      <c r="N561" s="412"/>
      <c r="O561" s="412"/>
      <c r="P561" s="412"/>
      <c r="Q561" s="412"/>
      <c r="R561" s="412"/>
      <c r="S561" s="412"/>
      <c r="T561" s="412"/>
      <c r="U561" s="412"/>
      <c r="V561" s="412"/>
    </row>
    <row r="562" spans="4:31" ht="15.9" customHeight="1" x14ac:dyDescent="0.25">
      <c r="M562" s="729" t="s">
        <v>364</v>
      </c>
      <c r="N562" s="729"/>
      <c r="O562" s="729"/>
      <c r="P562" s="729"/>
      <c r="Q562" s="729"/>
      <c r="R562" s="729"/>
      <c r="S562" s="729"/>
      <c r="T562" s="729"/>
      <c r="U562" s="729"/>
      <c r="V562" s="729"/>
      <c r="Y562" s="298"/>
      <c r="Z562" s="299"/>
      <c r="AA562" s="279"/>
      <c r="AB562" s="280"/>
      <c r="AC562" s="280"/>
      <c r="AD562" s="280"/>
      <c r="AE562" s="335" t="s">
        <v>137</v>
      </c>
    </row>
    <row r="563" spans="4:31" ht="15.9" customHeight="1" x14ac:dyDescent="0.25">
      <c r="M563" s="700" t="s">
        <v>142</v>
      </c>
      <c r="N563" s="700"/>
      <c r="O563" s="700"/>
      <c r="P563" s="700"/>
      <c r="Q563" s="700"/>
      <c r="R563" s="700"/>
      <c r="S563" s="700"/>
      <c r="T563" s="413">
        <f>$AA$3</f>
        <v>0.25</v>
      </c>
      <c r="U563" s="701">
        <f>+ROUND(U560*T563,$AA$2)</f>
        <v>18889</v>
      </c>
      <c r="V563" s="701"/>
      <c r="Y563" s="317"/>
      <c r="Z563" s="414">
        <f>+Z560*T563</f>
        <v>852083.5</v>
      </c>
      <c r="AA563" s="279"/>
      <c r="AB563" s="280"/>
      <c r="AC563" s="280"/>
      <c r="AD563" s="280"/>
      <c r="AE563" s="310" t="s">
        <v>137</v>
      </c>
    </row>
    <row r="564" spans="4:31" ht="15.9" customHeight="1" x14ac:dyDescent="0.25">
      <c r="M564" s="700" t="s">
        <v>19</v>
      </c>
      <c r="N564" s="700"/>
      <c r="O564" s="700"/>
      <c r="P564" s="700"/>
      <c r="Q564" s="700"/>
      <c r="R564" s="700"/>
      <c r="S564" s="700"/>
      <c r="T564" s="413">
        <f>$AA$4</f>
        <v>0.03</v>
      </c>
      <c r="U564" s="701">
        <f>+ROUND(U560*T564,$AA$2)</f>
        <v>2267</v>
      </c>
      <c r="V564" s="701"/>
      <c r="Y564" s="317"/>
      <c r="Z564" s="414">
        <f>+Z560*T564</f>
        <v>102250.01999999999</v>
      </c>
      <c r="AA564" s="279"/>
      <c r="AB564" s="280"/>
      <c r="AC564" s="280"/>
      <c r="AD564" s="280"/>
      <c r="AE564" s="310" t="s">
        <v>137</v>
      </c>
    </row>
    <row r="565" spans="4:31" ht="15.9" customHeight="1" x14ac:dyDescent="0.25">
      <c r="M565" s="700" t="s">
        <v>20</v>
      </c>
      <c r="N565" s="700"/>
      <c r="O565" s="700"/>
      <c r="P565" s="700"/>
      <c r="Q565" s="700"/>
      <c r="R565" s="700"/>
      <c r="S565" s="700"/>
      <c r="T565" s="413">
        <f>$AA$5</f>
        <v>0.05</v>
      </c>
      <c r="U565" s="701">
        <f>+ROUND(U560*T565,$AA$2)</f>
        <v>3778</v>
      </c>
      <c r="V565" s="701"/>
      <c r="Y565" s="317"/>
      <c r="Z565" s="414">
        <f>+Z560*T565</f>
        <v>170416.7</v>
      </c>
      <c r="AA565" s="279"/>
      <c r="AB565" s="280"/>
      <c r="AC565" s="280"/>
      <c r="AD565" s="280"/>
      <c r="AE565" s="310" t="s">
        <v>137</v>
      </c>
    </row>
    <row r="566" spans="4:31" ht="15.9" customHeight="1" x14ac:dyDescent="0.25">
      <c r="M566" s="700" t="s">
        <v>21</v>
      </c>
      <c r="N566" s="700"/>
      <c r="O566" s="700"/>
      <c r="P566" s="700"/>
      <c r="Q566" s="700"/>
      <c r="R566" s="700"/>
      <c r="S566" s="700"/>
      <c r="T566" s="413">
        <f>$AA$6</f>
        <v>0</v>
      </c>
      <c r="U566" s="701">
        <f>+ROUND(U560*T566,$AA$2)</f>
        <v>0</v>
      </c>
      <c r="V566" s="701"/>
      <c r="Y566" s="317"/>
      <c r="Z566" s="414">
        <f>+Z565*T566</f>
        <v>0</v>
      </c>
      <c r="AA566" s="279"/>
      <c r="AB566" s="280"/>
      <c r="AC566" s="280"/>
      <c r="AD566" s="280"/>
      <c r="AE566" s="310" t="s">
        <v>137</v>
      </c>
    </row>
    <row r="567" spans="4:31" ht="15.9" customHeight="1" thickBot="1" x14ac:dyDescent="0.3">
      <c r="M567" s="702" t="s">
        <v>365</v>
      </c>
      <c r="N567" s="702"/>
      <c r="O567" s="702"/>
      <c r="P567" s="702"/>
      <c r="Q567" s="702"/>
      <c r="R567" s="702"/>
      <c r="S567" s="702"/>
      <c r="T567" s="702"/>
      <c r="U567" s="703">
        <f>+SUM(U563:V566)</f>
        <v>24934</v>
      </c>
      <c r="V567" s="703"/>
      <c r="Y567" s="317"/>
      <c r="Z567" s="415">
        <f>+SUM(Z563:Z566)</f>
        <v>1124750.22</v>
      </c>
      <c r="AA567" s="279"/>
      <c r="AB567" s="280"/>
      <c r="AC567" s="280"/>
      <c r="AD567" s="280"/>
      <c r="AE567" s="310" t="s">
        <v>137</v>
      </c>
    </row>
    <row r="568" spans="4:31" ht="15.9" customHeight="1" thickBot="1" x14ac:dyDescent="0.3">
      <c r="D568" s="295" t="s">
        <v>132</v>
      </c>
      <c r="E568" s="296" t="s">
        <v>133</v>
      </c>
      <c r="F568" s="296" t="s">
        <v>134</v>
      </c>
      <c r="G568" s="296" t="s">
        <v>135</v>
      </c>
      <c r="H568" s="296" t="s">
        <v>136</v>
      </c>
      <c r="I568" s="296" t="s">
        <v>137</v>
      </c>
      <c r="J568" s="297" t="s">
        <v>138</v>
      </c>
      <c r="M568" s="377"/>
      <c r="N568" s="416"/>
      <c r="O568" s="416"/>
      <c r="P568" s="416"/>
      <c r="Q568" s="377"/>
      <c r="R568" s="377"/>
      <c r="S568" s="377"/>
      <c r="T568" s="417"/>
      <c r="U568" s="701"/>
      <c r="V568" s="701"/>
      <c r="Y568" s="317"/>
      <c r="Z568" s="291"/>
      <c r="AA568" s="279"/>
      <c r="AB568" s="280"/>
      <c r="AC568" s="280"/>
      <c r="AD568" s="280"/>
      <c r="AE568" s="310" t="s">
        <v>137</v>
      </c>
    </row>
    <row r="569" spans="4:31" ht="15.9" customHeight="1" thickBot="1" x14ac:dyDescent="0.3">
      <c r="D569" s="363"/>
      <c r="E569" s="364"/>
      <c r="F569" s="364"/>
      <c r="G569" s="364"/>
      <c r="H569" s="365"/>
      <c r="I569" s="365">
        <f>H560</f>
        <v>1.5</v>
      </c>
      <c r="J569" s="381"/>
      <c r="M569" s="702" t="s">
        <v>11</v>
      </c>
      <c r="N569" s="702"/>
      <c r="O569" s="702"/>
      <c r="P569" s="702"/>
      <c r="Q569" s="702"/>
      <c r="R569" s="702"/>
      <c r="S569" s="702"/>
      <c r="T569" s="702"/>
      <c r="U569" s="704">
        <f>+U567+U560</f>
        <v>100489</v>
      </c>
      <c r="V569" s="704"/>
      <c r="Y569" s="389"/>
      <c r="Z569" s="418">
        <f>+Z567+Z560</f>
        <v>4533084.22</v>
      </c>
      <c r="AA569" s="279"/>
      <c r="AB569" s="280"/>
      <c r="AC569" s="280"/>
      <c r="AD569" s="280"/>
      <c r="AE569" s="334" t="s">
        <v>137</v>
      </c>
    </row>
    <row r="570" spans="4:31" ht="15.9" customHeight="1" x14ac:dyDescent="0.25">
      <c r="M570" s="705"/>
      <c r="N570" s="705"/>
      <c r="O570" s="705"/>
      <c r="P570" s="705"/>
      <c r="Q570" s="705"/>
      <c r="R570" s="706"/>
      <c r="S570" s="706"/>
      <c r="T570" s="706"/>
      <c r="U570" s="706"/>
      <c r="V570" s="706"/>
    </row>
    <row r="571" spans="4:31" ht="15.9" customHeight="1" x14ac:dyDescent="0.25">
      <c r="M571" s="705"/>
      <c r="N571" s="705"/>
      <c r="O571" s="705"/>
      <c r="P571" s="705"/>
      <c r="Q571" s="705"/>
      <c r="R571" s="706"/>
      <c r="S571" s="706"/>
      <c r="T571" s="706"/>
      <c r="U571" s="706"/>
      <c r="V571" s="706"/>
    </row>
    <row r="572" spans="4:31" ht="15.9" customHeight="1" x14ac:dyDescent="0.25">
      <c r="M572" s="705"/>
      <c r="N572" s="705"/>
      <c r="O572" s="705"/>
      <c r="P572" s="705"/>
      <c r="Q572" s="705"/>
      <c r="R572" s="706"/>
      <c r="S572" s="706"/>
      <c r="T572" s="706"/>
      <c r="U572" s="706"/>
      <c r="V572" s="706"/>
    </row>
    <row r="573" spans="4:31" ht="15.9" customHeight="1" x14ac:dyDescent="0.25">
      <c r="M573" s="705"/>
      <c r="N573" s="705"/>
      <c r="O573" s="705"/>
      <c r="P573" s="705"/>
      <c r="Q573" s="705"/>
      <c r="R573" s="706"/>
      <c r="S573" s="706"/>
      <c r="T573" s="706"/>
      <c r="U573" s="706"/>
      <c r="V573" s="706"/>
    </row>
    <row r="574" spans="4:31" ht="15.9" customHeight="1" x14ac:dyDescent="0.25">
      <c r="M574" s="707" t="s">
        <v>128</v>
      </c>
      <c r="N574" s="708" t="str">
        <f>$N$6</f>
        <v>ING. JEYSON JULIAN LEON RUEDA</v>
      </c>
      <c r="O574" s="709"/>
      <c r="P574" s="709"/>
      <c r="Q574" s="710"/>
      <c r="R574" s="711" t="s">
        <v>129</v>
      </c>
      <c r="S574" s="708" t="str">
        <f>$S$6</f>
        <v>ARQ. YASMID ROCÍO CARRILLO MORA</v>
      </c>
      <c r="T574" s="709"/>
      <c r="U574" s="709"/>
      <c r="V574" s="710"/>
    </row>
    <row r="575" spans="4:31" ht="15.9" customHeight="1" x14ac:dyDescent="0.25">
      <c r="M575" s="707"/>
      <c r="N575" s="712" t="str">
        <f>$N$7</f>
        <v>MP. 68202-416348 STD</v>
      </c>
      <c r="O575" s="713"/>
      <c r="P575" s="713"/>
      <c r="Q575" s="714"/>
      <c r="R575" s="711"/>
      <c r="S575" s="712" t="str">
        <f>$S$7</f>
        <v>SECRETARIA DE PLANEACIÓN Y OBRAS PÚBLICAS</v>
      </c>
      <c r="T575" s="713"/>
      <c r="U575" s="713"/>
      <c r="V575" s="714"/>
    </row>
    <row r="576" spans="4:31" ht="15.9" customHeight="1" x14ac:dyDescent="0.25">
      <c r="M576" s="707"/>
      <c r="N576" s="715"/>
      <c r="O576" s="716"/>
      <c r="P576" s="716"/>
      <c r="Q576" s="717"/>
      <c r="R576" s="711"/>
      <c r="S576" s="712" t="str">
        <f>$S$8</f>
        <v>MUNICIPIO DE PINCHOTE</v>
      </c>
      <c r="T576" s="713"/>
      <c r="U576" s="713"/>
      <c r="V576" s="714"/>
    </row>
    <row r="577" spans="3:31" ht="15.9" customHeight="1" x14ac:dyDescent="0.25"/>
    <row r="578" spans="3:31" ht="15.9" customHeight="1" thickBot="1" x14ac:dyDescent="0.3"/>
    <row r="579" spans="3:31" ht="15.9" customHeight="1" thickBot="1" x14ac:dyDescent="0.3">
      <c r="M579" s="281" t="s">
        <v>90</v>
      </c>
      <c r="N579" s="410" t="s">
        <v>29</v>
      </c>
      <c r="O579" s="706" t="str">
        <f>IFERROR(VLOOKUP(N579,PPTO!$C$9:$H$64,2,0),"----")</f>
        <v>COMPONENTE ACUEDUCTO</v>
      </c>
      <c r="P579" s="706"/>
      <c r="Q579" s="706"/>
      <c r="R579" s="706"/>
      <c r="S579" s="706"/>
      <c r="T579" s="706"/>
      <c r="U579" s="706"/>
      <c r="V579" s="283" t="s">
        <v>93</v>
      </c>
      <c r="Y579" s="284" t="s">
        <v>107</v>
      </c>
      <c r="Z579" s="280"/>
      <c r="AA579" s="274"/>
      <c r="AB579" s="735"/>
      <c r="AC579" s="735"/>
      <c r="AD579" s="735"/>
      <c r="AE579" s="280"/>
    </row>
    <row r="580" spans="3:31" ht="15.9" customHeight="1" thickBot="1" x14ac:dyDescent="0.35">
      <c r="C580" s="285">
        <f>+N580</f>
        <v>1.6</v>
      </c>
      <c r="D580" s="279"/>
      <c r="E580" s="279"/>
      <c r="F580" s="279"/>
      <c r="G580" s="279"/>
      <c r="H580" s="279"/>
      <c r="I580" s="279"/>
      <c r="J580" s="279"/>
      <c r="K580" s="286"/>
      <c r="M580" s="283" t="s">
        <v>94</v>
      </c>
      <c r="N580" s="287">
        <v>1.6</v>
      </c>
      <c r="O580" s="736" t="str">
        <f>IFERROR(VLOOKUP(N580,PPTO!$C$9:$H$64,2,0),"----")</f>
        <v>Excavaciones en roca a mano (Incluye retiro y disposición final)</v>
      </c>
      <c r="P580" s="736"/>
      <c r="Q580" s="736"/>
      <c r="R580" s="736"/>
      <c r="S580" s="736"/>
      <c r="T580" s="736"/>
      <c r="U580" s="736"/>
      <c r="V580" s="288" t="str">
        <f>IFERROR(VLOOKUP(N580,PPTO!$C$9:$H$64,3,0),"----")</f>
        <v>m3</v>
      </c>
      <c r="Y580" s="289">
        <f>SUMIFS(PPTO!$F$7:$F$63,PPTO!$C$7:$C$63,APUS!N580)</f>
        <v>6.9027000000000003</v>
      </c>
      <c r="Z580" s="280"/>
      <c r="AA580" s="279"/>
      <c r="AB580" s="280"/>
      <c r="AC580" s="280"/>
      <c r="AD580" s="280"/>
      <c r="AE580" s="280"/>
    </row>
    <row r="581" spans="3:31" ht="15.9" customHeight="1" thickBot="1" x14ac:dyDescent="0.35">
      <c r="C581" s="292"/>
      <c r="D581" s="279"/>
      <c r="E581" s="279"/>
      <c r="F581" s="279"/>
      <c r="G581" s="279"/>
      <c r="H581" s="279"/>
      <c r="I581" s="279"/>
      <c r="J581" s="279"/>
      <c r="K581" s="293"/>
      <c r="M581" s="737"/>
      <c r="N581" s="737"/>
      <c r="O581" s="737"/>
      <c r="P581" s="737"/>
      <c r="Q581" s="737"/>
      <c r="R581" s="737"/>
      <c r="S581" s="737"/>
      <c r="T581" s="737"/>
      <c r="U581" s="737"/>
      <c r="V581" s="737"/>
      <c r="Y581" s="294"/>
      <c r="Z581" s="280"/>
      <c r="AA581" s="279"/>
      <c r="AB581" s="280"/>
      <c r="AC581" s="280"/>
      <c r="AD581" s="280"/>
      <c r="AE581" s="280"/>
    </row>
    <row r="582" spans="3:31" ht="15.9" customHeight="1" thickBot="1" x14ac:dyDescent="0.35">
      <c r="C582" s="292"/>
      <c r="D582" s="295" t="s">
        <v>132</v>
      </c>
      <c r="E582" s="296" t="s">
        <v>133</v>
      </c>
      <c r="F582" s="296" t="s">
        <v>134</v>
      </c>
      <c r="G582" s="296" t="s">
        <v>135</v>
      </c>
      <c r="H582" s="296" t="s">
        <v>136</v>
      </c>
      <c r="I582" s="296" t="s">
        <v>137</v>
      </c>
      <c r="J582" s="297" t="s">
        <v>138</v>
      </c>
      <c r="K582" s="293"/>
      <c r="M582" s="738" t="s">
        <v>96</v>
      </c>
      <c r="N582" s="738"/>
      <c r="O582" s="738"/>
      <c r="P582" s="738"/>
      <c r="Q582" s="738"/>
      <c r="R582" s="738"/>
      <c r="S582" s="738"/>
      <c r="T582" s="738"/>
      <c r="U582" s="738"/>
      <c r="V582" s="738"/>
      <c r="Y582" s="298"/>
      <c r="Z582" s="299"/>
      <c r="AA582" s="279"/>
      <c r="AB582" s="731"/>
      <c r="AC582" s="732"/>
      <c r="AD582" s="280"/>
      <c r="AE582" s="303"/>
    </row>
    <row r="583" spans="3:31" ht="15.9" customHeight="1" x14ac:dyDescent="0.3">
      <c r="C583" s="292"/>
      <c r="D583" s="304"/>
      <c r="E583" s="305"/>
      <c r="F583" s="305"/>
      <c r="G583" s="305"/>
      <c r="H583" s="305"/>
      <c r="I583" s="305"/>
      <c r="J583" s="306"/>
      <c r="K583" s="293"/>
      <c r="M583" s="307" t="s">
        <v>97</v>
      </c>
      <c r="N583" s="706" t="s">
        <v>98</v>
      </c>
      <c r="O583" s="706"/>
      <c r="P583" s="706"/>
      <c r="Q583" s="706"/>
      <c r="R583" s="307" t="s">
        <v>99</v>
      </c>
      <c r="S583" s="307" t="s">
        <v>100</v>
      </c>
      <c r="T583" s="734" t="s">
        <v>8</v>
      </c>
      <c r="U583" s="734"/>
      <c r="V583" s="307" t="s">
        <v>101</v>
      </c>
      <c r="Y583" s="308" t="s">
        <v>107</v>
      </c>
      <c r="Z583" s="309" t="s">
        <v>9</v>
      </c>
      <c r="AA583" s="279"/>
      <c r="AB583" s="290"/>
      <c r="AC583" s="291"/>
      <c r="AD583" s="280"/>
      <c r="AE583" s="310"/>
    </row>
    <row r="584" spans="3:31" ht="15.9" customHeight="1" x14ac:dyDescent="0.3">
      <c r="C584" s="292"/>
      <c r="D584" s="311"/>
      <c r="E584" s="279"/>
      <c r="F584" s="279"/>
      <c r="G584" s="279"/>
      <c r="H584" s="279"/>
      <c r="I584" s="279"/>
      <c r="J584" s="312"/>
      <c r="K584" s="293"/>
      <c r="M584" s="313"/>
      <c r="N584" s="718" t="s">
        <v>102</v>
      </c>
      <c r="O584" s="718"/>
      <c r="P584" s="718"/>
      <c r="Q584" s="718"/>
      <c r="R584" s="314" t="s">
        <v>103</v>
      </c>
      <c r="S584" s="315">
        <f>$AA$9</f>
        <v>0.05</v>
      </c>
      <c r="T584" s="739">
        <f>V611</f>
        <v>56982</v>
      </c>
      <c r="U584" s="739"/>
      <c r="V584" s="316">
        <f>+IFERROR(T584*S584,0)</f>
        <v>2849.1000000000004</v>
      </c>
      <c r="Y584" s="317"/>
      <c r="Z584" s="318">
        <f>Y580*V584</f>
        <v>19666.482570000004</v>
      </c>
      <c r="AA584" s="279"/>
      <c r="AB584" s="290"/>
      <c r="AC584" s="291"/>
      <c r="AD584" s="280"/>
      <c r="AE584" s="310" t="str">
        <f>+IF(V584=0,"CERO","NO")</f>
        <v>NO</v>
      </c>
    </row>
    <row r="585" spans="3:31" ht="15.9" customHeight="1" x14ac:dyDescent="0.3">
      <c r="C585" s="292"/>
      <c r="D585" s="311"/>
      <c r="E585" s="279"/>
      <c r="F585" s="279"/>
      <c r="G585" s="279"/>
      <c r="H585" s="279"/>
      <c r="I585" s="279"/>
      <c r="J585" s="312"/>
      <c r="K585" s="293"/>
      <c r="M585" s="319">
        <v>99</v>
      </c>
      <c r="N585" s="718" t="str">
        <f>IFERROR(VLOOKUP(M585,INSUMOS!$C$8:$K$934,2,0),"-----")</f>
        <v>Disposicion final de escombros</v>
      </c>
      <c r="O585" s="718"/>
      <c r="P585" s="718"/>
      <c r="Q585" s="718"/>
      <c r="R585" s="314" t="str">
        <f>IFERROR(VLOOKUP(M585,INSUMOS!$C$8:$K$934,6,0),"-----")</f>
        <v>m3</v>
      </c>
      <c r="S585" s="320">
        <v>1.2</v>
      </c>
      <c r="T585" s="740">
        <f>IFERROR(VLOOKUP(M585,INSUMOS!$C$8:$K$934,7,0),"0")</f>
        <v>9683</v>
      </c>
      <c r="U585" s="740"/>
      <c r="V585" s="316">
        <f>+IFERROR(T585*S585,0)</f>
        <v>11619.6</v>
      </c>
      <c r="Y585" s="321">
        <f>+IFERROR(Y580*S585,0)</f>
        <v>8.2832399999999993</v>
      </c>
      <c r="Z585" s="318">
        <f>Y580*V585</f>
        <v>80206.61292</v>
      </c>
      <c r="AA585" s="300"/>
      <c r="AB585" s="301">
        <f>+Y585*T585</f>
        <v>80206.61292</v>
      </c>
      <c r="AC585" s="302">
        <f>+AB585-Z585</f>
        <v>0</v>
      </c>
      <c r="AD585" s="280"/>
      <c r="AE585" s="310" t="str">
        <f>+IF(V585=0,"CERO","NO")</f>
        <v>NO</v>
      </c>
    </row>
    <row r="586" spans="3:31" ht="15.9" customHeight="1" x14ac:dyDescent="0.3">
      <c r="C586" s="292"/>
      <c r="D586" s="311"/>
      <c r="E586" s="279"/>
      <c r="F586" s="279"/>
      <c r="G586" s="279"/>
      <c r="H586" s="279"/>
      <c r="I586" s="279"/>
      <c r="J586" s="312"/>
      <c r="K586" s="293"/>
      <c r="M586" s="313">
        <v>30</v>
      </c>
      <c r="N586" s="718" t="str">
        <f>IFERROR(VLOOKUP(M586,INSUMOS!$C$8:$K$934,2,0),"-----")</f>
        <v>RetroExcavadora</v>
      </c>
      <c r="O586" s="718"/>
      <c r="P586" s="718"/>
      <c r="Q586" s="718"/>
      <c r="R586" s="314" t="str">
        <f>IFERROR(VLOOKUP(M586,INSUMOS!$C$8:$K$934,6,0),"-----")</f>
        <v>Hora</v>
      </c>
      <c r="S586" s="320">
        <v>0.2</v>
      </c>
      <c r="T586" s="740">
        <f>IFERROR(VLOOKUP(M586,INSUMOS!$C$8:$K$934,7,0),"0")</f>
        <v>190000</v>
      </c>
      <c r="U586" s="740"/>
      <c r="V586" s="316">
        <f>+IFERROR(T586*S586,0)</f>
        <v>38000</v>
      </c>
      <c r="Y586" s="321">
        <f>+IFERROR(Y580*S586,0)</f>
        <v>1.3805400000000001</v>
      </c>
      <c r="Z586" s="318">
        <f>Y580*V586</f>
        <v>262302.60000000003</v>
      </c>
      <c r="AA586" s="300"/>
      <c r="AB586" s="301">
        <f>+Y586*T586</f>
        <v>262302.60000000003</v>
      </c>
      <c r="AC586" s="302">
        <f>+AB586-Z586</f>
        <v>0</v>
      </c>
      <c r="AD586" s="280"/>
      <c r="AE586" s="310" t="str">
        <f>+IF(V586=0,"CERO","NO")</f>
        <v>NO</v>
      </c>
    </row>
    <row r="587" spans="3:31" ht="15.9" customHeight="1" thickBot="1" x14ac:dyDescent="0.35">
      <c r="C587" s="292"/>
      <c r="D587" s="311"/>
      <c r="E587" s="279"/>
      <c r="F587" s="279"/>
      <c r="G587" s="279"/>
      <c r="H587" s="279"/>
      <c r="I587" s="279"/>
      <c r="J587" s="312"/>
      <c r="K587" s="293"/>
      <c r="M587" s="313">
        <v>3</v>
      </c>
      <c r="N587" s="718" t="str">
        <f>IFERROR(VLOOKUP(M587,INSUMOS!$C$8:$K$934,2,0),"-----")</f>
        <v>Demoledor electrico para concretos</v>
      </c>
      <c r="O587" s="718"/>
      <c r="P587" s="718"/>
      <c r="Q587" s="718"/>
      <c r="R587" s="314" t="str">
        <f>IFERROR(VLOOKUP(M587,INSUMOS!$C$8:$K$934,6,0),"-----")</f>
        <v>hora</v>
      </c>
      <c r="S587" s="320">
        <v>0.5</v>
      </c>
      <c r="T587" s="740">
        <f>IFERROR(VLOOKUP(M587,INSUMOS!$C$8:$K$934,7,0),"0")</f>
        <v>80000</v>
      </c>
      <c r="U587" s="740"/>
      <c r="V587" s="316">
        <f>+IFERROR(T587*S587,0)</f>
        <v>40000</v>
      </c>
      <c r="Y587" s="321">
        <f>+IFERROR(Y580*S587,0)</f>
        <v>3.4513500000000001</v>
      </c>
      <c r="Z587" s="318">
        <f>Y580*V587</f>
        <v>276108</v>
      </c>
      <c r="AA587" s="300"/>
      <c r="AB587" s="301">
        <f>+Y587*T587</f>
        <v>276108</v>
      </c>
      <c r="AC587" s="302">
        <f>+AB587-Z587</f>
        <v>0</v>
      </c>
      <c r="AD587" s="280"/>
      <c r="AE587" s="310" t="str">
        <f>+IF(V587=0,"CERO","NO")</f>
        <v>NO</v>
      </c>
    </row>
    <row r="588" spans="3:31" ht="15.9" customHeight="1" thickBot="1" x14ac:dyDescent="0.35">
      <c r="C588" s="292"/>
      <c r="D588" s="295" t="s">
        <v>132</v>
      </c>
      <c r="E588" s="296" t="s">
        <v>133</v>
      </c>
      <c r="F588" s="296" t="s">
        <v>134</v>
      </c>
      <c r="G588" s="296" t="s">
        <v>135</v>
      </c>
      <c r="H588" s="296" t="s">
        <v>136</v>
      </c>
      <c r="I588" s="296" t="s">
        <v>137</v>
      </c>
      <c r="J588" s="297" t="s">
        <v>138</v>
      </c>
      <c r="K588" s="293"/>
      <c r="M588" s="724"/>
      <c r="N588" s="725" t="s">
        <v>104</v>
      </c>
      <c r="O588" s="725"/>
      <c r="P588" s="725"/>
      <c r="Q588" s="725"/>
      <c r="R588" s="725"/>
      <c r="S588" s="725"/>
      <c r="T588" s="725"/>
      <c r="U588" s="725"/>
      <c r="V588" s="316">
        <f>+SUM(V584:V587)</f>
        <v>92468.7</v>
      </c>
      <c r="Y588" s="328" t="s">
        <v>139</v>
      </c>
      <c r="Z588" s="329">
        <f>+SUM(Z584:Z587)</f>
        <v>638283.69549000007</v>
      </c>
      <c r="AA588" s="279"/>
      <c r="AB588" s="290"/>
      <c r="AC588" s="291"/>
      <c r="AD588" s="280"/>
      <c r="AE588" s="330"/>
    </row>
    <row r="589" spans="3:31" ht="15.9" customHeight="1" thickBot="1" x14ac:dyDescent="0.35">
      <c r="C589" s="292"/>
      <c r="D589" s="295">
        <f>C580</f>
        <v>1.6</v>
      </c>
      <c r="E589" s="296"/>
      <c r="F589" s="296"/>
      <c r="G589" s="296"/>
      <c r="H589" s="296"/>
      <c r="I589" s="296"/>
      <c r="J589" s="297"/>
      <c r="K589" s="293"/>
      <c r="M589" s="724"/>
      <c r="N589" s="726" t="s">
        <v>105</v>
      </c>
      <c r="O589" s="726"/>
      <c r="P589" s="726"/>
      <c r="Q589" s="726"/>
      <c r="R589" s="726"/>
      <c r="S589" s="726"/>
      <c r="T589" s="726"/>
      <c r="U589" s="726"/>
      <c r="V589" s="344">
        <f>+ROUND(V588,$AA$2)</f>
        <v>92469</v>
      </c>
      <c r="Y589" s="332" t="s">
        <v>140</v>
      </c>
      <c r="Z589" s="333">
        <f>+ROUND(Z588,$AA$2)</f>
        <v>638284</v>
      </c>
      <c r="AA589" s="279"/>
      <c r="AB589" s="324">
        <f>+V589*Y580</f>
        <v>638285.76630000002</v>
      </c>
      <c r="AC589" s="325">
        <f>+AB589-Z589</f>
        <v>1.7663000000175089</v>
      </c>
      <c r="AD589" s="280"/>
      <c r="AE589" s="334"/>
    </row>
    <row r="590" spans="3:31" ht="15.9" customHeight="1" x14ac:dyDescent="0.3">
      <c r="C590" s="292"/>
      <c r="D590" s="304"/>
      <c r="E590" s="305"/>
      <c r="F590" s="305"/>
      <c r="G590" s="305"/>
      <c r="H590" s="305"/>
      <c r="I590" s="305"/>
      <c r="J590" s="306"/>
      <c r="K590" s="293"/>
      <c r="M590" s="730" t="s">
        <v>106</v>
      </c>
      <c r="N590" s="730"/>
      <c r="O590" s="730"/>
      <c r="P590" s="730"/>
      <c r="Q590" s="730"/>
      <c r="R590" s="730"/>
      <c r="S590" s="730"/>
      <c r="T590" s="730"/>
      <c r="U590" s="730"/>
      <c r="V590" s="730"/>
      <c r="Y590" s="298"/>
      <c r="Z590" s="299"/>
      <c r="AA590" s="279"/>
      <c r="AB590" s="731"/>
      <c r="AC590" s="732"/>
      <c r="AD590" s="280"/>
      <c r="AE590" s="335"/>
    </row>
    <row r="591" spans="3:31" ht="15.9" customHeight="1" x14ac:dyDescent="0.3">
      <c r="C591" s="292"/>
      <c r="D591" s="311"/>
      <c r="E591" s="279"/>
      <c r="F591" s="279"/>
      <c r="G591" s="279"/>
      <c r="H591" s="279"/>
      <c r="I591" s="279"/>
      <c r="J591" s="312"/>
      <c r="K591" s="293"/>
      <c r="M591" s="307" t="s">
        <v>97</v>
      </c>
      <c r="N591" s="706" t="s">
        <v>98</v>
      </c>
      <c r="O591" s="706"/>
      <c r="P591" s="706"/>
      <c r="Q591" s="706"/>
      <c r="R591" s="307" t="s">
        <v>99</v>
      </c>
      <c r="S591" s="307" t="s">
        <v>107</v>
      </c>
      <c r="T591" s="336" t="s">
        <v>108</v>
      </c>
      <c r="U591" s="336" t="s">
        <v>8</v>
      </c>
      <c r="V591" s="307" t="s">
        <v>101</v>
      </c>
      <c r="Y591" s="308" t="s">
        <v>107</v>
      </c>
      <c r="Z591" s="309" t="s">
        <v>9</v>
      </c>
      <c r="AA591" s="279"/>
      <c r="AB591" s="290"/>
      <c r="AC591" s="291"/>
      <c r="AD591" s="280"/>
      <c r="AE591" s="337"/>
    </row>
    <row r="592" spans="3:31" ht="15.9" customHeight="1" x14ac:dyDescent="0.3">
      <c r="C592" s="292"/>
      <c r="D592" s="311"/>
      <c r="E592" s="279"/>
      <c r="F592" s="279"/>
      <c r="G592" s="279"/>
      <c r="H592" s="279"/>
      <c r="I592" s="279"/>
      <c r="J592" s="312"/>
      <c r="K592" s="293"/>
      <c r="M592" s="313">
        <v>0</v>
      </c>
      <c r="N592" s="718" t="str">
        <f>IFERROR(VLOOKUP(M592,INSUMOS!$C$8:$K$934,2,0),"-----")</f>
        <v>-----</v>
      </c>
      <c r="O592" s="718"/>
      <c r="P592" s="718"/>
      <c r="Q592" s="718"/>
      <c r="R592" s="314" t="str">
        <f>IFERROR(VLOOKUP(M592,INSUMOS!$C$8:$K$934,6,0),"-----")</f>
        <v>-----</v>
      </c>
      <c r="S592" s="322"/>
      <c r="T592" s="315">
        <v>0</v>
      </c>
      <c r="U592" s="338" t="str">
        <f>IFERROR(VLOOKUP(M592,INSUMOS!$C$8:$K$934,7,0),"0")</f>
        <v>0</v>
      </c>
      <c r="V592" s="316">
        <f>+IFERROR(U592*(S592*(1+T592)),0)</f>
        <v>0</v>
      </c>
      <c r="Y592" s="321">
        <f>+IFERROR(Y580*(S592*(1+T592)),0)</f>
        <v>0</v>
      </c>
      <c r="Z592" s="318">
        <f>Y580*V592</f>
        <v>0</v>
      </c>
      <c r="AA592" s="300"/>
      <c r="AB592" s="301">
        <f>+Y592*U592</f>
        <v>0</v>
      </c>
      <c r="AC592" s="302">
        <f>+AB592-Z592</f>
        <v>0</v>
      </c>
      <c r="AD592" s="280"/>
      <c r="AE592" s="337" t="str">
        <f t="shared" ref="AE592:AE594" si="77">+IF(V592=0,"CERO","NO")</f>
        <v>CERO</v>
      </c>
    </row>
    <row r="593" spans="3:31" ht="15.9" customHeight="1" x14ac:dyDescent="0.3">
      <c r="C593" s="292"/>
      <c r="D593" s="311"/>
      <c r="E593" s="279"/>
      <c r="F593" s="279"/>
      <c r="G593" s="279"/>
      <c r="H593" s="279"/>
      <c r="I593" s="279"/>
      <c r="J593" s="312"/>
      <c r="K593" s="293"/>
      <c r="M593" s="313">
        <v>0</v>
      </c>
      <c r="N593" s="718" t="str">
        <f>IFERROR(VLOOKUP(M593,INSUMOS!$C$8:$K$934,2,0),"-----")</f>
        <v>-----</v>
      </c>
      <c r="O593" s="718"/>
      <c r="P593" s="718"/>
      <c r="Q593" s="718"/>
      <c r="R593" s="314" t="str">
        <f>IFERROR(VLOOKUP(M593,INSUMOS!$C$8:$K$934,6,0),"-----")</f>
        <v>-----</v>
      </c>
      <c r="S593" s="322"/>
      <c r="T593" s="315">
        <v>0</v>
      </c>
      <c r="U593" s="338" t="str">
        <f>IFERROR(VLOOKUP(M593,INSUMOS!$C$8:$K$934,7,0),"0")</f>
        <v>0</v>
      </c>
      <c r="V593" s="316">
        <f>+IFERROR(U593*(S593*(1+T593)),0)</f>
        <v>0</v>
      </c>
      <c r="Y593" s="321">
        <f>+IFERROR(Y580*(S593*(1+T593)),0)</f>
        <v>0</v>
      </c>
      <c r="Z593" s="318">
        <f>Y580*V593</f>
        <v>0</v>
      </c>
      <c r="AA593" s="300"/>
      <c r="AB593" s="301">
        <f t="shared" ref="AB593:AB594" si="78">+Y593*U593</f>
        <v>0</v>
      </c>
      <c r="AC593" s="302">
        <f t="shared" ref="AC593:AC594" si="79">+AB593-Z593</f>
        <v>0</v>
      </c>
      <c r="AD593" s="280"/>
      <c r="AE593" s="337" t="str">
        <f t="shared" si="77"/>
        <v>CERO</v>
      </c>
    </row>
    <row r="594" spans="3:31" ht="15.9" customHeight="1" thickBot="1" x14ac:dyDescent="0.35">
      <c r="C594" s="292"/>
      <c r="D594" s="311"/>
      <c r="E594" s="279"/>
      <c r="F594" s="279"/>
      <c r="G594" s="279"/>
      <c r="H594" s="279"/>
      <c r="I594" s="279"/>
      <c r="J594" s="312"/>
      <c r="K594" s="293"/>
      <c r="M594" s="313">
        <v>0</v>
      </c>
      <c r="N594" s="718" t="str">
        <f>IFERROR(VLOOKUP(M594,INSUMOS!$C$8:$K$934,2,0),"-----")</f>
        <v>-----</v>
      </c>
      <c r="O594" s="718"/>
      <c r="P594" s="718"/>
      <c r="Q594" s="718"/>
      <c r="R594" s="314" t="str">
        <f>IFERROR(VLOOKUP(M594,INSUMOS!$C$8:$K$934,6,0),"-----")</f>
        <v>-----</v>
      </c>
      <c r="S594" s="322"/>
      <c r="T594" s="315">
        <v>0</v>
      </c>
      <c r="U594" s="338" t="str">
        <f>IFERROR(VLOOKUP(M594,INSUMOS!$C$8:$K$934,7,0),"0")</f>
        <v>0</v>
      </c>
      <c r="V594" s="316">
        <f>+IFERROR(U594*(S594*(1+T594)),0)</f>
        <v>0</v>
      </c>
      <c r="Y594" s="321">
        <f>+IFERROR(Y580*(S594*(1+T594)),0)</f>
        <v>0</v>
      </c>
      <c r="Z594" s="318">
        <f>Y580*V594</f>
        <v>0</v>
      </c>
      <c r="AA594" s="300"/>
      <c r="AB594" s="301">
        <f t="shared" si="78"/>
        <v>0</v>
      </c>
      <c r="AC594" s="302">
        <f t="shared" si="79"/>
        <v>0</v>
      </c>
      <c r="AD594" s="280"/>
      <c r="AE594" s="337" t="str">
        <f t="shared" si="77"/>
        <v>CERO</v>
      </c>
    </row>
    <row r="595" spans="3:31" ht="15.9" customHeight="1" thickBot="1" x14ac:dyDescent="0.35">
      <c r="C595" s="292"/>
      <c r="D595" s="295" t="s">
        <v>132</v>
      </c>
      <c r="E595" s="296" t="s">
        <v>133</v>
      </c>
      <c r="F595" s="296" t="s">
        <v>134</v>
      </c>
      <c r="G595" s="296" t="s">
        <v>135</v>
      </c>
      <c r="H595" s="296" t="s">
        <v>136</v>
      </c>
      <c r="I595" s="296" t="s">
        <v>137</v>
      </c>
      <c r="J595" s="297" t="s">
        <v>138</v>
      </c>
      <c r="K595" s="293"/>
      <c r="M595" s="724"/>
      <c r="N595" s="725" t="s">
        <v>109</v>
      </c>
      <c r="O595" s="725"/>
      <c r="P595" s="725"/>
      <c r="Q595" s="725"/>
      <c r="R595" s="725"/>
      <c r="S595" s="725"/>
      <c r="T595" s="725"/>
      <c r="U595" s="725"/>
      <c r="V595" s="316">
        <f>+SUM(V592:V594)</f>
        <v>0</v>
      </c>
      <c r="Y595" s="328" t="s">
        <v>139</v>
      </c>
      <c r="Z595" s="329">
        <f>+SUM(Z592:Z594)</f>
        <v>0</v>
      </c>
      <c r="AA595" s="279"/>
      <c r="AB595" s="290"/>
      <c r="AC595" s="291"/>
      <c r="AD595" s="280"/>
      <c r="AE595" s="330"/>
    </row>
    <row r="596" spans="3:31" ht="15.9" customHeight="1" thickBot="1" x14ac:dyDescent="0.35">
      <c r="C596" s="292"/>
      <c r="D596" s="295"/>
      <c r="E596" s="343">
        <f>+D589</f>
        <v>1.6</v>
      </c>
      <c r="F596" s="296"/>
      <c r="G596" s="296"/>
      <c r="H596" s="296"/>
      <c r="I596" s="296"/>
      <c r="J596" s="297"/>
      <c r="K596" s="293"/>
      <c r="M596" s="724"/>
      <c r="N596" s="726" t="s">
        <v>110</v>
      </c>
      <c r="O596" s="726"/>
      <c r="P596" s="726"/>
      <c r="Q596" s="726"/>
      <c r="R596" s="726"/>
      <c r="S596" s="726"/>
      <c r="T596" s="726"/>
      <c r="U596" s="726"/>
      <c r="V596" s="344">
        <f>+ROUND(V595,$AA$2)</f>
        <v>0</v>
      </c>
      <c r="Y596" s="332" t="s">
        <v>140</v>
      </c>
      <c r="Z596" s="333">
        <f>+ROUND(Z595,$AA$2)</f>
        <v>0</v>
      </c>
      <c r="AA596" s="279"/>
      <c r="AB596" s="324">
        <f>+V596*Y580</f>
        <v>0</v>
      </c>
      <c r="AC596" s="325">
        <f>+AB596-Z596</f>
        <v>0</v>
      </c>
      <c r="AD596" s="280"/>
      <c r="AE596" s="334"/>
    </row>
    <row r="597" spans="3:31" ht="15.9" customHeight="1" x14ac:dyDescent="0.3">
      <c r="C597" s="292"/>
      <c r="D597" s="304"/>
      <c r="E597" s="305"/>
      <c r="F597" s="305"/>
      <c r="G597" s="305"/>
      <c r="H597" s="305"/>
      <c r="I597" s="305"/>
      <c r="J597" s="306"/>
      <c r="K597" s="293"/>
      <c r="M597" s="733" t="s">
        <v>111</v>
      </c>
      <c r="N597" s="733"/>
      <c r="O597" s="733"/>
      <c r="P597" s="733"/>
      <c r="Q597" s="733"/>
      <c r="R597" s="733"/>
      <c r="S597" s="733"/>
      <c r="T597" s="733"/>
      <c r="U597" s="733"/>
      <c r="V597" s="733"/>
      <c r="Y597" s="298"/>
      <c r="Z597" s="299"/>
      <c r="AA597" s="279"/>
      <c r="AB597" s="342"/>
      <c r="AC597" s="299"/>
      <c r="AD597" s="280"/>
      <c r="AE597" s="335"/>
    </row>
    <row r="598" spans="3:31" ht="27.6" x14ac:dyDescent="0.3">
      <c r="C598" s="292"/>
      <c r="D598" s="311"/>
      <c r="E598" s="279"/>
      <c r="F598" s="279"/>
      <c r="G598" s="279"/>
      <c r="H598" s="279"/>
      <c r="I598" s="279"/>
      <c r="J598" s="312"/>
      <c r="K598" s="293"/>
      <c r="M598" s="307" t="s">
        <v>97</v>
      </c>
      <c r="N598" s="706" t="s">
        <v>98</v>
      </c>
      <c r="O598" s="706"/>
      <c r="P598" s="706"/>
      <c r="Q598" s="307" t="s">
        <v>112</v>
      </c>
      <c r="R598" s="307" t="s">
        <v>113</v>
      </c>
      <c r="S598" s="307" t="s">
        <v>114</v>
      </c>
      <c r="T598" s="734" t="s">
        <v>115</v>
      </c>
      <c r="U598" s="734"/>
      <c r="V598" s="307" t="s">
        <v>101</v>
      </c>
      <c r="Y598" s="308" t="s">
        <v>107</v>
      </c>
      <c r="Z598" s="309" t="s">
        <v>9</v>
      </c>
      <c r="AA598" s="279"/>
      <c r="AB598" s="290"/>
      <c r="AC598" s="291"/>
      <c r="AD598" s="280"/>
      <c r="AE598" s="349"/>
    </row>
    <row r="599" spans="3:31" ht="14.4" x14ac:dyDescent="0.3">
      <c r="C599" s="350"/>
      <c r="D599" s="351"/>
      <c r="E599" s="345"/>
      <c r="F599" s="345"/>
      <c r="G599" s="345"/>
      <c r="H599" s="345"/>
      <c r="I599" s="345"/>
      <c r="J599" s="352"/>
      <c r="K599" s="353"/>
      <c r="M599" s="354">
        <v>105</v>
      </c>
      <c r="N599" s="718" t="str">
        <f>IFERROR(VLOOKUP(M599,INSUMOS!$C$8:$K$934,2,0),"-----")</f>
        <v>Transporte Retiro de material sobrante</v>
      </c>
      <c r="O599" s="718"/>
      <c r="P599" s="718"/>
      <c r="Q599" s="314" t="str">
        <f>IFERROR(VLOOKUP(M599,INSUMOS!$C$8:$K$934,5,0),"-----")</f>
        <v>m3/km</v>
      </c>
      <c r="R599" s="355">
        <v>1.2</v>
      </c>
      <c r="S599" s="355">
        <f>IFERROR(VLOOKUP(M599,INSUMOS!$C$8:$K$934,6,0),"0")</f>
        <v>1.9</v>
      </c>
      <c r="T599" s="719">
        <f>IFERROR(VLOOKUP(M599,INSUMOS!$C$8:$K$934,7,0),"0")</f>
        <v>1800</v>
      </c>
      <c r="U599" s="719"/>
      <c r="V599" s="515">
        <f>+T599*S599*R599</f>
        <v>4104</v>
      </c>
      <c r="Y599" s="321">
        <f>+IFERROR((R599*S599)*Y580,0)</f>
        <v>15.738156</v>
      </c>
      <c r="Z599" s="318">
        <f>Y580*V599</f>
        <v>28328.680800000002</v>
      </c>
      <c r="AA599" s="345"/>
      <c r="AB599" s="346">
        <f>+Y599*T599</f>
        <v>28328.680799999998</v>
      </c>
      <c r="AC599" s="347">
        <f>+AB599-Z599</f>
        <v>0</v>
      </c>
      <c r="AD599" s="348"/>
      <c r="AE599" s="337" t="str">
        <f t="shared" ref="AE599:AE602" si="80">+IF(V599=0,"CERO","NO")</f>
        <v>NO</v>
      </c>
    </row>
    <row r="600" spans="3:31" ht="15.9" customHeight="1" x14ac:dyDescent="0.3">
      <c r="C600" s="350"/>
      <c r="D600" s="351"/>
      <c r="E600" s="345"/>
      <c r="F600" s="345"/>
      <c r="G600" s="345"/>
      <c r="H600" s="345"/>
      <c r="I600" s="345"/>
      <c r="J600" s="352"/>
      <c r="K600" s="353"/>
      <c r="M600" s="354">
        <v>0</v>
      </c>
      <c r="N600" s="718" t="str">
        <f>IFERROR(VLOOKUP(M600,INSUMOS!$C$8:$K$934,2,0),"-----")</f>
        <v>-----</v>
      </c>
      <c r="O600" s="718"/>
      <c r="P600" s="718"/>
      <c r="Q600" s="314" t="str">
        <f>IFERROR(VLOOKUP(M600,INSUMOS!$C$8:$K$934,5,0),"-----")</f>
        <v>-----</v>
      </c>
      <c r="R600" s="355"/>
      <c r="S600" s="355" t="str">
        <f>IFERROR(VLOOKUP(M600,INSUMOS!$C$8:$K$934,6,0),"0")</f>
        <v>0</v>
      </c>
      <c r="T600" s="719" t="str">
        <f>IFERROR(VLOOKUP(M600,INSUMOS!$C$8:$K$934,7,0),"0")</f>
        <v>0</v>
      </c>
      <c r="U600" s="719"/>
      <c r="V600" s="515">
        <f>+T600*S600*R600</f>
        <v>0</v>
      </c>
      <c r="Y600" s="321">
        <f>+IFERROR((R600*S600)*Y580,0)</f>
        <v>0</v>
      </c>
      <c r="Z600" s="318">
        <f>Y580*V600</f>
        <v>0</v>
      </c>
      <c r="AA600" s="345"/>
      <c r="AB600" s="346">
        <f>+Y600*T600</f>
        <v>0</v>
      </c>
      <c r="AC600" s="347">
        <f>+AB600-Z600</f>
        <v>0</v>
      </c>
      <c r="AD600" s="348"/>
      <c r="AE600" s="337" t="str">
        <f t="shared" si="80"/>
        <v>CERO</v>
      </c>
    </row>
    <row r="601" spans="3:31" ht="15.9" customHeight="1" x14ac:dyDescent="0.3">
      <c r="C601" s="350"/>
      <c r="D601" s="351"/>
      <c r="E601" s="345"/>
      <c r="F601" s="345"/>
      <c r="G601" s="345"/>
      <c r="H601" s="345"/>
      <c r="I601" s="345"/>
      <c r="J601" s="352"/>
      <c r="K601" s="353"/>
      <c r="M601" s="354">
        <v>0</v>
      </c>
      <c r="N601" s="718" t="str">
        <f>IFERROR(VLOOKUP(M601,INSUMOS!$C$8:$K$934,2,0),"-----")</f>
        <v>-----</v>
      </c>
      <c r="O601" s="718"/>
      <c r="P601" s="718"/>
      <c r="Q601" s="314" t="str">
        <f>IFERROR(VLOOKUP(M601,INSUMOS!$C$8:$K$934,5,0),"-----")</f>
        <v>-----</v>
      </c>
      <c r="R601" s="355"/>
      <c r="S601" s="355" t="str">
        <f>IFERROR(VLOOKUP(M601,INSUMOS!$C$8:$K$934,6,0),"0")</f>
        <v>0</v>
      </c>
      <c r="T601" s="719" t="str">
        <f>IFERROR(VLOOKUP(M601,INSUMOS!$C$8:$K$934,7,0),"0")</f>
        <v>0</v>
      </c>
      <c r="U601" s="719"/>
      <c r="V601" s="515">
        <f>+T601*S601*R601</f>
        <v>0</v>
      </c>
      <c r="Y601" s="321">
        <f>+IFERROR((R601*S601)*Y580,0)</f>
        <v>0</v>
      </c>
      <c r="Z601" s="318">
        <f>Y580*V601</f>
        <v>0</v>
      </c>
      <c r="AA601" s="345"/>
      <c r="AB601" s="346">
        <f t="shared" ref="AB601" si="81">+Y601*T601</f>
        <v>0</v>
      </c>
      <c r="AC601" s="347">
        <f t="shared" ref="AC601" si="82">+AB601-Z601</f>
        <v>0</v>
      </c>
      <c r="AD601" s="348"/>
      <c r="AE601" s="337" t="str">
        <f t="shared" si="80"/>
        <v>CERO</v>
      </c>
    </row>
    <row r="602" spans="3:31" ht="15.9" customHeight="1" thickBot="1" x14ac:dyDescent="0.35">
      <c r="C602" s="350"/>
      <c r="D602" s="360"/>
      <c r="E602" s="361"/>
      <c r="F602" s="361"/>
      <c r="G602" s="361"/>
      <c r="H602" s="361"/>
      <c r="I602" s="361"/>
      <c r="J602" s="362"/>
      <c r="K602" s="353"/>
      <c r="M602" s="354">
        <v>0</v>
      </c>
      <c r="N602" s="718"/>
      <c r="O602" s="718"/>
      <c r="P602" s="718"/>
      <c r="Q602" s="357"/>
      <c r="R602" s="314"/>
      <c r="S602" s="358"/>
      <c r="T602" s="719"/>
      <c r="U602" s="719"/>
      <c r="V602" s="515"/>
      <c r="Y602" s="321">
        <f>+IFERROR((R602*S602)*Y580,0)</f>
        <v>0</v>
      </c>
      <c r="Z602" s="318">
        <f>Y580*V602</f>
        <v>0</v>
      </c>
      <c r="AA602" s="345"/>
      <c r="AB602" s="346">
        <f>+Y602*T602</f>
        <v>0</v>
      </c>
      <c r="AC602" s="347">
        <f>+AB602-Z602</f>
        <v>0</v>
      </c>
      <c r="AD602" s="348"/>
      <c r="AE602" s="337" t="str">
        <f t="shared" si="80"/>
        <v>CERO</v>
      </c>
    </row>
    <row r="603" spans="3:31" ht="15.9" customHeight="1" thickBot="1" x14ac:dyDescent="0.35">
      <c r="C603" s="292"/>
      <c r="D603" s="295" t="s">
        <v>132</v>
      </c>
      <c r="E603" s="296" t="s">
        <v>133</v>
      </c>
      <c r="F603" s="296" t="s">
        <v>134</v>
      </c>
      <c r="G603" s="296" t="s">
        <v>135</v>
      </c>
      <c r="H603" s="296" t="s">
        <v>136</v>
      </c>
      <c r="I603" s="296" t="s">
        <v>137</v>
      </c>
      <c r="J603" s="297" t="s">
        <v>138</v>
      </c>
      <c r="K603" s="293"/>
      <c r="M603" s="720"/>
      <c r="N603" s="721" t="s">
        <v>116</v>
      </c>
      <c r="O603" s="721"/>
      <c r="P603" s="721"/>
      <c r="Q603" s="721"/>
      <c r="R603" s="721"/>
      <c r="S603" s="721"/>
      <c r="T603" s="721"/>
      <c r="U603" s="721"/>
      <c r="V603" s="499">
        <f>+SUM(V599:V602)</f>
        <v>4104</v>
      </c>
      <c r="Y603" s="328" t="s">
        <v>139</v>
      </c>
      <c r="Z603" s="329">
        <f>+SUM(Z599:Z602)</f>
        <v>28328.680800000002</v>
      </c>
      <c r="AA603" s="279"/>
      <c r="AB603" s="290"/>
      <c r="AC603" s="291"/>
      <c r="AD603" s="280"/>
      <c r="AE603" s="330"/>
    </row>
    <row r="604" spans="3:31" ht="15.9" customHeight="1" thickBot="1" x14ac:dyDescent="0.35">
      <c r="C604" s="292"/>
      <c r="D604" s="363"/>
      <c r="E604" s="364"/>
      <c r="F604" s="365">
        <f>+E596</f>
        <v>1.6</v>
      </c>
      <c r="G604" s="364"/>
      <c r="H604" s="364"/>
      <c r="I604" s="364"/>
      <c r="J604" s="366"/>
      <c r="K604" s="293"/>
      <c r="M604" s="720"/>
      <c r="N604" s="722" t="s">
        <v>117</v>
      </c>
      <c r="O604" s="722"/>
      <c r="P604" s="722"/>
      <c r="Q604" s="722"/>
      <c r="R604" s="722"/>
      <c r="S604" s="722"/>
      <c r="T604" s="722"/>
      <c r="U604" s="722"/>
      <c r="V604" s="344">
        <f>+ROUND(V603,$AA$2)</f>
        <v>4104</v>
      </c>
      <c r="Y604" s="332" t="s">
        <v>140</v>
      </c>
      <c r="Z604" s="333">
        <f>+ROUND(Z603,$AA$2)</f>
        <v>28329</v>
      </c>
      <c r="AA604" s="279"/>
      <c r="AB604" s="324">
        <f>+V604*Y580</f>
        <v>28328.680800000002</v>
      </c>
      <c r="AC604" s="359"/>
      <c r="AD604" s="280"/>
      <c r="AE604" s="334"/>
    </row>
    <row r="605" spans="3:31" ht="15.9" customHeight="1" thickBot="1" x14ac:dyDescent="0.35">
      <c r="C605" s="292"/>
      <c r="D605" s="369"/>
      <c r="E605" s="370"/>
      <c r="F605" s="370"/>
      <c r="G605" s="370"/>
      <c r="H605" s="370"/>
      <c r="I605" s="370"/>
      <c r="J605" s="371"/>
      <c r="K605" s="293"/>
      <c r="M605" s="723" t="s">
        <v>118</v>
      </c>
      <c r="N605" s="723"/>
      <c r="O605" s="723"/>
      <c r="P605" s="723"/>
      <c r="Q605" s="723"/>
      <c r="R605" s="723"/>
      <c r="S605" s="723"/>
      <c r="T605" s="723"/>
      <c r="U605" s="723"/>
      <c r="V605" s="723"/>
      <c r="Y605" s="298"/>
      <c r="Z605" s="299"/>
      <c r="AA605" s="279"/>
      <c r="AB605" s="342"/>
      <c r="AC605" s="299"/>
      <c r="AD605" s="280"/>
      <c r="AE605" s="335"/>
    </row>
    <row r="606" spans="3:31" ht="15.9" customHeight="1" thickBot="1" x14ac:dyDescent="0.35">
      <c r="C606" s="292"/>
      <c r="D606" s="295" t="s">
        <v>132</v>
      </c>
      <c r="E606" s="296" t="s">
        <v>133</v>
      </c>
      <c r="F606" s="296" t="s">
        <v>134</v>
      </c>
      <c r="G606" s="296" t="s">
        <v>135</v>
      </c>
      <c r="H606" s="296" t="s">
        <v>136</v>
      </c>
      <c r="I606" s="296" t="s">
        <v>137</v>
      </c>
      <c r="J606" s="297" t="s">
        <v>138</v>
      </c>
      <c r="K606" s="293"/>
      <c r="M606" s="307" t="s">
        <v>97</v>
      </c>
      <c r="N606" s="372" t="s">
        <v>98</v>
      </c>
      <c r="O606" s="307" t="s">
        <v>99</v>
      </c>
      <c r="P606" s="396" t="s">
        <v>107</v>
      </c>
      <c r="Q606" s="307" t="s">
        <v>119</v>
      </c>
      <c r="R606" s="373" t="s">
        <v>120</v>
      </c>
      <c r="S606" s="307" t="s">
        <v>363</v>
      </c>
      <c r="T606" s="374" t="s">
        <v>121</v>
      </c>
      <c r="U606" s="375" t="s">
        <v>122</v>
      </c>
      <c r="V606" s="307" t="s">
        <v>101</v>
      </c>
      <c r="Y606" s="308" t="s">
        <v>107</v>
      </c>
      <c r="Z606" s="309" t="s">
        <v>9</v>
      </c>
      <c r="AA606" s="279"/>
      <c r="AB606" s="290"/>
      <c r="AC606" s="291"/>
      <c r="AD606" s="280"/>
      <c r="AE606" s="349"/>
    </row>
    <row r="607" spans="3:31" ht="14.4" x14ac:dyDescent="0.3">
      <c r="C607" s="292"/>
      <c r="D607" s="376"/>
      <c r="E607" s="377"/>
      <c r="F607" s="377"/>
      <c r="G607" s="377"/>
      <c r="H607" s="377"/>
      <c r="I607" s="377"/>
      <c r="J607" s="378">
        <f>+F604</f>
        <v>1.6</v>
      </c>
      <c r="K607" s="293"/>
      <c r="M607" s="313">
        <v>202</v>
      </c>
      <c r="N607" s="379" t="str">
        <f>IFERROR(VLOOKUP(M607,INSUMOS!$C$8:$K$934,2,0),"-----")</f>
        <v>Ayudante Albañileria</v>
      </c>
      <c r="O607" s="314" t="str">
        <f>IFERROR(VLOOKUP(M607,INSUMOS!$C$8:$K$934,3,0),"-----")</f>
        <v>JORNAL+PS</v>
      </c>
      <c r="P607" s="355">
        <v>2</v>
      </c>
      <c r="Q607" s="339">
        <v>6</v>
      </c>
      <c r="R607" s="380">
        <f>IFERROR(VLOOKUP(M607,INSUMOS!$C$8:$K$934,4,0),"-----")</f>
        <v>94970</v>
      </c>
      <c r="S607" s="380">
        <f>IFERROR(VLOOKUP(M607,INSUMOS!$C$8:$K$934,6,0),"-----")</f>
        <v>75976</v>
      </c>
      <c r="T607" s="380">
        <f>IFERROR(VLOOKUP(M607,INSUMOS!$C$8:$K$934,5,0),"-----")</f>
        <v>0</v>
      </c>
      <c r="U607" s="338">
        <f>SUM(R607:T607)</f>
        <v>170946</v>
      </c>
      <c r="V607" s="316">
        <f>+IFERROR((P607/Q607)*U607,0)</f>
        <v>56982</v>
      </c>
      <c r="Y607" s="321">
        <f>+IFERROR((Y580/Q607*P607),0)</f>
        <v>2.3008999999999999</v>
      </c>
      <c r="Z607" s="318">
        <f>Y580*V607</f>
        <v>393329.65140000003</v>
      </c>
      <c r="AA607" s="279"/>
      <c r="AB607" s="367">
        <f>+(U607)*Y607</f>
        <v>393329.65139999997</v>
      </c>
      <c r="AC607" s="302">
        <f>+AB607-Z607</f>
        <v>0</v>
      </c>
      <c r="AD607" s="368"/>
      <c r="AE607" s="349" t="str">
        <f>+IF(V607=0,"CERO","NO")</f>
        <v>NO</v>
      </c>
    </row>
    <row r="608" spans="3:31" ht="15.9" customHeight="1" thickBot="1" x14ac:dyDescent="0.35">
      <c r="C608" s="292"/>
      <c r="D608" s="363"/>
      <c r="E608" s="364"/>
      <c r="F608" s="364"/>
      <c r="G608" s="364"/>
      <c r="H608" s="364"/>
      <c r="I608" s="364"/>
      <c r="J608" s="381">
        <f>+J607</f>
        <v>1.6</v>
      </c>
      <c r="K608" s="293"/>
      <c r="M608" s="313">
        <v>0</v>
      </c>
      <c r="N608" s="379" t="str">
        <f>IFERROR(VLOOKUP(M608,INSUMOS!$C$8:$K$934,2,0),"-----")</f>
        <v>-----</v>
      </c>
      <c r="O608" s="314" t="str">
        <f>IFERROR(VLOOKUP(M608,INSUMOS!$C$8:$K$934,3,0),"-----")</f>
        <v>-----</v>
      </c>
      <c r="P608" s="355"/>
      <c r="Q608" s="339"/>
      <c r="R608" s="380" t="str">
        <f>IFERROR(VLOOKUP(M608,INSUMOS!$C$8:$K$934,4,0),"-----")</f>
        <v>-----</v>
      </c>
      <c r="S608" s="380" t="str">
        <f>IFERROR(VLOOKUP(M608,INSUMOS!$C$8:$K$934,6,0),"-----")</f>
        <v>-----</v>
      </c>
      <c r="T608" s="380" t="str">
        <f>IFERROR(VLOOKUP(M608,INSUMOS!$C$8:$K$934,5,0),"-----")</f>
        <v>-----</v>
      </c>
      <c r="U608" s="338">
        <f>SUM(R608:T608)</f>
        <v>0</v>
      </c>
      <c r="V608" s="316">
        <f>+IFERROR((P608/Q608)*U608,0)</f>
        <v>0</v>
      </c>
      <c r="Y608" s="321">
        <f>+IFERROR((Y580/Q608*P608),0)</f>
        <v>0</v>
      </c>
      <c r="Z608" s="318">
        <f>Y580*V608</f>
        <v>0</v>
      </c>
      <c r="AA608" s="279"/>
      <c r="AB608" s="367">
        <f>+U608*Y608</f>
        <v>0</v>
      </c>
      <c r="AC608" s="302">
        <f>+AB608-Z608</f>
        <v>0</v>
      </c>
      <c r="AD608" s="280"/>
      <c r="AE608" s="349" t="str">
        <f t="shared" ref="AE608:AE609" si="83">+IF(V608=0,"CERO","NO")</f>
        <v>CERO</v>
      </c>
    </row>
    <row r="609" spans="3:31" ht="15.9" customHeight="1" thickBot="1" x14ac:dyDescent="0.35">
      <c r="C609" s="292"/>
      <c r="D609" s="304"/>
      <c r="E609" s="305"/>
      <c r="F609" s="305"/>
      <c r="G609" s="305"/>
      <c r="H609" s="305"/>
      <c r="I609" s="305"/>
      <c r="J609" s="306"/>
      <c r="K609" s="293"/>
      <c r="M609" s="313">
        <v>0</v>
      </c>
      <c r="N609" s="379"/>
      <c r="O609" s="339"/>
      <c r="P609" s="382"/>
      <c r="Q609" s="319"/>
      <c r="R609" s="383"/>
      <c r="S609" s="384"/>
      <c r="T609" s="383"/>
      <c r="U609" s="338"/>
      <c r="V609" s="323"/>
      <c r="Y609" s="321">
        <f>+IFERROR((Y580/Q609*P609),0)</f>
        <v>0</v>
      </c>
      <c r="Z609" s="318">
        <f>Y580*V609</f>
        <v>0</v>
      </c>
      <c r="AA609" s="279"/>
      <c r="AB609" s="367">
        <f>+(U609)*Y609*P609</f>
        <v>0</v>
      </c>
      <c r="AC609" s="302">
        <f>+AB609-Z609</f>
        <v>0</v>
      </c>
      <c r="AD609" s="280"/>
      <c r="AE609" s="349" t="str">
        <f t="shared" si="83"/>
        <v>CERO</v>
      </c>
    </row>
    <row r="610" spans="3:31" ht="15.9" customHeight="1" thickBot="1" x14ac:dyDescent="0.35">
      <c r="C610" s="292"/>
      <c r="D610" s="295" t="s">
        <v>132</v>
      </c>
      <c r="E610" s="296" t="s">
        <v>133</v>
      </c>
      <c r="F610" s="296" t="s">
        <v>134</v>
      </c>
      <c r="G610" s="296" t="s">
        <v>135</v>
      </c>
      <c r="H610" s="296" t="s">
        <v>136</v>
      </c>
      <c r="I610" s="296" t="s">
        <v>137</v>
      </c>
      <c r="J610" s="297" t="s">
        <v>138</v>
      </c>
      <c r="K610" s="293"/>
      <c r="M610" s="724"/>
      <c r="N610" s="725" t="s">
        <v>123</v>
      </c>
      <c r="O610" s="725"/>
      <c r="P610" s="725"/>
      <c r="Q610" s="725"/>
      <c r="R610" s="725"/>
      <c r="S610" s="725"/>
      <c r="T610" s="725"/>
      <c r="U610" s="725"/>
      <c r="V610" s="316">
        <f>+SUM(V607:V609)</f>
        <v>56982</v>
      </c>
      <c r="Y610" s="328" t="s">
        <v>139</v>
      </c>
      <c r="Z610" s="329">
        <f>+SUM(Z607:Z609)</f>
        <v>393329.65140000003</v>
      </c>
      <c r="AA610" s="279"/>
      <c r="AB610" s="290"/>
      <c r="AC610" s="291"/>
      <c r="AD610" s="280"/>
      <c r="AE610" s="330"/>
    </row>
    <row r="611" spans="3:31" ht="15.9" customHeight="1" thickBot="1" x14ac:dyDescent="0.35">
      <c r="C611" s="292"/>
      <c r="D611" s="376"/>
      <c r="E611" s="377"/>
      <c r="F611" s="377"/>
      <c r="G611" s="386">
        <f>+F604</f>
        <v>1.6</v>
      </c>
      <c r="H611" s="377"/>
      <c r="I611" s="377"/>
      <c r="J611" s="387"/>
      <c r="K611" s="293"/>
      <c r="M611" s="724"/>
      <c r="N611" s="726" t="s">
        <v>124</v>
      </c>
      <c r="O611" s="726"/>
      <c r="P611" s="726"/>
      <c r="Q611" s="726"/>
      <c r="R611" s="726"/>
      <c r="S611" s="726"/>
      <c r="T611" s="726"/>
      <c r="U611" s="726"/>
      <c r="V611" s="344">
        <f>+ROUND(V610,$AA$2)</f>
        <v>56982</v>
      </c>
      <c r="Y611" s="332" t="s">
        <v>140</v>
      </c>
      <c r="Z611" s="333">
        <f>+ROUND(Z610,$AA$2)</f>
        <v>393330</v>
      </c>
      <c r="AA611" s="279"/>
      <c r="AB611" s="324">
        <f>+V611*Y580</f>
        <v>393329.65140000003</v>
      </c>
      <c r="AC611" s="325">
        <f>+AB611-Z611</f>
        <v>-0.34859999996842816</v>
      </c>
      <c r="AD611" s="280"/>
      <c r="AE611" s="334"/>
    </row>
    <row r="612" spans="3:31" ht="15.9" customHeight="1" thickBot="1" x14ac:dyDescent="0.35">
      <c r="C612" s="292"/>
      <c r="D612" s="295" t="s">
        <v>132</v>
      </c>
      <c r="E612" s="296" t="s">
        <v>133</v>
      </c>
      <c r="F612" s="296" t="s">
        <v>134</v>
      </c>
      <c r="G612" s="296" t="s">
        <v>135</v>
      </c>
      <c r="H612" s="296" t="s">
        <v>136</v>
      </c>
      <c r="I612" s="296" t="s">
        <v>137</v>
      </c>
      <c r="J612" s="297" t="s">
        <v>138</v>
      </c>
      <c r="K612" s="293"/>
      <c r="M612" s="727"/>
      <c r="N612" s="727"/>
      <c r="O612" s="727"/>
      <c r="P612" s="727"/>
      <c r="Q612" s="727"/>
      <c r="R612" s="727"/>
      <c r="S612" s="727"/>
      <c r="T612" s="727"/>
      <c r="U612" s="727"/>
      <c r="V612" s="727"/>
      <c r="Y612" s="298"/>
      <c r="Z612" s="299"/>
      <c r="AA612" s="279"/>
      <c r="AB612" s="342"/>
      <c r="AC612" s="299"/>
      <c r="AD612" s="280"/>
      <c r="AE612" s="388"/>
    </row>
    <row r="613" spans="3:31" ht="15.9" customHeight="1" thickBot="1" x14ac:dyDescent="0.35">
      <c r="C613" s="292"/>
      <c r="D613" s="363"/>
      <c r="E613" s="364"/>
      <c r="F613" s="364"/>
      <c r="G613" s="364"/>
      <c r="H613" s="365">
        <f>G611</f>
        <v>1.6</v>
      </c>
      <c r="I613" s="365"/>
      <c r="J613" s="381"/>
      <c r="K613" s="293"/>
      <c r="M613" s="726" t="s">
        <v>125</v>
      </c>
      <c r="N613" s="726"/>
      <c r="O613" s="726"/>
      <c r="P613" s="726"/>
      <c r="Q613" s="726"/>
      <c r="R613" s="726"/>
      <c r="S613" s="726"/>
      <c r="T613" s="726"/>
      <c r="U613" s="728">
        <f>+V611+V604+V596+V589</f>
        <v>153555</v>
      </c>
      <c r="V613" s="728"/>
      <c r="Y613" s="389"/>
      <c r="Z613" s="390">
        <f>+Z611+Z604+Z596+Z589</f>
        <v>1059943</v>
      </c>
      <c r="AA613" s="279"/>
      <c r="AB613" s="385">
        <f>+AB611+AB604+AB596+AB589</f>
        <v>1059944.0985000001</v>
      </c>
      <c r="AC613" s="325">
        <f>+AB613-Z613</f>
        <v>1.0985000000800937</v>
      </c>
      <c r="AD613" s="280"/>
      <c r="AE613" s="391"/>
    </row>
    <row r="614" spans="3:31" ht="15.9" customHeight="1" thickBot="1" x14ac:dyDescent="0.3">
      <c r="M614" s="412"/>
      <c r="N614" s="412"/>
      <c r="O614" s="412"/>
      <c r="P614" s="412"/>
      <c r="Q614" s="412"/>
      <c r="R614" s="412"/>
      <c r="S614" s="412"/>
      <c r="T614" s="412"/>
      <c r="U614" s="412"/>
      <c r="V614" s="412"/>
    </row>
    <row r="615" spans="3:31" ht="15.9" customHeight="1" x14ac:dyDescent="0.25">
      <c r="M615" s="729" t="s">
        <v>364</v>
      </c>
      <c r="N615" s="729"/>
      <c r="O615" s="729"/>
      <c r="P615" s="729"/>
      <c r="Q615" s="729"/>
      <c r="R615" s="729"/>
      <c r="S615" s="729"/>
      <c r="T615" s="729"/>
      <c r="U615" s="729"/>
      <c r="V615" s="729"/>
      <c r="Y615" s="298"/>
      <c r="Z615" s="299"/>
      <c r="AA615" s="279"/>
      <c r="AB615" s="280"/>
      <c r="AC615" s="280"/>
      <c r="AD615" s="280"/>
      <c r="AE615" s="335" t="s">
        <v>137</v>
      </c>
    </row>
    <row r="616" spans="3:31" ht="15.9" customHeight="1" x14ac:dyDescent="0.25">
      <c r="M616" s="700" t="s">
        <v>142</v>
      </c>
      <c r="N616" s="700"/>
      <c r="O616" s="700"/>
      <c r="P616" s="700"/>
      <c r="Q616" s="700"/>
      <c r="R616" s="700"/>
      <c r="S616" s="700"/>
      <c r="T616" s="413">
        <f>$AA$3</f>
        <v>0.25</v>
      </c>
      <c r="U616" s="701">
        <f>+ROUND(U613*T616,$AA$2)</f>
        <v>38389</v>
      </c>
      <c r="V616" s="701"/>
      <c r="Y616" s="317"/>
      <c r="Z616" s="414">
        <f>+Z613*T616</f>
        <v>264985.75</v>
      </c>
      <c r="AA616" s="279"/>
      <c r="AB616" s="280"/>
      <c r="AC616" s="280"/>
      <c r="AD616" s="280"/>
      <c r="AE616" s="310" t="s">
        <v>137</v>
      </c>
    </row>
    <row r="617" spans="3:31" ht="15.9" customHeight="1" x14ac:dyDescent="0.25">
      <c r="M617" s="700" t="s">
        <v>19</v>
      </c>
      <c r="N617" s="700"/>
      <c r="O617" s="700"/>
      <c r="P617" s="700"/>
      <c r="Q617" s="700"/>
      <c r="R617" s="700"/>
      <c r="S617" s="700"/>
      <c r="T617" s="413">
        <f>$AA$4</f>
        <v>0.03</v>
      </c>
      <c r="U617" s="701">
        <f>+ROUND(U613*T617,$AA$2)</f>
        <v>4607</v>
      </c>
      <c r="V617" s="701"/>
      <c r="Y617" s="317"/>
      <c r="Z617" s="414">
        <f>+Z613*T617</f>
        <v>31798.289999999997</v>
      </c>
      <c r="AA617" s="279"/>
      <c r="AB617" s="280"/>
      <c r="AC617" s="280"/>
      <c r="AD617" s="280"/>
      <c r="AE617" s="310" t="s">
        <v>137</v>
      </c>
    </row>
    <row r="618" spans="3:31" ht="15.9" customHeight="1" x14ac:dyDescent="0.25">
      <c r="M618" s="700" t="s">
        <v>20</v>
      </c>
      <c r="N618" s="700"/>
      <c r="O618" s="700"/>
      <c r="P618" s="700"/>
      <c r="Q618" s="700"/>
      <c r="R618" s="700"/>
      <c r="S618" s="700"/>
      <c r="T618" s="413">
        <f>$AA$5</f>
        <v>0.05</v>
      </c>
      <c r="U618" s="701">
        <f>+ROUND(U613*T618,$AA$2)</f>
        <v>7678</v>
      </c>
      <c r="V618" s="701"/>
      <c r="Y618" s="317"/>
      <c r="Z618" s="414">
        <f>+Z613*T618</f>
        <v>52997.15</v>
      </c>
      <c r="AA618" s="279"/>
      <c r="AB618" s="280"/>
      <c r="AC618" s="280"/>
      <c r="AD618" s="280"/>
      <c r="AE618" s="310" t="s">
        <v>137</v>
      </c>
    </row>
    <row r="619" spans="3:31" ht="15.9" customHeight="1" x14ac:dyDescent="0.25">
      <c r="M619" s="700" t="s">
        <v>21</v>
      </c>
      <c r="N619" s="700"/>
      <c r="O619" s="700"/>
      <c r="P619" s="700"/>
      <c r="Q619" s="700"/>
      <c r="R619" s="700"/>
      <c r="S619" s="700"/>
      <c r="T619" s="413">
        <f>$AA$6</f>
        <v>0</v>
      </c>
      <c r="U619" s="701">
        <f>+ROUND(U613*T619,$AA$2)</f>
        <v>0</v>
      </c>
      <c r="V619" s="701"/>
      <c r="Y619" s="317"/>
      <c r="Z619" s="414">
        <f>+Z618*T619</f>
        <v>0</v>
      </c>
      <c r="AA619" s="279"/>
      <c r="AB619" s="280"/>
      <c r="AC619" s="280"/>
      <c r="AD619" s="280"/>
      <c r="AE619" s="310" t="s">
        <v>137</v>
      </c>
    </row>
    <row r="620" spans="3:31" ht="15.9" customHeight="1" thickBot="1" x14ac:dyDescent="0.3">
      <c r="M620" s="702" t="s">
        <v>365</v>
      </c>
      <c r="N620" s="702"/>
      <c r="O620" s="702"/>
      <c r="P620" s="702"/>
      <c r="Q620" s="702"/>
      <c r="R620" s="702"/>
      <c r="S620" s="702"/>
      <c r="T620" s="702"/>
      <c r="U620" s="703">
        <f>+SUM(U616:V619)</f>
        <v>50674</v>
      </c>
      <c r="V620" s="703"/>
      <c r="Y620" s="317"/>
      <c r="Z620" s="415">
        <f>+SUM(Z616:Z619)</f>
        <v>349781.19</v>
      </c>
      <c r="AA620" s="279"/>
      <c r="AB620" s="280"/>
      <c r="AC620" s="280"/>
      <c r="AD620" s="280"/>
      <c r="AE620" s="310" t="s">
        <v>137</v>
      </c>
    </row>
    <row r="621" spans="3:31" ht="15.9" customHeight="1" thickBot="1" x14ac:dyDescent="0.3">
      <c r="D621" s="295" t="s">
        <v>132</v>
      </c>
      <c r="E621" s="296" t="s">
        <v>133</v>
      </c>
      <c r="F621" s="296" t="s">
        <v>134</v>
      </c>
      <c r="G621" s="296" t="s">
        <v>135</v>
      </c>
      <c r="H621" s="296" t="s">
        <v>136</v>
      </c>
      <c r="I621" s="296" t="s">
        <v>137</v>
      </c>
      <c r="J621" s="297" t="s">
        <v>138</v>
      </c>
      <c r="M621" s="377"/>
      <c r="N621" s="416"/>
      <c r="O621" s="416"/>
      <c r="P621" s="416"/>
      <c r="Q621" s="377"/>
      <c r="R621" s="377"/>
      <c r="S621" s="377"/>
      <c r="T621" s="417"/>
      <c r="U621" s="701"/>
      <c r="V621" s="701"/>
      <c r="Y621" s="317"/>
      <c r="Z621" s="291"/>
      <c r="AA621" s="279"/>
      <c r="AB621" s="280"/>
      <c r="AC621" s="280"/>
      <c r="AD621" s="280"/>
      <c r="AE621" s="310" t="s">
        <v>137</v>
      </c>
    </row>
    <row r="622" spans="3:31" ht="15.9" customHeight="1" thickBot="1" x14ac:dyDescent="0.3">
      <c r="D622" s="363"/>
      <c r="E622" s="364"/>
      <c r="F622" s="364"/>
      <c r="G622" s="364"/>
      <c r="H622" s="365"/>
      <c r="I622" s="365">
        <f>H613</f>
        <v>1.6</v>
      </c>
      <c r="J622" s="381"/>
      <c r="M622" s="702" t="s">
        <v>11</v>
      </c>
      <c r="N622" s="702"/>
      <c r="O622" s="702"/>
      <c r="P622" s="702"/>
      <c r="Q622" s="702"/>
      <c r="R622" s="702"/>
      <c r="S622" s="702"/>
      <c r="T622" s="702"/>
      <c r="U622" s="704">
        <f>+U620+U613</f>
        <v>204229</v>
      </c>
      <c r="V622" s="704"/>
      <c r="Y622" s="389"/>
      <c r="Z622" s="418">
        <f>+Z620+Z613</f>
        <v>1409724.19</v>
      </c>
      <c r="AA622" s="279"/>
      <c r="AB622" s="280"/>
      <c r="AC622" s="280"/>
      <c r="AD622" s="280"/>
      <c r="AE622" s="334" t="s">
        <v>137</v>
      </c>
    </row>
    <row r="623" spans="3:31" ht="15.9" customHeight="1" x14ac:dyDescent="0.25">
      <c r="M623" s="705"/>
      <c r="N623" s="705"/>
      <c r="O623" s="705"/>
      <c r="P623" s="705"/>
      <c r="Q623" s="705"/>
      <c r="R623" s="706"/>
      <c r="S623" s="706"/>
      <c r="T623" s="706"/>
      <c r="U623" s="706"/>
      <c r="V623" s="706"/>
    </row>
    <row r="624" spans="3:31" ht="15.9" customHeight="1" x14ac:dyDescent="0.25">
      <c r="M624" s="705"/>
      <c r="N624" s="705"/>
      <c r="O624" s="705"/>
      <c r="P624" s="705"/>
      <c r="Q624" s="705"/>
      <c r="R624" s="706"/>
      <c r="S624" s="706"/>
      <c r="T624" s="706"/>
      <c r="U624" s="706"/>
      <c r="V624" s="706"/>
    </row>
    <row r="625" spans="3:31" ht="15.9" customHeight="1" x14ac:dyDescent="0.25">
      <c r="M625" s="705"/>
      <c r="N625" s="705"/>
      <c r="O625" s="705"/>
      <c r="P625" s="705"/>
      <c r="Q625" s="705"/>
      <c r="R625" s="706"/>
      <c r="S625" s="706"/>
      <c r="T625" s="706"/>
      <c r="U625" s="706"/>
      <c r="V625" s="706"/>
    </row>
    <row r="626" spans="3:31" ht="15.9" customHeight="1" x14ac:dyDescent="0.25">
      <c r="M626" s="705"/>
      <c r="N626" s="705"/>
      <c r="O626" s="705"/>
      <c r="P626" s="705"/>
      <c r="Q626" s="705"/>
      <c r="R626" s="706"/>
      <c r="S626" s="706"/>
      <c r="T626" s="706"/>
      <c r="U626" s="706"/>
      <c r="V626" s="706"/>
    </row>
    <row r="627" spans="3:31" ht="15.9" customHeight="1" x14ac:dyDescent="0.25">
      <c r="M627" s="707" t="s">
        <v>128</v>
      </c>
      <c r="N627" s="708" t="str">
        <f>$N$6</f>
        <v>ING. JEYSON JULIAN LEON RUEDA</v>
      </c>
      <c r="O627" s="709"/>
      <c r="P627" s="709"/>
      <c r="Q627" s="710"/>
      <c r="R627" s="711" t="s">
        <v>129</v>
      </c>
      <c r="S627" s="708" t="str">
        <f>$S$6</f>
        <v>ARQ. YASMID ROCÍO CARRILLO MORA</v>
      </c>
      <c r="T627" s="709"/>
      <c r="U627" s="709"/>
      <c r="V627" s="710"/>
    </row>
    <row r="628" spans="3:31" ht="15.9" customHeight="1" x14ac:dyDescent="0.25">
      <c r="M628" s="707"/>
      <c r="N628" s="712" t="str">
        <f>$N$7</f>
        <v>MP. 68202-416348 STD</v>
      </c>
      <c r="O628" s="713"/>
      <c r="P628" s="713"/>
      <c r="Q628" s="714"/>
      <c r="R628" s="711"/>
      <c r="S628" s="712" t="str">
        <f>$S$7</f>
        <v>SECRETARIA DE PLANEACIÓN Y OBRAS PÚBLICAS</v>
      </c>
      <c r="T628" s="713"/>
      <c r="U628" s="713"/>
      <c r="V628" s="714"/>
    </row>
    <row r="629" spans="3:31" ht="15.9" customHeight="1" x14ac:dyDescent="0.25">
      <c r="M629" s="707"/>
      <c r="N629" s="715"/>
      <c r="O629" s="716"/>
      <c r="P629" s="716"/>
      <c r="Q629" s="717"/>
      <c r="R629" s="711"/>
      <c r="S629" s="712" t="str">
        <f>$S$8</f>
        <v>MUNICIPIO DE PINCHOTE</v>
      </c>
      <c r="T629" s="713"/>
      <c r="U629" s="713"/>
      <c r="V629" s="714"/>
    </row>
    <row r="630" spans="3:31" ht="15.9" customHeight="1" x14ac:dyDescent="0.25"/>
    <row r="631" spans="3:31" ht="15.9" customHeight="1" thickBot="1" x14ac:dyDescent="0.3"/>
    <row r="632" spans="3:31" ht="15.9" customHeight="1" thickBot="1" x14ac:dyDescent="0.3">
      <c r="M632" s="281" t="s">
        <v>90</v>
      </c>
      <c r="N632" s="410" t="s">
        <v>29</v>
      </c>
      <c r="O632" s="706" t="str">
        <f>IFERROR(VLOOKUP(N632,PPTO!$C$9:$H$64,2,0),"----")</f>
        <v>COMPONENTE ACUEDUCTO</v>
      </c>
      <c r="P632" s="706"/>
      <c r="Q632" s="706"/>
      <c r="R632" s="706"/>
      <c r="S632" s="706"/>
      <c r="T632" s="706"/>
      <c r="U632" s="706"/>
      <c r="V632" s="283" t="s">
        <v>93</v>
      </c>
      <c r="Y632" s="284" t="s">
        <v>107</v>
      </c>
      <c r="Z632" s="280"/>
      <c r="AA632" s="274"/>
      <c r="AB632" s="735"/>
      <c r="AC632" s="735"/>
      <c r="AD632" s="735"/>
      <c r="AE632" s="280"/>
    </row>
    <row r="633" spans="3:31" ht="15.9" customHeight="1" thickBot="1" x14ac:dyDescent="0.35">
      <c r="C633" s="285">
        <f>+N633</f>
        <v>1.7</v>
      </c>
      <c r="D633" s="279"/>
      <c r="E633" s="279"/>
      <c r="F633" s="279"/>
      <c r="G633" s="279"/>
      <c r="H633" s="279"/>
      <c r="I633" s="279"/>
      <c r="J633" s="279"/>
      <c r="K633" s="286"/>
      <c r="M633" s="283" t="s">
        <v>94</v>
      </c>
      <c r="N633" s="287">
        <v>1.7</v>
      </c>
      <c r="O633" s="736" t="str">
        <f>IFERROR(VLOOKUP(N633,PPTO!$C$9:$H$64,2,0),"----")</f>
        <v>Relleno para zanja con material seleccionado de la excavación compactado al 90%</v>
      </c>
      <c r="P633" s="736"/>
      <c r="Q633" s="736"/>
      <c r="R633" s="736"/>
      <c r="S633" s="736"/>
      <c r="T633" s="736"/>
      <c r="U633" s="736"/>
      <c r="V633" s="288" t="str">
        <f>IFERROR(VLOOKUP(N633,PPTO!$C$9:$H$64,3,0),"----")</f>
        <v>m3</v>
      </c>
      <c r="Y633" s="289">
        <f>SUMIFS(PPTO!$F$7:$F$63,PPTO!$C$7:$C$63,APUS!N633)</f>
        <v>110.4432</v>
      </c>
      <c r="Z633" s="280"/>
      <c r="AA633" s="279"/>
      <c r="AB633" s="280"/>
      <c r="AC633" s="280"/>
      <c r="AD633" s="280"/>
      <c r="AE633" s="280"/>
    </row>
    <row r="634" spans="3:31" ht="15.9" customHeight="1" thickBot="1" x14ac:dyDescent="0.35">
      <c r="C634" s="292"/>
      <c r="D634" s="279"/>
      <c r="E634" s="279"/>
      <c r="F634" s="279"/>
      <c r="G634" s="279"/>
      <c r="H634" s="279"/>
      <c r="I634" s="279"/>
      <c r="J634" s="279"/>
      <c r="K634" s="293"/>
      <c r="M634" s="737"/>
      <c r="N634" s="737"/>
      <c r="O634" s="737"/>
      <c r="P634" s="737"/>
      <c r="Q634" s="737"/>
      <c r="R634" s="737"/>
      <c r="S634" s="737"/>
      <c r="T634" s="737"/>
      <c r="U634" s="737"/>
      <c r="V634" s="737"/>
      <c r="Y634" s="294"/>
      <c r="Z634" s="280"/>
      <c r="AA634" s="279"/>
      <c r="AB634" s="280"/>
      <c r="AC634" s="280"/>
      <c r="AD634" s="280"/>
      <c r="AE634" s="280"/>
    </row>
    <row r="635" spans="3:31" ht="15.9" customHeight="1" thickBot="1" x14ac:dyDescent="0.35">
      <c r="C635" s="292"/>
      <c r="D635" s="295" t="s">
        <v>132</v>
      </c>
      <c r="E635" s="296" t="s">
        <v>133</v>
      </c>
      <c r="F635" s="296" t="s">
        <v>134</v>
      </c>
      <c r="G635" s="296" t="s">
        <v>135</v>
      </c>
      <c r="H635" s="296" t="s">
        <v>136</v>
      </c>
      <c r="I635" s="296" t="s">
        <v>137</v>
      </c>
      <c r="J635" s="297" t="s">
        <v>138</v>
      </c>
      <c r="K635" s="293"/>
      <c r="M635" s="738" t="s">
        <v>96</v>
      </c>
      <c r="N635" s="738"/>
      <c r="O635" s="738"/>
      <c r="P635" s="738"/>
      <c r="Q635" s="738"/>
      <c r="R635" s="738"/>
      <c r="S635" s="738"/>
      <c r="T635" s="738"/>
      <c r="U635" s="738"/>
      <c r="V635" s="738"/>
      <c r="Y635" s="298"/>
      <c r="Z635" s="299"/>
      <c r="AA635" s="279"/>
      <c r="AB635" s="731"/>
      <c r="AC635" s="732"/>
      <c r="AD635" s="280"/>
      <c r="AE635" s="303"/>
    </row>
    <row r="636" spans="3:31" ht="15.9" customHeight="1" x14ac:dyDescent="0.3">
      <c r="C636" s="292"/>
      <c r="D636" s="304"/>
      <c r="E636" s="305"/>
      <c r="F636" s="305"/>
      <c r="G636" s="305"/>
      <c r="H636" s="305"/>
      <c r="I636" s="305"/>
      <c r="J636" s="306"/>
      <c r="K636" s="293"/>
      <c r="M636" s="307" t="s">
        <v>97</v>
      </c>
      <c r="N636" s="706" t="s">
        <v>98</v>
      </c>
      <c r="O636" s="706"/>
      <c r="P636" s="706"/>
      <c r="Q636" s="706"/>
      <c r="R636" s="307" t="s">
        <v>99</v>
      </c>
      <c r="S636" s="307" t="s">
        <v>100</v>
      </c>
      <c r="T636" s="734" t="s">
        <v>8</v>
      </c>
      <c r="U636" s="734"/>
      <c r="V636" s="307" t="s">
        <v>101</v>
      </c>
      <c r="Y636" s="308" t="s">
        <v>107</v>
      </c>
      <c r="Z636" s="309" t="s">
        <v>9</v>
      </c>
      <c r="AA636" s="279"/>
      <c r="AB636" s="290"/>
      <c r="AC636" s="291"/>
      <c r="AD636" s="280"/>
      <c r="AE636" s="310"/>
    </row>
    <row r="637" spans="3:31" ht="15.9" customHeight="1" x14ac:dyDescent="0.3">
      <c r="C637" s="292"/>
      <c r="D637" s="311"/>
      <c r="E637" s="279"/>
      <c r="F637" s="279"/>
      <c r="G637" s="279"/>
      <c r="H637" s="279"/>
      <c r="I637" s="279"/>
      <c r="J637" s="312"/>
      <c r="K637" s="293"/>
      <c r="M637" s="313"/>
      <c r="N637" s="718" t="s">
        <v>102</v>
      </c>
      <c r="O637" s="718"/>
      <c r="P637" s="718"/>
      <c r="Q637" s="718"/>
      <c r="R637" s="314" t="s">
        <v>103</v>
      </c>
      <c r="S637" s="315">
        <f>$AA$9</f>
        <v>0.05</v>
      </c>
      <c r="T637" s="739">
        <f>V664</f>
        <v>21954</v>
      </c>
      <c r="U637" s="739"/>
      <c r="V637" s="316">
        <f>+IFERROR(T637*S637,0)</f>
        <v>1097.7</v>
      </c>
      <c r="Y637" s="317"/>
      <c r="Z637" s="318">
        <f>Y633*V637</f>
        <v>121233.50064000001</v>
      </c>
      <c r="AA637" s="279"/>
      <c r="AB637" s="290"/>
      <c r="AC637" s="291"/>
      <c r="AD637" s="280"/>
      <c r="AE637" s="310" t="str">
        <f>+IF(V637=0,"CERO","NO")</f>
        <v>NO</v>
      </c>
    </row>
    <row r="638" spans="3:31" ht="15.9" customHeight="1" x14ac:dyDescent="0.3">
      <c r="C638" s="292"/>
      <c r="D638" s="311"/>
      <c r="E638" s="279"/>
      <c r="F638" s="279"/>
      <c r="G638" s="279"/>
      <c r="H638" s="279"/>
      <c r="I638" s="279"/>
      <c r="J638" s="312"/>
      <c r="K638" s="293"/>
      <c r="M638" s="319">
        <v>6</v>
      </c>
      <c r="N638" s="718" t="str">
        <f>IFERROR(VLOOKUP(M638,INSUMOS!$C$8:$K$934,2,0),"-----")</f>
        <v>Compactador tipo Saltarin</v>
      </c>
      <c r="O638" s="718"/>
      <c r="P638" s="718"/>
      <c r="Q638" s="718"/>
      <c r="R638" s="314" t="str">
        <f>IFERROR(VLOOKUP(M638,INSUMOS!$C$8:$K$934,6,0),"-----")</f>
        <v>dia</v>
      </c>
      <c r="S638" s="320">
        <v>0.03</v>
      </c>
      <c r="T638" s="740">
        <f>IFERROR(VLOOKUP(M638,INSUMOS!$C$8:$K$934,7,0),"0")</f>
        <v>80000</v>
      </c>
      <c r="U638" s="740"/>
      <c r="V638" s="316">
        <f>+IFERROR(T638*S638,0)</f>
        <v>2400</v>
      </c>
      <c r="Y638" s="321">
        <f>+IFERROR(Y633*S638,0)</f>
        <v>3.3132959999999998</v>
      </c>
      <c r="Z638" s="318">
        <f>Y633*V638</f>
        <v>265063.67999999999</v>
      </c>
      <c r="AA638" s="300"/>
      <c r="AB638" s="301">
        <f>+Y638*T638</f>
        <v>265063.67999999999</v>
      </c>
      <c r="AC638" s="302">
        <f>+AB638-Z638</f>
        <v>0</v>
      </c>
      <c r="AD638" s="280"/>
      <c r="AE638" s="310" t="str">
        <f>+IF(V638=0,"CERO","NO")</f>
        <v>NO</v>
      </c>
    </row>
    <row r="639" spans="3:31" ht="15.9" customHeight="1" x14ac:dyDescent="0.3">
      <c r="C639" s="292"/>
      <c r="D639" s="311"/>
      <c r="E639" s="279"/>
      <c r="F639" s="279"/>
      <c r="G639" s="279"/>
      <c r="H639" s="279"/>
      <c r="I639" s="279"/>
      <c r="J639" s="312"/>
      <c r="K639" s="293"/>
      <c r="M639" s="313">
        <v>30</v>
      </c>
      <c r="N639" s="718" t="str">
        <f>IFERROR(VLOOKUP(M639,INSUMOS!$C$8:$K$934,2,0),"-----")</f>
        <v>RetroExcavadora</v>
      </c>
      <c r="O639" s="718"/>
      <c r="P639" s="718"/>
      <c r="Q639" s="718"/>
      <c r="R639" s="314" t="str">
        <f>IFERROR(VLOOKUP(M639,INSUMOS!$C$8:$K$934,6,0),"-----")</f>
        <v>Hora</v>
      </c>
      <c r="S639" s="320">
        <v>0.15</v>
      </c>
      <c r="T639" s="740">
        <f>IFERROR(VLOOKUP(M639,INSUMOS!$C$8:$K$934,7,0),"0")</f>
        <v>190000</v>
      </c>
      <c r="U639" s="740"/>
      <c r="V639" s="316">
        <f>+IFERROR(T639*S639,0)</f>
        <v>28500</v>
      </c>
      <c r="Y639" s="321">
        <f>+IFERROR(Y633*S639,0)</f>
        <v>16.566479999999999</v>
      </c>
      <c r="Z639" s="318">
        <f>Y633*V639</f>
        <v>3147631.2</v>
      </c>
      <c r="AA639" s="300"/>
      <c r="AB639" s="301">
        <f>+Y639*T639</f>
        <v>3147631.1999999997</v>
      </c>
      <c r="AC639" s="302">
        <f>+AB639-Z639</f>
        <v>0</v>
      </c>
      <c r="AD639" s="280"/>
      <c r="AE639" s="310" t="str">
        <f>+IF(V639=0,"CERO","NO")</f>
        <v>NO</v>
      </c>
    </row>
    <row r="640" spans="3:31" ht="15.9" customHeight="1" thickBot="1" x14ac:dyDescent="0.35">
      <c r="C640" s="292"/>
      <c r="D640" s="311"/>
      <c r="E640" s="279"/>
      <c r="F640" s="279"/>
      <c r="G640" s="279"/>
      <c r="H640" s="279"/>
      <c r="I640" s="279"/>
      <c r="J640" s="312"/>
      <c r="K640" s="293"/>
      <c r="M640" s="313">
        <v>0</v>
      </c>
      <c r="N640" s="718" t="str">
        <f>IFERROR(VLOOKUP(M640,INSUMOS!$C$8:$K$934,2,0),"-----")</f>
        <v>-----</v>
      </c>
      <c r="O640" s="718"/>
      <c r="P640" s="718"/>
      <c r="Q640" s="718"/>
      <c r="R640" s="314" t="str">
        <f>IFERROR(VLOOKUP(M640,INSUMOS!$C$8:$K$934,6,0),"-----")</f>
        <v>-----</v>
      </c>
      <c r="S640" s="320"/>
      <c r="T640" s="740" t="str">
        <f>IFERROR(VLOOKUP(M640,INSUMOS!$C$8:$K$934,7,0),"0")</f>
        <v>0</v>
      </c>
      <c r="U640" s="740"/>
      <c r="V640" s="316">
        <f>+IFERROR(T640*S640,0)</f>
        <v>0</v>
      </c>
      <c r="Y640" s="321">
        <f>+IFERROR(Y633*S640,0)</f>
        <v>0</v>
      </c>
      <c r="Z640" s="318">
        <f>Y633*V640</f>
        <v>0</v>
      </c>
      <c r="AA640" s="300"/>
      <c r="AB640" s="301">
        <f>+Y640*T640</f>
        <v>0</v>
      </c>
      <c r="AC640" s="302">
        <f>+AB640-Z640</f>
        <v>0</v>
      </c>
      <c r="AD640" s="280"/>
      <c r="AE640" s="310" t="str">
        <f>+IF(V640=0,"CERO","NO")</f>
        <v>CERO</v>
      </c>
    </row>
    <row r="641" spans="3:31" ht="15.9" customHeight="1" thickBot="1" x14ac:dyDescent="0.35">
      <c r="C641" s="292"/>
      <c r="D641" s="295" t="s">
        <v>132</v>
      </c>
      <c r="E641" s="296" t="s">
        <v>133</v>
      </c>
      <c r="F641" s="296" t="s">
        <v>134</v>
      </c>
      <c r="G641" s="296" t="s">
        <v>135</v>
      </c>
      <c r="H641" s="296" t="s">
        <v>136</v>
      </c>
      <c r="I641" s="296" t="s">
        <v>137</v>
      </c>
      <c r="J641" s="297" t="s">
        <v>138</v>
      </c>
      <c r="K641" s="293"/>
      <c r="M641" s="724"/>
      <c r="N641" s="725" t="s">
        <v>104</v>
      </c>
      <c r="O641" s="725"/>
      <c r="P641" s="725"/>
      <c r="Q641" s="725"/>
      <c r="R641" s="725"/>
      <c r="S641" s="725"/>
      <c r="T641" s="725"/>
      <c r="U641" s="725"/>
      <c r="V641" s="316">
        <f>+SUM(V637:V640)</f>
        <v>31997.7</v>
      </c>
      <c r="Y641" s="328" t="s">
        <v>139</v>
      </c>
      <c r="Z641" s="329">
        <f>+SUM(Z637:Z640)</f>
        <v>3533928.3806400001</v>
      </c>
      <c r="AA641" s="279"/>
      <c r="AB641" s="290"/>
      <c r="AC641" s="291"/>
      <c r="AD641" s="280"/>
      <c r="AE641" s="330"/>
    </row>
    <row r="642" spans="3:31" ht="15.9" customHeight="1" thickBot="1" x14ac:dyDescent="0.35">
      <c r="C642" s="292"/>
      <c r="D642" s="295">
        <f>C633</f>
        <v>1.7</v>
      </c>
      <c r="E642" s="296"/>
      <c r="F642" s="296"/>
      <c r="G642" s="296"/>
      <c r="H642" s="296"/>
      <c r="I642" s="296"/>
      <c r="J642" s="297"/>
      <c r="K642" s="293"/>
      <c r="M642" s="724"/>
      <c r="N642" s="726" t="s">
        <v>105</v>
      </c>
      <c r="O642" s="726"/>
      <c r="P642" s="726"/>
      <c r="Q642" s="726"/>
      <c r="R642" s="726"/>
      <c r="S642" s="726"/>
      <c r="T642" s="726"/>
      <c r="U642" s="726"/>
      <c r="V642" s="344">
        <f>+ROUND(V641,$AA$2)</f>
        <v>31998</v>
      </c>
      <c r="Y642" s="332" t="s">
        <v>140</v>
      </c>
      <c r="Z642" s="333">
        <f>+ROUND(Z641,$AA$2)</f>
        <v>3533928</v>
      </c>
      <c r="AA642" s="279"/>
      <c r="AB642" s="324">
        <f>+V642*Y633</f>
        <v>3533961.5136000002</v>
      </c>
      <c r="AC642" s="325">
        <f>+AB642-Z642</f>
        <v>33.513600000180304</v>
      </c>
      <c r="AD642" s="280"/>
      <c r="AE642" s="334"/>
    </row>
    <row r="643" spans="3:31" ht="15.9" customHeight="1" x14ac:dyDescent="0.3">
      <c r="C643" s="292"/>
      <c r="D643" s="304"/>
      <c r="E643" s="305"/>
      <c r="F643" s="305"/>
      <c r="G643" s="305"/>
      <c r="H643" s="305"/>
      <c r="I643" s="305"/>
      <c r="J643" s="306"/>
      <c r="K643" s="293"/>
      <c r="M643" s="730" t="s">
        <v>106</v>
      </c>
      <c r="N643" s="730"/>
      <c r="O643" s="730"/>
      <c r="P643" s="730"/>
      <c r="Q643" s="730"/>
      <c r="R643" s="730"/>
      <c r="S643" s="730"/>
      <c r="T643" s="730"/>
      <c r="U643" s="730"/>
      <c r="V643" s="730"/>
      <c r="Y643" s="298"/>
      <c r="Z643" s="299"/>
      <c r="AA643" s="279"/>
      <c r="AB643" s="731"/>
      <c r="AC643" s="732"/>
      <c r="AD643" s="280"/>
      <c r="AE643" s="335"/>
    </row>
    <row r="644" spans="3:31" ht="15.9" customHeight="1" x14ac:dyDescent="0.3">
      <c r="C644" s="292"/>
      <c r="D644" s="311"/>
      <c r="E644" s="279"/>
      <c r="F644" s="279"/>
      <c r="G644" s="279"/>
      <c r="H644" s="279"/>
      <c r="I644" s="279"/>
      <c r="J644" s="312"/>
      <c r="K644" s="293"/>
      <c r="M644" s="307" t="s">
        <v>97</v>
      </c>
      <c r="N644" s="706" t="s">
        <v>98</v>
      </c>
      <c r="O644" s="706"/>
      <c r="P644" s="706"/>
      <c r="Q644" s="706"/>
      <c r="R644" s="307" t="s">
        <v>99</v>
      </c>
      <c r="S644" s="307" t="s">
        <v>107</v>
      </c>
      <c r="T644" s="336" t="s">
        <v>108</v>
      </c>
      <c r="U644" s="336" t="s">
        <v>8</v>
      </c>
      <c r="V644" s="307" t="s">
        <v>101</v>
      </c>
      <c r="Y644" s="308" t="s">
        <v>107</v>
      </c>
      <c r="Z644" s="309" t="s">
        <v>9</v>
      </c>
      <c r="AA644" s="279"/>
      <c r="AB644" s="290"/>
      <c r="AC644" s="291"/>
      <c r="AD644" s="280"/>
      <c r="AE644" s="337"/>
    </row>
    <row r="645" spans="3:31" ht="15.9" customHeight="1" x14ac:dyDescent="0.3">
      <c r="C645" s="292"/>
      <c r="D645" s="311"/>
      <c r="E645" s="279"/>
      <c r="F645" s="279"/>
      <c r="G645" s="279"/>
      <c r="H645" s="279"/>
      <c r="I645" s="279"/>
      <c r="J645" s="312"/>
      <c r="K645" s="293"/>
      <c r="M645" s="313">
        <v>401</v>
      </c>
      <c r="N645" s="718" t="str">
        <f>IFERROR(VLOOKUP(M645,INSUMOS!$C$8:$K$934,2,0),"-----")</f>
        <v>Agua</v>
      </c>
      <c r="O645" s="718"/>
      <c r="P645" s="718"/>
      <c r="Q645" s="718"/>
      <c r="R645" s="314" t="str">
        <f>IFERROR(VLOOKUP(M645,INSUMOS!$C$8:$K$934,6,0),"-----")</f>
        <v>lt</v>
      </c>
      <c r="S645" s="322">
        <v>50</v>
      </c>
      <c r="T645" s="315">
        <v>0</v>
      </c>
      <c r="U645" s="338">
        <f>IFERROR(VLOOKUP(M645,INSUMOS!$C$8:$K$934,7,0),"0")</f>
        <v>5</v>
      </c>
      <c r="V645" s="316">
        <f>+IFERROR(U645*(S645*(1+T645)),0)</f>
        <v>250</v>
      </c>
      <c r="Y645" s="321">
        <f>+IFERROR(Y633*(S645*(1+T645)),0)</f>
        <v>5522.16</v>
      </c>
      <c r="Z645" s="318">
        <f>Y633*V645</f>
        <v>27610.800000000003</v>
      </c>
      <c r="AA645" s="300"/>
      <c r="AB645" s="301">
        <f>+Y645*U645</f>
        <v>27610.799999999999</v>
      </c>
      <c r="AC645" s="302">
        <f>+AB645-Z645</f>
        <v>0</v>
      </c>
      <c r="AD645" s="280"/>
      <c r="AE645" s="337" t="str">
        <f t="shared" ref="AE645:AE647" si="84">+IF(V645=0,"CERO","NO")</f>
        <v>NO</v>
      </c>
    </row>
    <row r="646" spans="3:31" ht="15.9" customHeight="1" x14ac:dyDescent="0.3">
      <c r="C646" s="292"/>
      <c r="D646" s="311"/>
      <c r="E646" s="279"/>
      <c r="F646" s="279"/>
      <c r="G646" s="279"/>
      <c r="H646" s="279"/>
      <c r="I646" s="279"/>
      <c r="J646" s="312"/>
      <c r="K646" s="293"/>
      <c r="M646" s="313">
        <v>0</v>
      </c>
      <c r="N646" s="718" t="str">
        <f>IFERROR(VLOOKUP(M646,INSUMOS!$C$8:$K$934,2,0),"-----")</f>
        <v>-----</v>
      </c>
      <c r="O646" s="718"/>
      <c r="P646" s="718"/>
      <c r="Q646" s="718"/>
      <c r="R646" s="314" t="str">
        <f>IFERROR(VLOOKUP(M646,INSUMOS!$C$8:$K$934,6,0),"-----")</f>
        <v>-----</v>
      </c>
      <c r="S646" s="322"/>
      <c r="T646" s="315">
        <v>0</v>
      </c>
      <c r="U646" s="338" t="str">
        <f>IFERROR(VLOOKUP(M646,INSUMOS!$C$8:$K$934,7,0),"0")</f>
        <v>0</v>
      </c>
      <c r="V646" s="316">
        <f>+IFERROR(U646*(S646*(1+T646)),0)</f>
        <v>0</v>
      </c>
      <c r="Y646" s="321">
        <f>+IFERROR(Y633*(S646*(1+T646)),0)</f>
        <v>0</v>
      </c>
      <c r="Z646" s="318">
        <f>Y633*V646</f>
        <v>0</v>
      </c>
      <c r="AA646" s="300"/>
      <c r="AB646" s="301">
        <f t="shared" ref="AB646:AB647" si="85">+Y646*U646</f>
        <v>0</v>
      </c>
      <c r="AC646" s="302">
        <f t="shared" ref="AC646:AC647" si="86">+AB646-Z646</f>
        <v>0</v>
      </c>
      <c r="AD646" s="280"/>
      <c r="AE646" s="337" t="str">
        <f t="shared" si="84"/>
        <v>CERO</v>
      </c>
    </row>
    <row r="647" spans="3:31" ht="15.9" customHeight="1" thickBot="1" x14ac:dyDescent="0.35">
      <c r="C647" s="292"/>
      <c r="D647" s="311"/>
      <c r="E647" s="279"/>
      <c r="F647" s="279"/>
      <c r="G647" s="279"/>
      <c r="H647" s="279"/>
      <c r="I647" s="279"/>
      <c r="J647" s="312"/>
      <c r="K647" s="293"/>
      <c r="M647" s="313">
        <v>0</v>
      </c>
      <c r="N647" s="718" t="str">
        <f>IFERROR(VLOOKUP(M647,INSUMOS!$C$8:$K$934,2,0),"-----")</f>
        <v>-----</v>
      </c>
      <c r="O647" s="718"/>
      <c r="P647" s="718"/>
      <c r="Q647" s="718"/>
      <c r="R647" s="314" t="str">
        <f>IFERROR(VLOOKUP(M647,INSUMOS!$C$8:$K$934,6,0),"-----")</f>
        <v>-----</v>
      </c>
      <c r="S647" s="322"/>
      <c r="T647" s="315">
        <v>0</v>
      </c>
      <c r="U647" s="338" t="str">
        <f>IFERROR(VLOOKUP(M647,INSUMOS!$C$8:$K$934,7,0),"0")</f>
        <v>0</v>
      </c>
      <c r="V647" s="316">
        <f>+IFERROR(U647*(S647*(1+T647)),0)</f>
        <v>0</v>
      </c>
      <c r="Y647" s="321">
        <f>+IFERROR(Y633*(S647*(1+T647)),0)</f>
        <v>0</v>
      </c>
      <c r="Z647" s="318">
        <f>Y633*V647</f>
        <v>0</v>
      </c>
      <c r="AA647" s="300"/>
      <c r="AB647" s="301">
        <f t="shared" si="85"/>
        <v>0</v>
      </c>
      <c r="AC647" s="302">
        <f t="shared" si="86"/>
        <v>0</v>
      </c>
      <c r="AD647" s="280"/>
      <c r="AE647" s="337" t="str">
        <f t="shared" si="84"/>
        <v>CERO</v>
      </c>
    </row>
    <row r="648" spans="3:31" ht="15.9" customHeight="1" thickBot="1" x14ac:dyDescent="0.35">
      <c r="C648" s="292"/>
      <c r="D648" s="295" t="s">
        <v>132</v>
      </c>
      <c r="E648" s="296" t="s">
        <v>133</v>
      </c>
      <c r="F648" s="296" t="s">
        <v>134</v>
      </c>
      <c r="G648" s="296" t="s">
        <v>135</v>
      </c>
      <c r="H648" s="296" t="s">
        <v>136</v>
      </c>
      <c r="I648" s="296" t="s">
        <v>137</v>
      </c>
      <c r="J648" s="297" t="s">
        <v>138</v>
      </c>
      <c r="K648" s="293"/>
      <c r="M648" s="724"/>
      <c r="N648" s="725" t="s">
        <v>109</v>
      </c>
      <c r="O648" s="725"/>
      <c r="P648" s="725"/>
      <c r="Q648" s="725"/>
      <c r="R648" s="725"/>
      <c r="S648" s="725"/>
      <c r="T648" s="725"/>
      <c r="U648" s="725"/>
      <c r="V648" s="316">
        <f>+SUM(V645:V647)</f>
        <v>250</v>
      </c>
      <c r="Y648" s="328" t="s">
        <v>139</v>
      </c>
      <c r="Z648" s="329">
        <f>+SUM(Z645:Z647)</f>
        <v>27610.800000000003</v>
      </c>
      <c r="AA648" s="279"/>
      <c r="AB648" s="290"/>
      <c r="AC648" s="291"/>
      <c r="AD648" s="280"/>
      <c r="AE648" s="330"/>
    </row>
    <row r="649" spans="3:31" ht="15.9" customHeight="1" thickBot="1" x14ac:dyDescent="0.35">
      <c r="C649" s="292"/>
      <c r="D649" s="295"/>
      <c r="E649" s="343">
        <f>+D642</f>
        <v>1.7</v>
      </c>
      <c r="F649" s="296"/>
      <c r="G649" s="296"/>
      <c r="H649" s="296"/>
      <c r="I649" s="296"/>
      <c r="J649" s="297"/>
      <c r="K649" s="293"/>
      <c r="M649" s="724"/>
      <c r="N649" s="726" t="s">
        <v>110</v>
      </c>
      <c r="O649" s="726"/>
      <c r="P649" s="726"/>
      <c r="Q649" s="726"/>
      <c r="R649" s="726"/>
      <c r="S649" s="726"/>
      <c r="T649" s="726"/>
      <c r="U649" s="726"/>
      <c r="V649" s="344">
        <f>+ROUND(V648,$AA$2)</f>
        <v>250</v>
      </c>
      <c r="Y649" s="332" t="s">
        <v>140</v>
      </c>
      <c r="Z649" s="333">
        <f>+ROUND(Z648,$AA$2)</f>
        <v>27611</v>
      </c>
      <c r="AA649" s="279"/>
      <c r="AB649" s="324">
        <f>+V649*Y633</f>
        <v>27610.800000000003</v>
      </c>
      <c r="AC649" s="325">
        <f>+AB649-Z649</f>
        <v>-0.19999999999708962</v>
      </c>
      <c r="AD649" s="280"/>
      <c r="AE649" s="334"/>
    </row>
    <row r="650" spans="3:31" ht="15.9" customHeight="1" x14ac:dyDescent="0.3">
      <c r="C650" s="292"/>
      <c r="D650" s="304"/>
      <c r="E650" s="305"/>
      <c r="F650" s="305"/>
      <c r="G650" s="305"/>
      <c r="H650" s="305"/>
      <c r="I650" s="305"/>
      <c r="J650" s="306"/>
      <c r="K650" s="293"/>
      <c r="M650" s="733" t="s">
        <v>111</v>
      </c>
      <c r="N650" s="733"/>
      <c r="O650" s="733"/>
      <c r="P650" s="733"/>
      <c r="Q650" s="733"/>
      <c r="R650" s="733"/>
      <c r="S650" s="733"/>
      <c r="T650" s="733"/>
      <c r="U650" s="733"/>
      <c r="V650" s="733"/>
      <c r="Y650" s="298"/>
      <c r="Z650" s="299"/>
      <c r="AA650" s="279"/>
      <c r="AB650" s="342"/>
      <c r="AC650" s="299"/>
      <c r="AD650" s="280"/>
      <c r="AE650" s="335"/>
    </row>
    <row r="651" spans="3:31" ht="27.6" x14ac:dyDescent="0.3">
      <c r="C651" s="292"/>
      <c r="D651" s="311"/>
      <c r="E651" s="279"/>
      <c r="F651" s="279"/>
      <c r="G651" s="279"/>
      <c r="H651" s="279"/>
      <c r="I651" s="279"/>
      <c r="J651" s="312"/>
      <c r="K651" s="293"/>
      <c r="M651" s="307" t="s">
        <v>97</v>
      </c>
      <c r="N651" s="706" t="s">
        <v>98</v>
      </c>
      <c r="O651" s="706"/>
      <c r="P651" s="706"/>
      <c r="Q651" s="307" t="s">
        <v>112</v>
      </c>
      <c r="R651" s="307" t="s">
        <v>113</v>
      </c>
      <c r="S651" s="307" t="s">
        <v>114</v>
      </c>
      <c r="T651" s="734" t="s">
        <v>115</v>
      </c>
      <c r="U651" s="734"/>
      <c r="V651" s="307" t="s">
        <v>101</v>
      </c>
      <c r="Y651" s="308" t="s">
        <v>107</v>
      </c>
      <c r="Z651" s="309" t="s">
        <v>9</v>
      </c>
      <c r="AA651" s="279"/>
      <c r="AB651" s="290"/>
      <c r="AC651" s="291"/>
      <c r="AD651" s="280"/>
      <c r="AE651" s="349"/>
    </row>
    <row r="652" spans="3:31" ht="14.4" x14ac:dyDescent="0.3">
      <c r="C652" s="350"/>
      <c r="D652" s="351"/>
      <c r="E652" s="345"/>
      <c r="F652" s="345"/>
      <c r="G652" s="345"/>
      <c r="H652" s="345"/>
      <c r="I652" s="345"/>
      <c r="J652" s="352"/>
      <c r="K652" s="353"/>
      <c r="M652" s="354">
        <v>0</v>
      </c>
      <c r="N652" s="718" t="str">
        <f>IFERROR(VLOOKUP(M652,INSUMOS!$C$8:$K$934,2,0),"-----")</f>
        <v>-----</v>
      </c>
      <c r="O652" s="718"/>
      <c r="P652" s="718"/>
      <c r="Q652" s="314" t="str">
        <f>IFERROR(VLOOKUP(M652,INSUMOS!$C$8:$K$934,5,0),"-----")</f>
        <v>-----</v>
      </c>
      <c r="R652" s="355">
        <v>1.2</v>
      </c>
      <c r="S652" s="355" t="str">
        <f>IFERROR(VLOOKUP(M652,INSUMOS!$C$8:$K$934,6,0),"0")</f>
        <v>0</v>
      </c>
      <c r="T652" s="719" t="str">
        <f>IFERROR(VLOOKUP(M652,INSUMOS!$C$8:$K$934,7,0),"0")</f>
        <v>0</v>
      </c>
      <c r="U652" s="719"/>
      <c r="V652" s="515">
        <f>+T652*S652*R652</f>
        <v>0</v>
      </c>
      <c r="Y652" s="321">
        <f>+IFERROR((R652*S652)*Y633,0)</f>
        <v>0</v>
      </c>
      <c r="Z652" s="318">
        <f>Y633*V652</f>
        <v>0</v>
      </c>
      <c r="AA652" s="345"/>
      <c r="AB652" s="346">
        <f>+Y652*T652</f>
        <v>0</v>
      </c>
      <c r="AC652" s="347">
        <f>+AB652-Z652</f>
        <v>0</v>
      </c>
      <c r="AD652" s="348"/>
      <c r="AE652" s="337" t="str">
        <f t="shared" ref="AE652:AE655" si="87">+IF(V652=0,"CERO","NO")</f>
        <v>CERO</v>
      </c>
    </row>
    <row r="653" spans="3:31" ht="15.9" customHeight="1" x14ac:dyDescent="0.3">
      <c r="C653" s="350"/>
      <c r="D653" s="351"/>
      <c r="E653" s="345"/>
      <c r="F653" s="345"/>
      <c r="G653" s="345"/>
      <c r="H653" s="345"/>
      <c r="I653" s="345"/>
      <c r="J653" s="352"/>
      <c r="K653" s="353"/>
      <c r="M653" s="354">
        <v>0</v>
      </c>
      <c r="N653" s="718" t="str">
        <f>IFERROR(VLOOKUP(M653,INSUMOS!$C$8:$K$934,2,0),"-----")</f>
        <v>-----</v>
      </c>
      <c r="O653" s="718"/>
      <c r="P653" s="718"/>
      <c r="Q653" s="314" t="str">
        <f>IFERROR(VLOOKUP(M653,INSUMOS!$C$8:$K$934,5,0),"-----")</f>
        <v>-----</v>
      </c>
      <c r="R653" s="355"/>
      <c r="S653" s="355" t="str">
        <f>IFERROR(VLOOKUP(M653,INSUMOS!$C$8:$K$934,6,0),"0")</f>
        <v>0</v>
      </c>
      <c r="T653" s="719" t="str">
        <f>IFERROR(VLOOKUP(M653,INSUMOS!$C$8:$K$934,7,0),"0")</f>
        <v>0</v>
      </c>
      <c r="U653" s="719"/>
      <c r="V653" s="515">
        <f>+T653*S653*R653</f>
        <v>0</v>
      </c>
      <c r="Y653" s="321">
        <f>+IFERROR((R653*S653)*Y633,0)</f>
        <v>0</v>
      </c>
      <c r="Z653" s="318">
        <f>Y633*V653</f>
        <v>0</v>
      </c>
      <c r="AA653" s="345"/>
      <c r="AB653" s="346">
        <f>+Y653*T653</f>
        <v>0</v>
      </c>
      <c r="AC653" s="347">
        <f>+AB653-Z653</f>
        <v>0</v>
      </c>
      <c r="AD653" s="348"/>
      <c r="AE653" s="337" t="str">
        <f t="shared" si="87"/>
        <v>CERO</v>
      </c>
    </row>
    <row r="654" spans="3:31" ht="15.9" customHeight="1" x14ac:dyDescent="0.3">
      <c r="C654" s="350"/>
      <c r="D654" s="351"/>
      <c r="E654" s="345"/>
      <c r="F654" s="345"/>
      <c r="G654" s="345"/>
      <c r="H654" s="345"/>
      <c r="I654" s="345"/>
      <c r="J654" s="352"/>
      <c r="K654" s="353"/>
      <c r="M654" s="354">
        <v>0</v>
      </c>
      <c r="N654" s="718" t="str">
        <f>IFERROR(VLOOKUP(M654,INSUMOS!$C$8:$K$934,2,0),"-----")</f>
        <v>-----</v>
      </c>
      <c r="O654" s="718"/>
      <c r="P654" s="718"/>
      <c r="Q654" s="314" t="str">
        <f>IFERROR(VLOOKUP(M654,INSUMOS!$C$8:$K$934,5,0),"-----")</f>
        <v>-----</v>
      </c>
      <c r="R654" s="355"/>
      <c r="S654" s="355" t="str">
        <f>IFERROR(VLOOKUP(M654,INSUMOS!$C$8:$K$934,6,0),"0")</f>
        <v>0</v>
      </c>
      <c r="T654" s="719" t="str">
        <f>IFERROR(VLOOKUP(M654,INSUMOS!$C$8:$K$934,7,0),"0")</f>
        <v>0</v>
      </c>
      <c r="U654" s="719"/>
      <c r="V654" s="515">
        <f>+T654*S654*R654</f>
        <v>0</v>
      </c>
      <c r="Y654" s="321">
        <f>+IFERROR((R654*S654)*Y633,0)</f>
        <v>0</v>
      </c>
      <c r="Z654" s="318">
        <f>Y633*V654</f>
        <v>0</v>
      </c>
      <c r="AA654" s="345"/>
      <c r="AB654" s="346">
        <f t="shared" ref="AB654" si="88">+Y654*T654</f>
        <v>0</v>
      </c>
      <c r="AC654" s="347">
        <f t="shared" ref="AC654" si="89">+AB654-Z654</f>
        <v>0</v>
      </c>
      <c r="AD654" s="348"/>
      <c r="AE654" s="337" t="str">
        <f t="shared" si="87"/>
        <v>CERO</v>
      </c>
    </row>
    <row r="655" spans="3:31" ht="15.9" customHeight="1" thickBot="1" x14ac:dyDescent="0.35">
      <c r="C655" s="350"/>
      <c r="D655" s="360"/>
      <c r="E655" s="361"/>
      <c r="F655" s="361"/>
      <c r="G655" s="361"/>
      <c r="H655" s="361"/>
      <c r="I655" s="361"/>
      <c r="J655" s="362"/>
      <c r="K655" s="353"/>
      <c r="M655" s="354">
        <v>0</v>
      </c>
      <c r="N655" s="718"/>
      <c r="O655" s="718"/>
      <c r="P655" s="718"/>
      <c r="Q655" s="357"/>
      <c r="R655" s="314"/>
      <c r="S655" s="358"/>
      <c r="T655" s="719"/>
      <c r="U655" s="719"/>
      <c r="V655" s="515"/>
      <c r="Y655" s="321">
        <f>+IFERROR((R655*S655)*Y633,0)</f>
        <v>0</v>
      </c>
      <c r="Z655" s="318">
        <f>Y633*V655</f>
        <v>0</v>
      </c>
      <c r="AA655" s="345"/>
      <c r="AB655" s="346">
        <f>+Y655*T655</f>
        <v>0</v>
      </c>
      <c r="AC655" s="347">
        <f>+AB655-Z655</f>
        <v>0</v>
      </c>
      <c r="AD655" s="348"/>
      <c r="AE655" s="337" t="str">
        <f t="shared" si="87"/>
        <v>CERO</v>
      </c>
    </row>
    <row r="656" spans="3:31" ht="15.9" customHeight="1" thickBot="1" x14ac:dyDescent="0.35">
      <c r="C656" s="292"/>
      <c r="D656" s="295" t="s">
        <v>132</v>
      </c>
      <c r="E656" s="296" t="s">
        <v>133</v>
      </c>
      <c r="F656" s="296" t="s">
        <v>134</v>
      </c>
      <c r="G656" s="296" t="s">
        <v>135</v>
      </c>
      <c r="H656" s="296" t="s">
        <v>136</v>
      </c>
      <c r="I656" s="296" t="s">
        <v>137</v>
      </c>
      <c r="J656" s="297" t="s">
        <v>138</v>
      </c>
      <c r="K656" s="293"/>
      <c r="M656" s="720"/>
      <c r="N656" s="721" t="s">
        <v>116</v>
      </c>
      <c r="O656" s="721"/>
      <c r="P656" s="721"/>
      <c r="Q656" s="721"/>
      <c r="R656" s="721"/>
      <c r="S656" s="721"/>
      <c r="T656" s="721"/>
      <c r="U656" s="721"/>
      <c r="V656" s="499">
        <f>+SUM(V652:V655)</f>
        <v>0</v>
      </c>
      <c r="Y656" s="328" t="s">
        <v>139</v>
      </c>
      <c r="Z656" s="329">
        <f>+SUM(Z652:Z655)</f>
        <v>0</v>
      </c>
      <c r="AA656" s="279"/>
      <c r="AB656" s="290"/>
      <c r="AC656" s="291"/>
      <c r="AD656" s="280"/>
      <c r="AE656" s="330"/>
    </row>
    <row r="657" spans="3:31" ht="15.9" customHeight="1" thickBot="1" x14ac:dyDescent="0.35">
      <c r="C657" s="292"/>
      <c r="D657" s="363"/>
      <c r="E657" s="364"/>
      <c r="F657" s="365">
        <f>+E649</f>
        <v>1.7</v>
      </c>
      <c r="G657" s="364"/>
      <c r="H657" s="364"/>
      <c r="I657" s="364"/>
      <c r="J657" s="366"/>
      <c r="K657" s="293"/>
      <c r="M657" s="720"/>
      <c r="N657" s="722" t="s">
        <v>117</v>
      </c>
      <c r="O657" s="722"/>
      <c r="P657" s="722"/>
      <c r="Q657" s="722"/>
      <c r="R657" s="722"/>
      <c r="S657" s="722"/>
      <c r="T657" s="722"/>
      <c r="U657" s="722"/>
      <c r="V657" s="344">
        <f>+ROUND(V656,$AA$2)</f>
        <v>0</v>
      </c>
      <c r="Y657" s="332" t="s">
        <v>140</v>
      </c>
      <c r="Z657" s="333">
        <f>+ROUND(Z656,$AA$2)</f>
        <v>0</v>
      </c>
      <c r="AA657" s="279"/>
      <c r="AB657" s="324">
        <f>+V657*Y633</f>
        <v>0</v>
      </c>
      <c r="AC657" s="359"/>
      <c r="AD657" s="280"/>
      <c r="AE657" s="334"/>
    </row>
    <row r="658" spans="3:31" ht="15.9" customHeight="1" thickBot="1" x14ac:dyDescent="0.35">
      <c r="C658" s="292"/>
      <c r="D658" s="369"/>
      <c r="E658" s="370"/>
      <c r="F658" s="370"/>
      <c r="G658" s="370"/>
      <c r="H658" s="370"/>
      <c r="I658" s="370"/>
      <c r="J658" s="371"/>
      <c r="K658" s="293"/>
      <c r="M658" s="723" t="s">
        <v>118</v>
      </c>
      <c r="N658" s="723"/>
      <c r="O658" s="723"/>
      <c r="P658" s="723"/>
      <c r="Q658" s="723"/>
      <c r="R658" s="723"/>
      <c r="S658" s="723"/>
      <c r="T658" s="723"/>
      <c r="U658" s="723"/>
      <c r="V658" s="723"/>
      <c r="Y658" s="298"/>
      <c r="Z658" s="299"/>
      <c r="AA658" s="279"/>
      <c r="AB658" s="342"/>
      <c r="AC658" s="299"/>
      <c r="AD658" s="280"/>
      <c r="AE658" s="335"/>
    </row>
    <row r="659" spans="3:31" ht="15.9" customHeight="1" thickBot="1" x14ac:dyDescent="0.35">
      <c r="C659" s="292"/>
      <c r="D659" s="295" t="s">
        <v>132</v>
      </c>
      <c r="E659" s="296" t="s">
        <v>133</v>
      </c>
      <c r="F659" s="296" t="s">
        <v>134</v>
      </c>
      <c r="G659" s="296" t="s">
        <v>135</v>
      </c>
      <c r="H659" s="296" t="s">
        <v>136</v>
      </c>
      <c r="I659" s="296" t="s">
        <v>137</v>
      </c>
      <c r="J659" s="297" t="s">
        <v>138</v>
      </c>
      <c r="K659" s="293"/>
      <c r="M659" s="307" t="s">
        <v>97</v>
      </c>
      <c r="N659" s="372" t="s">
        <v>98</v>
      </c>
      <c r="O659" s="307" t="s">
        <v>99</v>
      </c>
      <c r="P659" s="396" t="s">
        <v>107</v>
      </c>
      <c r="Q659" s="307" t="s">
        <v>119</v>
      </c>
      <c r="R659" s="373" t="s">
        <v>120</v>
      </c>
      <c r="S659" s="307" t="s">
        <v>363</v>
      </c>
      <c r="T659" s="374" t="s">
        <v>121</v>
      </c>
      <c r="U659" s="375" t="s">
        <v>122</v>
      </c>
      <c r="V659" s="307" t="s">
        <v>101</v>
      </c>
      <c r="Y659" s="308" t="s">
        <v>107</v>
      </c>
      <c r="Z659" s="309" t="s">
        <v>9</v>
      </c>
      <c r="AA659" s="279"/>
      <c r="AB659" s="290"/>
      <c r="AC659" s="291"/>
      <c r="AD659" s="280"/>
      <c r="AE659" s="349"/>
    </row>
    <row r="660" spans="3:31" ht="14.4" x14ac:dyDescent="0.3">
      <c r="C660" s="292"/>
      <c r="D660" s="376"/>
      <c r="E660" s="377"/>
      <c r="F660" s="377"/>
      <c r="G660" s="377"/>
      <c r="H660" s="377"/>
      <c r="I660" s="377"/>
      <c r="J660" s="378">
        <f>+F657</f>
        <v>1.7</v>
      </c>
      <c r="K660" s="293"/>
      <c r="M660" s="313">
        <v>201</v>
      </c>
      <c r="N660" s="379" t="str">
        <f>IFERROR(VLOOKUP(M660,INSUMOS!$C$8:$K$934,2,0),"-----")</f>
        <v>Oficial Albañileria</v>
      </c>
      <c r="O660" s="314" t="str">
        <f>IFERROR(VLOOKUP(M660,INSUMOS!$C$8:$K$934,3,0),"-----")</f>
        <v>JORNAL+PS</v>
      </c>
      <c r="P660" s="355">
        <v>1</v>
      </c>
      <c r="Q660" s="339">
        <v>25</v>
      </c>
      <c r="R660" s="380">
        <f>IFERROR(VLOOKUP(M660,INSUMOS!$C$8:$K$934,4,0),"-----")</f>
        <v>114970</v>
      </c>
      <c r="S660" s="380">
        <f>IFERROR(VLOOKUP(M660,INSUMOS!$C$8:$K$934,6,0),"-----")</f>
        <v>91976</v>
      </c>
      <c r="T660" s="380">
        <f>IFERROR(VLOOKUP(M660,INSUMOS!$C$8:$K$934,5,0),"-----")</f>
        <v>0</v>
      </c>
      <c r="U660" s="338">
        <f>SUM(R660:T660)</f>
        <v>206946</v>
      </c>
      <c r="V660" s="316">
        <f>+IFERROR((P660/Q660)*U660,0)</f>
        <v>8277.84</v>
      </c>
      <c r="Y660" s="321">
        <f>+IFERROR((Y633/Q660*P660),0)</f>
        <v>4.4177280000000003</v>
      </c>
      <c r="Z660" s="318">
        <f>Y633*V660</f>
        <v>914231.13868800004</v>
      </c>
      <c r="AA660" s="279"/>
      <c r="AB660" s="367">
        <f>+(U660)*Y660</f>
        <v>914231.13868800004</v>
      </c>
      <c r="AC660" s="302">
        <f>+AB660-Z660</f>
        <v>0</v>
      </c>
      <c r="AD660" s="368"/>
      <c r="AE660" s="349" t="str">
        <f>+IF(V660=0,"CERO","NO")</f>
        <v>NO</v>
      </c>
    </row>
    <row r="661" spans="3:31" ht="15.9" customHeight="1" thickBot="1" x14ac:dyDescent="0.35">
      <c r="C661" s="292"/>
      <c r="D661" s="363"/>
      <c r="E661" s="364"/>
      <c r="F661" s="364"/>
      <c r="G661" s="364"/>
      <c r="H661" s="364"/>
      <c r="I661" s="364"/>
      <c r="J661" s="381">
        <f>+J660</f>
        <v>1.7</v>
      </c>
      <c r="K661" s="293"/>
      <c r="M661" s="313">
        <v>202</v>
      </c>
      <c r="N661" s="379" t="str">
        <f>IFERROR(VLOOKUP(M661,INSUMOS!$C$8:$K$934,2,0),"-----")</f>
        <v>Ayudante Albañileria</v>
      </c>
      <c r="O661" s="314" t="str">
        <f>IFERROR(VLOOKUP(M661,INSUMOS!$C$8:$K$934,3,0),"-----")</f>
        <v>JORNAL+PS</v>
      </c>
      <c r="P661" s="355">
        <v>2</v>
      </c>
      <c r="Q661" s="339">
        <v>25</v>
      </c>
      <c r="R661" s="380">
        <f>IFERROR(VLOOKUP(M661,INSUMOS!$C$8:$K$934,4,0),"-----")</f>
        <v>94970</v>
      </c>
      <c r="S661" s="380">
        <f>IFERROR(VLOOKUP(M661,INSUMOS!$C$8:$K$934,6,0),"-----")</f>
        <v>75976</v>
      </c>
      <c r="T661" s="380">
        <f>IFERROR(VLOOKUP(M661,INSUMOS!$C$8:$K$934,5,0),"-----")</f>
        <v>0</v>
      </c>
      <c r="U661" s="338">
        <f>SUM(R661:T661)</f>
        <v>170946</v>
      </c>
      <c r="V661" s="316">
        <f>+IFERROR((P661/Q661)*U661,0)</f>
        <v>13675.68</v>
      </c>
      <c r="Y661" s="321">
        <f>+IFERROR((Y633/Q661*P661),0)</f>
        <v>8.8354560000000006</v>
      </c>
      <c r="Z661" s="318">
        <f>Y633*V661</f>
        <v>1510385.8613760001</v>
      </c>
      <c r="AA661" s="279"/>
      <c r="AB661" s="367">
        <f>+U661*Y661</f>
        <v>1510385.8613760001</v>
      </c>
      <c r="AC661" s="302">
        <f>+AB661-Z661</f>
        <v>0</v>
      </c>
      <c r="AD661" s="280"/>
      <c r="AE661" s="349" t="str">
        <f t="shared" ref="AE661:AE662" si="90">+IF(V661=0,"CERO","NO")</f>
        <v>NO</v>
      </c>
    </row>
    <row r="662" spans="3:31" ht="15.9" customHeight="1" thickBot="1" x14ac:dyDescent="0.35">
      <c r="C662" s="292"/>
      <c r="D662" s="304"/>
      <c r="E662" s="305"/>
      <c r="F662" s="305"/>
      <c r="G662" s="305"/>
      <c r="H662" s="305"/>
      <c r="I662" s="305"/>
      <c r="J662" s="306"/>
      <c r="K662" s="293"/>
      <c r="M662" s="313">
        <v>0</v>
      </c>
      <c r="N662" s="379"/>
      <c r="O662" s="339"/>
      <c r="P662" s="382"/>
      <c r="Q662" s="319"/>
      <c r="R662" s="383"/>
      <c r="S662" s="384"/>
      <c r="T662" s="383"/>
      <c r="U662" s="338"/>
      <c r="V662" s="323"/>
      <c r="Y662" s="321">
        <f>+IFERROR((Y633/Q662*P662),0)</f>
        <v>0</v>
      </c>
      <c r="Z662" s="318">
        <f>Y633*V662</f>
        <v>0</v>
      </c>
      <c r="AA662" s="279"/>
      <c r="AB662" s="367">
        <f>+(U662)*Y662*P662</f>
        <v>0</v>
      </c>
      <c r="AC662" s="302">
        <f>+AB662-Z662</f>
        <v>0</v>
      </c>
      <c r="AD662" s="280"/>
      <c r="AE662" s="349" t="str">
        <f t="shared" si="90"/>
        <v>CERO</v>
      </c>
    </row>
    <row r="663" spans="3:31" ht="15.9" customHeight="1" thickBot="1" x14ac:dyDescent="0.35">
      <c r="C663" s="292"/>
      <c r="D663" s="295" t="s">
        <v>132</v>
      </c>
      <c r="E663" s="296" t="s">
        <v>133</v>
      </c>
      <c r="F663" s="296" t="s">
        <v>134</v>
      </c>
      <c r="G663" s="296" t="s">
        <v>135</v>
      </c>
      <c r="H663" s="296" t="s">
        <v>136</v>
      </c>
      <c r="I663" s="296" t="s">
        <v>137</v>
      </c>
      <c r="J663" s="297" t="s">
        <v>138</v>
      </c>
      <c r="K663" s="293"/>
      <c r="M663" s="724"/>
      <c r="N663" s="725" t="s">
        <v>123</v>
      </c>
      <c r="O663" s="725"/>
      <c r="P663" s="725"/>
      <c r="Q663" s="725"/>
      <c r="R663" s="725"/>
      <c r="S663" s="725"/>
      <c r="T663" s="725"/>
      <c r="U663" s="725"/>
      <c r="V663" s="316">
        <f>+SUM(V660:V662)</f>
        <v>21953.52</v>
      </c>
      <c r="Y663" s="328" t="s">
        <v>139</v>
      </c>
      <c r="Z663" s="329">
        <f>+SUM(Z660:Z662)</f>
        <v>2424617.000064</v>
      </c>
      <c r="AA663" s="279"/>
      <c r="AB663" s="290"/>
      <c r="AC663" s="291"/>
      <c r="AD663" s="280"/>
      <c r="AE663" s="330"/>
    </row>
    <row r="664" spans="3:31" ht="15.9" customHeight="1" thickBot="1" x14ac:dyDescent="0.35">
      <c r="C664" s="292"/>
      <c r="D664" s="376"/>
      <c r="E664" s="377"/>
      <c r="F664" s="377"/>
      <c r="G664" s="386">
        <f>+F657</f>
        <v>1.7</v>
      </c>
      <c r="H664" s="377"/>
      <c r="I664" s="377"/>
      <c r="J664" s="387"/>
      <c r="K664" s="293"/>
      <c r="M664" s="724"/>
      <c r="N664" s="726" t="s">
        <v>124</v>
      </c>
      <c r="O664" s="726"/>
      <c r="P664" s="726"/>
      <c r="Q664" s="726"/>
      <c r="R664" s="726"/>
      <c r="S664" s="726"/>
      <c r="T664" s="726"/>
      <c r="U664" s="726"/>
      <c r="V664" s="344">
        <f>+ROUND(V663,$AA$2)</f>
        <v>21954</v>
      </c>
      <c r="Y664" s="332" t="s">
        <v>140</v>
      </c>
      <c r="Z664" s="333">
        <f>+ROUND(Z663,$AA$2)</f>
        <v>2424617</v>
      </c>
      <c r="AA664" s="279"/>
      <c r="AB664" s="324">
        <f>+V664*Y633</f>
        <v>2424670.0128000001</v>
      </c>
      <c r="AC664" s="325">
        <f>+AB664-Z664</f>
        <v>53.012800000142306</v>
      </c>
      <c r="AD664" s="280"/>
      <c r="AE664" s="334"/>
    </row>
    <row r="665" spans="3:31" ht="15.9" customHeight="1" thickBot="1" x14ac:dyDescent="0.35">
      <c r="C665" s="292"/>
      <c r="D665" s="295" t="s">
        <v>132</v>
      </c>
      <c r="E665" s="296" t="s">
        <v>133</v>
      </c>
      <c r="F665" s="296" t="s">
        <v>134</v>
      </c>
      <c r="G665" s="296" t="s">
        <v>135</v>
      </c>
      <c r="H665" s="296" t="s">
        <v>136</v>
      </c>
      <c r="I665" s="296" t="s">
        <v>137</v>
      </c>
      <c r="J665" s="297" t="s">
        <v>138</v>
      </c>
      <c r="K665" s="293"/>
      <c r="M665" s="727"/>
      <c r="N665" s="727"/>
      <c r="O665" s="727"/>
      <c r="P665" s="727"/>
      <c r="Q665" s="727"/>
      <c r="R665" s="727"/>
      <c r="S665" s="727"/>
      <c r="T665" s="727"/>
      <c r="U665" s="727"/>
      <c r="V665" s="727"/>
      <c r="Y665" s="298"/>
      <c r="Z665" s="299"/>
      <c r="AA665" s="279"/>
      <c r="AB665" s="342"/>
      <c r="AC665" s="299"/>
      <c r="AD665" s="280"/>
      <c r="AE665" s="388"/>
    </row>
    <row r="666" spans="3:31" ht="15.9" customHeight="1" thickBot="1" x14ac:dyDescent="0.35">
      <c r="C666" s="292"/>
      <c r="D666" s="363"/>
      <c r="E666" s="364"/>
      <c r="F666" s="364"/>
      <c r="G666" s="364"/>
      <c r="H666" s="365">
        <f>G664</f>
        <v>1.7</v>
      </c>
      <c r="I666" s="365"/>
      <c r="J666" s="381"/>
      <c r="K666" s="293"/>
      <c r="M666" s="726" t="s">
        <v>125</v>
      </c>
      <c r="N666" s="726"/>
      <c r="O666" s="726"/>
      <c r="P666" s="726"/>
      <c r="Q666" s="726"/>
      <c r="R666" s="726"/>
      <c r="S666" s="726"/>
      <c r="T666" s="726"/>
      <c r="U666" s="728">
        <f>+V664+V657+V649+V642</f>
        <v>54202</v>
      </c>
      <c r="V666" s="728"/>
      <c r="Y666" s="389"/>
      <c r="Z666" s="390">
        <f>+Z664+Z657+Z649+Z642</f>
        <v>5986156</v>
      </c>
      <c r="AA666" s="279"/>
      <c r="AB666" s="385">
        <f>+AB664+AB657+AB649+AB642</f>
        <v>5986242.3264000006</v>
      </c>
      <c r="AC666" s="325">
        <f>+AB666-Z666</f>
        <v>86.326400000602007</v>
      </c>
      <c r="AD666" s="280"/>
      <c r="AE666" s="391"/>
    </row>
    <row r="667" spans="3:31" ht="15.9" customHeight="1" thickBot="1" x14ac:dyDescent="0.3">
      <c r="M667" s="412"/>
      <c r="N667" s="412"/>
      <c r="O667" s="412"/>
      <c r="P667" s="412"/>
      <c r="Q667" s="412"/>
      <c r="R667" s="412"/>
      <c r="S667" s="412"/>
      <c r="T667" s="412"/>
      <c r="U667" s="412"/>
      <c r="V667" s="412"/>
    </row>
    <row r="668" spans="3:31" ht="15.9" customHeight="1" x14ac:dyDescent="0.25">
      <c r="M668" s="729" t="s">
        <v>364</v>
      </c>
      <c r="N668" s="729"/>
      <c r="O668" s="729"/>
      <c r="P668" s="729"/>
      <c r="Q668" s="729"/>
      <c r="R668" s="729"/>
      <c r="S668" s="729"/>
      <c r="T668" s="729"/>
      <c r="U668" s="729"/>
      <c r="V668" s="729"/>
      <c r="Y668" s="298"/>
      <c r="Z668" s="299"/>
      <c r="AA668" s="279"/>
      <c r="AB668" s="280"/>
      <c r="AC668" s="280"/>
      <c r="AD668" s="280"/>
      <c r="AE668" s="335" t="s">
        <v>137</v>
      </c>
    </row>
    <row r="669" spans="3:31" ht="15.9" customHeight="1" x14ac:dyDescent="0.25">
      <c r="M669" s="700" t="s">
        <v>142</v>
      </c>
      <c r="N669" s="700"/>
      <c r="O669" s="700"/>
      <c r="P669" s="700"/>
      <c r="Q669" s="700"/>
      <c r="R669" s="700"/>
      <c r="S669" s="700"/>
      <c r="T669" s="413">
        <f>$AA$3</f>
        <v>0.25</v>
      </c>
      <c r="U669" s="701">
        <f>+ROUND(U666*T669,$AA$2)</f>
        <v>13551</v>
      </c>
      <c r="V669" s="701"/>
      <c r="Y669" s="317"/>
      <c r="Z669" s="414">
        <f>+Z666*T669</f>
        <v>1496539</v>
      </c>
      <c r="AA669" s="279"/>
      <c r="AB669" s="280"/>
      <c r="AC669" s="280"/>
      <c r="AD669" s="280"/>
      <c r="AE669" s="310" t="s">
        <v>137</v>
      </c>
    </row>
    <row r="670" spans="3:31" ht="15.9" customHeight="1" x14ac:dyDescent="0.25">
      <c r="M670" s="700" t="s">
        <v>19</v>
      </c>
      <c r="N670" s="700"/>
      <c r="O670" s="700"/>
      <c r="P670" s="700"/>
      <c r="Q670" s="700"/>
      <c r="R670" s="700"/>
      <c r="S670" s="700"/>
      <c r="T670" s="413">
        <f>$AA$4</f>
        <v>0.03</v>
      </c>
      <c r="U670" s="701">
        <f>+ROUND(U666*T670,$AA$2)</f>
        <v>1626</v>
      </c>
      <c r="V670" s="701"/>
      <c r="Y670" s="317"/>
      <c r="Z670" s="414">
        <f>+Z666*T670</f>
        <v>179584.68</v>
      </c>
      <c r="AA670" s="279"/>
      <c r="AB670" s="280"/>
      <c r="AC670" s="280"/>
      <c r="AD670" s="280"/>
      <c r="AE670" s="310" t="s">
        <v>137</v>
      </c>
    </row>
    <row r="671" spans="3:31" ht="15.9" customHeight="1" x14ac:dyDescent="0.25">
      <c r="M671" s="700" t="s">
        <v>20</v>
      </c>
      <c r="N671" s="700"/>
      <c r="O671" s="700"/>
      <c r="P671" s="700"/>
      <c r="Q671" s="700"/>
      <c r="R671" s="700"/>
      <c r="S671" s="700"/>
      <c r="T671" s="413">
        <f>$AA$5</f>
        <v>0.05</v>
      </c>
      <c r="U671" s="701">
        <f>+ROUND(U666*T671,$AA$2)</f>
        <v>2710</v>
      </c>
      <c r="V671" s="701"/>
      <c r="Y671" s="317"/>
      <c r="Z671" s="414">
        <f>+Z666*T671</f>
        <v>299307.8</v>
      </c>
      <c r="AA671" s="279"/>
      <c r="AB671" s="280"/>
      <c r="AC671" s="280"/>
      <c r="AD671" s="280"/>
      <c r="AE671" s="310" t="s">
        <v>137</v>
      </c>
    </row>
    <row r="672" spans="3:31" ht="15.9" customHeight="1" x14ac:dyDescent="0.25">
      <c r="M672" s="700" t="s">
        <v>21</v>
      </c>
      <c r="N672" s="700"/>
      <c r="O672" s="700"/>
      <c r="P672" s="700"/>
      <c r="Q672" s="700"/>
      <c r="R672" s="700"/>
      <c r="S672" s="700"/>
      <c r="T672" s="413">
        <f>$AA$6</f>
        <v>0</v>
      </c>
      <c r="U672" s="701">
        <f>+ROUND(U666*T672,$AA$2)</f>
        <v>0</v>
      </c>
      <c r="V672" s="701"/>
      <c r="Y672" s="317"/>
      <c r="Z672" s="414">
        <f>+Z671*T672</f>
        <v>0</v>
      </c>
      <c r="AA672" s="279"/>
      <c r="AB672" s="280"/>
      <c r="AC672" s="280"/>
      <c r="AD672" s="280"/>
      <c r="AE672" s="310" t="s">
        <v>137</v>
      </c>
    </row>
    <row r="673" spans="3:31" ht="15.9" customHeight="1" thickBot="1" x14ac:dyDescent="0.3">
      <c r="M673" s="702" t="s">
        <v>365</v>
      </c>
      <c r="N673" s="702"/>
      <c r="O673" s="702"/>
      <c r="P673" s="702"/>
      <c r="Q673" s="702"/>
      <c r="R673" s="702"/>
      <c r="S673" s="702"/>
      <c r="T673" s="702"/>
      <c r="U673" s="703">
        <f>+SUM(U669:V672)</f>
        <v>17887</v>
      </c>
      <c r="V673" s="703"/>
      <c r="Y673" s="317"/>
      <c r="Z673" s="415">
        <f>+SUM(Z669:Z672)</f>
        <v>1975431.48</v>
      </c>
      <c r="AA673" s="279"/>
      <c r="AB673" s="280"/>
      <c r="AC673" s="280"/>
      <c r="AD673" s="280"/>
      <c r="AE673" s="310" t="s">
        <v>137</v>
      </c>
    </row>
    <row r="674" spans="3:31" ht="15.9" customHeight="1" thickBot="1" x14ac:dyDescent="0.3">
      <c r="D674" s="295" t="s">
        <v>132</v>
      </c>
      <c r="E674" s="296" t="s">
        <v>133</v>
      </c>
      <c r="F674" s="296" t="s">
        <v>134</v>
      </c>
      <c r="G674" s="296" t="s">
        <v>135</v>
      </c>
      <c r="H674" s="296" t="s">
        <v>136</v>
      </c>
      <c r="I674" s="296" t="s">
        <v>137</v>
      </c>
      <c r="J674" s="297" t="s">
        <v>138</v>
      </c>
      <c r="M674" s="377"/>
      <c r="N674" s="416"/>
      <c r="O674" s="416"/>
      <c r="P674" s="416"/>
      <c r="Q674" s="377"/>
      <c r="R674" s="377"/>
      <c r="S674" s="377"/>
      <c r="T674" s="417"/>
      <c r="U674" s="701"/>
      <c r="V674" s="701"/>
      <c r="Y674" s="317"/>
      <c r="Z674" s="291"/>
      <c r="AA674" s="279"/>
      <c r="AB674" s="280"/>
      <c r="AC674" s="280"/>
      <c r="AD674" s="280"/>
      <c r="AE674" s="310" t="s">
        <v>137</v>
      </c>
    </row>
    <row r="675" spans="3:31" ht="15.9" customHeight="1" thickBot="1" x14ac:dyDescent="0.3">
      <c r="D675" s="363"/>
      <c r="E675" s="364"/>
      <c r="F675" s="364"/>
      <c r="G675" s="364"/>
      <c r="H675" s="365"/>
      <c r="I675" s="365">
        <f>H666</f>
        <v>1.7</v>
      </c>
      <c r="J675" s="381"/>
      <c r="M675" s="702" t="s">
        <v>11</v>
      </c>
      <c r="N675" s="702"/>
      <c r="O675" s="702"/>
      <c r="P675" s="702"/>
      <c r="Q675" s="702"/>
      <c r="R675" s="702"/>
      <c r="S675" s="702"/>
      <c r="T675" s="702"/>
      <c r="U675" s="704">
        <f>+U673+U666</f>
        <v>72089</v>
      </c>
      <c r="V675" s="704"/>
      <c r="Y675" s="389"/>
      <c r="Z675" s="418">
        <f>+Z673+Z666</f>
        <v>7961587.4800000004</v>
      </c>
      <c r="AA675" s="279"/>
      <c r="AB675" s="280"/>
      <c r="AC675" s="280"/>
      <c r="AD675" s="280"/>
      <c r="AE675" s="334" t="s">
        <v>137</v>
      </c>
    </row>
    <row r="676" spans="3:31" ht="15.9" customHeight="1" x14ac:dyDescent="0.25">
      <c r="M676" s="705"/>
      <c r="N676" s="705"/>
      <c r="O676" s="705"/>
      <c r="P676" s="705"/>
      <c r="Q676" s="705"/>
      <c r="R676" s="706"/>
      <c r="S676" s="706"/>
      <c r="T676" s="706"/>
      <c r="U676" s="706"/>
      <c r="V676" s="706"/>
    </row>
    <row r="677" spans="3:31" ht="15.9" customHeight="1" x14ac:dyDescent="0.25">
      <c r="M677" s="705"/>
      <c r="N677" s="705"/>
      <c r="O677" s="705"/>
      <c r="P677" s="705"/>
      <c r="Q677" s="705"/>
      <c r="R677" s="706"/>
      <c r="S677" s="706"/>
      <c r="T677" s="706"/>
      <c r="U677" s="706"/>
      <c r="V677" s="706"/>
    </row>
    <row r="678" spans="3:31" ht="15.9" customHeight="1" x14ac:dyDescent="0.25">
      <c r="M678" s="705"/>
      <c r="N678" s="705"/>
      <c r="O678" s="705"/>
      <c r="P678" s="705"/>
      <c r="Q678" s="705"/>
      <c r="R678" s="706"/>
      <c r="S678" s="706"/>
      <c r="T678" s="706"/>
      <c r="U678" s="706"/>
      <c r="V678" s="706"/>
    </row>
    <row r="679" spans="3:31" ht="15.9" customHeight="1" x14ac:dyDescent="0.25">
      <c r="M679" s="705"/>
      <c r="N679" s="705"/>
      <c r="O679" s="705"/>
      <c r="P679" s="705"/>
      <c r="Q679" s="705"/>
      <c r="R679" s="706"/>
      <c r="S679" s="706"/>
      <c r="T679" s="706"/>
      <c r="U679" s="706"/>
      <c r="V679" s="706"/>
    </row>
    <row r="680" spans="3:31" ht="15.9" customHeight="1" x14ac:dyDescent="0.25">
      <c r="M680" s="707" t="s">
        <v>128</v>
      </c>
      <c r="N680" s="708" t="str">
        <f>$N$6</f>
        <v>ING. JEYSON JULIAN LEON RUEDA</v>
      </c>
      <c r="O680" s="709"/>
      <c r="P680" s="709"/>
      <c r="Q680" s="710"/>
      <c r="R680" s="711" t="s">
        <v>129</v>
      </c>
      <c r="S680" s="708" t="str">
        <f>$S$6</f>
        <v>ARQ. YASMID ROCÍO CARRILLO MORA</v>
      </c>
      <c r="T680" s="709"/>
      <c r="U680" s="709"/>
      <c r="V680" s="710"/>
    </row>
    <row r="681" spans="3:31" ht="15.9" customHeight="1" x14ac:dyDescent="0.25">
      <c r="M681" s="707"/>
      <c r="N681" s="712" t="str">
        <f>$N$7</f>
        <v>MP. 68202-416348 STD</v>
      </c>
      <c r="O681" s="713"/>
      <c r="P681" s="713"/>
      <c r="Q681" s="714"/>
      <c r="R681" s="711"/>
      <c r="S681" s="712" t="str">
        <f>$S$7</f>
        <v>SECRETARIA DE PLANEACIÓN Y OBRAS PÚBLICAS</v>
      </c>
      <c r="T681" s="713"/>
      <c r="U681" s="713"/>
      <c r="V681" s="714"/>
    </row>
    <row r="682" spans="3:31" ht="15.9" customHeight="1" x14ac:dyDescent="0.25">
      <c r="M682" s="707"/>
      <c r="N682" s="715"/>
      <c r="O682" s="716"/>
      <c r="P682" s="716"/>
      <c r="Q682" s="717"/>
      <c r="R682" s="711"/>
      <c r="S682" s="712" t="str">
        <f>$S$8</f>
        <v>MUNICIPIO DE PINCHOTE</v>
      </c>
      <c r="T682" s="713"/>
      <c r="U682" s="713"/>
      <c r="V682" s="714"/>
    </row>
    <row r="683" spans="3:31" ht="15.9" customHeight="1" x14ac:dyDescent="0.25"/>
    <row r="684" spans="3:31" ht="15.9" customHeight="1" thickBot="1" x14ac:dyDescent="0.3"/>
    <row r="685" spans="3:31" ht="15.9" customHeight="1" thickBot="1" x14ac:dyDescent="0.3">
      <c r="M685" s="281" t="s">
        <v>90</v>
      </c>
      <c r="N685" s="410" t="s">
        <v>29</v>
      </c>
      <c r="O685" s="706" t="str">
        <f>IFERROR(VLOOKUP(N685,PPTO!$C$9:$H$64,2,0),"----")</f>
        <v>COMPONENTE ACUEDUCTO</v>
      </c>
      <c r="P685" s="706"/>
      <c r="Q685" s="706"/>
      <c r="R685" s="706"/>
      <c r="S685" s="706"/>
      <c r="T685" s="706"/>
      <c r="U685" s="706"/>
      <c r="V685" s="283" t="s">
        <v>93</v>
      </c>
      <c r="Y685" s="284" t="s">
        <v>107</v>
      </c>
      <c r="Z685" s="280"/>
      <c r="AA685" s="274"/>
      <c r="AB685" s="735"/>
      <c r="AC685" s="735"/>
      <c r="AD685" s="735"/>
      <c r="AE685" s="280"/>
    </row>
    <row r="686" spans="3:31" ht="15.9" customHeight="1" thickBot="1" x14ac:dyDescent="0.35">
      <c r="C686" s="285">
        <f>+N686</f>
        <v>1.8</v>
      </c>
      <c r="D686" s="279"/>
      <c r="E686" s="279"/>
      <c r="F686" s="279"/>
      <c r="G686" s="279"/>
      <c r="H686" s="279"/>
      <c r="I686" s="279"/>
      <c r="J686" s="279"/>
      <c r="K686" s="286"/>
      <c r="M686" s="283" t="s">
        <v>94</v>
      </c>
      <c r="N686" s="287">
        <v>1.8</v>
      </c>
      <c r="O686" s="736" t="str">
        <f>IFERROR(VLOOKUP(N686,PPTO!$C$9:$H$64,2,0),"----")</f>
        <v>Relleno para zanja con material de préstamo (recebo) compactado 90%</v>
      </c>
      <c r="P686" s="736"/>
      <c r="Q686" s="736"/>
      <c r="R686" s="736"/>
      <c r="S686" s="736"/>
      <c r="T686" s="736"/>
      <c r="U686" s="736"/>
      <c r="V686" s="288" t="str">
        <f>IFERROR(VLOOKUP(N686,PPTO!$C$9:$H$64,3,0),"----")</f>
        <v>m3</v>
      </c>
      <c r="Y686" s="289">
        <f>SUMIFS(PPTO!$F$7:$F$63,PPTO!$C$7:$C$63,APUS!N686)</f>
        <v>20.708099999999998</v>
      </c>
      <c r="Z686" s="280"/>
      <c r="AA686" s="279"/>
      <c r="AB686" s="280"/>
      <c r="AC686" s="280"/>
      <c r="AD686" s="280"/>
      <c r="AE686" s="280"/>
    </row>
    <row r="687" spans="3:31" ht="15.9" customHeight="1" thickBot="1" x14ac:dyDescent="0.35">
      <c r="C687" s="292"/>
      <c r="D687" s="279"/>
      <c r="E687" s="279"/>
      <c r="F687" s="279"/>
      <c r="G687" s="279"/>
      <c r="H687" s="279"/>
      <c r="I687" s="279"/>
      <c r="J687" s="279"/>
      <c r="K687" s="293"/>
      <c r="M687" s="737"/>
      <c r="N687" s="737"/>
      <c r="O687" s="737"/>
      <c r="P687" s="737"/>
      <c r="Q687" s="737"/>
      <c r="R687" s="737"/>
      <c r="S687" s="737"/>
      <c r="T687" s="737"/>
      <c r="U687" s="737"/>
      <c r="V687" s="737"/>
      <c r="Y687" s="294"/>
      <c r="Z687" s="280"/>
      <c r="AA687" s="279"/>
      <c r="AB687" s="280"/>
      <c r="AC687" s="280"/>
      <c r="AD687" s="280"/>
      <c r="AE687" s="280"/>
    </row>
    <row r="688" spans="3:31" ht="15.9" customHeight="1" thickBot="1" x14ac:dyDescent="0.35">
      <c r="C688" s="292"/>
      <c r="D688" s="295" t="s">
        <v>132</v>
      </c>
      <c r="E688" s="296" t="s">
        <v>133</v>
      </c>
      <c r="F688" s="296" t="s">
        <v>134</v>
      </c>
      <c r="G688" s="296" t="s">
        <v>135</v>
      </c>
      <c r="H688" s="296" t="s">
        <v>136</v>
      </c>
      <c r="I688" s="296" t="s">
        <v>137</v>
      </c>
      <c r="J688" s="297" t="s">
        <v>138</v>
      </c>
      <c r="K688" s="293"/>
      <c r="M688" s="738" t="s">
        <v>96</v>
      </c>
      <c r="N688" s="738"/>
      <c r="O688" s="738"/>
      <c r="P688" s="738"/>
      <c r="Q688" s="738"/>
      <c r="R688" s="738"/>
      <c r="S688" s="738"/>
      <c r="T688" s="738"/>
      <c r="U688" s="738"/>
      <c r="V688" s="738"/>
      <c r="Y688" s="298"/>
      <c r="Z688" s="299"/>
      <c r="AA688" s="279"/>
      <c r="AB688" s="731"/>
      <c r="AC688" s="732"/>
      <c r="AD688" s="280"/>
      <c r="AE688" s="303"/>
    </row>
    <row r="689" spans="3:31" ht="15.9" customHeight="1" x14ac:dyDescent="0.3">
      <c r="C689" s="292"/>
      <c r="D689" s="304"/>
      <c r="E689" s="305"/>
      <c r="F689" s="305"/>
      <c r="G689" s="305"/>
      <c r="H689" s="305"/>
      <c r="I689" s="305"/>
      <c r="J689" s="306"/>
      <c r="K689" s="293"/>
      <c r="M689" s="307" t="s">
        <v>97</v>
      </c>
      <c r="N689" s="706" t="s">
        <v>98</v>
      </c>
      <c r="O689" s="706"/>
      <c r="P689" s="706"/>
      <c r="Q689" s="706"/>
      <c r="R689" s="307" t="s">
        <v>99</v>
      </c>
      <c r="S689" s="307" t="s">
        <v>100</v>
      </c>
      <c r="T689" s="734" t="s">
        <v>8</v>
      </c>
      <c r="U689" s="734"/>
      <c r="V689" s="307" t="s">
        <v>101</v>
      </c>
      <c r="Y689" s="308" t="s">
        <v>107</v>
      </c>
      <c r="Z689" s="309" t="s">
        <v>9</v>
      </c>
      <c r="AA689" s="279"/>
      <c r="AB689" s="290"/>
      <c r="AC689" s="291"/>
      <c r="AD689" s="280"/>
      <c r="AE689" s="310"/>
    </row>
    <row r="690" spans="3:31" ht="15.9" customHeight="1" x14ac:dyDescent="0.3">
      <c r="C690" s="292"/>
      <c r="D690" s="311"/>
      <c r="E690" s="279"/>
      <c r="F690" s="279"/>
      <c r="G690" s="279"/>
      <c r="H690" s="279"/>
      <c r="I690" s="279"/>
      <c r="J690" s="312"/>
      <c r="K690" s="293"/>
      <c r="M690" s="313"/>
      <c r="N690" s="718" t="s">
        <v>102</v>
      </c>
      <c r="O690" s="718"/>
      <c r="P690" s="718"/>
      <c r="Q690" s="718"/>
      <c r="R690" s="314" t="s">
        <v>103</v>
      </c>
      <c r="S690" s="315">
        <f>$AA$9</f>
        <v>0.05</v>
      </c>
      <c r="T690" s="739">
        <f>V717</f>
        <v>21954</v>
      </c>
      <c r="U690" s="739"/>
      <c r="V690" s="316">
        <f>+IFERROR(T690*S690,0)</f>
        <v>1097.7</v>
      </c>
      <c r="Y690" s="317"/>
      <c r="Z690" s="318">
        <f>Y686*V690</f>
        <v>22731.281370000001</v>
      </c>
      <c r="AA690" s="279"/>
      <c r="AB690" s="290"/>
      <c r="AC690" s="291"/>
      <c r="AD690" s="280"/>
      <c r="AE690" s="310" t="str">
        <f>+IF(V690=0,"CERO","NO")</f>
        <v>NO</v>
      </c>
    </row>
    <row r="691" spans="3:31" ht="15.9" customHeight="1" x14ac:dyDescent="0.3">
      <c r="C691" s="292"/>
      <c r="D691" s="311"/>
      <c r="E691" s="279"/>
      <c r="F691" s="279"/>
      <c r="G691" s="279"/>
      <c r="H691" s="279"/>
      <c r="I691" s="279"/>
      <c r="J691" s="312"/>
      <c r="K691" s="293"/>
      <c r="M691" s="319">
        <v>6</v>
      </c>
      <c r="N691" s="718" t="str">
        <f>IFERROR(VLOOKUP(M691,INSUMOS!$C$8:$K$934,2,0),"-----")</f>
        <v>Compactador tipo Saltarin</v>
      </c>
      <c r="O691" s="718"/>
      <c r="P691" s="718"/>
      <c r="Q691" s="718"/>
      <c r="R691" s="314" t="str">
        <f>IFERROR(VLOOKUP(M691,INSUMOS!$C$8:$K$934,6,0),"-----")</f>
        <v>dia</v>
      </c>
      <c r="S691" s="320">
        <v>0.03</v>
      </c>
      <c r="T691" s="740">
        <f>IFERROR(VLOOKUP(M691,INSUMOS!$C$8:$K$934,7,0),"0")</f>
        <v>80000</v>
      </c>
      <c r="U691" s="740"/>
      <c r="V691" s="316">
        <f>+IFERROR(T691*S691,0)</f>
        <v>2400</v>
      </c>
      <c r="Y691" s="321">
        <f>+IFERROR(Y686*S691,0)</f>
        <v>0.62124299999999988</v>
      </c>
      <c r="Z691" s="318">
        <f>Y686*V691</f>
        <v>49699.439999999995</v>
      </c>
      <c r="AA691" s="300"/>
      <c r="AB691" s="301">
        <f>+Y691*T691</f>
        <v>49699.439999999988</v>
      </c>
      <c r="AC691" s="302">
        <f>+AB691-Z691</f>
        <v>0</v>
      </c>
      <c r="AD691" s="280"/>
      <c r="AE691" s="310" t="str">
        <f>+IF(V691=0,"CERO","NO")</f>
        <v>NO</v>
      </c>
    </row>
    <row r="692" spans="3:31" ht="15.9" customHeight="1" x14ac:dyDescent="0.3">
      <c r="C692" s="292"/>
      <c r="D692" s="311"/>
      <c r="E692" s="279"/>
      <c r="F692" s="279"/>
      <c r="G692" s="279"/>
      <c r="H692" s="279"/>
      <c r="I692" s="279"/>
      <c r="J692" s="312"/>
      <c r="K692" s="293"/>
      <c r="M692" s="313">
        <v>0</v>
      </c>
      <c r="N692" s="718" t="str">
        <f>IFERROR(VLOOKUP(M692,INSUMOS!$C$8:$K$934,2,0),"-----")</f>
        <v>-----</v>
      </c>
      <c r="O692" s="718"/>
      <c r="P692" s="718"/>
      <c r="Q692" s="718"/>
      <c r="R692" s="314" t="str">
        <f>IFERROR(VLOOKUP(M692,INSUMOS!$C$8:$K$934,6,0),"-----")</f>
        <v>-----</v>
      </c>
      <c r="S692" s="320"/>
      <c r="T692" s="740" t="str">
        <f>IFERROR(VLOOKUP(M692,INSUMOS!$C$8:$K$934,7,0),"0")</f>
        <v>0</v>
      </c>
      <c r="U692" s="740"/>
      <c r="V692" s="316">
        <f>+IFERROR(T692*S692,0)</f>
        <v>0</v>
      </c>
      <c r="Y692" s="321">
        <f>+IFERROR(Y686*S692,0)</f>
        <v>0</v>
      </c>
      <c r="Z692" s="318">
        <f>Y686*V692</f>
        <v>0</v>
      </c>
      <c r="AA692" s="300"/>
      <c r="AB692" s="301">
        <f>+Y692*T692</f>
        <v>0</v>
      </c>
      <c r="AC692" s="302">
        <f>+AB692-Z692</f>
        <v>0</v>
      </c>
      <c r="AD692" s="280"/>
      <c r="AE692" s="310" t="str">
        <f>+IF(V692=0,"CERO","NO")</f>
        <v>CERO</v>
      </c>
    </row>
    <row r="693" spans="3:31" ht="15.9" customHeight="1" thickBot="1" x14ac:dyDescent="0.35">
      <c r="C693" s="292"/>
      <c r="D693" s="311"/>
      <c r="E693" s="279"/>
      <c r="F693" s="279"/>
      <c r="G693" s="279"/>
      <c r="H693" s="279"/>
      <c r="I693" s="279"/>
      <c r="J693" s="312"/>
      <c r="K693" s="293"/>
      <c r="M693" s="313">
        <v>0</v>
      </c>
      <c r="N693" s="718" t="str">
        <f>IFERROR(VLOOKUP(M693,INSUMOS!$C$8:$K$934,2,0),"-----")</f>
        <v>-----</v>
      </c>
      <c r="O693" s="718"/>
      <c r="P693" s="718"/>
      <c r="Q693" s="718"/>
      <c r="R693" s="314" t="str">
        <f>IFERROR(VLOOKUP(M693,INSUMOS!$C$8:$K$934,6,0),"-----")</f>
        <v>-----</v>
      </c>
      <c r="S693" s="320"/>
      <c r="T693" s="740" t="str">
        <f>IFERROR(VLOOKUP(M693,INSUMOS!$C$8:$K$934,7,0),"0")</f>
        <v>0</v>
      </c>
      <c r="U693" s="740"/>
      <c r="V693" s="316">
        <f>+IFERROR(T693*S693,0)</f>
        <v>0</v>
      </c>
      <c r="Y693" s="321">
        <f>+IFERROR(Y686*S693,0)</f>
        <v>0</v>
      </c>
      <c r="Z693" s="318">
        <f>Y686*V693</f>
        <v>0</v>
      </c>
      <c r="AA693" s="300"/>
      <c r="AB693" s="301">
        <f>+Y693*T693</f>
        <v>0</v>
      </c>
      <c r="AC693" s="302">
        <f>+AB693-Z693</f>
        <v>0</v>
      </c>
      <c r="AD693" s="280"/>
      <c r="AE693" s="310" t="str">
        <f>+IF(V693=0,"CERO","NO")</f>
        <v>CERO</v>
      </c>
    </row>
    <row r="694" spans="3:31" ht="15.9" customHeight="1" thickBot="1" x14ac:dyDescent="0.35">
      <c r="C694" s="292"/>
      <c r="D694" s="295" t="s">
        <v>132</v>
      </c>
      <c r="E694" s="296" t="s">
        <v>133</v>
      </c>
      <c r="F694" s="296" t="s">
        <v>134</v>
      </c>
      <c r="G694" s="296" t="s">
        <v>135</v>
      </c>
      <c r="H694" s="296" t="s">
        <v>136</v>
      </c>
      <c r="I694" s="296" t="s">
        <v>137</v>
      </c>
      <c r="J694" s="297" t="s">
        <v>138</v>
      </c>
      <c r="K694" s="293"/>
      <c r="M694" s="724"/>
      <c r="N694" s="725" t="s">
        <v>104</v>
      </c>
      <c r="O694" s="725"/>
      <c r="P694" s="725"/>
      <c r="Q694" s="725"/>
      <c r="R694" s="725"/>
      <c r="S694" s="725"/>
      <c r="T694" s="725"/>
      <c r="U694" s="725"/>
      <c r="V694" s="316">
        <f>+SUM(V690:V693)</f>
        <v>3497.7</v>
      </c>
      <c r="Y694" s="328" t="s">
        <v>139</v>
      </c>
      <c r="Z694" s="329">
        <f>+SUM(Z690:Z693)</f>
        <v>72430.721369999999</v>
      </c>
      <c r="AA694" s="279"/>
      <c r="AB694" s="290"/>
      <c r="AC694" s="291"/>
      <c r="AD694" s="280"/>
      <c r="AE694" s="330"/>
    </row>
    <row r="695" spans="3:31" ht="15.9" customHeight="1" thickBot="1" x14ac:dyDescent="0.35">
      <c r="C695" s="292"/>
      <c r="D695" s="295">
        <f>C686</f>
        <v>1.8</v>
      </c>
      <c r="E695" s="296"/>
      <c r="F695" s="296"/>
      <c r="G695" s="296"/>
      <c r="H695" s="296"/>
      <c r="I695" s="296"/>
      <c r="J695" s="297"/>
      <c r="K695" s="293"/>
      <c r="M695" s="724"/>
      <c r="N695" s="726" t="s">
        <v>105</v>
      </c>
      <c r="O695" s="726"/>
      <c r="P695" s="726"/>
      <c r="Q695" s="726"/>
      <c r="R695" s="726"/>
      <c r="S695" s="726"/>
      <c r="T695" s="726"/>
      <c r="U695" s="726"/>
      <c r="V695" s="344">
        <f>+ROUND(V694,$AA$2)</f>
        <v>3498</v>
      </c>
      <c r="Y695" s="332" t="s">
        <v>140</v>
      </c>
      <c r="Z695" s="333">
        <f>+ROUND(Z694,$AA$2)</f>
        <v>72431</v>
      </c>
      <c r="AA695" s="279"/>
      <c r="AB695" s="324">
        <f>+V695*Y686</f>
        <v>72436.933799999999</v>
      </c>
      <c r="AC695" s="325">
        <f>+AB695-Z695</f>
        <v>5.9337999999988824</v>
      </c>
      <c r="AD695" s="280"/>
      <c r="AE695" s="334"/>
    </row>
    <row r="696" spans="3:31" ht="15.9" customHeight="1" x14ac:dyDescent="0.3">
      <c r="C696" s="292"/>
      <c r="D696" s="304"/>
      <c r="E696" s="305"/>
      <c r="F696" s="305"/>
      <c r="G696" s="305"/>
      <c r="H696" s="305"/>
      <c r="I696" s="305"/>
      <c r="J696" s="306"/>
      <c r="K696" s="293"/>
      <c r="M696" s="730" t="s">
        <v>106</v>
      </c>
      <c r="N696" s="730"/>
      <c r="O696" s="730"/>
      <c r="P696" s="730"/>
      <c r="Q696" s="730"/>
      <c r="R696" s="730"/>
      <c r="S696" s="730"/>
      <c r="T696" s="730"/>
      <c r="U696" s="730"/>
      <c r="V696" s="730"/>
      <c r="Y696" s="298"/>
      <c r="Z696" s="299"/>
      <c r="AA696" s="279"/>
      <c r="AB696" s="731"/>
      <c r="AC696" s="732"/>
      <c r="AD696" s="280"/>
      <c r="AE696" s="335"/>
    </row>
    <row r="697" spans="3:31" ht="15.9" customHeight="1" x14ac:dyDescent="0.3">
      <c r="C697" s="292"/>
      <c r="D697" s="311"/>
      <c r="E697" s="279"/>
      <c r="F697" s="279"/>
      <c r="G697" s="279"/>
      <c r="H697" s="279"/>
      <c r="I697" s="279"/>
      <c r="J697" s="312"/>
      <c r="K697" s="293"/>
      <c r="M697" s="307" t="s">
        <v>97</v>
      </c>
      <c r="N697" s="706" t="s">
        <v>98</v>
      </c>
      <c r="O697" s="706"/>
      <c r="P697" s="706"/>
      <c r="Q697" s="706"/>
      <c r="R697" s="307" t="s">
        <v>99</v>
      </c>
      <c r="S697" s="307" t="s">
        <v>107</v>
      </c>
      <c r="T697" s="336" t="s">
        <v>108</v>
      </c>
      <c r="U697" s="336" t="s">
        <v>8</v>
      </c>
      <c r="V697" s="307" t="s">
        <v>101</v>
      </c>
      <c r="Y697" s="308" t="s">
        <v>107</v>
      </c>
      <c r="Z697" s="309" t="s">
        <v>9</v>
      </c>
      <c r="AA697" s="279"/>
      <c r="AB697" s="290"/>
      <c r="AC697" s="291"/>
      <c r="AD697" s="280"/>
      <c r="AE697" s="337"/>
    </row>
    <row r="698" spans="3:31" ht="15.9" customHeight="1" x14ac:dyDescent="0.3">
      <c r="C698" s="292"/>
      <c r="D698" s="311"/>
      <c r="E698" s="279"/>
      <c r="F698" s="279"/>
      <c r="G698" s="279"/>
      <c r="H698" s="279"/>
      <c r="I698" s="279"/>
      <c r="J698" s="312"/>
      <c r="K698" s="293"/>
      <c r="M698" s="313">
        <v>401</v>
      </c>
      <c r="N698" s="718" t="str">
        <f>IFERROR(VLOOKUP(M698,INSUMOS!$C$8:$K$934,2,0),"-----")</f>
        <v>Agua</v>
      </c>
      <c r="O698" s="718"/>
      <c r="P698" s="718"/>
      <c r="Q698" s="718"/>
      <c r="R698" s="314" t="str">
        <f>IFERROR(VLOOKUP(M698,INSUMOS!$C$8:$K$934,6,0),"-----")</f>
        <v>lt</v>
      </c>
      <c r="S698" s="322">
        <v>50</v>
      </c>
      <c r="T698" s="315">
        <v>0.02</v>
      </c>
      <c r="U698" s="338">
        <f>IFERROR(VLOOKUP(M698,INSUMOS!$C$8:$K$934,7,0),"0")</f>
        <v>5</v>
      </c>
      <c r="V698" s="316">
        <f>+IFERROR(U698*(S698*(1+T698)),0)</f>
        <v>255</v>
      </c>
      <c r="Y698" s="321">
        <f>+IFERROR(Y686*(S698*(1+T698)),0)</f>
        <v>1056.1130999999998</v>
      </c>
      <c r="Z698" s="318">
        <f>Y686*V698</f>
        <v>5280.5654999999997</v>
      </c>
      <c r="AA698" s="300"/>
      <c r="AB698" s="301">
        <f>+Y698*U698</f>
        <v>5280.5654999999988</v>
      </c>
      <c r="AC698" s="302">
        <f>+AB698-Z698</f>
        <v>0</v>
      </c>
      <c r="AD698" s="280"/>
      <c r="AE698" s="337" t="str">
        <f t="shared" ref="AE698:AE700" si="91">+IF(V698=0,"CERO","NO")</f>
        <v>NO</v>
      </c>
    </row>
    <row r="699" spans="3:31" ht="15.9" customHeight="1" x14ac:dyDescent="0.3">
      <c r="C699" s="292"/>
      <c r="D699" s="311"/>
      <c r="E699" s="279"/>
      <c r="F699" s="279"/>
      <c r="G699" s="279"/>
      <c r="H699" s="279"/>
      <c r="I699" s="279"/>
      <c r="J699" s="312"/>
      <c r="K699" s="293"/>
      <c r="M699" s="313">
        <v>413</v>
      </c>
      <c r="N699" s="718" t="str">
        <f>IFERROR(VLOOKUP(M699,INSUMOS!$C$8:$K$934,2,0),"-----")</f>
        <v>Material de recebo</v>
      </c>
      <c r="O699" s="718"/>
      <c r="P699" s="718"/>
      <c r="Q699" s="718"/>
      <c r="R699" s="314" t="str">
        <f>IFERROR(VLOOKUP(M699,INSUMOS!$C$8:$K$934,6,0),"-----")</f>
        <v>m3</v>
      </c>
      <c r="S699" s="322">
        <v>1</v>
      </c>
      <c r="T699" s="315">
        <v>0.3</v>
      </c>
      <c r="U699" s="338">
        <f>IFERROR(VLOOKUP(M699,INSUMOS!$C$8:$K$934,7,0),"0")</f>
        <v>70000</v>
      </c>
      <c r="V699" s="316">
        <f>+IFERROR(U699*(S699*(1+T699)),0)</f>
        <v>91000</v>
      </c>
      <c r="Y699" s="321">
        <f>+IFERROR(Y686*(S699*(1+T699)),0)</f>
        <v>26.920529999999999</v>
      </c>
      <c r="Z699" s="318">
        <f>Y686*V699</f>
        <v>1884437.0999999999</v>
      </c>
      <c r="AA699" s="300"/>
      <c r="AB699" s="301">
        <f t="shared" ref="AB699:AB700" si="92">+Y699*U699</f>
        <v>1884437.0999999999</v>
      </c>
      <c r="AC699" s="302">
        <f t="shared" ref="AC699:AC700" si="93">+AB699-Z699</f>
        <v>0</v>
      </c>
      <c r="AD699" s="280"/>
      <c r="AE699" s="337" t="str">
        <f t="shared" si="91"/>
        <v>NO</v>
      </c>
    </row>
    <row r="700" spans="3:31" ht="15.9" customHeight="1" thickBot="1" x14ac:dyDescent="0.35">
      <c r="C700" s="292"/>
      <c r="D700" s="311"/>
      <c r="E700" s="279"/>
      <c r="F700" s="279"/>
      <c r="G700" s="279"/>
      <c r="H700" s="279"/>
      <c r="I700" s="279"/>
      <c r="J700" s="312"/>
      <c r="K700" s="293"/>
      <c r="M700" s="313">
        <v>0</v>
      </c>
      <c r="N700" s="718" t="str">
        <f>IFERROR(VLOOKUP(M700,INSUMOS!$C$8:$K$934,2,0),"-----")</f>
        <v>-----</v>
      </c>
      <c r="O700" s="718"/>
      <c r="P700" s="718"/>
      <c r="Q700" s="718"/>
      <c r="R700" s="314" t="str">
        <f>IFERROR(VLOOKUP(M700,INSUMOS!$C$8:$K$934,6,0),"-----")</f>
        <v>-----</v>
      </c>
      <c r="S700" s="322"/>
      <c r="T700" s="315">
        <v>0</v>
      </c>
      <c r="U700" s="338" t="str">
        <f>IFERROR(VLOOKUP(M700,INSUMOS!$C$8:$K$934,7,0),"0")</f>
        <v>0</v>
      </c>
      <c r="V700" s="316">
        <f>+IFERROR(U700*(S700*(1+T700)),0)</f>
        <v>0</v>
      </c>
      <c r="Y700" s="321">
        <f>+IFERROR(Y686*(S700*(1+T700)),0)</f>
        <v>0</v>
      </c>
      <c r="Z700" s="318">
        <f>Y686*V700</f>
        <v>0</v>
      </c>
      <c r="AA700" s="300"/>
      <c r="AB700" s="301">
        <f t="shared" si="92"/>
        <v>0</v>
      </c>
      <c r="AC700" s="302">
        <f t="shared" si="93"/>
        <v>0</v>
      </c>
      <c r="AD700" s="280"/>
      <c r="AE700" s="337" t="str">
        <f t="shared" si="91"/>
        <v>CERO</v>
      </c>
    </row>
    <row r="701" spans="3:31" ht="15.9" customHeight="1" thickBot="1" x14ac:dyDescent="0.35">
      <c r="C701" s="292"/>
      <c r="D701" s="295" t="s">
        <v>132</v>
      </c>
      <c r="E701" s="296" t="s">
        <v>133</v>
      </c>
      <c r="F701" s="296" t="s">
        <v>134</v>
      </c>
      <c r="G701" s="296" t="s">
        <v>135</v>
      </c>
      <c r="H701" s="296" t="s">
        <v>136</v>
      </c>
      <c r="I701" s="296" t="s">
        <v>137</v>
      </c>
      <c r="J701" s="297" t="s">
        <v>138</v>
      </c>
      <c r="K701" s="293"/>
      <c r="M701" s="724"/>
      <c r="N701" s="725" t="s">
        <v>109</v>
      </c>
      <c r="O701" s="725"/>
      <c r="P701" s="725"/>
      <c r="Q701" s="725"/>
      <c r="R701" s="725"/>
      <c r="S701" s="725"/>
      <c r="T701" s="725"/>
      <c r="U701" s="725"/>
      <c r="V701" s="316">
        <f>+SUM(V698:V700)</f>
        <v>91255</v>
      </c>
      <c r="Y701" s="328" t="s">
        <v>139</v>
      </c>
      <c r="Z701" s="329">
        <f>+SUM(Z698:Z700)</f>
        <v>1889717.6654999999</v>
      </c>
      <c r="AA701" s="279"/>
      <c r="AB701" s="290"/>
      <c r="AC701" s="291"/>
      <c r="AD701" s="280"/>
      <c r="AE701" s="330"/>
    </row>
    <row r="702" spans="3:31" ht="15.9" customHeight="1" thickBot="1" x14ac:dyDescent="0.35">
      <c r="C702" s="292"/>
      <c r="D702" s="295"/>
      <c r="E702" s="343">
        <f>+D695</f>
        <v>1.8</v>
      </c>
      <c r="F702" s="296"/>
      <c r="G702" s="296"/>
      <c r="H702" s="296"/>
      <c r="I702" s="296"/>
      <c r="J702" s="297"/>
      <c r="K702" s="293"/>
      <c r="M702" s="724"/>
      <c r="N702" s="726" t="s">
        <v>110</v>
      </c>
      <c r="O702" s="726"/>
      <c r="P702" s="726"/>
      <c r="Q702" s="726"/>
      <c r="R702" s="726"/>
      <c r="S702" s="726"/>
      <c r="T702" s="726"/>
      <c r="U702" s="726"/>
      <c r="V702" s="344">
        <f>+ROUND(V701,$AA$2)</f>
        <v>91255</v>
      </c>
      <c r="Y702" s="332" t="s">
        <v>140</v>
      </c>
      <c r="Z702" s="333">
        <f>+ROUND(Z701,$AA$2)</f>
        <v>1889718</v>
      </c>
      <c r="AA702" s="279"/>
      <c r="AB702" s="324">
        <f>+V702*Y686</f>
        <v>1889717.6654999999</v>
      </c>
      <c r="AC702" s="325">
        <f>+AB702-Z702</f>
        <v>-0.33450000011362135</v>
      </c>
      <c r="AD702" s="280"/>
      <c r="AE702" s="334"/>
    </row>
    <row r="703" spans="3:31" ht="15.9" customHeight="1" x14ac:dyDescent="0.3">
      <c r="C703" s="292"/>
      <c r="D703" s="304"/>
      <c r="E703" s="305"/>
      <c r="F703" s="305"/>
      <c r="G703" s="305"/>
      <c r="H703" s="305"/>
      <c r="I703" s="305"/>
      <c r="J703" s="306"/>
      <c r="K703" s="293"/>
      <c r="M703" s="733" t="s">
        <v>111</v>
      </c>
      <c r="N703" s="733"/>
      <c r="O703" s="733"/>
      <c r="P703" s="733"/>
      <c r="Q703" s="733"/>
      <c r="R703" s="733"/>
      <c r="S703" s="733"/>
      <c r="T703" s="733"/>
      <c r="U703" s="733"/>
      <c r="V703" s="733"/>
      <c r="Y703" s="298"/>
      <c r="Z703" s="299"/>
      <c r="AA703" s="279"/>
      <c r="AB703" s="342"/>
      <c r="AC703" s="299"/>
      <c r="AD703" s="280"/>
      <c r="AE703" s="335"/>
    </row>
    <row r="704" spans="3:31" ht="27.6" x14ac:dyDescent="0.3">
      <c r="C704" s="292"/>
      <c r="D704" s="311"/>
      <c r="E704" s="279"/>
      <c r="F704" s="279"/>
      <c r="G704" s="279"/>
      <c r="H704" s="279"/>
      <c r="I704" s="279"/>
      <c r="J704" s="312"/>
      <c r="K704" s="293"/>
      <c r="M704" s="307" t="s">
        <v>97</v>
      </c>
      <c r="N704" s="706" t="s">
        <v>98</v>
      </c>
      <c r="O704" s="706"/>
      <c r="P704" s="706"/>
      <c r="Q704" s="307" t="s">
        <v>112</v>
      </c>
      <c r="R704" s="307" t="s">
        <v>113</v>
      </c>
      <c r="S704" s="307" t="s">
        <v>114</v>
      </c>
      <c r="T704" s="734" t="s">
        <v>115</v>
      </c>
      <c r="U704" s="734"/>
      <c r="V704" s="307" t="s">
        <v>101</v>
      </c>
      <c r="Y704" s="308" t="s">
        <v>107</v>
      </c>
      <c r="Z704" s="309" t="s">
        <v>9</v>
      </c>
      <c r="AA704" s="279"/>
      <c r="AB704" s="290"/>
      <c r="AC704" s="291"/>
      <c r="AD704" s="280"/>
      <c r="AE704" s="349"/>
    </row>
    <row r="705" spans="3:31" ht="14.4" x14ac:dyDescent="0.3">
      <c r="C705" s="350"/>
      <c r="D705" s="351"/>
      <c r="E705" s="345"/>
      <c r="F705" s="345"/>
      <c r="G705" s="345"/>
      <c r="H705" s="345"/>
      <c r="I705" s="345"/>
      <c r="J705" s="352"/>
      <c r="K705" s="353"/>
      <c r="M705" s="354">
        <v>108</v>
      </c>
      <c r="N705" s="718" t="str">
        <f>IFERROR(VLOOKUP(M705,INSUMOS!$C$8:$K$934,2,0),"-----")</f>
        <v>Transporte Material de recebo - Pinchote</v>
      </c>
      <c r="O705" s="718"/>
      <c r="P705" s="718"/>
      <c r="Q705" s="314" t="str">
        <f>IFERROR(VLOOKUP(M705,INSUMOS!$C$8:$K$934,5,0),"-----")</f>
        <v>m3/km</v>
      </c>
      <c r="R705" s="355">
        <v>1.3</v>
      </c>
      <c r="S705" s="355">
        <f>IFERROR(VLOOKUP(M705,INSUMOS!$C$8:$K$934,6,0),"0")</f>
        <v>4.3099999999999996</v>
      </c>
      <c r="T705" s="719">
        <f>IFERROR(VLOOKUP(M705,INSUMOS!$C$8:$K$934,7,0),"0")</f>
        <v>1800</v>
      </c>
      <c r="U705" s="719"/>
      <c r="V705" s="515">
        <f>+T705*S705*R705</f>
        <v>10085.4</v>
      </c>
      <c r="Y705" s="321">
        <f>+IFERROR((R705*S705)*Y686,0)</f>
        <v>116.02748429999998</v>
      </c>
      <c r="Z705" s="318">
        <f>Y686*V705</f>
        <v>208849.47173999998</v>
      </c>
      <c r="AA705" s="345"/>
      <c r="AB705" s="346">
        <f>+Y705*T705</f>
        <v>208849.47173999998</v>
      </c>
      <c r="AC705" s="347">
        <f>+AB705-Z705</f>
        <v>0</v>
      </c>
      <c r="AD705" s="348"/>
      <c r="AE705" s="337" t="str">
        <f t="shared" ref="AE705:AE708" si="94">+IF(V705=0,"CERO","NO")</f>
        <v>NO</v>
      </c>
    </row>
    <row r="706" spans="3:31" ht="15.9" customHeight="1" x14ac:dyDescent="0.3">
      <c r="C706" s="350"/>
      <c r="D706" s="351"/>
      <c r="E706" s="345"/>
      <c r="F706" s="345"/>
      <c r="G706" s="345"/>
      <c r="H706" s="345"/>
      <c r="I706" s="345"/>
      <c r="J706" s="352"/>
      <c r="K706" s="353"/>
      <c r="M706" s="354">
        <v>0</v>
      </c>
      <c r="N706" s="718" t="str">
        <f>IFERROR(VLOOKUP(M706,INSUMOS!$C$8:$K$934,2,0),"-----")</f>
        <v>-----</v>
      </c>
      <c r="O706" s="718"/>
      <c r="P706" s="718"/>
      <c r="Q706" s="314" t="str">
        <f>IFERROR(VLOOKUP(M706,INSUMOS!$C$8:$K$934,5,0),"-----")</f>
        <v>-----</v>
      </c>
      <c r="R706" s="355"/>
      <c r="S706" s="355" t="str">
        <f>IFERROR(VLOOKUP(M706,INSUMOS!$C$8:$K$934,6,0),"0")</f>
        <v>0</v>
      </c>
      <c r="T706" s="719" t="str">
        <f>IFERROR(VLOOKUP(M706,INSUMOS!$C$8:$K$934,7,0),"0")</f>
        <v>0</v>
      </c>
      <c r="U706" s="719"/>
      <c r="V706" s="515">
        <f>+T706*S706*R706</f>
        <v>0</v>
      </c>
      <c r="Y706" s="321">
        <f>+IFERROR((R706*S706)*Y686,0)</f>
        <v>0</v>
      </c>
      <c r="Z706" s="318">
        <f>Y686*V706</f>
        <v>0</v>
      </c>
      <c r="AA706" s="345"/>
      <c r="AB706" s="346">
        <f>+Y706*T706</f>
        <v>0</v>
      </c>
      <c r="AC706" s="347">
        <f>+AB706-Z706</f>
        <v>0</v>
      </c>
      <c r="AD706" s="348"/>
      <c r="AE706" s="337" t="str">
        <f t="shared" si="94"/>
        <v>CERO</v>
      </c>
    </row>
    <row r="707" spans="3:31" ht="15.9" customHeight="1" x14ac:dyDescent="0.3">
      <c r="C707" s="350"/>
      <c r="D707" s="351"/>
      <c r="E707" s="345"/>
      <c r="F707" s="345"/>
      <c r="G707" s="345"/>
      <c r="H707" s="345"/>
      <c r="I707" s="345"/>
      <c r="J707" s="352"/>
      <c r="K707" s="353"/>
      <c r="M707" s="354">
        <v>0</v>
      </c>
      <c r="N707" s="718" t="str">
        <f>IFERROR(VLOOKUP(M707,INSUMOS!$C$8:$K$934,2,0),"-----")</f>
        <v>-----</v>
      </c>
      <c r="O707" s="718"/>
      <c r="P707" s="718"/>
      <c r="Q707" s="314" t="str">
        <f>IFERROR(VLOOKUP(M707,INSUMOS!$C$8:$K$934,5,0),"-----")</f>
        <v>-----</v>
      </c>
      <c r="R707" s="355"/>
      <c r="S707" s="355" t="str">
        <f>IFERROR(VLOOKUP(M707,INSUMOS!$C$8:$K$934,6,0),"0")</f>
        <v>0</v>
      </c>
      <c r="T707" s="719" t="str">
        <f>IFERROR(VLOOKUP(M707,INSUMOS!$C$8:$K$934,7,0),"0")</f>
        <v>0</v>
      </c>
      <c r="U707" s="719"/>
      <c r="V707" s="515">
        <f>+T707*S707*R707</f>
        <v>0</v>
      </c>
      <c r="Y707" s="321">
        <f>+IFERROR((R707*S707)*Y686,0)</f>
        <v>0</v>
      </c>
      <c r="Z707" s="318">
        <f>Y686*V707</f>
        <v>0</v>
      </c>
      <c r="AA707" s="345"/>
      <c r="AB707" s="346">
        <f t="shared" ref="AB707" si="95">+Y707*T707</f>
        <v>0</v>
      </c>
      <c r="AC707" s="347">
        <f t="shared" ref="AC707" si="96">+AB707-Z707</f>
        <v>0</v>
      </c>
      <c r="AD707" s="348"/>
      <c r="AE707" s="337" t="str">
        <f t="shared" si="94"/>
        <v>CERO</v>
      </c>
    </row>
    <row r="708" spans="3:31" ht="15.9" customHeight="1" thickBot="1" x14ac:dyDescent="0.35">
      <c r="C708" s="350"/>
      <c r="D708" s="360"/>
      <c r="E708" s="361"/>
      <c r="F708" s="361"/>
      <c r="G708" s="361"/>
      <c r="H708" s="361"/>
      <c r="I708" s="361"/>
      <c r="J708" s="362"/>
      <c r="K708" s="353"/>
      <c r="M708" s="354">
        <v>0</v>
      </c>
      <c r="N708" s="718"/>
      <c r="O708" s="718"/>
      <c r="P708" s="718"/>
      <c r="Q708" s="357"/>
      <c r="R708" s="314"/>
      <c r="S708" s="358"/>
      <c r="T708" s="719"/>
      <c r="U708" s="719"/>
      <c r="V708" s="515"/>
      <c r="Y708" s="321">
        <f>+IFERROR((R708*S708)*Y686,0)</f>
        <v>0</v>
      </c>
      <c r="Z708" s="318">
        <f>Y686*V708</f>
        <v>0</v>
      </c>
      <c r="AA708" s="345"/>
      <c r="AB708" s="346">
        <f>+Y708*T708</f>
        <v>0</v>
      </c>
      <c r="AC708" s="347">
        <f>+AB708-Z708</f>
        <v>0</v>
      </c>
      <c r="AD708" s="348"/>
      <c r="AE708" s="337" t="str">
        <f t="shared" si="94"/>
        <v>CERO</v>
      </c>
    </row>
    <row r="709" spans="3:31" ht="15.9" customHeight="1" thickBot="1" x14ac:dyDescent="0.35">
      <c r="C709" s="292"/>
      <c r="D709" s="295" t="s">
        <v>132</v>
      </c>
      <c r="E709" s="296" t="s">
        <v>133</v>
      </c>
      <c r="F709" s="296" t="s">
        <v>134</v>
      </c>
      <c r="G709" s="296" t="s">
        <v>135</v>
      </c>
      <c r="H709" s="296" t="s">
        <v>136</v>
      </c>
      <c r="I709" s="296" t="s">
        <v>137</v>
      </c>
      <c r="J709" s="297" t="s">
        <v>138</v>
      </c>
      <c r="K709" s="293"/>
      <c r="M709" s="720"/>
      <c r="N709" s="721" t="s">
        <v>116</v>
      </c>
      <c r="O709" s="721"/>
      <c r="P709" s="721"/>
      <c r="Q709" s="721"/>
      <c r="R709" s="721"/>
      <c r="S709" s="721"/>
      <c r="T709" s="721"/>
      <c r="U709" s="721"/>
      <c r="V709" s="499">
        <f>+SUM(V705:V708)</f>
        <v>10085.4</v>
      </c>
      <c r="Y709" s="328" t="s">
        <v>139</v>
      </c>
      <c r="Z709" s="329">
        <f>+SUM(Z705:Z708)</f>
        <v>208849.47173999998</v>
      </c>
      <c r="AA709" s="279"/>
      <c r="AB709" s="290"/>
      <c r="AC709" s="291"/>
      <c r="AD709" s="280"/>
      <c r="AE709" s="330"/>
    </row>
    <row r="710" spans="3:31" ht="15.9" customHeight="1" thickBot="1" x14ac:dyDescent="0.35">
      <c r="C710" s="292"/>
      <c r="D710" s="363"/>
      <c r="E710" s="364"/>
      <c r="F710" s="365">
        <f>+E702</f>
        <v>1.8</v>
      </c>
      <c r="G710" s="364"/>
      <c r="H710" s="364"/>
      <c r="I710" s="364"/>
      <c r="J710" s="366"/>
      <c r="K710" s="293"/>
      <c r="M710" s="720"/>
      <c r="N710" s="722" t="s">
        <v>117</v>
      </c>
      <c r="O710" s="722"/>
      <c r="P710" s="722"/>
      <c r="Q710" s="722"/>
      <c r="R710" s="722"/>
      <c r="S710" s="722"/>
      <c r="T710" s="722"/>
      <c r="U710" s="722"/>
      <c r="V710" s="344">
        <f>+ROUND(V709,$AA$2)</f>
        <v>10085</v>
      </c>
      <c r="Y710" s="332" t="s">
        <v>140</v>
      </c>
      <c r="Z710" s="333">
        <f>+ROUND(Z709,$AA$2)</f>
        <v>208849</v>
      </c>
      <c r="AA710" s="279"/>
      <c r="AB710" s="324">
        <f>+V710*Y686</f>
        <v>208841.18849999999</v>
      </c>
      <c r="AC710" s="359"/>
      <c r="AD710" s="280"/>
      <c r="AE710" s="334"/>
    </row>
    <row r="711" spans="3:31" ht="15.9" customHeight="1" thickBot="1" x14ac:dyDescent="0.35">
      <c r="C711" s="292"/>
      <c r="D711" s="369"/>
      <c r="E711" s="370"/>
      <c r="F711" s="370"/>
      <c r="G711" s="370"/>
      <c r="H711" s="370"/>
      <c r="I711" s="370"/>
      <c r="J711" s="371"/>
      <c r="K711" s="293"/>
      <c r="M711" s="723" t="s">
        <v>118</v>
      </c>
      <c r="N711" s="723"/>
      <c r="O711" s="723"/>
      <c r="P711" s="723"/>
      <c r="Q711" s="723"/>
      <c r="R711" s="723"/>
      <c r="S711" s="723"/>
      <c r="T711" s="723"/>
      <c r="U711" s="723"/>
      <c r="V711" s="723"/>
      <c r="Y711" s="298"/>
      <c r="Z711" s="299"/>
      <c r="AA711" s="279"/>
      <c r="AB711" s="342"/>
      <c r="AC711" s="299"/>
      <c r="AD711" s="280"/>
      <c r="AE711" s="335"/>
    </row>
    <row r="712" spans="3:31" ht="15.9" customHeight="1" thickBot="1" x14ac:dyDescent="0.35">
      <c r="C712" s="292"/>
      <c r="D712" s="295" t="s">
        <v>132</v>
      </c>
      <c r="E712" s="296" t="s">
        <v>133</v>
      </c>
      <c r="F712" s="296" t="s">
        <v>134</v>
      </c>
      <c r="G712" s="296" t="s">
        <v>135</v>
      </c>
      <c r="H712" s="296" t="s">
        <v>136</v>
      </c>
      <c r="I712" s="296" t="s">
        <v>137</v>
      </c>
      <c r="J712" s="297" t="s">
        <v>138</v>
      </c>
      <c r="K712" s="293"/>
      <c r="M712" s="307" t="s">
        <v>97</v>
      </c>
      <c r="N712" s="372" t="s">
        <v>98</v>
      </c>
      <c r="O712" s="307" t="s">
        <v>99</v>
      </c>
      <c r="P712" s="396" t="s">
        <v>107</v>
      </c>
      <c r="Q712" s="307" t="s">
        <v>119</v>
      </c>
      <c r="R712" s="373" t="s">
        <v>120</v>
      </c>
      <c r="S712" s="307" t="s">
        <v>363</v>
      </c>
      <c r="T712" s="374" t="s">
        <v>121</v>
      </c>
      <c r="U712" s="375" t="s">
        <v>122</v>
      </c>
      <c r="V712" s="307" t="s">
        <v>101</v>
      </c>
      <c r="Y712" s="308" t="s">
        <v>107</v>
      </c>
      <c r="Z712" s="309" t="s">
        <v>9</v>
      </c>
      <c r="AA712" s="279"/>
      <c r="AB712" s="290"/>
      <c r="AC712" s="291"/>
      <c r="AD712" s="280"/>
      <c r="AE712" s="349"/>
    </row>
    <row r="713" spans="3:31" ht="14.4" x14ac:dyDescent="0.3">
      <c r="C713" s="292"/>
      <c r="D713" s="376"/>
      <c r="E713" s="377"/>
      <c r="F713" s="377"/>
      <c r="G713" s="377"/>
      <c r="H713" s="377"/>
      <c r="I713" s="377"/>
      <c r="J713" s="378">
        <f>+F710</f>
        <v>1.8</v>
      </c>
      <c r="K713" s="293"/>
      <c r="M713" s="313">
        <v>201</v>
      </c>
      <c r="N713" s="379" t="str">
        <f>IFERROR(VLOOKUP(M713,INSUMOS!$C$8:$K$934,2,0),"-----")</f>
        <v>Oficial Albañileria</v>
      </c>
      <c r="O713" s="314" t="str">
        <f>IFERROR(VLOOKUP(M713,INSUMOS!$C$8:$K$934,3,0),"-----")</f>
        <v>JORNAL+PS</v>
      </c>
      <c r="P713" s="355">
        <v>1</v>
      </c>
      <c r="Q713" s="339">
        <v>25</v>
      </c>
      <c r="R713" s="380">
        <f>IFERROR(VLOOKUP(M713,INSUMOS!$C$8:$K$934,4,0),"-----")</f>
        <v>114970</v>
      </c>
      <c r="S713" s="380">
        <f>IFERROR(VLOOKUP(M713,INSUMOS!$C$8:$K$934,6,0),"-----")</f>
        <v>91976</v>
      </c>
      <c r="T713" s="380">
        <f>IFERROR(VLOOKUP(M713,INSUMOS!$C$8:$K$934,5,0),"-----")</f>
        <v>0</v>
      </c>
      <c r="U713" s="338">
        <f>SUM(R713:T713)</f>
        <v>206946</v>
      </c>
      <c r="V713" s="316">
        <f>+IFERROR((P713/Q713)*U713,0)</f>
        <v>8277.84</v>
      </c>
      <c r="Y713" s="321">
        <f>+IFERROR((Y686/Q713*P713),0)</f>
        <v>0.82832399999999995</v>
      </c>
      <c r="Z713" s="318">
        <f>Y686*V713</f>
        <v>171418.33850399998</v>
      </c>
      <c r="AA713" s="279"/>
      <c r="AB713" s="367">
        <f>+(U713)*Y713</f>
        <v>171418.33850399998</v>
      </c>
      <c r="AC713" s="302">
        <f>+AB713-Z713</f>
        <v>0</v>
      </c>
      <c r="AD713" s="368"/>
      <c r="AE713" s="349" t="str">
        <f>+IF(V713=0,"CERO","NO")</f>
        <v>NO</v>
      </c>
    </row>
    <row r="714" spans="3:31" ht="15.9" customHeight="1" thickBot="1" x14ac:dyDescent="0.35">
      <c r="C714" s="292"/>
      <c r="D714" s="363"/>
      <c r="E714" s="364"/>
      <c r="F714" s="364"/>
      <c r="G714" s="364"/>
      <c r="H714" s="364"/>
      <c r="I714" s="364"/>
      <c r="J714" s="381">
        <f>+J713</f>
        <v>1.8</v>
      </c>
      <c r="K714" s="293"/>
      <c r="M714" s="313">
        <v>202</v>
      </c>
      <c r="N714" s="379" t="str">
        <f>IFERROR(VLOOKUP(M714,INSUMOS!$C$8:$K$934,2,0),"-----")</f>
        <v>Ayudante Albañileria</v>
      </c>
      <c r="O714" s="314" t="str">
        <f>IFERROR(VLOOKUP(M714,INSUMOS!$C$8:$K$934,3,0),"-----")</f>
        <v>JORNAL+PS</v>
      </c>
      <c r="P714" s="355">
        <v>2</v>
      </c>
      <c r="Q714" s="339">
        <v>25</v>
      </c>
      <c r="R714" s="380">
        <f>IFERROR(VLOOKUP(M714,INSUMOS!$C$8:$K$934,4,0),"-----")</f>
        <v>94970</v>
      </c>
      <c r="S714" s="380">
        <f>IFERROR(VLOOKUP(M714,INSUMOS!$C$8:$K$934,6,0),"-----")</f>
        <v>75976</v>
      </c>
      <c r="T714" s="380">
        <f>IFERROR(VLOOKUP(M714,INSUMOS!$C$8:$K$934,5,0),"-----")</f>
        <v>0</v>
      </c>
      <c r="U714" s="338">
        <f>SUM(R714:T714)</f>
        <v>170946</v>
      </c>
      <c r="V714" s="316">
        <f>+IFERROR((P714/Q714)*U714,0)</f>
        <v>13675.68</v>
      </c>
      <c r="Y714" s="321">
        <f>+IFERROR((Y686/Q714*P714),0)</f>
        <v>1.6566479999999999</v>
      </c>
      <c r="Z714" s="318">
        <f>Y686*V714</f>
        <v>283197.34900799999</v>
      </c>
      <c r="AA714" s="279"/>
      <c r="AB714" s="367">
        <f>+U714*Y714</f>
        <v>283197.34900799999</v>
      </c>
      <c r="AC714" s="302">
        <f>+AB714-Z714</f>
        <v>0</v>
      </c>
      <c r="AD714" s="280"/>
      <c r="AE714" s="349" t="str">
        <f t="shared" ref="AE714:AE715" si="97">+IF(V714=0,"CERO","NO")</f>
        <v>NO</v>
      </c>
    </row>
    <row r="715" spans="3:31" ht="15.9" customHeight="1" thickBot="1" x14ac:dyDescent="0.35">
      <c r="C715" s="292"/>
      <c r="D715" s="304"/>
      <c r="E715" s="305"/>
      <c r="F715" s="305"/>
      <c r="G715" s="305"/>
      <c r="H715" s="305"/>
      <c r="I715" s="305"/>
      <c r="J715" s="306"/>
      <c r="K715" s="293"/>
      <c r="M715" s="313">
        <v>0</v>
      </c>
      <c r="N715" s="379"/>
      <c r="O715" s="339"/>
      <c r="P715" s="382"/>
      <c r="Q715" s="319"/>
      <c r="R715" s="383"/>
      <c r="S715" s="384"/>
      <c r="T715" s="383"/>
      <c r="U715" s="338"/>
      <c r="V715" s="323"/>
      <c r="Y715" s="321">
        <f>+IFERROR((Y686/Q715*P715),0)</f>
        <v>0</v>
      </c>
      <c r="Z715" s="318">
        <f>Y686*V715</f>
        <v>0</v>
      </c>
      <c r="AA715" s="279"/>
      <c r="AB715" s="367">
        <f>+(U715)*Y715*P715</f>
        <v>0</v>
      </c>
      <c r="AC715" s="302">
        <f>+AB715-Z715</f>
        <v>0</v>
      </c>
      <c r="AD715" s="280"/>
      <c r="AE715" s="349" t="str">
        <f t="shared" si="97"/>
        <v>CERO</v>
      </c>
    </row>
    <row r="716" spans="3:31" ht="15.9" customHeight="1" thickBot="1" x14ac:dyDescent="0.35">
      <c r="C716" s="292"/>
      <c r="D716" s="295" t="s">
        <v>132</v>
      </c>
      <c r="E716" s="296" t="s">
        <v>133</v>
      </c>
      <c r="F716" s="296" t="s">
        <v>134</v>
      </c>
      <c r="G716" s="296" t="s">
        <v>135</v>
      </c>
      <c r="H716" s="296" t="s">
        <v>136</v>
      </c>
      <c r="I716" s="296" t="s">
        <v>137</v>
      </c>
      <c r="J716" s="297" t="s">
        <v>138</v>
      </c>
      <c r="K716" s="293"/>
      <c r="M716" s="724"/>
      <c r="N716" s="725" t="s">
        <v>123</v>
      </c>
      <c r="O716" s="725"/>
      <c r="P716" s="725"/>
      <c r="Q716" s="725"/>
      <c r="R716" s="725"/>
      <c r="S716" s="725"/>
      <c r="T716" s="725"/>
      <c r="U716" s="725"/>
      <c r="V716" s="316">
        <f>+SUM(V713:V715)</f>
        <v>21953.52</v>
      </c>
      <c r="Y716" s="328" t="s">
        <v>139</v>
      </c>
      <c r="Z716" s="329">
        <f>+SUM(Z713:Z715)</f>
        <v>454615.68751199997</v>
      </c>
      <c r="AA716" s="279"/>
      <c r="AB716" s="290"/>
      <c r="AC716" s="291"/>
      <c r="AD716" s="280"/>
      <c r="AE716" s="330"/>
    </row>
    <row r="717" spans="3:31" ht="15.9" customHeight="1" thickBot="1" x14ac:dyDescent="0.35">
      <c r="C717" s="292"/>
      <c r="D717" s="376"/>
      <c r="E717" s="377"/>
      <c r="F717" s="377"/>
      <c r="G717" s="386">
        <f>+F710</f>
        <v>1.8</v>
      </c>
      <c r="H717" s="377"/>
      <c r="I717" s="377"/>
      <c r="J717" s="387"/>
      <c r="K717" s="293"/>
      <c r="M717" s="724"/>
      <c r="N717" s="726" t="s">
        <v>124</v>
      </c>
      <c r="O717" s="726"/>
      <c r="P717" s="726"/>
      <c r="Q717" s="726"/>
      <c r="R717" s="726"/>
      <c r="S717" s="726"/>
      <c r="T717" s="726"/>
      <c r="U717" s="726"/>
      <c r="V717" s="344">
        <f>+ROUND(V716,$AA$2)</f>
        <v>21954</v>
      </c>
      <c r="Y717" s="332" t="s">
        <v>140</v>
      </c>
      <c r="Z717" s="333">
        <f>+ROUND(Z716,$AA$2)</f>
        <v>454616</v>
      </c>
      <c r="AA717" s="279"/>
      <c r="AB717" s="324">
        <f>+V717*Y686</f>
        <v>454625.62739999994</v>
      </c>
      <c r="AC717" s="325">
        <f>+AB717-Z717</f>
        <v>9.6273999999393709</v>
      </c>
      <c r="AD717" s="280"/>
      <c r="AE717" s="334"/>
    </row>
    <row r="718" spans="3:31" ht="15.9" customHeight="1" thickBot="1" x14ac:dyDescent="0.35">
      <c r="C718" s="292"/>
      <c r="D718" s="295" t="s">
        <v>132</v>
      </c>
      <c r="E718" s="296" t="s">
        <v>133</v>
      </c>
      <c r="F718" s="296" t="s">
        <v>134</v>
      </c>
      <c r="G718" s="296" t="s">
        <v>135</v>
      </c>
      <c r="H718" s="296" t="s">
        <v>136</v>
      </c>
      <c r="I718" s="296" t="s">
        <v>137</v>
      </c>
      <c r="J718" s="297" t="s">
        <v>138</v>
      </c>
      <c r="K718" s="293"/>
      <c r="M718" s="727"/>
      <c r="N718" s="727"/>
      <c r="O718" s="727"/>
      <c r="P718" s="727"/>
      <c r="Q718" s="727"/>
      <c r="R718" s="727"/>
      <c r="S718" s="727"/>
      <c r="T718" s="727"/>
      <c r="U718" s="727"/>
      <c r="V718" s="727"/>
      <c r="Y718" s="298"/>
      <c r="Z718" s="299"/>
      <c r="AA718" s="279"/>
      <c r="AB718" s="342"/>
      <c r="AC718" s="299"/>
      <c r="AD718" s="280"/>
      <c r="AE718" s="388"/>
    </row>
    <row r="719" spans="3:31" ht="15.9" customHeight="1" thickBot="1" x14ac:dyDescent="0.35">
      <c r="C719" s="292"/>
      <c r="D719" s="363"/>
      <c r="E719" s="364"/>
      <c r="F719" s="364"/>
      <c r="G719" s="364"/>
      <c r="H719" s="365">
        <f>G717</f>
        <v>1.8</v>
      </c>
      <c r="I719" s="365"/>
      <c r="J719" s="381"/>
      <c r="K719" s="293"/>
      <c r="M719" s="726" t="s">
        <v>125</v>
      </c>
      <c r="N719" s="726"/>
      <c r="O719" s="726"/>
      <c r="P719" s="726"/>
      <c r="Q719" s="726"/>
      <c r="R719" s="726"/>
      <c r="S719" s="726"/>
      <c r="T719" s="726"/>
      <c r="U719" s="728">
        <f>+V717+V710+V702+V695</f>
        <v>126792</v>
      </c>
      <c r="V719" s="728"/>
      <c r="Y719" s="389"/>
      <c r="Z719" s="390">
        <f>+Z717+Z710+Z702+Z695</f>
        <v>2625614</v>
      </c>
      <c r="AA719" s="279"/>
      <c r="AB719" s="385">
        <f>+AB717+AB710+AB702+AB695</f>
        <v>2625621.4151999997</v>
      </c>
      <c r="AC719" s="325">
        <f>+AB719-Z719</f>
        <v>7.4151999996975064</v>
      </c>
      <c r="AD719" s="280"/>
      <c r="AE719" s="391"/>
    </row>
    <row r="720" spans="3:31" ht="15.9" customHeight="1" thickBot="1" x14ac:dyDescent="0.3">
      <c r="M720" s="412"/>
      <c r="N720" s="412"/>
      <c r="O720" s="412"/>
      <c r="P720" s="412"/>
      <c r="Q720" s="412"/>
      <c r="R720" s="412"/>
      <c r="S720" s="412"/>
      <c r="T720" s="412"/>
      <c r="U720" s="412"/>
      <c r="V720" s="412"/>
    </row>
    <row r="721" spans="4:31" ht="15.9" customHeight="1" x14ac:dyDescent="0.25">
      <c r="M721" s="729" t="s">
        <v>364</v>
      </c>
      <c r="N721" s="729"/>
      <c r="O721" s="729"/>
      <c r="P721" s="729"/>
      <c r="Q721" s="729"/>
      <c r="R721" s="729"/>
      <c r="S721" s="729"/>
      <c r="T721" s="729"/>
      <c r="U721" s="729"/>
      <c r="V721" s="729"/>
      <c r="Y721" s="298"/>
      <c r="Z721" s="299"/>
      <c r="AA721" s="279"/>
      <c r="AB721" s="280"/>
      <c r="AC721" s="280"/>
      <c r="AD721" s="280"/>
      <c r="AE721" s="335" t="s">
        <v>137</v>
      </c>
    </row>
    <row r="722" spans="4:31" ht="15.9" customHeight="1" x14ac:dyDescent="0.25">
      <c r="M722" s="700" t="s">
        <v>142</v>
      </c>
      <c r="N722" s="700"/>
      <c r="O722" s="700"/>
      <c r="P722" s="700"/>
      <c r="Q722" s="700"/>
      <c r="R722" s="700"/>
      <c r="S722" s="700"/>
      <c r="T722" s="413">
        <f>$AA$3</f>
        <v>0.25</v>
      </c>
      <c r="U722" s="701">
        <f>+ROUND(U719*T722,$AA$2)</f>
        <v>31698</v>
      </c>
      <c r="V722" s="701"/>
      <c r="Y722" s="317"/>
      <c r="Z722" s="414">
        <f>+Z719*T722</f>
        <v>656403.5</v>
      </c>
      <c r="AA722" s="279"/>
      <c r="AB722" s="280"/>
      <c r="AC722" s="280"/>
      <c r="AD722" s="280"/>
      <c r="AE722" s="310" t="s">
        <v>137</v>
      </c>
    </row>
    <row r="723" spans="4:31" ht="15.9" customHeight="1" x14ac:dyDescent="0.25">
      <c r="M723" s="700" t="s">
        <v>19</v>
      </c>
      <c r="N723" s="700"/>
      <c r="O723" s="700"/>
      <c r="P723" s="700"/>
      <c r="Q723" s="700"/>
      <c r="R723" s="700"/>
      <c r="S723" s="700"/>
      <c r="T723" s="413">
        <f>$AA$4</f>
        <v>0.03</v>
      </c>
      <c r="U723" s="701">
        <f>+ROUND(U719*T723,$AA$2)</f>
        <v>3804</v>
      </c>
      <c r="V723" s="701"/>
      <c r="Y723" s="317"/>
      <c r="Z723" s="414">
        <f>+Z719*T723</f>
        <v>78768.42</v>
      </c>
      <c r="AA723" s="279"/>
      <c r="AB723" s="280"/>
      <c r="AC723" s="280"/>
      <c r="AD723" s="280"/>
      <c r="AE723" s="310" t="s">
        <v>137</v>
      </c>
    </row>
    <row r="724" spans="4:31" ht="15.9" customHeight="1" x14ac:dyDescent="0.25">
      <c r="M724" s="700" t="s">
        <v>20</v>
      </c>
      <c r="N724" s="700"/>
      <c r="O724" s="700"/>
      <c r="P724" s="700"/>
      <c r="Q724" s="700"/>
      <c r="R724" s="700"/>
      <c r="S724" s="700"/>
      <c r="T724" s="413">
        <f>$AA$5</f>
        <v>0.05</v>
      </c>
      <c r="U724" s="701">
        <f>+ROUND(U719*T724,$AA$2)</f>
        <v>6340</v>
      </c>
      <c r="V724" s="701"/>
      <c r="Y724" s="317"/>
      <c r="Z724" s="414">
        <f>+Z719*T724</f>
        <v>131280.70000000001</v>
      </c>
      <c r="AA724" s="279"/>
      <c r="AB724" s="280"/>
      <c r="AC724" s="280"/>
      <c r="AD724" s="280"/>
      <c r="AE724" s="310" t="s">
        <v>137</v>
      </c>
    </row>
    <row r="725" spans="4:31" ht="15.9" customHeight="1" x14ac:dyDescent="0.25">
      <c r="M725" s="700" t="s">
        <v>21</v>
      </c>
      <c r="N725" s="700"/>
      <c r="O725" s="700"/>
      <c r="P725" s="700"/>
      <c r="Q725" s="700"/>
      <c r="R725" s="700"/>
      <c r="S725" s="700"/>
      <c r="T725" s="413">
        <f>$AA$6</f>
        <v>0</v>
      </c>
      <c r="U725" s="701">
        <f>+ROUND(U719*T725,$AA$2)</f>
        <v>0</v>
      </c>
      <c r="V725" s="701"/>
      <c r="Y725" s="317"/>
      <c r="Z725" s="414">
        <f>+Z724*T725</f>
        <v>0</v>
      </c>
      <c r="AA725" s="279"/>
      <c r="AB725" s="280"/>
      <c r="AC725" s="280"/>
      <c r="AD725" s="280"/>
      <c r="AE725" s="310" t="s">
        <v>137</v>
      </c>
    </row>
    <row r="726" spans="4:31" ht="15.9" customHeight="1" thickBot="1" x14ac:dyDescent="0.3">
      <c r="M726" s="702" t="s">
        <v>365</v>
      </c>
      <c r="N726" s="702"/>
      <c r="O726" s="702"/>
      <c r="P726" s="702"/>
      <c r="Q726" s="702"/>
      <c r="R726" s="702"/>
      <c r="S726" s="702"/>
      <c r="T726" s="702"/>
      <c r="U726" s="703">
        <f>+SUM(U722:V725)</f>
        <v>41842</v>
      </c>
      <c r="V726" s="703"/>
      <c r="Y726" s="317"/>
      <c r="Z726" s="415">
        <f>+SUM(Z722:Z725)</f>
        <v>866452.62000000011</v>
      </c>
      <c r="AA726" s="279"/>
      <c r="AB726" s="280"/>
      <c r="AC726" s="280"/>
      <c r="AD726" s="280"/>
      <c r="AE726" s="310" t="s">
        <v>137</v>
      </c>
    </row>
    <row r="727" spans="4:31" ht="15.9" customHeight="1" thickBot="1" x14ac:dyDescent="0.3">
      <c r="D727" s="295" t="s">
        <v>132</v>
      </c>
      <c r="E727" s="296" t="s">
        <v>133</v>
      </c>
      <c r="F727" s="296" t="s">
        <v>134</v>
      </c>
      <c r="G727" s="296" t="s">
        <v>135</v>
      </c>
      <c r="H727" s="296" t="s">
        <v>136</v>
      </c>
      <c r="I727" s="296" t="s">
        <v>137</v>
      </c>
      <c r="J727" s="297" t="s">
        <v>138</v>
      </c>
      <c r="M727" s="377"/>
      <c r="N727" s="416"/>
      <c r="O727" s="416"/>
      <c r="P727" s="416"/>
      <c r="Q727" s="377"/>
      <c r="R727" s="377"/>
      <c r="S727" s="377"/>
      <c r="T727" s="417"/>
      <c r="U727" s="701"/>
      <c r="V727" s="701"/>
      <c r="Y727" s="317"/>
      <c r="Z727" s="291"/>
      <c r="AA727" s="279"/>
      <c r="AB727" s="280"/>
      <c r="AC727" s="280"/>
      <c r="AD727" s="280"/>
      <c r="AE727" s="310" t="s">
        <v>137</v>
      </c>
    </row>
    <row r="728" spans="4:31" ht="15.9" customHeight="1" thickBot="1" x14ac:dyDescent="0.3">
      <c r="D728" s="363"/>
      <c r="E728" s="364"/>
      <c r="F728" s="364"/>
      <c r="G728" s="364"/>
      <c r="H728" s="365"/>
      <c r="I728" s="365">
        <f>H719</f>
        <v>1.8</v>
      </c>
      <c r="J728" s="381"/>
      <c r="M728" s="702" t="s">
        <v>11</v>
      </c>
      <c r="N728" s="702"/>
      <c r="O728" s="702"/>
      <c r="P728" s="702"/>
      <c r="Q728" s="702"/>
      <c r="R728" s="702"/>
      <c r="S728" s="702"/>
      <c r="T728" s="702"/>
      <c r="U728" s="704">
        <f>+U726+U719</f>
        <v>168634</v>
      </c>
      <c r="V728" s="704"/>
      <c r="Y728" s="389"/>
      <c r="Z728" s="418">
        <f>+Z726+Z719</f>
        <v>3492066.62</v>
      </c>
      <c r="AA728" s="279"/>
      <c r="AB728" s="280"/>
      <c r="AC728" s="280"/>
      <c r="AD728" s="280"/>
      <c r="AE728" s="334" t="s">
        <v>137</v>
      </c>
    </row>
    <row r="729" spans="4:31" ht="15.9" customHeight="1" x14ac:dyDescent="0.25">
      <c r="M729" s="705"/>
      <c r="N729" s="705"/>
      <c r="O729" s="705"/>
      <c r="P729" s="705"/>
      <c r="Q729" s="705"/>
      <c r="R729" s="706"/>
      <c r="S729" s="706"/>
      <c r="T729" s="706"/>
      <c r="U729" s="706"/>
      <c r="V729" s="706"/>
    </row>
    <row r="730" spans="4:31" ht="15.9" customHeight="1" x14ac:dyDescent="0.25">
      <c r="M730" s="705"/>
      <c r="N730" s="705"/>
      <c r="O730" s="705"/>
      <c r="P730" s="705"/>
      <c r="Q730" s="705"/>
      <c r="R730" s="706"/>
      <c r="S730" s="706"/>
      <c r="T730" s="706"/>
      <c r="U730" s="706"/>
      <c r="V730" s="706"/>
    </row>
    <row r="731" spans="4:31" ht="15.9" customHeight="1" x14ac:dyDescent="0.25">
      <c r="M731" s="705"/>
      <c r="N731" s="705"/>
      <c r="O731" s="705"/>
      <c r="P731" s="705"/>
      <c r="Q731" s="705"/>
      <c r="R731" s="706"/>
      <c r="S731" s="706"/>
      <c r="T731" s="706"/>
      <c r="U731" s="706"/>
      <c r="V731" s="706"/>
    </row>
    <row r="732" spans="4:31" ht="15.9" customHeight="1" x14ac:dyDescent="0.25">
      <c r="M732" s="705"/>
      <c r="N732" s="705"/>
      <c r="O732" s="705"/>
      <c r="P732" s="705"/>
      <c r="Q732" s="705"/>
      <c r="R732" s="706"/>
      <c r="S732" s="706"/>
      <c r="T732" s="706"/>
      <c r="U732" s="706"/>
      <c r="V732" s="706"/>
    </row>
    <row r="733" spans="4:31" ht="15.9" customHeight="1" x14ac:dyDescent="0.25">
      <c r="M733" s="707" t="s">
        <v>128</v>
      </c>
      <c r="N733" s="708" t="str">
        <f>$N$6</f>
        <v>ING. JEYSON JULIAN LEON RUEDA</v>
      </c>
      <c r="O733" s="709"/>
      <c r="P733" s="709"/>
      <c r="Q733" s="710"/>
      <c r="R733" s="711" t="s">
        <v>129</v>
      </c>
      <c r="S733" s="708" t="str">
        <f>$S$6</f>
        <v>ARQ. YASMID ROCÍO CARRILLO MORA</v>
      </c>
      <c r="T733" s="709"/>
      <c r="U733" s="709"/>
      <c r="V733" s="710"/>
    </row>
    <row r="734" spans="4:31" ht="15.9" customHeight="1" x14ac:dyDescent="0.25">
      <c r="M734" s="707"/>
      <c r="N734" s="712" t="str">
        <f>$N$7</f>
        <v>MP. 68202-416348 STD</v>
      </c>
      <c r="O734" s="713"/>
      <c r="P734" s="713"/>
      <c r="Q734" s="714"/>
      <c r="R734" s="711"/>
      <c r="S734" s="712" t="str">
        <f>$S$7</f>
        <v>SECRETARIA DE PLANEACIÓN Y OBRAS PÚBLICAS</v>
      </c>
      <c r="T734" s="713"/>
      <c r="U734" s="713"/>
      <c r="V734" s="714"/>
    </row>
    <row r="735" spans="4:31" ht="15.9" customHeight="1" x14ac:dyDescent="0.25">
      <c r="M735" s="707"/>
      <c r="N735" s="715"/>
      <c r="O735" s="716"/>
      <c r="P735" s="716"/>
      <c r="Q735" s="717"/>
      <c r="R735" s="711"/>
      <c r="S735" s="712" t="str">
        <f>$S$8</f>
        <v>MUNICIPIO DE PINCHOTE</v>
      </c>
      <c r="T735" s="713"/>
      <c r="U735" s="713"/>
      <c r="V735" s="714"/>
    </row>
    <row r="736" spans="4:31" ht="15.9" customHeight="1" x14ac:dyDescent="0.25"/>
    <row r="737" spans="3:31" ht="15.9" customHeight="1" thickBot="1" x14ac:dyDescent="0.3"/>
    <row r="738" spans="3:31" ht="15.9" customHeight="1" thickBot="1" x14ac:dyDescent="0.3">
      <c r="M738" s="281" t="s">
        <v>90</v>
      </c>
      <c r="N738" s="410" t="s">
        <v>29</v>
      </c>
      <c r="O738" s="706" t="str">
        <f>IFERROR(VLOOKUP(N738,PPTO!$C$9:$H$64,2,0),"----")</f>
        <v>COMPONENTE ACUEDUCTO</v>
      </c>
      <c r="P738" s="706"/>
      <c r="Q738" s="706"/>
      <c r="R738" s="706"/>
      <c r="S738" s="706"/>
      <c r="T738" s="706"/>
      <c r="U738" s="706"/>
      <c r="V738" s="283" t="s">
        <v>93</v>
      </c>
      <c r="Y738" s="284" t="s">
        <v>107</v>
      </c>
      <c r="Z738" s="280"/>
      <c r="AA738" s="274"/>
      <c r="AB738" s="735"/>
      <c r="AC738" s="735"/>
      <c r="AD738" s="735"/>
      <c r="AE738" s="280"/>
    </row>
    <row r="739" spans="3:31" ht="15.9" customHeight="1" thickBot="1" x14ac:dyDescent="0.35">
      <c r="C739" s="285">
        <f>+N739</f>
        <v>1.9</v>
      </c>
      <c r="D739" s="279"/>
      <c r="E739" s="279"/>
      <c r="F739" s="279"/>
      <c r="G739" s="279"/>
      <c r="H739" s="279"/>
      <c r="I739" s="279"/>
      <c r="J739" s="279"/>
      <c r="K739" s="286"/>
      <c r="M739" s="283" t="s">
        <v>94</v>
      </c>
      <c r="N739" s="287">
        <v>1.9</v>
      </c>
      <c r="O739" s="736" t="str">
        <f>IFERROR(VLOOKUP(N739,PPTO!$C$9:$H$64,2,0),"----")</f>
        <v>Cama de arena para cimentación de tubería Sanitaria</v>
      </c>
      <c r="P739" s="736"/>
      <c r="Q739" s="736"/>
      <c r="R739" s="736"/>
      <c r="S739" s="736"/>
      <c r="T739" s="736"/>
      <c r="U739" s="736"/>
      <c r="V739" s="288" t="str">
        <f>IFERROR(VLOOKUP(N739,PPTO!$C$9:$H$64,3,0),"----")</f>
        <v>ml</v>
      </c>
      <c r="Y739" s="289">
        <f>SUMIFS(PPTO!$F$7:$F$63,PPTO!$C$7:$C$63,APUS!N739)</f>
        <v>98.6</v>
      </c>
      <c r="Z739" s="280"/>
      <c r="AA739" s="279"/>
      <c r="AB739" s="280"/>
      <c r="AC739" s="280"/>
      <c r="AD739" s="280"/>
      <c r="AE739" s="280"/>
    </row>
    <row r="740" spans="3:31" ht="15.9" customHeight="1" thickBot="1" x14ac:dyDescent="0.35">
      <c r="C740" s="292"/>
      <c r="D740" s="279"/>
      <c r="E740" s="279"/>
      <c r="F740" s="279"/>
      <c r="G740" s="279"/>
      <c r="H740" s="279"/>
      <c r="I740" s="279"/>
      <c r="J740" s="279"/>
      <c r="K740" s="293"/>
      <c r="M740" s="737"/>
      <c r="N740" s="737"/>
      <c r="O740" s="737"/>
      <c r="P740" s="737"/>
      <c r="Q740" s="737"/>
      <c r="R740" s="737"/>
      <c r="S740" s="737"/>
      <c r="T740" s="737"/>
      <c r="U740" s="737"/>
      <c r="V740" s="737"/>
      <c r="Y740" s="294"/>
      <c r="Z740" s="280"/>
      <c r="AA740" s="279"/>
      <c r="AB740" s="280"/>
      <c r="AC740" s="280"/>
      <c r="AD740" s="280"/>
      <c r="AE740" s="280"/>
    </row>
    <row r="741" spans="3:31" ht="15.9" customHeight="1" thickBot="1" x14ac:dyDescent="0.35">
      <c r="C741" s="292"/>
      <c r="D741" s="295" t="s">
        <v>132</v>
      </c>
      <c r="E741" s="296" t="s">
        <v>133</v>
      </c>
      <c r="F741" s="296" t="s">
        <v>134</v>
      </c>
      <c r="G741" s="296" t="s">
        <v>135</v>
      </c>
      <c r="H741" s="296" t="s">
        <v>136</v>
      </c>
      <c r="I741" s="296" t="s">
        <v>137</v>
      </c>
      <c r="J741" s="297" t="s">
        <v>138</v>
      </c>
      <c r="K741" s="293"/>
      <c r="M741" s="738" t="s">
        <v>96</v>
      </c>
      <c r="N741" s="738"/>
      <c r="O741" s="738"/>
      <c r="P741" s="738"/>
      <c r="Q741" s="738"/>
      <c r="R741" s="738"/>
      <c r="S741" s="738"/>
      <c r="T741" s="738"/>
      <c r="U741" s="738"/>
      <c r="V741" s="738"/>
      <c r="Y741" s="298"/>
      <c r="Z741" s="299"/>
      <c r="AA741" s="279"/>
      <c r="AB741" s="731"/>
      <c r="AC741" s="732"/>
      <c r="AD741" s="280"/>
      <c r="AE741" s="303"/>
    </row>
    <row r="742" spans="3:31" ht="15.9" customHeight="1" x14ac:dyDescent="0.3">
      <c r="C742" s="292"/>
      <c r="D742" s="304"/>
      <c r="E742" s="305"/>
      <c r="F742" s="305"/>
      <c r="G742" s="305"/>
      <c r="H742" s="305"/>
      <c r="I742" s="305"/>
      <c r="J742" s="306"/>
      <c r="K742" s="293"/>
      <c r="M742" s="307" t="s">
        <v>97</v>
      </c>
      <c r="N742" s="706" t="s">
        <v>98</v>
      </c>
      <c r="O742" s="706"/>
      <c r="P742" s="706"/>
      <c r="Q742" s="706"/>
      <c r="R742" s="307" t="s">
        <v>99</v>
      </c>
      <c r="S742" s="307" t="s">
        <v>100</v>
      </c>
      <c r="T742" s="734" t="s">
        <v>8</v>
      </c>
      <c r="U742" s="734"/>
      <c r="V742" s="307" t="s">
        <v>101</v>
      </c>
      <c r="Y742" s="308" t="s">
        <v>107</v>
      </c>
      <c r="Z742" s="309" t="s">
        <v>9</v>
      </c>
      <c r="AA742" s="279"/>
      <c r="AB742" s="290"/>
      <c r="AC742" s="291"/>
      <c r="AD742" s="280"/>
      <c r="AE742" s="310"/>
    </row>
    <row r="743" spans="3:31" ht="15.9" customHeight="1" x14ac:dyDescent="0.3">
      <c r="C743" s="292"/>
      <c r="D743" s="311"/>
      <c r="E743" s="279"/>
      <c r="F743" s="279"/>
      <c r="G743" s="279"/>
      <c r="H743" s="279"/>
      <c r="I743" s="279"/>
      <c r="J743" s="312"/>
      <c r="K743" s="293"/>
      <c r="M743" s="313"/>
      <c r="N743" s="718" t="s">
        <v>102</v>
      </c>
      <c r="O743" s="718"/>
      <c r="P743" s="718"/>
      <c r="Q743" s="718"/>
      <c r="R743" s="314" t="s">
        <v>103</v>
      </c>
      <c r="S743" s="315">
        <f>$AA$9</f>
        <v>0.05</v>
      </c>
      <c r="T743" s="739">
        <f>V770</f>
        <v>13721</v>
      </c>
      <c r="U743" s="739"/>
      <c r="V743" s="316">
        <f>+IFERROR(T743*S743,0)</f>
        <v>686.05000000000007</v>
      </c>
      <c r="Y743" s="317"/>
      <c r="Z743" s="318">
        <f>Y739*V743</f>
        <v>67644.53</v>
      </c>
      <c r="AA743" s="279"/>
      <c r="AB743" s="290"/>
      <c r="AC743" s="291"/>
      <c r="AD743" s="280"/>
      <c r="AE743" s="310" t="str">
        <f>+IF(V743=0,"CERO","NO")</f>
        <v>NO</v>
      </c>
    </row>
    <row r="744" spans="3:31" ht="15.9" customHeight="1" x14ac:dyDescent="0.3">
      <c r="C744" s="292"/>
      <c r="D744" s="311"/>
      <c r="E744" s="279"/>
      <c r="F744" s="279"/>
      <c r="G744" s="279"/>
      <c r="H744" s="279"/>
      <c r="I744" s="279"/>
      <c r="J744" s="312"/>
      <c r="K744" s="293"/>
      <c r="M744" s="319">
        <v>0</v>
      </c>
      <c r="N744" s="718" t="str">
        <f>IFERROR(VLOOKUP(M744,INSUMOS!$C$8:$K$934,2,0),"-----")</f>
        <v>-----</v>
      </c>
      <c r="O744" s="718"/>
      <c r="P744" s="718"/>
      <c r="Q744" s="718"/>
      <c r="R744" s="314" t="str">
        <f>IFERROR(VLOOKUP(M744,INSUMOS!$C$8:$K$934,6,0),"-----")</f>
        <v>-----</v>
      </c>
      <c r="S744" s="320">
        <v>0.03</v>
      </c>
      <c r="T744" s="740" t="str">
        <f>IFERROR(VLOOKUP(M744,INSUMOS!$C$8:$K$934,7,0),"0")</f>
        <v>0</v>
      </c>
      <c r="U744" s="740"/>
      <c r="V744" s="316">
        <f>+IFERROR(T744*S744,0)</f>
        <v>0</v>
      </c>
      <c r="Y744" s="321">
        <f>+IFERROR(Y739*S744,0)</f>
        <v>2.9579999999999997</v>
      </c>
      <c r="Z744" s="318">
        <f>Y739*V744</f>
        <v>0</v>
      </c>
      <c r="AA744" s="300"/>
      <c r="AB744" s="301">
        <f>+Y744*T744</f>
        <v>0</v>
      </c>
      <c r="AC744" s="302">
        <f>+AB744-Z744</f>
        <v>0</v>
      </c>
      <c r="AD744" s="280"/>
      <c r="AE744" s="310" t="str">
        <f>+IF(V744=0,"CERO","NO")</f>
        <v>CERO</v>
      </c>
    </row>
    <row r="745" spans="3:31" ht="15.9" customHeight="1" x14ac:dyDescent="0.3">
      <c r="C745" s="292"/>
      <c r="D745" s="311"/>
      <c r="E745" s="279"/>
      <c r="F745" s="279"/>
      <c r="G745" s="279"/>
      <c r="H745" s="279"/>
      <c r="I745" s="279"/>
      <c r="J745" s="312"/>
      <c r="K745" s="293"/>
      <c r="M745" s="313">
        <v>0</v>
      </c>
      <c r="N745" s="718" t="str">
        <f>IFERROR(VLOOKUP(M745,INSUMOS!$C$8:$K$934,2,0),"-----")</f>
        <v>-----</v>
      </c>
      <c r="O745" s="718"/>
      <c r="P745" s="718"/>
      <c r="Q745" s="718"/>
      <c r="R745" s="314" t="str">
        <f>IFERROR(VLOOKUP(M745,INSUMOS!$C$8:$K$934,6,0),"-----")</f>
        <v>-----</v>
      </c>
      <c r="S745" s="320"/>
      <c r="T745" s="740" t="str">
        <f>IFERROR(VLOOKUP(M745,INSUMOS!$C$8:$K$934,7,0),"0")</f>
        <v>0</v>
      </c>
      <c r="U745" s="740"/>
      <c r="V745" s="316">
        <f>+IFERROR(T745*S745,0)</f>
        <v>0</v>
      </c>
      <c r="Y745" s="321">
        <f>+IFERROR(Y739*S745,0)</f>
        <v>0</v>
      </c>
      <c r="Z745" s="318">
        <f>Y739*V745</f>
        <v>0</v>
      </c>
      <c r="AA745" s="300"/>
      <c r="AB745" s="301">
        <f>+Y745*T745</f>
        <v>0</v>
      </c>
      <c r="AC745" s="302">
        <f>+AB745-Z745</f>
        <v>0</v>
      </c>
      <c r="AD745" s="280"/>
      <c r="AE745" s="310" t="str">
        <f>+IF(V745=0,"CERO","NO")</f>
        <v>CERO</v>
      </c>
    </row>
    <row r="746" spans="3:31" ht="15.9" customHeight="1" thickBot="1" x14ac:dyDescent="0.35">
      <c r="C746" s="292"/>
      <c r="D746" s="311"/>
      <c r="E746" s="279"/>
      <c r="F746" s="279"/>
      <c r="G746" s="279"/>
      <c r="H746" s="279"/>
      <c r="I746" s="279"/>
      <c r="J746" s="312"/>
      <c r="K746" s="293"/>
      <c r="M746" s="313">
        <v>0</v>
      </c>
      <c r="N746" s="718" t="str">
        <f>IFERROR(VLOOKUP(M746,INSUMOS!$C$8:$K$934,2,0),"-----")</f>
        <v>-----</v>
      </c>
      <c r="O746" s="718"/>
      <c r="P746" s="718"/>
      <c r="Q746" s="718"/>
      <c r="R746" s="314" t="str">
        <f>IFERROR(VLOOKUP(M746,INSUMOS!$C$8:$K$934,6,0),"-----")</f>
        <v>-----</v>
      </c>
      <c r="S746" s="320"/>
      <c r="T746" s="740" t="str">
        <f>IFERROR(VLOOKUP(M746,INSUMOS!$C$8:$K$934,7,0),"0")</f>
        <v>0</v>
      </c>
      <c r="U746" s="740"/>
      <c r="V746" s="316">
        <f>+IFERROR(T746*S746,0)</f>
        <v>0</v>
      </c>
      <c r="Y746" s="321">
        <f>+IFERROR(Y739*S746,0)</f>
        <v>0</v>
      </c>
      <c r="Z746" s="318">
        <f>Y739*V746</f>
        <v>0</v>
      </c>
      <c r="AA746" s="300"/>
      <c r="AB746" s="301">
        <f>+Y746*T746</f>
        <v>0</v>
      </c>
      <c r="AC746" s="302">
        <f>+AB746-Z746</f>
        <v>0</v>
      </c>
      <c r="AD746" s="280"/>
      <c r="AE746" s="310" t="str">
        <f>+IF(V746=0,"CERO","NO")</f>
        <v>CERO</v>
      </c>
    </row>
    <row r="747" spans="3:31" ht="15.9" customHeight="1" thickBot="1" x14ac:dyDescent="0.35">
      <c r="C747" s="292"/>
      <c r="D747" s="295" t="s">
        <v>132</v>
      </c>
      <c r="E747" s="296" t="s">
        <v>133</v>
      </c>
      <c r="F747" s="296" t="s">
        <v>134</v>
      </c>
      <c r="G747" s="296" t="s">
        <v>135</v>
      </c>
      <c r="H747" s="296" t="s">
        <v>136</v>
      </c>
      <c r="I747" s="296" t="s">
        <v>137</v>
      </c>
      <c r="J747" s="297" t="s">
        <v>138</v>
      </c>
      <c r="K747" s="293"/>
      <c r="M747" s="724"/>
      <c r="N747" s="725" t="s">
        <v>104</v>
      </c>
      <c r="O747" s="725"/>
      <c r="P747" s="725"/>
      <c r="Q747" s="725"/>
      <c r="R747" s="725"/>
      <c r="S747" s="725"/>
      <c r="T747" s="725"/>
      <c r="U747" s="725"/>
      <c r="V747" s="316">
        <f>+SUM(V743:V746)</f>
        <v>686.05000000000007</v>
      </c>
      <c r="Y747" s="328" t="s">
        <v>139</v>
      </c>
      <c r="Z747" s="329">
        <f>+SUM(Z743:Z746)</f>
        <v>67644.53</v>
      </c>
      <c r="AA747" s="279"/>
      <c r="AB747" s="290"/>
      <c r="AC747" s="291"/>
      <c r="AD747" s="280"/>
      <c r="AE747" s="330"/>
    </row>
    <row r="748" spans="3:31" ht="15.9" customHeight="1" thickBot="1" x14ac:dyDescent="0.35">
      <c r="C748" s="292"/>
      <c r="D748" s="295">
        <f>C739</f>
        <v>1.9</v>
      </c>
      <c r="E748" s="296"/>
      <c r="F748" s="296"/>
      <c r="G748" s="296"/>
      <c r="H748" s="296"/>
      <c r="I748" s="296"/>
      <c r="J748" s="297"/>
      <c r="K748" s="293"/>
      <c r="M748" s="724"/>
      <c r="N748" s="726" t="s">
        <v>105</v>
      </c>
      <c r="O748" s="726"/>
      <c r="P748" s="726"/>
      <c r="Q748" s="726"/>
      <c r="R748" s="726"/>
      <c r="S748" s="726"/>
      <c r="T748" s="726"/>
      <c r="U748" s="726"/>
      <c r="V748" s="344">
        <f>+ROUND(V747,$AA$2)</f>
        <v>686</v>
      </c>
      <c r="Y748" s="332" t="s">
        <v>140</v>
      </c>
      <c r="Z748" s="333">
        <f>+ROUND(Z747,$AA$2)</f>
        <v>67645</v>
      </c>
      <c r="AA748" s="279"/>
      <c r="AB748" s="324">
        <f>+V748*Y739</f>
        <v>67639.599999999991</v>
      </c>
      <c r="AC748" s="325">
        <f>+AB748-Z748</f>
        <v>-5.4000000000087311</v>
      </c>
      <c r="AD748" s="280"/>
      <c r="AE748" s="334"/>
    </row>
    <row r="749" spans="3:31" ht="15.9" customHeight="1" x14ac:dyDescent="0.3">
      <c r="C749" s="292"/>
      <c r="D749" s="304"/>
      <c r="E749" s="305"/>
      <c r="F749" s="305"/>
      <c r="G749" s="305"/>
      <c r="H749" s="305"/>
      <c r="I749" s="305"/>
      <c r="J749" s="306"/>
      <c r="K749" s="293"/>
      <c r="M749" s="730" t="s">
        <v>106</v>
      </c>
      <c r="N749" s="730"/>
      <c r="O749" s="730"/>
      <c r="P749" s="730"/>
      <c r="Q749" s="730"/>
      <c r="R749" s="730"/>
      <c r="S749" s="730"/>
      <c r="T749" s="730"/>
      <c r="U749" s="730"/>
      <c r="V749" s="730"/>
      <c r="Y749" s="298"/>
      <c r="Z749" s="299"/>
      <c r="AA749" s="279"/>
      <c r="AB749" s="731"/>
      <c r="AC749" s="732"/>
      <c r="AD749" s="280"/>
      <c r="AE749" s="335"/>
    </row>
    <row r="750" spans="3:31" ht="15.9" customHeight="1" x14ac:dyDescent="0.3">
      <c r="C750" s="292"/>
      <c r="D750" s="311"/>
      <c r="E750" s="279"/>
      <c r="F750" s="279"/>
      <c r="G750" s="279"/>
      <c r="H750" s="279"/>
      <c r="I750" s="279"/>
      <c r="J750" s="312"/>
      <c r="K750" s="293"/>
      <c r="M750" s="307" t="s">
        <v>97</v>
      </c>
      <c r="N750" s="706" t="s">
        <v>98</v>
      </c>
      <c r="O750" s="706"/>
      <c r="P750" s="706"/>
      <c r="Q750" s="706"/>
      <c r="R750" s="307" t="s">
        <v>99</v>
      </c>
      <c r="S750" s="307" t="s">
        <v>107</v>
      </c>
      <c r="T750" s="336" t="s">
        <v>108</v>
      </c>
      <c r="U750" s="336" t="s">
        <v>8</v>
      </c>
      <c r="V750" s="307" t="s">
        <v>101</v>
      </c>
      <c r="Y750" s="308" t="s">
        <v>107</v>
      </c>
      <c r="Z750" s="309" t="s">
        <v>9</v>
      </c>
      <c r="AA750" s="279"/>
      <c r="AB750" s="290"/>
      <c r="AC750" s="291"/>
      <c r="AD750" s="280"/>
      <c r="AE750" s="337"/>
    </row>
    <row r="751" spans="3:31" ht="15.9" customHeight="1" x14ac:dyDescent="0.3">
      <c r="C751" s="292"/>
      <c r="D751" s="311"/>
      <c r="E751" s="279"/>
      <c r="F751" s="279"/>
      <c r="G751" s="279"/>
      <c r="H751" s="279"/>
      <c r="I751" s="279"/>
      <c r="J751" s="312"/>
      <c r="K751" s="293"/>
      <c r="M751" s="313">
        <v>405</v>
      </c>
      <c r="N751" s="718" t="str">
        <f>IFERROR(VLOOKUP(M751,INSUMOS!$C$8:$K$934,2,0),"-----")</f>
        <v>Arena gruesa</v>
      </c>
      <c r="O751" s="718"/>
      <c r="P751" s="718"/>
      <c r="Q751" s="718"/>
      <c r="R751" s="314" t="str">
        <f>IFERROR(VLOOKUP(M751,INSUMOS!$C$8:$K$934,6,0),"-----")</f>
        <v>m3</v>
      </c>
      <c r="S751" s="322">
        <f>1*0.1*0.7</f>
        <v>6.9999999999999993E-2</v>
      </c>
      <c r="T751" s="315">
        <v>0.02</v>
      </c>
      <c r="U751" s="338">
        <f>IFERROR(VLOOKUP(M751,INSUMOS!$C$8:$K$934,7,0),"0")</f>
        <v>117647</v>
      </c>
      <c r="V751" s="316">
        <f>+IFERROR(U751*(S751*(1+T751)),0)</f>
        <v>8399.9957999999988</v>
      </c>
      <c r="Y751" s="321">
        <f>+IFERROR(Y739*(S751*(1+T751)),0)</f>
        <v>7.0400399999999985</v>
      </c>
      <c r="Z751" s="318">
        <f>Y739*V751</f>
        <v>828239.58587999979</v>
      </c>
      <c r="AA751" s="300"/>
      <c r="AB751" s="301">
        <f>+Y751*U751</f>
        <v>828239.58587999979</v>
      </c>
      <c r="AC751" s="302">
        <f>+AB751-Z751</f>
        <v>0</v>
      </c>
      <c r="AD751" s="280"/>
      <c r="AE751" s="337" t="str">
        <f t="shared" ref="AE751:AE753" si="98">+IF(V751=0,"CERO","NO")</f>
        <v>NO</v>
      </c>
    </row>
    <row r="752" spans="3:31" ht="15.9" customHeight="1" x14ac:dyDescent="0.3">
      <c r="C752" s="292"/>
      <c r="D752" s="311"/>
      <c r="E752" s="279"/>
      <c r="F752" s="279"/>
      <c r="G752" s="279"/>
      <c r="H752" s="279"/>
      <c r="I752" s="279"/>
      <c r="J752" s="312"/>
      <c r="K752" s="293"/>
      <c r="M752" s="313">
        <v>0</v>
      </c>
      <c r="N752" s="718" t="str">
        <f>IFERROR(VLOOKUP(M752,INSUMOS!$C$8:$K$934,2,0),"-----")</f>
        <v>-----</v>
      </c>
      <c r="O752" s="718"/>
      <c r="P752" s="718"/>
      <c r="Q752" s="718"/>
      <c r="R752" s="314" t="str">
        <f>IFERROR(VLOOKUP(M752,INSUMOS!$C$8:$K$934,6,0),"-----")</f>
        <v>-----</v>
      </c>
      <c r="S752" s="322"/>
      <c r="T752" s="315"/>
      <c r="U752" s="338" t="str">
        <f>IFERROR(VLOOKUP(M752,INSUMOS!$C$8:$K$934,7,0),"0")</f>
        <v>0</v>
      </c>
      <c r="V752" s="316">
        <f>+IFERROR(U752*(S752*(1+T752)),0)</f>
        <v>0</v>
      </c>
      <c r="Y752" s="321">
        <f>+IFERROR(Y739*(S752*(1+T752)),0)</f>
        <v>0</v>
      </c>
      <c r="Z752" s="318">
        <f>Y739*V752</f>
        <v>0</v>
      </c>
      <c r="AA752" s="300"/>
      <c r="AB752" s="301">
        <f t="shared" ref="AB752:AB753" si="99">+Y752*U752</f>
        <v>0</v>
      </c>
      <c r="AC752" s="302">
        <f t="shared" ref="AC752:AC753" si="100">+AB752-Z752</f>
        <v>0</v>
      </c>
      <c r="AD752" s="280"/>
      <c r="AE752" s="337" t="str">
        <f t="shared" si="98"/>
        <v>CERO</v>
      </c>
    </row>
    <row r="753" spans="3:31" ht="15.9" customHeight="1" thickBot="1" x14ac:dyDescent="0.35">
      <c r="C753" s="292"/>
      <c r="D753" s="311"/>
      <c r="E753" s="279"/>
      <c r="F753" s="279"/>
      <c r="G753" s="279"/>
      <c r="H753" s="279"/>
      <c r="I753" s="279"/>
      <c r="J753" s="312"/>
      <c r="K753" s="293"/>
      <c r="M753" s="313">
        <v>0</v>
      </c>
      <c r="N753" s="718" t="str">
        <f>IFERROR(VLOOKUP(M753,INSUMOS!$C$8:$K$934,2,0),"-----")</f>
        <v>-----</v>
      </c>
      <c r="O753" s="718"/>
      <c r="P753" s="718"/>
      <c r="Q753" s="718"/>
      <c r="R753" s="314" t="str">
        <f>IFERROR(VLOOKUP(M753,INSUMOS!$C$8:$K$934,6,0),"-----")</f>
        <v>-----</v>
      </c>
      <c r="S753" s="322"/>
      <c r="T753" s="315"/>
      <c r="U753" s="338" t="str">
        <f>IFERROR(VLOOKUP(M753,INSUMOS!$C$8:$K$934,7,0),"0")</f>
        <v>0</v>
      </c>
      <c r="V753" s="316">
        <f>+IFERROR(U753*(S753*(1+T753)),0)</f>
        <v>0</v>
      </c>
      <c r="Y753" s="321">
        <f>+IFERROR(Y739*(S753*(1+T753)),0)</f>
        <v>0</v>
      </c>
      <c r="Z753" s="318">
        <f>Y739*V753</f>
        <v>0</v>
      </c>
      <c r="AA753" s="300"/>
      <c r="AB753" s="301">
        <f t="shared" si="99"/>
        <v>0</v>
      </c>
      <c r="AC753" s="302">
        <f t="shared" si="100"/>
        <v>0</v>
      </c>
      <c r="AD753" s="280"/>
      <c r="AE753" s="337" t="str">
        <f t="shared" si="98"/>
        <v>CERO</v>
      </c>
    </row>
    <row r="754" spans="3:31" ht="15.9" customHeight="1" thickBot="1" x14ac:dyDescent="0.35">
      <c r="C754" s="292"/>
      <c r="D754" s="295" t="s">
        <v>132</v>
      </c>
      <c r="E754" s="296" t="s">
        <v>133</v>
      </c>
      <c r="F754" s="296" t="s">
        <v>134</v>
      </c>
      <c r="G754" s="296" t="s">
        <v>135</v>
      </c>
      <c r="H754" s="296" t="s">
        <v>136</v>
      </c>
      <c r="I754" s="296" t="s">
        <v>137</v>
      </c>
      <c r="J754" s="297" t="s">
        <v>138</v>
      </c>
      <c r="K754" s="293"/>
      <c r="M754" s="724"/>
      <c r="N754" s="725" t="s">
        <v>109</v>
      </c>
      <c r="O754" s="725"/>
      <c r="P754" s="725"/>
      <c r="Q754" s="725"/>
      <c r="R754" s="725"/>
      <c r="S754" s="725"/>
      <c r="T754" s="725"/>
      <c r="U754" s="725"/>
      <c r="V754" s="316">
        <f>+SUM(V751:V753)</f>
        <v>8399.9957999999988</v>
      </c>
      <c r="Y754" s="328" t="s">
        <v>139</v>
      </c>
      <c r="Z754" s="329">
        <f>+SUM(Z751:Z753)</f>
        <v>828239.58587999979</v>
      </c>
      <c r="AA754" s="279"/>
      <c r="AB754" s="290"/>
      <c r="AC754" s="291"/>
      <c r="AD754" s="280"/>
      <c r="AE754" s="330"/>
    </row>
    <row r="755" spans="3:31" ht="15.9" customHeight="1" thickBot="1" x14ac:dyDescent="0.35">
      <c r="C755" s="292"/>
      <c r="D755" s="295"/>
      <c r="E755" s="343">
        <f>+D748</f>
        <v>1.9</v>
      </c>
      <c r="F755" s="296"/>
      <c r="G755" s="296"/>
      <c r="H755" s="296"/>
      <c r="I755" s="296"/>
      <c r="J755" s="297"/>
      <c r="K755" s="293"/>
      <c r="M755" s="724"/>
      <c r="N755" s="726" t="s">
        <v>110</v>
      </c>
      <c r="O755" s="726"/>
      <c r="P755" s="726"/>
      <c r="Q755" s="726"/>
      <c r="R755" s="726"/>
      <c r="S755" s="726"/>
      <c r="T755" s="726"/>
      <c r="U755" s="726"/>
      <c r="V755" s="344">
        <f>+ROUND(V754,$AA$2)</f>
        <v>8400</v>
      </c>
      <c r="Y755" s="332" t="s">
        <v>140</v>
      </c>
      <c r="Z755" s="333">
        <f>+ROUND(Z754,$AA$2)</f>
        <v>828240</v>
      </c>
      <c r="AA755" s="279"/>
      <c r="AB755" s="324">
        <f>+V755*Y739</f>
        <v>828240</v>
      </c>
      <c r="AC755" s="325">
        <f>+AB755-Z755</f>
        <v>0</v>
      </c>
      <c r="AD755" s="280"/>
      <c r="AE755" s="334"/>
    </row>
    <row r="756" spans="3:31" ht="15.9" customHeight="1" x14ac:dyDescent="0.3">
      <c r="C756" s="292"/>
      <c r="D756" s="304"/>
      <c r="E756" s="305"/>
      <c r="F756" s="305"/>
      <c r="G756" s="305"/>
      <c r="H756" s="305"/>
      <c r="I756" s="305"/>
      <c r="J756" s="306"/>
      <c r="K756" s="293"/>
      <c r="M756" s="733" t="s">
        <v>111</v>
      </c>
      <c r="N756" s="733"/>
      <c r="O756" s="733"/>
      <c r="P756" s="733"/>
      <c r="Q756" s="733"/>
      <c r="R756" s="733"/>
      <c r="S756" s="733"/>
      <c r="T756" s="733"/>
      <c r="U756" s="733"/>
      <c r="V756" s="733"/>
      <c r="Y756" s="298"/>
      <c r="Z756" s="299"/>
      <c r="AA756" s="279"/>
      <c r="AB756" s="342"/>
      <c r="AC756" s="299"/>
      <c r="AD756" s="280"/>
      <c r="AE756" s="335"/>
    </row>
    <row r="757" spans="3:31" ht="27.6" x14ac:dyDescent="0.3">
      <c r="C757" s="292"/>
      <c r="D757" s="311"/>
      <c r="E757" s="279"/>
      <c r="F757" s="279"/>
      <c r="G757" s="279"/>
      <c r="H757" s="279"/>
      <c r="I757" s="279"/>
      <c r="J757" s="312"/>
      <c r="K757" s="293"/>
      <c r="M757" s="307" t="s">
        <v>97</v>
      </c>
      <c r="N757" s="706" t="s">
        <v>98</v>
      </c>
      <c r="O757" s="706"/>
      <c r="P757" s="706"/>
      <c r="Q757" s="307" t="s">
        <v>112</v>
      </c>
      <c r="R757" s="307" t="s">
        <v>113</v>
      </c>
      <c r="S757" s="307" t="s">
        <v>114</v>
      </c>
      <c r="T757" s="734" t="s">
        <v>115</v>
      </c>
      <c r="U757" s="734"/>
      <c r="V757" s="307" t="s">
        <v>101</v>
      </c>
      <c r="Y757" s="308" t="s">
        <v>107</v>
      </c>
      <c r="Z757" s="309" t="s">
        <v>9</v>
      </c>
      <c r="AA757" s="279"/>
      <c r="AB757" s="290"/>
      <c r="AC757" s="291"/>
      <c r="AD757" s="280"/>
      <c r="AE757" s="349"/>
    </row>
    <row r="758" spans="3:31" ht="14.4" x14ac:dyDescent="0.3">
      <c r="C758" s="350"/>
      <c r="D758" s="351"/>
      <c r="E758" s="345"/>
      <c r="F758" s="345"/>
      <c r="G758" s="345"/>
      <c r="H758" s="345"/>
      <c r="I758" s="345"/>
      <c r="J758" s="352"/>
      <c r="K758" s="353"/>
      <c r="M758" s="354">
        <v>100</v>
      </c>
      <c r="N758" s="718" t="str">
        <f>IFERROR(VLOOKUP(M758,INSUMOS!$C$8:$K$934,2,0),"-----")</f>
        <v>Transporte Arena - Pescadero</v>
      </c>
      <c r="O758" s="718"/>
      <c r="P758" s="718"/>
      <c r="Q758" s="314" t="str">
        <f>IFERROR(VLOOKUP(M758,INSUMOS!$C$8:$K$934,5,0),"-----")</f>
        <v>m3/km</v>
      </c>
      <c r="R758" s="355">
        <v>7.0000000000000007E-2</v>
      </c>
      <c r="S758" s="355">
        <f>IFERROR(VLOOKUP(M758,INSUMOS!$C$8:$K$934,6,0),"0")</f>
        <v>60.3</v>
      </c>
      <c r="T758" s="719">
        <f>IFERROR(VLOOKUP(M758,INSUMOS!$C$8:$K$934,7,0),"0")</f>
        <v>1800</v>
      </c>
      <c r="U758" s="719"/>
      <c r="V758" s="515">
        <f>+T758*S758*R758</f>
        <v>7597.8000000000011</v>
      </c>
      <c r="Y758" s="321">
        <f>+IFERROR((R758*S758)*Y739,0)</f>
        <v>416.19059999999996</v>
      </c>
      <c r="Z758" s="318">
        <f>Y739*V758</f>
        <v>749143.08000000007</v>
      </c>
      <c r="AA758" s="345"/>
      <c r="AB758" s="346">
        <f>+Y758*T758</f>
        <v>749143.08</v>
      </c>
      <c r="AC758" s="347">
        <f>+AB758-Z758</f>
        <v>0</v>
      </c>
      <c r="AD758" s="348"/>
      <c r="AE758" s="337" t="str">
        <f t="shared" ref="AE758:AE761" si="101">+IF(V758=0,"CERO","NO")</f>
        <v>NO</v>
      </c>
    </row>
    <row r="759" spans="3:31" ht="15.9" customHeight="1" x14ac:dyDescent="0.3">
      <c r="C759" s="350"/>
      <c r="D759" s="351"/>
      <c r="E759" s="345"/>
      <c r="F759" s="345"/>
      <c r="G759" s="345"/>
      <c r="H759" s="345"/>
      <c r="I759" s="345"/>
      <c r="J759" s="352"/>
      <c r="K759" s="353"/>
      <c r="M759" s="354">
        <v>0</v>
      </c>
      <c r="N759" s="718" t="str">
        <f>IFERROR(VLOOKUP(M759,INSUMOS!$C$8:$K$934,2,0),"-----")</f>
        <v>-----</v>
      </c>
      <c r="O759" s="718"/>
      <c r="P759" s="718"/>
      <c r="Q759" s="314" t="str">
        <f>IFERROR(VLOOKUP(M759,INSUMOS!$C$8:$K$934,5,0),"-----")</f>
        <v>-----</v>
      </c>
      <c r="R759" s="355"/>
      <c r="S759" s="355" t="str">
        <f>IFERROR(VLOOKUP(M759,INSUMOS!$C$8:$K$934,6,0),"0")</f>
        <v>0</v>
      </c>
      <c r="T759" s="719" t="str">
        <f>IFERROR(VLOOKUP(M759,INSUMOS!$C$8:$K$934,7,0),"0")</f>
        <v>0</v>
      </c>
      <c r="U759" s="719"/>
      <c r="V759" s="515">
        <f>+T759*S759*R759</f>
        <v>0</v>
      </c>
      <c r="Y759" s="321">
        <f>+IFERROR((R759*S759)*Y739,0)</f>
        <v>0</v>
      </c>
      <c r="Z759" s="318">
        <f>Y739*V759</f>
        <v>0</v>
      </c>
      <c r="AA759" s="345"/>
      <c r="AB759" s="346">
        <f>+Y759*T759</f>
        <v>0</v>
      </c>
      <c r="AC759" s="347">
        <f>+AB759-Z759</f>
        <v>0</v>
      </c>
      <c r="AD759" s="348"/>
      <c r="AE759" s="337" t="str">
        <f t="shared" si="101"/>
        <v>CERO</v>
      </c>
    </row>
    <row r="760" spans="3:31" ht="15.9" customHeight="1" x14ac:dyDescent="0.3">
      <c r="C760" s="350"/>
      <c r="D760" s="351"/>
      <c r="E760" s="345"/>
      <c r="F760" s="345"/>
      <c r="G760" s="345"/>
      <c r="H760" s="345"/>
      <c r="I760" s="345"/>
      <c r="J760" s="352"/>
      <c r="K760" s="353"/>
      <c r="M760" s="354">
        <v>0</v>
      </c>
      <c r="N760" s="718" t="str">
        <f>IFERROR(VLOOKUP(M760,INSUMOS!$C$8:$K$934,2,0),"-----")</f>
        <v>-----</v>
      </c>
      <c r="O760" s="718"/>
      <c r="P760" s="718"/>
      <c r="Q760" s="314" t="str">
        <f>IFERROR(VLOOKUP(M760,INSUMOS!$C$8:$K$934,5,0),"-----")</f>
        <v>-----</v>
      </c>
      <c r="R760" s="355"/>
      <c r="S760" s="355" t="str">
        <f>IFERROR(VLOOKUP(M760,INSUMOS!$C$8:$K$934,6,0),"0")</f>
        <v>0</v>
      </c>
      <c r="T760" s="719" t="str">
        <f>IFERROR(VLOOKUP(M760,INSUMOS!$C$8:$K$934,7,0),"0")</f>
        <v>0</v>
      </c>
      <c r="U760" s="719"/>
      <c r="V760" s="515">
        <f>+T760*S760*R760</f>
        <v>0</v>
      </c>
      <c r="Y760" s="321">
        <f>+IFERROR((R760*S760)*Y739,0)</f>
        <v>0</v>
      </c>
      <c r="Z760" s="318">
        <f>Y739*V760</f>
        <v>0</v>
      </c>
      <c r="AA760" s="345"/>
      <c r="AB760" s="346">
        <f t="shared" ref="AB760" si="102">+Y760*T760</f>
        <v>0</v>
      </c>
      <c r="AC760" s="347">
        <f t="shared" ref="AC760" si="103">+AB760-Z760</f>
        <v>0</v>
      </c>
      <c r="AD760" s="348"/>
      <c r="AE760" s="337" t="str">
        <f t="shared" si="101"/>
        <v>CERO</v>
      </c>
    </row>
    <row r="761" spans="3:31" ht="15.9" customHeight="1" thickBot="1" x14ac:dyDescent="0.35">
      <c r="C761" s="350"/>
      <c r="D761" s="360"/>
      <c r="E761" s="361"/>
      <c r="F761" s="361"/>
      <c r="G761" s="361"/>
      <c r="H761" s="361"/>
      <c r="I761" s="361"/>
      <c r="J761" s="362"/>
      <c r="K761" s="353"/>
      <c r="M761" s="354">
        <v>0</v>
      </c>
      <c r="N761" s="718"/>
      <c r="O761" s="718"/>
      <c r="P761" s="718"/>
      <c r="Q761" s="357"/>
      <c r="R761" s="314"/>
      <c r="S761" s="358"/>
      <c r="T761" s="719"/>
      <c r="U761" s="719"/>
      <c r="V761" s="515"/>
      <c r="Y761" s="321">
        <f>+IFERROR((R761*S761)*Y739,0)</f>
        <v>0</v>
      </c>
      <c r="Z761" s="318">
        <f>Y739*V761</f>
        <v>0</v>
      </c>
      <c r="AA761" s="345"/>
      <c r="AB761" s="346">
        <f>+Y761*T761</f>
        <v>0</v>
      </c>
      <c r="AC761" s="347">
        <f>+AB761-Z761</f>
        <v>0</v>
      </c>
      <c r="AD761" s="348"/>
      <c r="AE761" s="337" t="str">
        <f t="shared" si="101"/>
        <v>CERO</v>
      </c>
    </row>
    <row r="762" spans="3:31" ht="15.9" customHeight="1" thickBot="1" x14ac:dyDescent="0.35">
      <c r="C762" s="292"/>
      <c r="D762" s="295" t="s">
        <v>132</v>
      </c>
      <c r="E762" s="296" t="s">
        <v>133</v>
      </c>
      <c r="F762" s="296" t="s">
        <v>134</v>
      </c>
      <c r="G762" s="296" t="s">
        <v>135</v>
      </c>
      <c r="H762" s="296" t="s">
        <v>136</v>
      </c>
      <c r="I762" s="296" t="s">
        <v>137</v>
      </c>
      <c r="J762" s="297" t="s">
        <v>138</v>
      </c>
      <c r="K762" s="293"/>
      <c r="M762" s="720"/>
      <c r="N762" s="721" t="s">
        <v>116</v>
      </c>
      <c r="O762" s="721"/>
      <c r="P762" s="721"/>
      <c r="Q762" s="721"/>
      <c r="R762" s="721"/>
      <c r="S762" s="721"/>
      <c r="T762" s="721"/>
      <c r="U762" s="721"/>
      <c r="V762" s="499">
        <f>+SUM(V758:V761)</f>
        <v>7597.8000000000011</v>
      </c>
      <c r="Y762" s="328" t="s">
        <v>139</v>
      </c>
      <c r="Z762" s="329">
        <f>+SUM(Z758:Z761)</f>
        <v>749143.08000000007</v>
      </c>
      <c r="AA762" s="279"/>
      <c r="AB762" s="290"/>
      <c r="AC762" s="291"/>
      <c r="AD762" s="280"/>
      <c r="AE762" s="330"/>
    </row>
    <row r="763" spans="3:31" ht="15.9" customHeight="1" thickBot="1" x14ac:dyDescent="0.35">
      <c r="C763" s="292"/>
      <c r="D763" s="363"/>
      <c r="E763" s="364"/>
      <c r="F763" s="365">
        <f>+E755</f>
        <v>1.9</v>
      </c>
      <c r="G763" s="364"/>
      <c r="H763" s="364"/>
      <c r="I763" s="364"/>
      <c r="J763" s="366"/>
      <c r="K763" s="293"/>
      <c r="M763" s="720"/>
      <c r="N763" s="722" t="s">
        <v>117</v>
      </c>
      <c r="O763" s="722"/>
      <c r="P763" s="722"/>
      <c r="Q763" s="722"/>
      <c r="R763" s="722"/>
      <c r="S763" s="722"/>
      <c r="T763" s="722"/>
      <c r="U763" s="722"/>
      <c r="V763" s="344">
        <f>+ROUND(V762,$AA$2)</f>
        <v>7598</v>
      </c>
      <c r="Y763" s="332" t="s">
        <v>140</v>
      </c>
      <c r="Z763" s="333">
        <f>+ROUND(Z762,$AA$2)</f>
        <v>749143</v>
      </c>
      <c r="AA763" s="279"/>
      <c r="AB763" s="324">
        <f>+V763*Y739</f>
        <v>749162.79999999993</v>
      </c>
      <c r="AC763" s="359"/>
      <c r="AD763" s="280"/>
      <c r="AE763" s="334"/>
    </row>
    <row r="764" spans="3:31" ht="15.9" customHeight="1" thickBot="1" x14ac:dyDescent="0.35">
      <c r="C764" s="292"/>
      <c r="D764" s="369"/>
      <c r="E764" s="370"/>
      <c r="F764" s="370"/>
      <c r="G764" s="370"/>
      <c r="H764" s="370"/>
      <c r="I764" s="370"/>
      <c r="J764" s="371"/>
      <c r="K764" s="293"/>
      <c r="M764" s="723" t="s">
        <v>118</v>
      </c>
      <c r="N764" s="723"/>
      <c r="O764" s="723"/>
      <c r="P764" s="723"/>
      <c r="Q764" s="723"/>
      <c r="R764" s="723"/>
      <c r="S764" s="723"/>
      <c r="T764" s="723"/>
      <c r="U764" s="723"/>
      <c r="V764" s="723"/>
      <c r="Y764" s="298"/>
      <c r="Z764" s="299"/>
      <c r="AA764" s="279"/>
      <c r="AB764" s="342"/>
      <c r="AC764" s="299"/>
      <c r="AD764" s="280"/>
      <c r="AE764" s="335"/>
    </row>
    <row r="765" spans="3:31" ht="15.9" customHeight="1" thickBot="1" x14ac:dyDescent="0.35">
      <c r="C765" s="292"/>
      <c r="D765" s="295" t="s">
        <v>132</v>
      </c>
      <c r="E765" s="296" t="s">
        <v>133</v>
      </c>
      <c r="F765" s="296" t="s">
        <v>134</v>
      </c>
      <c r="G765" s="296" t="s">
        <v>135</v>
      </c>
      <c r="H765" s="296" t="s">
        <v>136</v>
      </c>
      <c r="I765" s="296" t="s">
        <v>137</v>
      </c>
      <c r="J765" s="297" t="s">
        <v>138</v>
      </c>
      <c r="K765" s="293"/>
      <c r="M765" s="307" t="s">
        <v>97</v>
      </c>
      <c r="N765" s="372" t="s">
        <v>98</v>
      </c>
      <c r="O765" s="307" t="s">
        <v>99</v>
      </c>
      <c r="P765" s="396" t="s">
        <v>107</v>
      </c>
      <c r="Q765" s="307" t="s">
        <v>119</v>
      </c>
      <c r="R765" s="373" t="s">
        <v>120</v>
      </c>
      <c r="S765" s="307" t="s">
        <v>363</v>
      </c>
      <c r="T765" s="374" t="s">
        <v>121</v>
      </c>
      <c r="U765" s="375" t="s">
        <v>122</v>
      </c>
      <c r="V765" s="307" t="s">
        <v>101</v>
      </c>
      <c r="Y765" s="308" t="s">
        <v>107</v>
      </c>
      <c r="Z765" s="309" t="s">
        <v>9</v>
      </c>
      <c r="AA765" s="279"/>
      <c r="AB765" s="290"/>
      <c r="AC765" s="291"/>
      <c r="AD765" s="280"/>
      <c r="AE765" s="349"/>
    </row>
    <row r="766" spans="3:31" ht="14.4" x14ac:dyDescent="0.3">
      <c r="C766" s="292"/>
      <c r="D766" s="376"/>
      <c r="E766" s="377"/>
      <c r="F766" s="377"/>
      <c r="G766" s="377"/>
      <c r="H766" s="377"/>
      <c r="I766" s="377"/>
      <c r="J766" s="378">
        <f>+F763</f>
        <v>1.9</v>
      </c>
      <c r="K766" s="293"/>
      <c r="M766" s="313">
        <v>201</v>
      </c>
      <c r="N766" s="379" t="str">
        <f>IFERROR(VLOOKUP(M766,INSUMOS!$C$8:$K$934,2,0),"-----")</f>
        <v>Oficial Albañileria</v>
      </c>
      <c r="O766" s="314" t="str">
        <f>IFERROR(VLOOKUP(M766,INSUMOS!$C$8:$K$934,3,0),"-----")</f>
        <v>JORNAL+PS</v>
      </c>
      <c r="P766" s="355">
        <v>1</v>
      </c>
      <c r="Q766" s="339">
        <v>40</v>
      </c>
      <c r="R766" s="380">
        <f>IFERROR(VLOOKUP(M766,INSUMOS!$C$8:$K$934,4,0),"-----")</f>
        <v>114970</v>
      </c>
      <c r="S766" s="380">
        <f>IFERROR(VLOOKUP(M766,INSUMOS!$C$8:$K$934,6,0),"-----")</f>
        <v>91976</v>
      </c>
      <c r="T766" s="380">
        <f>IFERROR(VLOOKUP(M766,INSUMOS!$C$8:$K$934,5,0),"-----")</f>
        <v>0</v>
      </c>
      <c r="U766" s="338">
        <f>SUM(R766:T766)</f>
        <v>206946</v>
      </c>
      <c r="V766" s="316">
        <f>+IFERROR((P766/Q766)*U766,0)</f>
        <v>5173.6500000000005</v>
      </c>
      <c r="Y766" s="321">
        <f>+IFERROR((Y739/Q766*P766),0)</f>
        <v>2.4649999999999999</v>
      </c>
      <c r="Z766" s="318">
        <f>Y739*V766</f>
        <v>510121.89</v>
      </c>
      <c r="AA766" s="279"/>
      <c r="AB766" s="367">
        <f>+(U766)*Y766</f>
        <v>510121.88999999996</v>
      </c>
      <c r="AC766" s="302">
        <f>+AB766-Z766</f>
        <v>0</v>
      </c>
      <c r="AD766" s="368"/>
      <c r="AE766" s="349" t="str">
        <f>+IF(V766=0,"CERO","NO")</f>
        <v>NO</v>
      </c>
    </row>
    <row r="767" spans="3:31" ht="15.9" customHeight="1" thickBot="1" x14ac:dyDescent="0.35">
      <c r="C767" s="292"/>
      <c r="D767" s="363"/>
      <c r="E767" s="364"/>
      <c r="F767" s="364"/>
      <c r="G767" s="364"/>
      <c r="H767" s="364"/>
      <c r="I767" s="364"/>
      <c r="J767" s="381">
        <f>+J766</f>
        <v>1.9</v>
      </c>
      <c r="K767" s="293"/>
      <c r="M767" s="313">
        <v>202</v>
      </c>
      <c r="N767" s="379" t="str">
        <f>IFERROR(VLOOKUP(M767,INSUMOS!$C$8:$K$934,2,0),"-----")</f>
        <v>Ayudante Albañileria</v>
      </c>
      <c r="O767" s="314" t="str">
        <f>IFERROR(VLOOKUP(M767,INSUMOS!$C$8:$K$934,3,0),"-----")</f>
        <v>JORNAL+PS</v>
      </c>
      <c r="P767" s="355">
        <v>2</v>
      </c>
      <c r="Q767" s="339">
        <v>40</v>
      </c>
      <c r="R767" s="380">
        <f>IFERROR(VLOOKUP(M767,INSUMOS!$C$8:$K$934,4,0),"-----")</f>
        <v>94970</v>
      </c>
      <c r="S767" s="380">
        <f>IFERROR(VLOOKUP(M767,INSUMOS!$C$8:$K$934,6,0),"-----")</f>
        <v>75976</v>
      </c>
      <c r="T767" s="380">
        <f>IFERROR(VLOOKUP(M767,INSUMOS!$C$8:$K$934,5,0),"-----")</f>
        <v>0</v>
      </c>
      <c r="U767" s="338">
        <f>SUM(R767:T767)</f>
        <v>170946</v>
      </c>
      <c r="V767" s="316">
        <f>+IFERROR((P767/Q767)*U767,0)</f>
        <v>8547.3000000000011</v>
      </c>
      <c r="Y767" s="321">
        <f>+IFERROR((Y739/Q767*P767),0)</f>
        <v>4.93</v>
      </c>
      <c r="Z767" s="318">
        <f>Y739*V767</f>
        <v>842763.78</v>
      </c>
      <c r="AA767" s="279"/>
      <c r="AB767" s="367">
        <f>+U767*Y767</f>
        <v>842763.77999999991</v>
      </c>
      <c r="AC767" s="302">
        <f>+AB767-Z767</f>
        <v>0</v>
      </c>
      <c r="AD767" s="280"/>
      <c r="AE767" s="349" t="str">
        <f t="shared" ref="AE767:AE768" si="104">+IF(V767=0,"CERO","NO")</f>
        <v>NO</v>
      </c>
    </row>
    <row r="768" spans="3:31" ht="15.9" customHeight="1" thickBot="1" x14ac:dyDescent="0.35">
      <c r="C768" s="292"/>
      <c r="D768" s="304"/>
      <c r="E768" s="305"/>
      <c r="F768" s="305"/>
      <c r="G768" s="305"/>
      <c r="H768" s="305"/>
      <c r="I768" s="305"/>
      <c r="J768" s="306"/>
      <c r="K768" s="293"/>
      <c r="M768" s="313">
        <v>0</v>
      </c>
      <c r="N768" s="379"/>
      <c r="O768" s="339"/>
      <c r="P768" s="382"/>
      <c r="Q768" s="319"/>
      <c r="R768" s="383"/>
      <c r="S768" s="384"/>
      <c r="T768" s="383"/>
      <c r="U768" s="338"/>
      <c r="V768" s="323"/>
      <c r="Y768" s="321">
        <f>+IFERROR((Y739/Q768*P768),0)</f>
        <v>0</v>
      </c>
      <c r="Z768" s="318">
        <f>Y739*V768</f>
        <v>0</v>
      </c>
      <c r="AA768" s="279"/>
      <c r="AB768" s="367">
        <f>+(U768)*Y768*P768</f>
        <v>0</v>
      </c>
      <c r="AC768" s="302">
        <f>+AB768-Z768</f>
        <v>0</v>
      </c>
      <c r="AD768" s="280"/>
      <c r="AE768" s="349" t="str">
        <f t="shared" si="104"/>
        <v>CERO</v>
      </c>
    </row>
    <row r="769" spans="3:31" ht="15.9" customHeight="1" thickBot="1" x14ac:dyDescent="0.35">
      <c r="C769" s="292"/>
      <c r="D769" s="295" t="s">
        <v>132</v>
      </c>
      <c r="E769" s="296" t="s">
        <v>133</v>
      </c>
      <c r="F769" s="296" t="s">
        <v>134</v>
      </c>
      <c r="G769" s="296" t="s">
        <v>135</v>
      </c>
      <c r="H769" s="296" t="s">
        <v>136</v>
      </c>
      <c r="I769" s="296" t="s">
        <v>137</v>
      </c>
      <c r="J769" s="297" t="s">
        <v>138</v>
      </c>
      <c r="K769" s="293"/>
      <c r="M769" s="724"/>
      <c r="N769" s="725" t="s">
        <v>123</v>
      </c>
      <c r="O769" s="725"/>
      <c r="P769" s="725"/>
      <c r="Q769" s="725"/>
      <c r="R769" s="725"/>
      <c r="S769" s="725"/>
      <c r="T769" s="725"/>
      <c r="U769" s="725"/>
      <c r="V769" s="316">
        <f>+SUM(V766:V768)</f>
        <v>13720.95</v>
      </c>
      <c r="Y769" s="328" t="s">
        <v>139</v>
      </c>
      <c r="Z769" s="329">
        <f>+SUM(Z766:Z768)</f>
        <v>1352885.67</v>
      </c>
      <c r="AA769" s="279"/>
      <c r="AB769" s="290"/>
      <c r="AC769" s="291"/>
      <c r="AD769" s="280"/>
      <c r="AE769" s="330"/>
    </row>
    <row r="770" spans="3:31" ht="15.9" customHeight="1" thickBot="1" x14ac:dyDescent="0.35">
      <c r="C770" s="292"/>
      <c r="D770" s="376"/>
      <c r="E770" s="377"/>
      <c r="F770" s="377"/>
      <c r="G770" s="386">
        <f>+F763</f>
        <v>1.9</v>
      </c>
      <c r="H770" s="377"/>
      <c r="I770" s="377"/>
      <c r="J770" s="387"/>
      <c r="K770" s="293"/>
      <c r="M770" s="724"/>
      <c r="N770" s="726" t="s">
        <v>124</v>
      </c>
      <c r="O770" s="726"/>
      <c r="P770" s="726"/>
      <c r="Q770" s="726"/>
      <c r="R770" s="726"/>
      <c r="S770" s="726"/>
      <c r="T770" s="726"/>
      <c r="U770" s="726"/>
      <c r="V770" s="344">
        <f>+ROUND(V769,$AA$2)</f>
        <v>13721</v>
      </c>
      <c r="Y770" s="332" t="s">
        <v>140</v>
      </c>
      <c r="Z770" s="333">
        <f>+ROUND(Z769,$AA$2)</f>
        <v>1352886</v>
      </c>
      <c r="AA770" s="279"/>
      <c r="AB770" s="324">
        <f>+V770*Y739</f>
        <v>1352890.5999999999</v>
      </c>
      <c r="AC770" s="325">
        <f>+AB770-Z770</f>
        <v>4.5999999998603016</v>
      </c>
      <c r="AD770" s="280"/>
      <c r="AE770" s="334"/>
    </row>
    <row r="771" spans="3:31" ht="15.9" customHeight="1" thickBot="1" x14ac:dyDescent="0.35">
      <c r="C771" s="292"/>
      <c r="D771" s="295" t="s">
        <v>132</v>
      </c>
      <c r="E771" s="296" t="s">
        <v>133</v>
      </c>
      <c r="F771" s="296" t="s">
        <v>134</v>
      </c>
      <c r="G771" s="296" t="s">
        <v>135</v>
      </c>
      <c r="H771" s="296" t="s">
        <v>136</v>
      </c>
      <c r="I771" s="296" t="s">
        <v>137</v>
      </c>
      <c r="J771" s="297" t="s">
        <v>138</v>
      </c>
      <c r="K771" s="293"/>
      <c r="M771" s="727"/>
      <c r="N771" s="727"/>
      <c r="O771" s="727"/>
      <c r="P771" s="727"/>
      <c r="Q771" s="727"/>
      <c r="R771" s="727"/>
      <c r="S771" s="727"/>
      <c r="T771" s="727"/>
      <c r="U771" s="727"/>
      <c r="V771" s="727"/>
      <c r="Y771" s="298"/>
      <c r="Z771" s="299"/>
      <c r="AA771" s="279"/>
      <c r="AB771" s="342"/>
      <c r="AC771" s="299"/>
      <c r="AD771" s="280"/>
      <c r="AE771" s="388"/>
    </row>
    <row r="772" spans="3:31" ht="15.9" customHeight="1" thickBot="1" x14ac:dyDescent="0.35">
      <c r="C772" s="292"/>
      <c r="D772" s="363"/>
      <c r="E772" s="364"/>
      <c r="F772" s="364"/>
      <c r="G772" s="364"/>
      <c r="H772" s="365">
        <f>G770</f>
        <v>1.9</v>
      </c>
      <c r="I772" s="365"/>
      <c r="J772" s="381"/>
      <c r="K772" s="293"/>
      <c r="M772" s="726" t="s">
        <v>125</v>
      </c>
      <c r="N772" s="726"/>
      <c r="O772" s="726"/>
      <c r="P772" s="726"/>
      <c r="Q772" s="726"/>
      <c r="R772" s="726"/>
      <c r="S772" s="726"/>
      <c r="T772" s="726"/>
      <c r="U772" s="728">
        <f>+V770+V763+V755+V748</f>
        <v>30405</v>
      </c>
      <c r="V772" s="728"/>
      <c r="Y772" s="389"/>
      <c r="Z772" s="390">
        <f>+Z770+Z763+Z755+Z748</f>
        <v>2997914</v>
      </c>
      <c r="AA772" s="279"/>
      <c r="AB772" s="385">
        <f>+AB770+AB763+AB755+AB748</f>
        <v>2997933</v>
      </c>
      <c r="AC772" s="325">
        <f>+AB772-Z772</f>
        <v>19</v>
      </c>
      <c r="AD772" s="280"/>
      <c r="AE772" s="391"/>
    </row>
    <row r="773" spans="3:31" ht="15.9" customHeight="1" thickBot="1" x14ac:dyDescent="0.3">
      <c r="M773" s="412"/>
      <c r="N773" s="412"/>
      <c r="O773" s="412"/>
      <c r="P773" s="412"/>
      <c r="Q773" s="412"/>
      <c r="R773" s="412"/>
      <c r="S773" s="412"/>
      <c r="T773" s="412"/>
      <c r="U773" s="412"/>
      <c r="V773" s="412"/>
    </row>
    <row r="774" spans="3:31" ht="15.9" customHeight="1" x14ac:dyDescent="0.25">
      <c r="M774" s="729" t="s">
        <v>364</v>
      </c>
      <c r="N774" s="729"/>
      <c r="O774" s="729"/>
      <c r="P774" s="729"/>
      <c r="Q774" s="729"/>
      <c r="R774" s="729"/>
      <c r="S774" s="729"/>
      <c r="T774" s="729"/>
      <c r="U774" s="729"/>
      <c r="V774" s="729"/>
      <c r="Y774" s="298"/>
      <c r="Z774" s="299"/>
      <c r="AA774" s="279"/>
      <c r="AB774" s="280"/>
      <c r="AC774" s="280"/>
      <c r="AD774" s="280"/>
      <c r="AE774" s="335" t="s">
        <v>137</v>
      </c>
    </row>
    <row r="775" spans="3:31" ht="15.9" customHeight="1" x14ac:dyDescent="0.25">
      <c r="M775" s="700" t="s">
        <v>142</v>
      </c>
      <c r="N775" s="700"/>
      <c r="O775" s="700"/>
      <c r="P775" s="700"/>
      <c r="Q775" s="700"/>
      <c r="R775" s="700"/>
      <c r="S775" s="700"/>
      <c r="T775" s="413">
        <f>$AA$3</f>
        <v>0.25</v>
      </c>
      <c r="U775" s="701">
        <f>+ROUND(U772*T775,$AA$2)</f>
        <v>7601</v>
      </c>
      <c r="V775" s="701"/>
      <c r="Y775" s="317"/>
      <c r="Z775" s="414">
        <f>+Z772*T775</f>
        <v>749478.5</v>
      </c>
      <c r="AA775" s="279"/>
      <c r="AB775" s="280"/>
      <c r="AC775" s="280"/>
      <c r="AD775" s="280"/>
      <c r="AE775" s="310" t="s">
        <v>137</v>
      </c>
    </row>
    <row r="776" spans="3:31" ht="15.9" customHeight="1" x14ac:dyDescent="0.25">
      <c r="M776" s="700" t="s">
        <v>19</v>
      </c>
      <c r="N776" s="700"/>
      <c r="O776" s="700"/>
      <c r="P776" s="700"/>
      <c r="Q776" s="700"/>
      <c r="R776" s="700"/>
      <c r="S776" s="700"/>
      <c r="T776" s="413">
        <f>$AA$4</f>
        <v>0.03</v>
      </c>
      <c r="U776" s="701">
        <f>+ROUND(U772*T776,$AA$2)</f>
        <v>912</v>
      </c>
      <c r="V776" s="701"/>
      <c r="Y776" s="317"/>
      <c r="Z776" s="414">
        <f>+Z772*T776</f>
        <v>89937.42</v>
      </c>
      <c r="AA776" s="279"/>
      <c r="AB776" s="280"/>
      <c r="AC776" s="280"/>
      <c r="AD776" s="280"/>
      <c r="AE776" s="310" t="s">
        <v>137</v>
      </c>
    </row>
    <row r="777" spans="3:31" ht="15.9" customHeight="1" x14ac:dyDescent="0.25">
      <c r="M777" s="700" t="s">
        <v>20</v>
      </c>
      <c r="N777" s="700"/>
      <c r="O777" s="700"/>
      <c r="P777" s="700"/>
      <c r="Q777" s="700"/>
      <c r="R777" s="700"/>
      <c r="S777" s="700"/>
      <c r="T777" s="413">
        <f>$AA$5</f>
        <v>0.05</v>
      </c>
      <c r="U777" s="701">
        <f>+ROUND(U772*T777,$AA$2)</f>
        <v>1520</v>
      </c>
      <c r="V777" s="701"/>
      <c r="Y777" s="317"/>
      <c r="Z777" s="414">
        <f>+Z772*T777</f>
        <v>149895.70000000001</v>
      </c>
      <c r="AA777" s="279"/>
      <c r="AB777" s="280"/>
      <c r="AC777" s="280"/>
      <c r="AD777" s="280"/>
      <c r="AE777" s="310" t="s">
        <v>137</v>
      </c>
    </row>
    <row r="778" spans="3:31" ht="15.9" customHeight="1" x14ac:dyDescent="0.25">
      <c r="M778" s="700" t="s">
        <v>21</v>
      </c>
      <c r="N778" s="700"/>
      <c r="O778" s="700"/>
      <c r="P778" s="700"/>
      <c r="Q778" s="700"/>
      <c r="R778" s="700"/>
      <c r="S778" s="700"/>
      <c r="T778" s="413">
        <f>$AA$6</f>
        <v>0</v>
      </c>
      <c r="U778" s="701">
        <f>+ROUND(U772*T778,$AA$2)</f>
        <v>0</v>
      </c>
      <c r="V778" s="701"/>
      <c r="Y778" s="317"/>
      <c r="Z778" s="414">
        <f>+Z777*T778</f>
        <v>0</v>
      </c>
      <c r="AA778" s="279"/>
      <c r="AB778" s="280"/>
      <c r="AC778" s="280"/>
      <c r="AD778" s="280"/>
      <c r="AE778" s="310" t="s">
        <v>137</v>
      </c>
    </row>
    <row r="779" spans="3:31" ht="15.9" customHeight="1" thickBot="1" x14ac:dyDescent="0.3">
      <c r="M779" s="702" t="s">
        <v>365</v>
      </c>
      <c r="N779" s="702"/>
      <c r="O779" s="702"/>
      <c r="P779" s="702"/>
      <c r="Q779" s="702"/>
      <c r="R779" s="702"/>
      <c r="S779" s="702"/>
      <c r="T779" s="702"/>
      <c r="U779" s="703">
        <f>+SUM(U775:V778)</f>
        <v>10033</v>
      </c>
      <c r="V779" s="703"/>
      <c r="Y779" s="317"/>
      <c r="Z779" s="415">
        <f>+SUM(Z775:Z778)</f>
        <v>989311.62000000011</v>
      </c>
      <c r="AA779" s="279"/>
      <c r="AB779" s="280"/>
      <c r="AC779" s="280"/>
      <c r="AD779" s="280"/>
      <c r="AE779" s="310" t="s">
        <v>137</v>
      </c>
    </row>
    <row r="780" spans="3:31" ht="15.9" customHeight="1" thickBot="1" x14ac:dyDescent="0.3">
      <c r="D780" s="295" t="s">
        <v>132</v>
      </c>
      <c r="E780" s="296" t="s">
        <v>133</v>
      </c>
      <c r="F780" s="296" t="s">
        <v>134</v>
      </c>
      <c r="G780" s="296" t="s">
        <v>135</v>
      </c>
      <c r="H780" s="296" t="s">
        <v>136</v>
      </c>
      <c r="I780" s="296" t="s">
        <v>137</v>
      </c>
      <c r="J780" s="297" t="s">
        <v>138</v>
      </c>
      <c r="M780" s="377"/>
      <c r="N780" s="416"/>
      <c r="O780" s="416"/>
      <c r="P780" s="416"/>
      <c r="Q780" s="377"/>
      <c r="R780" s="377"/>
      <c r="S780" s="377"/>
      <c r="T780" s="417"/>
      <c r="U780" s="701"/>
      <c r="V780" s="701"/>
      <c r="Y780" s="317"/>
      <c r="Z780" s="291"/>
      <c r="AA780" s="279"/>
      <c r="AB780" s="280"/>
      <c r="AC780" s="280"/>
      <c r="AD780" s="280"/>
      <c r="AE780" s="310" t="s">
        <v>137</v>
      </c>
    </row>
    <row r="781" spans="3:31" ht="15.9" customHeight="1" thickBot="1" x14ac:dyDescent="0.3">
      <c r="D781" s="363"/>
      <c r="E781" s="364"/>
      <c r="F781" s="364"/>
      <c r="G781" s="364"/>
      <c r="H781" s="365"/>
      <c r="I781" s="365">
        <f>H772</f>
        <v>1.9</v>
      </c>
      <c r="J781" s="381"/>
      <c r="M781" s="702" t="s">
        <v>11</v>
      </c>
      <c r="N781" s="702"/>
      <c r="O781" s="702"/>
      <c r="P781" s="702"/>
      <c r="Q781" s="702"/>
      <c r="R781" s="702"/>
      <c r="S781" s="702"/>
      <c r="T781" s="702"/>
      <c r="U781" s="704">
        <f>+U779+U772</f>
        <v>40438</v>
      </c>
      <c r="V781" s="704"/>
      <c r="Y781" s="389"/>
      <c r="Z781" s="418">
        <f>+Z779+Z772</f>
        <v>3987225.62</v>
      </c>
      <c r="AA781" s="279"/>
      <c r="AB781" s="280"/>
      <c r="AC781" s="280"/>
      <c r="AD781" s="280"/>
      <c r="AE781" s="334" t="s">
        <v>137</v>
      </c>
    </row>
    <row r="782" spans="3:31" ht="15.9" customHeight="1" x14ac:dyDescent="0.25">
      <c r="M782" s="705"/>
      <c r="N782" s="705"/>
      <c r="O782" s="705"/>
      <c r="P782" s="705"/>
      <c r="Q782" s="705"/>
      <c r="R782" s="706"/>
      <c r="S782" s="706"/>
      <c r="T782" s="706"/>
      <c r="U782" s="706"/>
      <c r="V782" s="706"/>
    </row>
    <row r="783" spans="3:31" ht="15.9" customHeight="1" x14ac:dyDescent="0.25">
      <c r="M783" s="705"/>
      <c r="N783" s="705"/>
      <c r="O783" s="705"/>
      <c r="P783" s="705"/>
      <c r="Q783" s="705"/>
      <c r="R783" s="706"/>
      <c r="S783" s="706"/>
      <c r="T783" s="706"/>
      <c r="U783" s="706"/>
      <c r="V783" s="706"/>
    </row>
    <row r="784" spans="3:31" ht="15.9" customHeight="1" x14ac:dyDescent="0.25">
      <c r="M784" s="705"/>
      <c r="N784" s="705"/>
      <c r="O784" s="705"/>
      <c r="P784" s="705"/>
      <c r="Q784" s="705"/>
      <c r="R784" s="706"/>
      <c r="S784" s="706"/>
      <c r="T784" s="706"/>
      <c r="U784" s="706"/>
      <c r="V784" s="706"/>
    </row>
    <row r="785" spans="3:31" ht="15.9" customHeight="1" x14ac:dyDescent="0.25">
      <c r="M785" s="705"/>
      <c r="N785" s="705"/>
      <c r="O785" s="705"/>
      <c r="P785" s="705"/>
      <c r="Q785" s="705"/>
      <c r="R785" s="706"/>
      <c r="S785" s="706"/>
      <c r="T785" s="706"/>
      <c r="U785" s="706"/>
      <c r="V785" s="706"/>
    </row>
    <row r="786" spans="3:31" ht="15.9" customHeight="1" x14ac:dyDescent="0.25">
      <c r="M786" s="707" t="s">
        <v>128</v>
      </c>
      <c r="N786" s="708" t="str">
        <f>$N$6</f>
        <v>ING. JEYSON JULIAN LEON RUEDA</v>
      </c>
      <c r="O786" s="709"/>
      <c r="P786" s="709"/>
      <c r="Q786" s="710"/>
      <c r="R786" s="711" t="s">
        <v>129</v>
      </c>
      <c r="S786" s="708" t="str">
        <f>$S$6</f>
        <v>ARQ. YASMID ROCÍO CARRILLO MORA</v>
      </c>
      <c r="T786" s="709"/>
      <c r="U786" s="709"/>
      <c r="V786" s="710"/>
    </row>
    <row r="787" spans="3:31" ht="15.9" customHeight="1" x14ac:dyDescent="0.25">
      <c r="M787" s="707"/>
      <c r="N787" s="712" t="str">
        <f>$N$7</f>
        <v>MP. 68202-416348 STD</v>
      </c>
      <c r="O787" s="713"/>
      <c r="P787" s="713"/>
      <c r="Q787" s="714"/>
      <c r="R787" s="711"/>
      <c r="S787" s="712" t="str">
        <f>$S$7</f>
        <v>SECRETARIA DE PLANEACIÓN Y OBRAS PÚBLICAS</v>
      </c>
      <c r="T787" s="713"/>
      <c r="U787" s="713"/>
      <c r="V787" s="714"/>
    </row>
    <row r="788" spans="3:31" ht="15.9" customHeight="1" x14ac:dyDescent="0.25">
      <c r="M788" s="707"/>
      <c r="N788" s="715"/>
      <c r="O788" s="716"/>
      <c r="P788" s="716"/>
      <c r="Q788" s="717"/>
      <c r="R788" s="711"/>
      <c r="S788" s="712" t="str">
        <f>$S$8</f>
        <v>MUNICIPIO DE PINCHOTE</v>
      </c>
      <c r="T788" s="713"/>
      <c r="U788" s="713"/>
      <c r="V788" s="714"/>
    </row>
    <row r="789" spans="3:31" ht="15.9" customHeight="1" x14ac:dyDescent="0.25"/>
    <row r="790" spans="3:31" ht="15.9" customHeight="1" thickBot="1" x14ac:dyDescent="0.3"/>
    <row r="791" spans="3:31" ht="15.9" customHeight="1" thickBot="1" x14ac:dyDescent="0.3">
      <c r="M791" s="281" t="s">
        <v>90</v>
      </c>
      <c r="N791" s="410" t="s">
        <v>29</v>
      </c>
      <c r="O791" s="706" t="str">
        <f>IFERROR(VLOOKUP(N791,PPTO!$C$9:$H$64,2,0),"----")</f>
        <v>COMPONENTE ACUEDUCTO</v>
      </c>
      <c r="P791" s="706"/>
      <c r="Q791" s="706"/>
      <c r="R791" s="706"/>
      <c r="S791" s="706"/>
      <c r="T791" s="706"/>
      <c r="U791" s="706"/>
      <c r="V791" s="283" t="s">
        <v>93</v>
      </c>
      <c r="Y791" s="284" t="s">
        <v>107</v>
      </c>
      <c r="Z791" s="280"/>
      <c r="AA791" s="274"/>
      <c r="AB791" s="735"/>
      <c r="AC791" s="735"/>
      <c r="AD791" s="735"/>
      <c r="AE791" s="280"/>
    </row>
    <row r="792" spans="3:31" ht="15.9" customHeight="1" thickBot="1" x14ac:dyDescent="0.35">
      <c r="C792" s="285">
        <f>+N792</f>
        <v>1.1000000000000001</v>
      </c>
      <c r="D792" s="279"/>
      <c r="E792" s="279"/>
      <c r="F792" s="279"/>
      <c r="G792" s="279"/>
      <c r="H792" s="279"/>
      <c r="I792" s="279"/>
      <c r="J792" s="279"/>
      <c r="K792" s="286"/>
      <c r="M792" s="283" t="s">
        <v>94</v>
      </c>
      <c r="N792" s="287">
        <v>1.1000000000000001</v>
      </c>
      <c r="O792" s="736" t="str">
        <f>IFERROR(VLOOKUP(N792,PPTO!$C$9:$H$64,2,0),"----")</f>
        <v>Conexión y reparación de tubería de 8" a los pozos de inspección</v>
      </c>
      <c r="P792" s="736"/>
      <c r="Q792" s="736"/>
      <c r="R792" s="736"/>
      <c r="S792" s="736"/>
      <c r="T792" s="736"/>
      <c r="U792" s="736"/>
      <c r="V792" s="288" t="str">
        <f>IFERROR(VLOOKUP(N792,PPTO!$C$9:$H$64,3,0),"----")</f>
        <v>und</v>
      </c>
      <c r="Y792" s="289">
        <f>SUMIFS(PPTO!$F$7:$F$63,PPTO!$C$7:$C$63,APUS!N792)</f>
        <v>4</v>
      </c>
      <c r="Z792" s="280"/>
      <c r="AA792" s="279"/>
      <c r="AB792" s="280"/>
      <c r="AC792" s="280"/>
      <c r="AD792" s="280"/>
      <c r="AE792" s="280"/>
    </row>
    <row r="793" spans="3:31" ht="15.9" customHeight="1" thickBot="1" x14ac:dyDescent="0.35">
      <c r="C793" s="292"/>
      <c r="D793" s="279"/>
      <c r="E793" s="279"/>
      <c r="F793" s="279"/>
      <c r="G793" s="279"/>
      <c r="H793" s="279"/>
      <c r="I793" s="279"/>
      <c r="J793" s="279"/>
      <c r="K793" s="293"/>
      <c r="M793" s="737"/>
      <c r="N793" s="737"/>
      <c r="O793" s="737"/>
      <c r="P793" s="737"/>
      <c r="Q793" s="737"/>
      <c r="R793" s="737"/>
      <c r="S793" s="737"/>
      <c r="T793" s="737"/>
      <c r="U793" s="737"/>
      <c r="V793" s="737"/>
      <c r="Y793" s="294"/>
      <c r="Z793" s="280"/>
      <c r="AA793" s="279"/>
      <c r="AB793" s="280"/>
      <c r="AC793" s="280"/>
      <c r="AD793" s="280"/>
      <c r="AE793" s="280"/>
    </row>
    <row r="794" spans="3:31" ht="15.9" customHeight="1" thickBot="1" x14ac:dyDescent="0.35">
      <c r="C794" s="292"/>
      <c r="D794" s="295" t="s">
        <v>132</v>
      </c>
      <c r="E794" s="296" t="s">
        <v>133</v>
      </c>
      <c r="F794" s="296" t="s">
        <v>134</v>
      </c>
      <c r="G794" s="296" t="s">
        <v>135</v>
      </c>
      <c r="H794" s="296" t="s">
        <v>136</v>
      </c>
      <c r="I794" s="296" t="s">
        <v>137</v>
      </c>
      <c r="J794" s="297" t="s">
        <v>138</v>
      </c>
      <c r="K794" s="293"/>
      <c r="M794" s="738" t="s">
        <v>96</v>
      </c>
      <c r="N794" s="738"/>
      <c r="O794" s="738"/>
      <c r="P794" s="738"/>
      <c r="Q794" s="738"/>
      <c r="R794" s="738"/>
      <c r="S794" s="738"/>
      <c r="T794" s="738"/>
      <c r="U794" s="738"/>
      <c r="V794" s="738"/>
      <c r="Y794" s="298"/>
      <c r="Z794" s="299"/>
      <c r="AA794" s="279"/>
      <c r="AB794" s="731"/>
      <c r="AC794" s="732"/>
      <c r="AD794" s="280"/>
      <c r="AE794" s="303"/>
    </row>
    <row r="795" spans="3:31" ht="15.9" customHeight="1" x14ac:dyDescent="0.3">
      <c r="C795" s="292"/>
      <c r="D795" s="304"/>
      <c r="E795" s="305"/>
      <c r="F795" s="305"/>
      <c r="G795" s="305"/>
      <c r="H795" s="305"/>
      <c r="I795" s="305"/>
      <c r="J795" s="306"/>
      <c r="K795" s="293"/>
      <c r="M795" s="307" t="s">
        <v>97</v>
      </c>
      <c r="N795" s="706" t="s">
        <v>98</v>
      </c>
      <c r="O795" s="706"/>
      <c r="P795" s="706"/>
      <c r="Q795" s="706"/>
      <c r="R795" s="307" t="s">
        <v>99</v>
      </c>
      <c r="S795" s="307" t="s">
        <v>100</v>
      </c>
      <c r="T795" s="734" t="s">
        <v>8</v>
      </c>
      <c r="U795" s="734"/>
      <c r="V795" s="307" t="s">
        <v>101</v>
      </c>
      <c r="Y795" s="308" t="s">
        <v>107</v>
      </c>
      <c r="Z795" s="309" t="s">
        <v>9</v>
      </c>
      <c r="AA795" s="279"/>
      <c r="AB795" s="290"/>
      <c r="AC795" s="291"/>
      <c r="AD795" s="280"/>
      <c r="AE795" s="310"/>
    </row>
    <row r="796" spans="3:31" ht="15.9" customHeight="1" x14ac:dyDescent="0.3">
      <c r="C796" s="292"/>
      <c r="D796" s="311"/>
      <c r="E796" s="279"/>
      <c r="F796" s="279"/>
      <c r="G796" s="279"/>
      <c r="H796" s="279"/>
      <c r="I796" s="279"/>
      <c r="J796" s="312"/>
      <c r="K796" s="293"/>
      <c r="M796" s="313"/>
      <c r="N796" s="718" t="s">
        <v>102</v>
      </c>
      <c r="O796" s="718"/>
      <c r="P796" s="718"/>
      <c r="Q796" s="718"/>
      <c r="R796" s="314" t="s">
        <v>103</v>
      </c>
      <c r="S796" s="315">
        <f>$AA$9</f>
        <v>0.05</v>
      </c>
      <c r="T796" s="739">
        <f>V823</f>
        <v>274419</v>
      </c>
      <c r="U796" s="739"/>
      <c r="V796" s="316">
        <f>+IFERROR(T796*S796,0)</f>
        <v>13720.95</v>
      </c>
      <c r="Y796" s="317"/>
      <c r="Z796" s="318">
        <f>Y792*V796</f>
        <v>54883.8</v>
      </c>
      <c r="AA796" s="279"/>
      <c r="AB796" s="290"/>
      <c r="AC796" s="291"/>
      <c r="AD796" s="280"/>
      <c r="AE796" s="310" t="str">
        <f>+IF(V796=0,"CERO","NO")</f>
        <v>NO</v>
      </c>
    </row>
    <row r="797" spans="3:31" ht="15.9" customHeight="1" x14ac:dyDescent="0.3">
      <c r="C797" s="292"/>
      <c r="D797" s="311"/>
      <c r="E797" s="279"/>
      <c r="F797" s="279"/>
      <c r="G797" s="279"/>
      <c r="H797" s="279"/>
      <c r="I797" s="279"/>
      <c r="J797" s="312"/>
      <c r="K797" s="293"/>
      <c r="M797" s="319">
        <v>0</v>
      </c>
      <c r="N797" s="718" t="str">
        <f>IFERROR(VLOOKUP(M797,INSUMOS!$C$8:$K$934,2,0),"-----")</f>
        <v>-----</v>
      </c>
      <c r="O797" s="718"/>
      <c r="P797" s="718"/>
      <c r="Q797" s="718"/>
      <c r="R797" s="314" t="str">
        <f>IFERROR(VLOOKUP(M797,INSUMOS!$C$8:$K$934,6,0),"-----")</f>
        <v>-----</v>
      </c>
      <c r="S797" s="320"/>
      <c r="T797" s="740" t="str">
        <f>IFERROR(VLOOKUP(M797,INSUMOS!$C$8:$K$934,7,0),"0")</f>
        <v>0</v>
      </c>
      <c r="U797" s="740"/>
      <c r="V797" s="316">
        <f>+IFERROR(T797*S797,0)</f>
        <v>0</v>
      </c>
      <c r="Y797" s="321">
        <f>+IFERROR(Y792*S797,0)</f>
        <v>0</v>
      </c>
      <c r="Z797" s="318">
        <f>Y792*V797</f>
        <v>0</v>
      </c>
      <c r="AA797" s="300"/>
      <c r="AB797" s="301">
        <f>+Y797*T797</f>
        <v>0</v>
      </c>
      <c r="AC797" s="302">
        <f>+AB797-Z797</f>
        <v>0</v>
      </c>
      <c r="AD797" s="280"/>
      <c r="AE797" s="310" t="str">
        <f>+IF(V797=0,"CERO","NO")</f>
        <v>CERO</v>
      </c>
    </row>
    <row r="798" spans="3:31" ht="15.9" customHeight="1" x14ac:dyDescent="0.3">
      <c r="C798" s="292"/>
      <c r="D798" s="311"/>
      <c r="E798" s="279"/>
      <c r="F798" s="279"/>
      <c r="G798" s="279"/>
      <c r="H798" s="279"/>
      <c r="I798" s="279"/>
      <c r="J798" s="312"/>
      <c r="K798" s="293"/>
      <c r="M798" s="313">
        <v>0</v>
      </c>
      <c r="N798" s="718" t="str">
        <f>IFERROR(VLOOKUP(M798,INSUMOS!$C$8:$K$934,2,0),"-----")</f>
        <v>-----</v>
      </c>
      <c r="O798" s="718"/>
      <c r="P798" s="718"/>
      <c r="Q798" s="718"/>
      <c r="R798" s="314" t="str">
        <f>IFERROR(VLOOKUP(M798,INSUMOS!$C$8:$K$934,6,0),"-----")</f>
        <v>-----</v>
      </c>
      <c r="S798" s="320"/>
      <c r="T798" s="740" t="str">
        <f>IFERROR(VLOOKUP(M798,INSUMOS!$C$8:$K$934,7,0),"0")</f>
        <v>0</v>
      </c>
      <c r="U798" s="740"/>
      <c r="V798" s="316">
        <f>+IFERROR(T798*S798,0)</f>
        <v>0</v>
      </c>
      <c r="Y798" s="321">
        <f>+IFERROR(Y792*S798,0)</f>
        <v>0</v>
      </c>
      <c r="Z798" s="318">
        <f>Y792*V798</f>
        <v>0</v>
      </c>
      <c r="AA798" s="300"/>
      <c r="AB798" s="301">
        <f>+Y798*T798</f>
        <v>0</v>
      </c>
      <c r="AC798" s="302">
        <f>+AB798-Z798</f>
        <v>0</v>
      </c>
      <c r="AD798" s="280"/>
      <c r="AE798" s="310" t="str">
        <f>+IF(V798=0,"CERO","NO")</f>
        <v>CERO</v>
      </c>
    </row>
    <row r="799" spans="3:31" ht="15.9" customHeight="1" thickBot="1" x14ac:dyDescent="0.35">
      <c r="C799" s="292"/>
      <c r="D799" s="311"/>
      <c r="E799" s="279"/>
      <c r="F799" s="279"/>
      <c r="G799" s="279"/>
      <c r="H799" s="279"/>
      <c r="I799" s="279"/>
      <c r="J799" s="312"/>
      <c r="K799" s="293"/>
      <c r="M799" s="313">
        <v>0</v>
      </c>
      <c r="N799" s="718" t="str">
        <f>IFERROR(VLOOKUP(M799,INSUMOS!$C$8:$K$934,2,0),"-----")</f>
        <v>-----</v>
      </c>
      <c r="O799" s="718"/>
      <c r="P799" s="718"/>
      <c r="Q799" s="718"/>
      <c r="R799" s="314" t="str">
        <f>IFERROR(VLOOKUP(M799,INSUMOS!$C$8:$K$934,6,0),"-----")</f>
        <v>-----</v>
      </c>
      <c r="S799" s="320"/>
      <c r="T799" s="740" t="str">
        <f>IFERROR(VLOOKUP(M799,INSUMOS!$C$8:$K$934,7,0),"0")</f>
        <v>0</v>
      </c>
      <c r="U799" s="740"/>
      <c r="V799" s="316">
        <f>+IFERROR(T799*S799,0)</f>
        <v>0</v>
      </c>
      <c r="Y799" s="321">
        <f>+IFERROR(Y792*S799,0)</f>
        <v>0</v>
      </c>
      <c r="Z799" s="318">
        <f>Y792*V799</f>
        <v>0</v>
      </c>
      <c r="AA799" s="300"/>
      <c r="AB799" s="301">
        <f>+Y799*T799</f>
        <v>0</v>
      </c>
      <c r="AC799" s="302">
        <f>+AB799-Z799</f>
        <v>0</v>
      </c>
      <c r="AD799" s="280"/>
      <c r="AE799" s="310" t="str">
        <f>+IF(V799=0,"CERO","NO")</f>
        <v>CERO</v>
      </c>
    </row>
    <row r="800" spans="3:31" ht="15.9" customHeight="1" thickBot="1" x14ac:dyDescent="0.35">
      <c r="C800" s="292"/>
      <c r="D800" s="295" t="s">
        <v>132</v>
      </c>
      <c r="E800" s="296" t="s">
        <v>133</v>
      </c>
      <c r="F800" s="296" t="s">
        <v>134</v>
      </c>
      <c r="G800" s="296" t="s">
        <v>135</v>
      </c>
      <c r="H800" s="296" t="s">
        <v>136</v>
      </c>
      <c r="I800" s="296" t="s">
        <v>137</v>
      </c>
      <c r="J800" s="297" t="s">
        <v>138</v>
      </c>
      <c r="K800" s="293"/>
      <c r="M800" s="724"/>
      <c r="N800" s="725" t="s">
        <v>104</v>
      </c>
      <c r="O800" s="725"/>
      <c r="P800" s="725"/>
      <c r="Q800" s="725"/>
      <c r="R800" s="725"/>
      <c r="S800" s="725"/>
      <c r="T800" s="725"/>
      <c r="U800" s="725"/>
      <c r="V800" s="316">
        <f>+SUM(V796:V799)</f>
        <v>13720.95</v>
      </c>
      <c r="Y800" s="328" t="s">
        <v>139</v>
      </c>
      <c r="Z800" s="329">
        <f>+SUM(Z796:Z799)</f>
        <v>54883.8</v>
      </c>
      <c r="AA800" s="279"/>
      <c r="AB800" s="290"/>
      <c r="AC800" s="291"/>
      <c r="AD800" s="280"/>
      <c r="AE800" s="330"/>
    </row>
    <row r="801" spans="3:31" ht="15.9" customHeight="1" thickBot="1" x14ac:dyDescent="0.35">
      <c r="C801" s="292"/>
      <c r="D801" s="295">
        <f>C792</f>
        <v>1.1000000000000001</v>
      </c>
      <c r="E801" s="296"/>
      <c r="F801" s="296"/>
      <c r="G801" s="296"/>
      <c r="H801" s="296"/>
      <c r="I801" s="296"/>
      <c r="J801" s="297"/>
      <c r="K801" s="293"/>
      <c r="M801" s="724"/>
      <c r="N801" s="726" t="s">
        <v>105</v>
      </c>
      <c r="O801" s="726"/>
      <c r="P801" s="726"/>
      <c r="Q801" s="726"/>
      <c r="R801" s="726"/>
      <c r="S801" s="726"/>
      <c r="T801" s="726"/>
      <c r="U801" s="726"/>
      <c r="V801" s="344">
        <f>+ROUND(V800,$AA$2)</f>
        <v>13721</v>
      </c>
      <c r="Y801" s="332" t="s">
        <v>140</v>
      </c>
      <c r="Z801" s="333">
        <f>+ROUND(Z800,$AA$2)</f>
        <v>54884</v>
      </c>
      <c r="AA801" s="279"/>
      <c r="AB801" s="324">
        <f>+V801*Y792</f>
        <v>54884</v>
      </c>
      <c r="AC801" s="325">
        <f>+AB801-Z801</f>
        <v>0</v>
      </c>
      <c r="AD801" s="280"/>
      <c r="AE801" s="334"/>
    </row>
    <row r="802" spans="3:31" ht="15.9" customHeight="1" x14ac:dyDescent="0.3">
      <c r="C802" s="292"/>
      <c r="D802" s="304"/>
      <c r="E802" s="305"/>
      <c r="F802" s="305"/>
      <c r="G802" s="305"/>
      <c r="H802" s="305"/>
      <c r="I802" s="305"/>
      <c r="J802" s="306"/>
      <c r="K802" s="293"/>
      <c r="M802" s="730" t="s">
        <v>106</v>
      </c>
      <c r="N802" s="730"/>
      <c r="O802" s="730"/>
      <c r="P802" s="730"/>
      <c r="Q802" s="730"/>
      <c r="R802" s="730"/>
      <c r="S802" s="730"/>
      <c r="T802" s="730"/>
      <c r="U802" s="730"/>
      <c r="V802" s="730"/>
      <c r="Y802" s="298"/>
      <c r="Z802" s="299"/>
      <c r="AA802" s="279"/>
      <c r="AB802" s="731"/>
      <c r="AC802" s="732"/>
      <c r="AD802" s="280"/>
      <c r="AE802" s="335"/>
    </row>
    <row r="803" spans="3:31" ht="15.9" customHeight="1" x14ac:dyDescent="0.3">
      <c r="C803" s="292"/>
      <c r="D803" s="311"/>
      <c r="E803" s="279"/>
      <c r="F803" s="279"/>
      <c r="G803" s="279"/>
      <c r="H803" s="279"/>
      <c r="I803" s="279"/>
      <c r="J803" s="312"/>
      <c r="K803" s="293"/>
      <c r="M803" s="307" t="s">
        <v>97</v>
      </c>
      <c r="N803" s="706" t="s">
        <v>98</v>
      </c>
      <c r="O803" s="706"/>
      <c r="P803" s="706"/>
      <c r="Q803" s="706"/>
      <c r="R803" s="307" t="s">
        <v>99</v>
      </c>
      <c r="S803" s="307" t="s">
        <v>107</v>
      </c>
      <c r="T803" s="336" t="s">
        <v>108</v>
      </c>
      <c r="U803" s="336" t="s">
        <v>8</v>
      </c>
      <c r="V803" s="307" t="s">
        <v>101</v>
      </c>
      <c r="Y803" s="308" t="s">
        <v>107</v>
      </c>
      <c r="Z803" s="309" t="s">
        <v>9</v>
      </c>
      <c r="AA803" s="279"/>
      <c r="AB803" s="290"/>
      <c r="AC803" s="291"/>
      <c r="AD803" s="280"/>
      <c r="AE803" s="337"/>
    </row>
    <row r="804" spans="3:31" ht="15.9" customHeight="1" x14ac:dyDescent="0.3">
      <c r="C804" s="292"/>
      <c r="D804" s="311"/>
      <c r="E804" s="279"/>
      <c r="F804" s="279"/>
      <c r="G804" s="279"/>
      <c r="H804" s="279"/>
      <c r="I804" s="279"/>
      <c r="J804" s="312"/>
      <c r="K804" s="293"/>
      <c r="M804" s="313" t="s">
        <v>226</v>
      </c>
      <c r="N804" s="718" t="str">
        <f>IFERROR(VLOOKUP(M804,INSUMOS!$C$8:$K$934,2,0),"-----")</f>
        <v>Concreto de 3000 PSI (210 kg/cm2)</v>
      </c>
      <c r="O804" s="718"/>
      <c r="P804" s="718"/>
      <c r="Q804" s="718"/>
      <c r="R804" s="314" t="str">
        <f>IFERROR(VLOOKUP(M804,INSUMOS!$C$8:$K$934,6,0),"-----")</f>
        <v>m3</v>
      </c>
      <c r="S804" s="322">
        <v>0.15</v>
      </c>
      <c r="T804" s="315">
        <v>0.02</v>
      </c>
      <c r="U804" s="338">
        <f>IFERROR(VLOOKUP(M804,INSUMOS!$C$8:$K$934,7,0),"0")</f>
        <v>780085</v>
      </c>
      <c r="V804" s="316">
        <f>+IFERROR(U804*(S804*(1+T804)),0)</f>
        <v>119353.005</v>
      </c>
      <c r="Y804" s="321">
        <f>+IFERROR(Y792*(S804*(1+T804)),0)</f>
        <v>0.61199999999999999</v>
      </c>
      <c r="Z804" s="318">
        <f>Y792*V804</f>
        <v>477412.02</v>
      </c>
      <c r="AA804" s="300"/>
      <c r="AB804" s="301">
        <f>+Y804*U804</f>
        <v>477412.02</v>
      </c>
      <c r="AC804" s="302">
        <f>+AB804-Z804</f>
        <v>0</v>
      </c>
      <c r="AD804" s="280"/>
      <c r="AE804" s="337" t="str">
        <f t="shared" ref="AE804:AE806" si="105">+IF(V804=0,"CERO","NO")</f>
        <v>NO</v>
      </c>
    </row>
    <row r="805" spans="3:31" ht="15.9" customHeight="1" x14ac:dyDescent="0.3">
      <c r="C805" s="292"/>
      <c r="D805" s="311"/>
      <c r="E805" s="279"/>
      <c r="F805" s="279"/>
      <c r="G805" s="279"/>
      <c r="H805" s="279"/>
      <c r="I805" s="279"/>
      <c r="J805" s="312"/>
      <c r="K805" s="293"/>
      <c r="M805" s="313">
        <v>0</v>
      </c>
      <c r="N805" s="718" t="str">
        <f>INSUMOS!D328</f>
        <v>Mortero 1:3 Impermeabilizado</v>
      </c>
      <c r="O805" s="718"/>
      <c r="P805" s="718"/>
      <c r="Q805" s="718"/>
      <c r="R805" s="314" t="s">
        <v>34</v>
      </c>
      <c r="S805" s="322">
        <v>0.12</v>
      </c>
      <c r="T805" s="315">
        <v>0.02</v>
      </c>
      <c r="U805" s="338">
        <f>INSUMOS!I328</f>
        <v>1025181</v>
      </c>
      <c r="V805" s="316">
        <f>+IFERROR(U805*(S805*(1+T805)),0)</f>
        <v>125482.1544</v>
      </c>
      <c r="Y805" s="321">
        <f>+IFERROR(Y792*(S805*(1+T805)),0)</f>
        <v>0.48959999999999998</v>
      </c>
      <c r="Z805" s="318">
        <f>Y792*V805</f>
        <v>501928.6176</v>
      </c>
      <c r="AA805" s="300"/>
      <c r="AB805" s="301">
        <f t="shared" ref="AB805:AB806" si="106">+Y805*U805</f>
        <v>501928.6176</v>
      </c>
      <c r="AC805" s="302">
        <f t="shared" ref="AC805:AC806" si="107">+AB805-Z805</f>
        <v>0</v>
      </c>
      <c r="AD805" s="280"/>
      <c r="AE805" s="337" t="str">
        <f t="shared" si="105"/>
        <v>NO</v>
      </c>
    </row>
    <row r="806" spans="3:31" ht="15.9" customHeight="1" thickBot="1" x14ac:dyDescent="0.35">
      <c r="C806" s="292"/>
      <c r="D806" s="311"/>
      <c r="E806" s="279"/>
      <c r="F806" s="279"/>
      <c r="G806" s="279"/>
      <c r="H806" s="279"/>
      <c r="I806" s="279"/>
      <c r="J806" s="312"/>
      <c r="K806" s="293"/>
      <c r="M806" s="313">
        <v>0</v>
      </c>
      <c r="N806" s="718" t="str">
        <f>IFERROR(VLOOKUP(M806,INSUMOS!$C$8:$K$934,2,0),"-----")</f>
        <v>-----</v>
      </c>
      <c r="O806" s="718"/>
      <c r="P806" s="718"/>
      <c r="Q806" s="718"/>
      <c r="R806" s="314" t="str">
        <f>IFERROR(VLOOKUP(M806,INSUMOS!$C$8:$K$934,6,0),"-----")</f>
        <v>-----</v>
      </c>
      <c r="S806" s="322"/>
      <c r="T806" s="315"/>
      <c r="U806" s="338" t="str">
        <f>IFERROR(VLOOKUP(M806,INSUMOS!$C$8:$K$934,7,0),"0")</f>
        <v>0</v>
      </c>
      <c r="V806" s="316">
        <f>+IFERROR(U806*(S806*(1+T806)),0)</f>
        <v>0</v>
      </c>
      <c r="Y806" s="321">
        <f>+IFERROR(Y792*(S806*(1+T806)),0)</f>
        <v>0</v>
      </c>
      <c r="Z806" s="318">
        <f>Y792*V806</f>
        <v>0</v>
      </c>
      <c r="AA806" s="300"/>
      <c r="AB806" s="301">
        <f t="shared" si="106"/>
        <v>0</v>
      </c>
      <c r="AC806" s="302">
        <f t="shared" si="107"/>
        <v>0</v>
      </c>
      <c r="AD806" s="280"/>
      <c r="AE806" s="337" t="str">
        <f t="shared" si="105"/>
        <v>CERO</v>
      </c>
    </row>
    <row r="807" spans="3:31" ht="15.9" customHeight="1" thickBot="1" x14ac:dyDescent="0.35">
      <c r="C807" s="292"/>
      <c r="D807" s="295" t="s">
        <v>132</v>
      </c>
      <c r="E807" s="296" t="s">
        <v>133</v>
      </c>
      <c r="F807" s="296" t="s">
        <v>134</v>
      </c>
      <c r="G807" s="296" t="s">
        <v>135</v>
      </c>
      <c r="H807" s="296" t="s">
        <v>136</v>
      </c>
      <c r="I807" s="296" t="s">
        <v>137</v>
      </c>
      <c r="J807" s="297" t="s">
        <v>138</v>
      </c>
      <c r="K807" s="293"/>
      <c r="M807" s="724"/>
      <c r="N807" s="725" t="s">
        <v>109</v>
      </c>
      <c r="O807" s="725"/>
      <c r="P807" s="725"/>
      <c r="Q807" s="725"/>
      <c r="R807" s="725"/>
      <c r="S807" s="725"/>
      <c r="T807" s="725"/>
      <c r="U807" s="725"/>
      <c r="V807" s="316">
        <f>+SUM(V804:V806)</f>
        <v>244835.1594</v>
      </c>
      <c r="Y807" s="328" t="s">
        <v>139</v>
      </c>
      <c r="Z807" s="329">
        <f>+SUM(Z804:Z806)</f>
        <v>979340.63760000002</v>
      </c>
      <c r="AA807" s="279"/>
      <c r="AB807" s="290"/>
      <c r="AC807" s="291"/>
      <c r="AD807" s="280"/>
      <c r="AE807" s="330"/>
    </row>
    <row r="808" spans="3:31" ht="15.9" customHeight="1" thickBot="1" x14ac:dyDescent="0.35">
      <c r="C808" s="292"/>
      <c r="D808" s="295"/>
      <c r="E808" s="343">
        <f>+D801</f>
        <v>1.1000000000000001</v>
      </c>
      <c r="F808" s="296"/>
      <c r="G808" s="296"/>
      <c r="H808" s="296"/>
      <c r="I808" s="296"/>
      <c r="J808" s="297"/>
      <c r="K808" s="293"/>
      <c r="M808" s="724"/>
      <c r="N808" s="726" t="s">
        <v>110</v>
      </c>
      <c r="O808" s="726"/>
      <c r="P808" s="726"/>
      <c r="Q808" s="726"/>
      <c r="R808" s="726"/>
      <c r="S808" s="726"/>
      <c r="T808" s="726"/>
      <c r="U808" s="726"/>
      <c r="V808" s="344">
        <f>+ROUND(V807,$AA$2)</f>
        <v>244835</v>
      </c>
      <c r="Y808" s="332" t="s">
        <v>140</v>
      </c>
      <c r="Z808" s="333">
        <f>+ROUND(Z807,$AA$2)</f>
        <v>979341</v>
      </c>
      <c r="AA808" s="279"/>
      <c r="AB808" s="324">
        <f>+V808*Y792</f>
        <v>979340</v>
      </c>
      <c r="AC808" s="325">
        <f>+AB808-Z808</f>
        <v>-1</v>
      </c>
      <c r="AD808" s="280"/>
      <c r="AE808" s="334"/>
    </row>
    <row r="809" spans="3:31" ht="15.9" customHeight="1" x14ac:dyDescent="0.3">
      <c r="C809" s="292"/>
      <c r="D809" s="304"/>
      <c r="E809" s="305"/>
      <c r="F809" s="305"/>
      <c r="G809" s="305"/>
      <c r="H809" s="305"/>
      <c r="I809" s="305"/>
      <c r="J809" s="306"/>
      <c r="K809" s="293"/>
      <c r="M809" s="733" t="s">
        <v>111</v>
      </c>
      <c r="N809" s="733"/>
      <c r="O809" s="733"/>
      <c r="P809" s="733"/>
      <c r="Q809" s="733"/>
      <c r="R809" s="733"/>
      <c r="S809" s="733"/>
      <c r="T809" s="733"/>
      <c r="U809" s="733"/>
      <c r="V809" s="733"/>
      <c r="Y809" s="298"/>
      <c r="Z809" s="299"/>
      <c r="AA809" s="279"/>
      <c r="AB809" s="342"/>
      <c r="AC809" s="299"/>
      <c r="AD809" s="280"/>
      <c r="AE809" s="335"/>
    </row>
    <row r="810" spans="3:31" ht="27.6" x14ac:dyDescent="0.3">
      <c r="C810" s="292"/>
      <c r="D810" s="311"/>
      <c r="E810" s="279"/>
      <c r="F810" s="279"/>
      <c r="G810" s="279"/>
      <c r="H810" s="279"/>
      <c r="I810" s="279"/>
      <c r="J810" s="312"/>
      <c r="K810" s="293"/>
      <c r="M810" s="307" t="s">
        <v>97</v>
      </c>
      <c r="N810" s="706" t="s">
        <v>98</v>
      </c>
      <c r="O810" s="706"/>
      <c r="P810" s="706"/>
      <c r="Q810" s="307" t="s">
        <v>112</v>
      </c>
      <c r="R810" s="307" t="s">
        <v>113</v>
      </c>
      <c r="S810" s="307" t="s">
        <v>114</v>
      </c>
      <c r="T810" s="734" t="s">
        <v>115</v>
      </c>
      <c r="U810" s="734"/>
      <c r="V810" s="307" t="s">
        <v>101</v>
      </c>
      <c r="Y810" s="308" t="s">
        <v>107</v>
      </c>
      <c r="Z810" s="309" t="s">
        <v>9</v>
      </c>
      <c r="AA810" s="279"/>
      <c r="AB810" s="290"/>
      <c r="AC810" s="291"/>
      <c r="AD810" s="280"/>
      <c r="AE810" s="349"/>
    </row>
    <row r="811" spans="3:31" ht="14.4" x14ac:dyDescent="0.3">
      <c r="C811" s="350"/>
      <c r="D811" s="351"/>
      <c r="E811" s="345"/>
      <c r="F811" s="345"/>
      <c r="G811" s="345"/>
      <c r="H811" s="345"/>
      <c r="I811" s="345"/>
      <c r="J811" s="352"/>
      <c r="K811" s="353"/>
      <c r="M811" s="354">
        <v>0</v>
      </c>
      <c r="N811" s="718" t="str">
        <f>IFERROR(VLOOKUP(M811,INSUMOS!$C$8:$K$934,2,0),"-----")</f>
        <v>-----</v>
      </c>
      <c r="O811" s="718"/>
      <c r="P811" s="718"/>
      <c r="Q811" s="314" t="str">
        <f>IFERROR(VLOOKUP(M811,INSUMOS!$C$8:$K$934,5,0),"-----")</f>
        <v>-----</v>
      </c>
      <c r="R811" s="355"/>
      <c r="S811" s="355" t="str">
        <f>IFERROR(VLOOKUP(M811,INSUMOS!$C$8:$K$934,6,0),"0")</f>
        <v>0</v>
      </c>
      <c r="T811" s="719" t="str">
        <f>IFERROR(VLOOKUP(M811,INSUMOS!$C$8:$K$934,7,0),"0")</f>
        <v>0</v>
      </c>
      <c r="U811" s="719"/>
      <c r="V811" s="515">
        <f>+T811*S811*R811</f>
        <v>0</v>
      </c>
      <c r="Y811" s="321">
        <f>+IFERROR((R811*S811)*Y792,0)</f>
        <v>0</v>
      </c>
      <c r="Z811" s="318">
        <f>Y792*V811</f>
        <v>0</v>
      </c>
      <c r="AA811" s="345"/>
      <c r="AB811" s="346">
        <f>+Y811*T811</f>
        <v>0</v>
      </c>
      <c r="AC811" s="347">
        <f>+AB811-Z811</f>
        <v>0</v>
      </c>
      <c r="AD811" s="348"/>
      <c r="AE811" s="337" t="str">
        <f t="shared" ref="AE811:AE814" si="108">+IF(V811=0,"CERO","NO")</f>
        <v>CERO</v>
      </c>
    </row>
    <row r="812" spans="3:31" ht="15.9" customHeight="1" x14ac:dyDescent="0.3">
      <c r="C812" s="350"/>
      <c r="D812" s="351"/>
      <c r="E812" s="345"/>
      <c r="F812" s="345"/>
      <c r="G812" s="345"/>
      <c r="H812" s="345"/>
      <c r="I812" s="345"/>
      <c r="J812" s="352"/>
      <c r="K812" s="353"/>
      <c r="M812" s="354">
        <v>0</v>
      </c>
      <c r="N812" s="718" t="str">
        <f>IFERROR(VLOOKUP(M812,INSUMOS!$C$8:$K$934,2,0),"-----")</f>
        <v>-----</v>
      </c>
      <c r="O812" s="718"/>
      <c r="P812" s="718"/>
      <c r="Q812" s="314" t="str">
        <f>IFERROR(VLOOKUP(M812,INSUMOS!$C$8:$K$934,5,0),"-----")</f>
        <v>-----</v>
      </c>
      <c r="R812" s="355"/>
      <c r="S812" s="355" t="str">
        <f>IFERROR(VLOOKUP(M812,INSUMOS!$C$8:$K$934,6,0),"0")</f>
        <v>0</v>
      </c>
      <c r="T812" s="719" t="str">
        <f>IFERROR(VLOOKUP(M812,INSUMOS!$C$8:$K$934,7,0),"0")</f>
        <v>0</v>
      </c>
      <c r="U812" s="719"/>
      <c r="V812" s="515">
        <f>+T812*S812*R812</f>
        <v>0</v>
      </c>
      <c r="Y812" s="321">
        <f>+IFERROR((R812*S812)*Y792,0)</f>
        <v>0</v>
      </c>
      <c r="Z812" s="318">
        <f>Y792*V812</f>
        <v>0</v>
      </c>
      <c r="AA812" s="345"/>
      <c r="AB812" s="346">
        <f>+Y812*T812</f>
        <v>0</v>
      </c>
      <c r="AC812" s="347">
        <f>+AB812-Z812</f>
        <v>0</v>
      </c>
      <c r="AD812" s="348"/>
      <c r="AE812" s="337" t="str">
        <f t="shared" si="108"/>
        <v>CERO</v>
      </c>
    </row>
    <row r="813" spans="3:31" ht="15.9" customHeight="1" x14ac:dyDescent="0.3">
      <c r="C813" s="350"/>
      <c r="D813" s="351"/>
      <c r="E813" s="345"/>
      <c r="F813" s="345"/>
      <c r="G813" s="345"/>
      <c r="H813" s="345"/>
      <c r="I813" s="345"/>
      <c r="J813" s="352"/>
      <c r="K813" s="353"/>
      <c r="M813" s="354">
        <v>0</v>
      </c>
      <c r="N813" s="718" t="str">
        <f>IFERROR(VLOOKUP(M813,INSUMOS!$C$8:$K$934,2,0),"-----")</f>
        <v>-----</v>
      </c>
      <c r="O813" s="718"/>
      <c r="P813" s="718"/>
      <c r="Q813" s="314" t="str">
        <f>IFERROR(VLOOKUP(M813,INSUMOS!$C$8:$K$934,5,0),"-----")</f>
        <v>-----</v>
      </c>
      <c r="R813" s="355"/>
      <c r="S813" s="355" t="str">
        <f>IFERROR(VLOOKUP(M813,INSUMOS!$C$8:$K$934,6,0),"0")</f>
        <v>0</v>
      </c>
      <c r="T813" s="719" t="str">
        <f>IFERROR(VLOOKUP(M813,INSUMOS!$C$8:$K$934,7,0),"0")</f>
        <v>0</v>
      </c>
      <c r="U813" s="719"/>
      <c r="V813" s="515">
        <f>+T813*S813*R813</f>
        <v>0</v>
      </c>
      <c r="Y813" s="321">
        <f>+IFERROR((R813*S813)*Y792,0)</f>
        <v>0</v>
      </c>
      <c r="Z813" s="318">
        <f>Y792*V813</f>
        <v>0</v>
      </c>
      <c r="AA813" s="345"/>
      <c r="AB813" s="346">
        <f t="shared" ref="AB813" si="109">+Y813*T813</f>
        <v>0</v>
      </c>
      <c r="AC813" s="347">
        <f t="shared" ref="AC813" si="110">+AB813-Z813</f>
        <v>0</v>
      </c>
      <c r="AD813" s="348"/>
      <c r="AE813" s="337" t="str">
        <f t="shared" si="108"/>
        <v>CERO</v>
      </c>
    </row>
    <row r="814" spans="3:31" ht="15.9" customHeight="1" thickBot="1" x14ac:dyDescent="0.35">
      <c r="C814" s="350"/>
      <c r="D814" s="360"/>
      <c r="E814" s="361"/>
      <c r="F814" s="361"/>
      <c r="G814" s="361"/>
      <c r="H814" s="361"/>
      <c r="I814" s="361"/>
      <c r="J814" s="362"/>
      <c r="K814" s="353"/>
      <c r="M814" s="354">
        <v>0</v>
      </c>
      <c r="N814" s="718"/>
      <c r="O814" s="718"/>
      <c r="P814" s="718"/>
      <c r="Q814" s="357"/>
      <c r="R814" s="314"/>
      <c r="S814" s="358"/>
      <c r="T814" s="719"/>
      <c r="U814" s="719"/>
      <c r="V814" s="515"/>
      <c r="Y814" s="321">
        <f>+IFERROR((R814*S814)*Y792,0)</f>
        <v>0</v>
      </c>
      <c r="Z814" s="318">
        <f>Y792*V814</f>
        <v>0</v>
      </c>
      <c r="AA814" s="345"/>
      <c r="AB814" s="346">
        <f>+Y814*T814</f>
        <v>0</v>
      </c>
      <c r="AC814" s="347">
        <f>+AB814-Z814</f>
        <v>0</v>
      </c>
      <c r="AD814" s="348"/>
      <c r="AE814" s="337" t="str">
        <f t="shared" si="108"/>
        <v>CERO</v>
      </c>
    </row>
    <row r="815" spans="3:31" ht="15.9" customHeight="1" thickBot="1" x14ac:dyDescent="0.35">
      <c r="C815" s="292"/>
      <c r="D815" s="295" t="s">
        <v>132</v>
      </c>
      <c r="E815" s="296" t="s">
        <v>133</v>
      </c>
      <c r="F815" s="296" t="s">
        <v>134</v>
      </c>
      <c r="G815" s="296" t="s">
        <v>135</v>
      </c>
      <c r="H815" s="296" t="s">
        <v>136</v>
      </c>
      <c r="I815" s="296" t="s">
        <v>137</v>
      </c>
      <c r="J815" s="297" t="s">
        <v>138</v>
      </c>
      <c r="K815" s="293"/>
      <c r="M815" s="720"/>
      <c r="N815" s="721" t="s">
        <v>116</v>
      </c>
      <c r="O815" s="721"/>
      <c r="P815" s="721"/>
      <c r="Q815" s="721"/>
      <c r="R815" s="721"/>
      <c r="S815" s="721"/>
      <c r="T815" s="721"/>
      <c r="U815" s="721"/>
      <c r="V815" s="499">
        <f>+SUM(V811:V814)</f>
        <v>0</v>
      </c>
      <c r="Y815" s="328" t="s">
        <v>139</v>
      </c>
      <c r="Z815" s="329">
        <f>+SUM(Z811:Z814)</f>
        <v>0</v>
      </c>
      <c r="AA815" s="279"/>
      <c r="AB815" s="290"/>
      <c r="AC815" s="291"/>
      <c r="AD815" s="280"/>
      <c r="AE815" s="330"/>
    </row>
    <row r="816" spans="3:31" ht="15.9" customHeight="1" thickBot="1" x14ac:dyDescent="0.35">
      <c r="C816" s="292"/>
      <c r="D816" s="363"/>
      <c r="E816" s="364"/>
      <c r="F816" s="365">
        <f>+E808</f>
        <v>1.1000000000000001</v>
      </c>
      <c r="G816" s="364"/>
      <c r="H816" s="364"/>
      <c r="I816" s="364"/>
      <c r="J816" s="366"/>
      <c r="K816" s="293"/>
      <c r="M816" s="720"/>
      <c r="N816" s="722" t="s">
        <v>117</v>
      </c>
      <c r="O816" s="722"/>
      <c r="P816" s="722"/>
      <c r="Q816" s="722"/>
      <c r="R816" s="722"/>
      <c r="S816" s="722"/>
      <c r="T816" s="722"/>
      <c r="U816" s="722"/>
      <c r="V816" s="344">
        <f>+ROUND(V815,$AA$2)</f>
        <v>0</v>
      </c>
      <c r="Y816" s="332" t="s">
        <v>140</v>
      </c>
      <c r="Z816" s="333">
        <f>+ROUND(Z815,$AA$2)</f>
        <v>0</v>
      </c>
      <c r="AA816" s="279"/>
      <c r="AB816" s="324">
        <f>+V816*Y792</f>
        <v>0</v>
      </c>
      <c r="AC816" s="359"/>
      <c r="AD816" s="280"/>
      <c r="AE816" s="334"/>
    </row>
    <row r="817" spans="3:31" ht="15.9" customHeight="1" thickBot="1" x14ac:dyDescent="0.35">
      <c r="C817" s="292"/>
      <c r="D817" s="369"/>
      <c r="E817" s="370"/>
      <c r="F817" s="370"/>
      <c r="G817" s="370"/>
      <c r="H817" s="370"/>
      <c r="I817" s="370"/>
      <c r="J817" s="371"/>
      <c r="K817" s="293"/>
      <c r="M817" s="723" t="s">
        <v>118</v>
      </c>
      <c r="N817" s="723"/>
      <c r="O817" s="723"/>
      <c r="P817" s="723"/>
      <c r="Q817" s="723"/>
      <c r="R817" s="723"/>
      <c r="S817" s="723"/>
      <c r="T817" s="723"/>
      <c r="U817" s="723"/>
      <c r="V817" s="723"/>
      <c r="Y817" s="298"/>
      <c r="Z817" s="299"/>
      <c r="AA817" s="279"/>
      <c r="AB817" s="342"/>
      <c r="AC817" s="299"/>
      <c r="AD817" s="280"/>
      <c r="AE817" s="335"/>
    </row>
    <row r="818" spans="3:31" ht="15.9" customHeight="1" thickBot="1" x14ac:dyDescent="0.35">
      <c r="C818" s="292"/>
      <c r="D818" s="295" t="s">
        <v>132</v>
      </c>
      <c r="E818" s="296" t="s">
        <v>133</v>
      </c>
      <c r="F818" s="296" t="s">
        <v>134</v>
      </c>
      <c r="G818" s="296" t="s">
        <v>135</v>
      </c>
      <c r="H818" s="296" t="s">
        <v>136</v>
      </c>
      <c r="I818" s="296" t="s">
        <v>137</v>
      </c>
      <c r="J818" s="297" t="s">
        <v>138</v>
      </c>
      <c r="K818" s="293"/>
      <c r="M818" s="307" t="s">
        <v>97</v>
      </c>
      <c r="N818" s="372" t="s">
        <v>98</v>
      </c>
      <c r="O818" s="307" t="s">
        <v>99</v>
      </c>
      <c r="P818" s="396" t="s">
        <v>107</v>
      </c>
      <c r="Q818" s="307" t="s">
        <v>119</v>
      </c>
      <c r="R818" s="373" t="s">
        <v>120</v>
      </c>
      <c r="S818" s="307" t="s">
        <v>363</v>
      </c>
      <c r="T818" s="374" t="s">
        <v>121</v>
      </c>
      <c r="U818" s="375" t="s">
        <v>122</v>
      </c>
      <c r="V818" s="307" t="s">
        <v>101</v>
      </c>
      <c r="Y818" s="308" t="s">
        <v>107</v>
      </c>
      <c r="Z818" s="309" t="s">
        <v>9</v>
      </c>
      <c r="AA818" s="279"/>
      <c r="AB818" s="290"/>
      <c r="AC818" s="291"/>
      <c r="AD818" s="280"/>
      <c r="AE818" s="349"/>
    </row>
    <row r="819" spans="3:31" ht="14.4" x14ac:dyDescent="0.3">
      <c r="C819" s="292"/>
      <c r="D819" s="376"/>
      <c r="E819" s="377"/>
      <c r="F819" s="377"/>
      <c r="G819" s="377"/>
      <c r="H819" s="377"/>
      <c r="I819" s="377"/>
      <c r="J819" s="378">
        <f>+F816</f>
        <v>1.1000000000000001</v>
      </c>
      <c r="K819" s="293"/>
      <c r="M819" s="313">
        <v>201</v>
      </c>
      <c r="N819" s="379" t="str">
        <f>IFERROR(VLOOKUP(M819,INSUMOS!$C$8:$K$934,2,0),"-----")</f>
        <v>Oficial Albañileria</v>
      </c>
      <c r="O819" s="314" t="str">
        <f>IFERROR(VLOOKUP(M819,INSUMOS!$C$8:$K$934,3,0),"-----")</f>
        <v>JORNAL+PS</v>
      </c>
      <c r="P819" s="355">
        <v>1</v>
      </c>
      <c r="Q819" s="339">
        <v>2</v>
      </c>
      <c r="R819" s="380">
        <f>IFERROR(VLOOKUP(M819,INSUMOS!$C$8:$K$934,4,0),"-----")</f>
        <v>114970</v>
      </c>
      <c r="S819" s="380">
        <f>IFERROR(VLOOKUP(M819,INSUMOS!$C$8:$K$934,6,0),"-----")</f>
        <v>91976</v>
      </c>
      <c r="T819" s="380">
        <f>IFERROR(VLOOKUP(M819,INSUMOS!$C$8:$K$934,5,0),"-----")</f>
        <v>0</v>
      </c>
      <c r="U819" s="338">
        <f>SUM(R819:T819)</f>
        <v>206946</v>
      </c>
      <c r="V819" s="316">
        <f>+IFERROR((P819/Q819)*U819,0)</f>
        <v>103473</v>
      </c>
      <c r="Y819" s="321">
        <f>+IFERROR((Y792/Q819*P819),0)</f>
        <v>2</v>
      </c>
      <c r="Z819" s="318">
        <f>Y792*V819</f>
        <v>413892</v>
      </c>
      <c r="AA819" s="279"/>
      <c r="AB819" s="367">
        <f>+(U819)*Y819</f>
        <v>413892</v>
      </c>
      <c r="AC819" s="302">
        <f>+AB819-Z819</f>
        <v>0</v>
      </c>
      <c r="AD819" s="368"/>
      <c r="AE819" s="349" t="str">
        <f>+IF(V819=0,"CERO","NO")</f>
        <v>NO</v>
      </c>
    </row>
    <row r="820" spans="3:31" ht="15.9" customHeight="1" thickBot="1" x14ac:dyDescent="0.35">
      <c r="C820" s="292"/>
      <c r="D820" s="363"/>
      <c r="E820" s="364"/>
      <c r="F820" s="364"/>
      <c r="G820" s="364"/>
      <c r="H820" s="364"/>
      <c r="I820" s="364"/>
      <c r="J820" s="381">
        <f>+J819</f>
        <v>1.1000000000000001</v>
      </c>
      <c r="K820" s="293"/>
      <c r="M820" s="313">
        <v>202</v>
      </c>
      <c r="N820" s="379" t="str">
        <f>IFERROR(VLOOKUP(M820,INSUMOS!$C$8:$K$934,2,0),"-----")</f>
        <v>Ayudante Albañileria</v>
      </c>
      <c r="O820" s="314" t="str">
        <f>IFERROR(VLOOKUP(M820,INSUMOS!$C$8:$K$934,3,0),"-----")</f>
        <v>JORNAL+PS</v>
      </c>
      <c r="P820" s="355">
        <v>2</v>
      </c>
      <c r="Q820" s="339">
        <v>2</v>
      </c>
      <c r="R820" s="380">
        <f>IFERROR(VLOOKUP(M820,INSUMOS!$C$8:$K$934,4,0),"-----")</f>
        <v>94970</v>
      </c>
      <c r="S820" s="380">
        <f>IFERROR(VLOOKUP(M820,INSUMOS!$C$8:$K$934,6,0),"-----")</f>
        <v>75976</v>
      </c>
      <c r="T820" s="380">
        <f>IFERROR(VLOOKUP(M820,INSUMOS!$C$8:$K$934,5,0),"-----")</f>
        <v>0</v>
      </c>
      <c r="U820" s="338">
        <f>SUM(R820:T820)</f>
        <v>170946</v>
      </c>
      <c r="V820" s="316">
        <f>+IFERROR((P820/Q820)*U820,0)</f>
        <v>170946</v>
      </c>
      <c r="Y820" s="321">
        <f>+IFERROR((Y792/Q820*P820),0)</f>
        <v>4</v>
      </c>
      <c r="Z820" s="318">
        <f>Y792*V820</f>
        <v>683784</v>
      </c>
      <c r="AA820" s="279"/>
      <c r="AB820" s="367">
        <f>+U820*Y820</f>
        <v>683784</v>
      </c>
      <c r="AC820" s="302">
        <f>+AB820-Z820</f>
        <v>0</v>
      </c>
      <c r="AD820" s="280"/>
      <c r="AE820" s="349" t="str">
        <f t="shared" ref="AE820:AE821" si="111">+IF(V820=0,"CERO","NO")</f>
        <v>NO</v>
      </c>
    </row>
    <row r="821" spans="3:31" ht="15.9" customHeight="1" thickBot="1" x14ac:dyDescent="0.35">
      <c r="C821" s="292"/>
      <c r="D821" s="304"/>
      <c r="E821" s="305"/>
      <c r="F821" s="305"/>
      <c r="G821" s="305"/>
      <c r="H821" s="305"/>
      <c r="I821" s="305"/>
      <c r="J821" s="306"/>
      <c r="K821" s="293"/>
      <c r="M821" s="313">
        <v>0</v>
      </c>
      <c r="N821" s="379"/>
      <c r="O821" s="339"/>
      <c r="P821" s="382"/>
      <c r="Q821" s="319"/>
      <c r="R821" s="383"/>
      <c r="S821" s="384"/>
      <c r="T821" s="383"/>
      <c r="U821" s="338"/>
      <c r="V821" s="323"/>
      <c r="Y821" s="321">
        <f>+IFERROR((Y792/Q821*P821),0)</f>
        <v>0</v>
      </c>
      <c r="Z821" s="318">
        <f>Y792*V821</f>
        <v>0</v>
      </c>
      <c r="AA821" s="279"/>
      <c r="AB821" s="367">
        <f>+(U821)*Y821*P821</f>
        <v>0</v>
      </c>
      <c r="AC821" s="302">
        <f>+AB821-Z821</f>
        <v>0</v>
      </c>
      <c r="AD821" s="280"/>
      <c r="AE821" s="349" t="str">
        <f t="shared" si="111"/>
        <v>CERO</v>
      </c>
    </row>
    <row r="822" spans="3:31" ht="15.9" customHeight="1" thickBot="1" x14ac:dyDescent="0.35">
      <c r="C822" s="292"/>
      <c r="D822" s="295" t="s">
        <v>132</v>
      </c>
      <c r="E822" s="296" t="s">
        <v>133</v>
      </c>
      <c r="F822" s="296" t="s">
        <v>134</v>
      </c>
      <c r="G822" s="296" t="s">
        <v>135</v>
      </c>
      <c r="H822" s="296" t="s">
        <v>136</v>
      </c>
      <c r="I822" s="296" t="s">
        <v>137</v>
      </c>
      <c r="J822" s="297" t="s">
        <v>138</v>
      </c>
      <c r="K822" s="293"/>
      <c r="M822" s="724"/>
      <c r="N822" s="725" t="s">
        <v>123</v>
      </c>
      <c r="O822" s="725"/>
      <c r="P822" s="725"/>
      <c r="Q822" s="725"/>
      <c r="R822" s="725"/>
      <c r="S822" s="725"/>
      <c r="T822" s="725"/>
      <c r="U822" s="725"/>
      <c r="V822" s="316">
        <f>+SUM(V819:V821)</f>
        <v>274419</v>
      </c>
      <c r="Y822" s="328" t="s">
        <v>139</v>
      </c>
      <c r="Z822" s="329">
        <f>+SUM(Z819:Z821)</f>
        <v>1097676</v>
      </c>
      <c r="AA822" s="279"/>
      <c r="AB822" s="290"/>
      <c r="AC822" s="291"/>
      <c r="AD822" s="280"/>
      <c r="AE822" s="330"/>
    </row>
    <row r="823" spans="3:31" ht="15.9" customHeight="1" thickBot="1" x14ac:dyDescent="0.35">
      <c r="C823" s="292"/>
      <c r="D823" s="376"/>
      <c r="E823" s="377"/>
      <c r="F823" s="377"/>
      <c r="G823" s="386">
        <f>+F816</f>
        <v>1.1000000000000001</v>
      </c>
      <c r="H823" s="377"/>
      <c r="I823" s="377"/>
      <c r="J823" s="387"/>
      <c r="K823" s="293"/>
      <c r="M823" s="724"/>
      <c r="N823" s="726" t="s">
        <v>124</v>
      </c>
      <c r="O823" s="726"/>
      <c r="P823" s="726"/>
      <c r="Q823" s="726"/>
      <c r="R823" s="726"/>
      <c r="S823" s="726"/>
      <c r="T823" s="726"/>
      <c r="U823" s="726"/>
      <c r="V823" s="344">
        <f>+ROUND(V822,$AA$2)</f>
        <v>274419</v>
      </c>
      <c r="Y823" s="332" t="s">
        <v>140</v>
      </c>
      <c r="Z823" s="333">
        <f>+ROUND(Z822,$AA$2)</f>
        <v>1097676</v>
      </c>
      <c r="AA823" s="279"/>
      <c r="AB823" s="324">
        <f>+V823*Y792</f>
        <v>1097676</v>
      </c>
      <c r="AC823" s="325">
        <f>+AB823-Z823</f>
        <v>0</v>
      </c>
      <c r="AD823" s="280"/>
      <c r="AE823" s="334"/>
    </row>
    <row r="824" spans="3:31" ht="15.9" customHeight="1" thickBot="1" x14ac:dyDescent="0.35">
      <c r="C824" s="292"/>
      <c r="D824" s="295" t="s">
        <v>132</v>
      </c>
      <c r="E824" s="296" t="s">
        <v>133</v>
      </c>
      <c r="F824" s="296" t="s">
        <v>134</v>
      </c>
      <c r="G824" s="296" t="s">
        <v>135</v>
      </c>
      <c r="H824" s="296" t="s">
        <v>136</v>
      </c>
      <c r="I824" s="296" t="s">
        <v>137</v>
      </c>
      <c r="J824" s="297" t="s">
        <v>138</v>
      </c>
      <c r="K824" s="293"/>
      <c r="M824" s="727"/>
      <c r="N824" s="727"/>
      <c r="O824" s="727"/>
      <c r="P824" s="727"/>
      <c r="Q824" s="727"/>
      <c r="R824" s="727"/>
      <c r="S824" s="727"/>
      <c r="T824" s="727"/>
      <c r="U824" s="727"/>
      <c r="V824" s="727"/>
      <c r="Y824" s="298"/>
      <c r="Z824" s="299"/>
      <c r="AA824" s="279"/>
      <c r="AB824" s="342"/>
      <c r="AC824" s="299"/>
      <c r="AD824" s="280"/>
      <c r="AE824" s="388"/>
    </row>
    <row r="825" spans="3:31" ht="15.9" customHeight="1" thickBot="1" x14ac:dyDescent="0.35">
      <c r="C825" s="292"/>
      <c r="D825" s="363"/>
      <c r="E825" s="364"/>
      <c r="F825" s="364"/>
      <c r="G825" s="364"/>
      <c r="H825" s="365">
        <f>G823</f>
        <v>1.1000000000000001</v>
      </c>
      <c r="I825" s="365"/>
      <c r="J825" s="381"/>
      <c r="K825" s="293"/>
      <c r="M825" s="726" t="s">
        <v>125</v>
      </c>
      <c r="N825" s="726"/>
      <c r="O825" s="726"/>
      <c r="P825" s="726"/>
      <c r="Q825" s="726"/>
      <c r="R825" s="726"/>
      <c r="S825" s="726"/>
      <c r="T825" s="726"/>
      <c r="U825" s="728">
        <f>+V823+V816+V808+V801</f>
        <v>532975</v>
      </c>
      <c r="V825" s="728"/>
      <c r="Y825" s="389"/>
      <c r="Z825" s="390">
        <f>+Z823+Z816+Z808+Z801</f>
        <v>2131901</v>
      </c>
      <c r="AA825" s="279"/>
      <c r="AB825" s="385">
        <f>+AB823+AB816+AB808+AB801</f>
        <v>2131900</v>
      </c>
      <c r="AC825" s="325">
        <f>+AB825-Z825</f>
        <v>-1</v>
      </c>
      <c r="AD825" s="280"/>
      <c r="AE825" s="391"/>
    </row>
    <row r="826" spans="3:31" ht="15.9" customHeight="1" thickBot="1" x14ac:dyDescent="0.3">
      <c r="M826" s="412"/>
      <c r="N826" s="412"/>
      <c r="O826" s="412"/>
      <c r="P826" s="412"/>
      <c r="Q826" s="412"/>
      <c r="R826" s="412"/>
      <c r="S826" s="412"/>
      <c r="T826" s="412"/>
      <c r="U826" s="412"/>
      <c r="V826" s="412"/>
    </row>
    <row r="827" spans="3:31" ht="15.9" customHeight="1" x14ac:dyDescent="0.25">
      <c r="M827" s="729" t="s">
        <v>364</v>
      </c>
      <c r="N827" s="729"/>
      <c r="O827" s="729"/>
      <c r="P827" s="729"/>
      <c r="Q827" s="729"/>
      <c r="R827" s="729"/>
      <c r="S827" s="729"/>
      <c r="T827" s="729"/>
      <c r="U827" s="729"/>
      <c r="V827" s="729"/>
      <c r="Y827" s="298"/>
      <c r="Z827" s="299"/>
      <c r="AA827" s="279"/>
      <c r="AB827" s="280"/>
      <c r="AC827" s="280"/>
      <c r="AD827" s="280"/>
      <c r="AE827" s="335" t="s">
        <v>137</v>
      </c>
    </row>
    <row r="828" spans="3:31" ht="15.9" customHeight="1" x14ac:dyDescent="0.25">
      <c r="M828" s="700" t="s">
        <v>142</v>
      </c>
      <c r="N828" s="700"/>
      <c r="O828" s="700"/>
      <c r="P828" s="700"/>
      <c r="Q828" s="700"/>
      <c r="R828" s="700"/>
      <c r="S828" s="700"/>
      <c r="T828" s="413">
        <f>$AA$3</f>
        <v>0.25</v>
      </c>
      <c r="U828" s="701">
        <f>+ROUND(U825*T828,$AA$2)</f>
        <v>133244</v>
      </c>
      <c r="V828" s="701"/>
      <c r="Y828" s="317"/>
      <c r="Z828" s="414">
        <f>+Z825*T828</f>
        <v>532975.25</v>
      </c>
      <c r="AA828" s="279"/>
      <c r="AB828" s="280"/>
      <c r="AC828" s="280"/>
      <c r="AD828" s="280"/>
      <c r="AE828" s="310" t="s">
        <v>137</v>
      </c>
    </row>
    <row r="829" spans="3:31" ht="15.9" customHeight="1" x14ac:dyDescent="0.25">
      <c r="M829" s="700" t="s">
        <v>19</v>
      </c>
      <c r="N829" s="700"/>
      <c r="O829" s="700"/>
      <c r="P829" s="700"/>
      <c r="Q829" s="700"/>
      <c r="R829" s="700"/>
      <c r="S829" s="700"/>
      <c r="T829" s="413">
        <f>$AA$4</f>
        <v>0.03</v>
      </c>
      <c r="U829" s="701">
        <f>+ROUND(U825*T829,$AA$2)</f>
        <v>15989</v>
      </c>
      <c r="V829" s="701"/>
      <c r="Y829" s="317"/>
      <c r="Z829" s="414">
        <f>+Z825*T829</f>
        <v>63957.03</v>
      </c>
      <c r="AA829" s="279"/>
      <c r="AB829" s="280"/>
      <c r="AC829" s="280"/>
      <c r="AD829" s="280"/>
      <c r="AE829" s="310" t="s">
        <v>137</v>
      </c>
    </row>
    <row r="830" spans="3:31" ht="15.9" customHeight="1" x14ac:dyDescent="0.25">
      <c r="M830" s="700" t="s">
        <v>20</v>
      </c>
      <c r="N830" s="700"/>
      <c r="O830" s="700"/>
      <c r="P830" s="700"/>
      <c r="Q830" s="700"/>
      <c r="R830" s="700"/>
      <c r="S830" s="700"/>
      <c r="T830" s="413">
        <f>$AA$5</f>
        <v>0.05</v>
      </c>
      <c r="U830" s="701">
        <f>+ROUND(U825*T830,$AA$2)</f>
        <v>26649</v>
      </c>
      <c r="V830" s="701"/>
      <c r="Y830" s="317"/>
      <c r="Z830" s="414">
        <f>+Z825*T830</f>
        <v>106595.05</v>
      </c>
      <c r="AA830" s="279"/>
      <c r="AB830" s="280"/>
      <c r="AC830" s="280"/>
      <c r="AD830" s="280"/>
      <c r="AE830" s="310" t="s">
        <v>137</v>
      </c>
    </row>
    <row r="831" spans="3:31" ht="15.9" customHeight="1" x14ac:dyDescent="0.25">
      <c r="M831" s="700" t="s">
        <v>21</v>
      </c>
      <c r="N831" s="700"/>
      <c r="O831" s="700"/>
      <c r="P831" s="700"/>
      <c r="Q831" s="700"/>
      <c r="R831" s="700"/>
      <c r="S831" s="700"/>
      <c r="T831" s="413">
        <f>$AA$6</f>
        <v>0</v>
      </c>
      <c r="U831" s="701">
        <f>+ROUND(U825*T831,$AA$2)</f>
        <v>0</v>
      </c>
      <c r="V831" s="701"/>
      <c r="Y831" s="317"/>
      <c r="Z831" s="414">
        <f>+Z830*T831</f>
        <v>0</v>
      </c>
      <c r="AA831" s="279"/>
      <c r="AB831" s="280"/>
      <c r="AC831" s="280"/>
      <c r="AD831" s="280"/>
      <c r="AE831" s="310" t="s">
        <v>137</v>
      </c>
    </row>
    <row r="832" spans="3:31" ht="15.9" customHeight="1" thickBot="1" x14ac:dyDescent="0.3">
      <c r="M832" s="702" t="s">
        <v>365</v>
      </c>
      <c r="N832" s="702"/>
      <c r="O832" s="702"/>
      <c r="P832" s="702"/>
      <c r="Q832" s="702"/>
      <c r="R832" s="702"/>
      <c r="S832" s="702"/>
      <c r="T832" s="702"/>
      <c r="U832" s="703">
        <f>+SUM(U828:V831)</f>
        <v>175882</v>
      </c>
      <c r="V832" s="703"/>
      <c r="Y832" s="317"/>
      <c r="Z832" s="415">
        <f>+SUM(Z828:Z831)</f>
        <v>703527.33000000007</v>
      </c>
      <c r="AA832" s="279"/>
      <c r="AB832" s="280"/>
      <c r="AC832" s="280"/>
      <c r="AD832" s="280"/>
      <c r="AE832" s="310" t="s">
        <v>137</v>
      </c>
    </row>
    <row r="833" spans="3:31" ht="15.9" customHeight="1" thickBot="1" x14ac:dyDescent="0.3">
      <c r="D833" s="295" t="s">
        <v>132</v>
      </c>
      <c r="E833" s="296" t="s">
        <v>133</v>
      </c>
      <c r="F833" s="296" t="s">
        <v>134</v>
      </c>
      <c r="G833" s="296" t="s">
        <v>135</v>
      </c>
      <c r="H833" s="296" t="s">
        <v>136</v>
      </c>
      <c r="I833" s="296" t="s">
        <v>137</v>
      </c>
      <c r="J833" s="297" t="s">
        <v>138</v>
      </c>
      <c r="M833" s="377"/>
      <c r="N833" s="416"/>
      <c r="O833" s="416"/>
      <c r="P833" s="416"/>
      <c r="Q833" s="377"/>
      <c r="R833" s="377"/>
      <c r="S833" s="377"/>
      <c r="T833" s="417"/>
      <c r="U833" s="701"/>
      <c r="V833" s="701"/>
      <c r="Y833" s="317"/>
      <c r="Z833" s="291"/>
      <c r="AA833" s="279"/>
      <c r="AB833" s="280"/>
      <c r="AC833" s="280"/>
      <c r="AD833" s="280"/>
      <c r="AE833" s="310" t="s">
        <v>137</v>
      </c>
    </row>
    <row r="834" spans="3:31" ht="15.9" customHeight="1" thickBot="1" x14ac:dyDescent="0.3">
      <c r="D834" s="363"/>
      <c r="E834" s="364"/>
      <c r="F834" s="364"/>
      <c r="G834" s="364"/>
      <c r="H834" s="365"/>
      <c r="I834" s="365">
        <f>H825</f>
        <v>1.1000000000000001</v>
      </c>
      <c r="J834" s="381"/>
      <c r="M834" s="702" t="s">
        <v>11</v>
      </c>
      <c r="N834" s="702"/>
      <c r="O834" s="702"/>
      <c r="P834" s="702"/>
      <c r="Q834" s="702"/>
      <c r="R834" s="702"/>
      <c r="S834" s="702"/>
      <c r="T834" s="702"/>
      <c r="U834" s="704">
        <f>+U832+U825</f>
        <v>708857</v>
      </c>
      <c r="V834" s="704"/>
      <c r="Y834" s="389"/>
      <c r="Z834" s="418">
        <f>+Z832+Z825</f>
        <v>2835428.33</v>
      </c>
      <c r="AA834" s="279"/>
      <c r="AB834" s="280"/>
      <c r="AC834" s="280"/>
      <c r="AD834" s="280"/>
      <c r="AE834" s="334" t="s">
        <v>137</v>
      </c>
    </row>
    <row r="835" spans="3:31" ht="15.9" customHeight="1" x14ac:dyDescent="0.25">
      <c r="M835" s="705"/>
      <c r="N835" s="705"/>
      <c r="O835" s="705"/>
      <c r="P835" s="705"/>
      <c r="Q835" s="705"/>
      <c r="R835" s="706"/>
      <c r="S835" s="706"/>
      <c r="T835" s="706"/>
      <c r="U835" s="706"/>
      <c r="V835" s="706"/>
    </row>
    <row r="836" spans="3:31" ht="15.9" customHeight="1" x14ac:dyDescent="0.25">
      <c r="M836" s="705"/>
      <c r="N836" s="705"/>
      <c r="O836" s="705"/>
      <c r="P836" s="705"/>
      <c r="Q836" s="705"/>
      <c r="R836" s="706"/>
      <c r="S836" s="706"/>
      <c r="T836" s="706"/>
      <c r="U836" s="706"/>
      <c r="V836" s="706"/>
    </row>
    <row r="837" spans="3:31" ht="15.9" customHeight="1" x14ac:dyDescent="0.25">
      <c r="M837" s="705"/>
      <c r="N837" s="705"/>
      <c r="O837" s="705"/>
      <c r="P837" s="705"/>
      <c r="Q837" s="705"/>
      <c r="R837" s="706"/>
      <c r="S837" s="706"/>
      <c r="T837" s="706"/>
      <c r="U837" s="706"/>
      <c r="V837" s="706"/>
    </row>
    <row r="838" spans="3:31" ht="15.9" customHeight="1" x14ac:dyDescent="0.25">
      <c r="M838" s="705"/>
      <c r="N838" s="705"/>
      <c r="O838" s="705"/>
      <c r="P838" s="705"/>
      <c r="Q838" s="705"/>
      <c r="R838" s="706"/>
      <c r="S838" s="706"/>
      <c r="T838" s="706"/>
      <c r="U838" s="706"/>
      <c r="V838" s="706"/>
    </row>
    <row r="839" spans="3:31" ht="15.9" customHeight="1" x14ac:dyDescent="0.25">
      <c r="M839" s="707" t="s">
        <v>128</v>
      </c>
      <c r="N839" s="708" t="str">
        <f>$N$6</f>
        <v>ING. JEYSON JULIAN LEON RUEDA</v>
      </c>
      <c r="O839" s="709"/>
      <c r="P839" s="709"/>
      <c r="Q839" s="710"/>
      <c r="R839" s="711" t="s">
        <v>129</v>
      </c>
      <c r="S839" s="708" t="str">
        <f>$S$6</f>
        <v>ARQ. YASMID ROCÍO CARRILLO MORA</v>
      </c>
      <c r="T839" s="709"/>
      <c r="U839" s="709"/>
      <c r="V839" s="710"/>
    </row>
    <row r="840" spans="3:31" ht="15.9" customHeight="1" x14ac:dyDescent="0.25">
      <c r="M840" s="707"/>
      <c r="N840" s="712" t="str">
        <f>$N$7</f>
        <v>MP. 68202-416348 STD</v>
      </c>
      <c r="O840" s="713"/>
      <c r="P840" s="713"/>
      <c r="Q840" s="714"/>
      <c r="R840" s="711"/>
      <c r="S840" s="712" t="str">
        <f>$S$7</f>
        <v>SECRETARIA DE PLANEACIÓN Y OBRAS PÚBLICAS</v>
      </c>
      <c r="T840" s="713"/>
      <c r="U840" s="713"/>
      <c r="V840" s="714"/>
    </row>
    <row r="841" spans="3:31" ht="15.9" customHeight="1" x14ac:dyDescent="0.25">
      <c r="M841" s="707"/>
      <c r="N841" s="715"/>
      <c r="O841" s="716"/>
      <c r="P841" s="716"/>
      <c r="Q841" s="717"/>
      <c r="R841" s="711"/>
      <c r="S841" s="712" t="str">
        <f>$S$8</f>
        <v>MUNICIPIO DE PINCHOTE</v>
      </c>
      <c r="T841" s="713"/>
      <c r="U841" s="713"/>
      <c r="V841" s="714"/>
    </row>
    <row r="842" spans="3:31" ht="15.9" customHeight="1" x14ac:dyDescent="0.25"/>
    <row r="843" spans="3:31" ht="15.9" customHeight="1" thickBot="1" x14ac:dyDescent="0.3"/>
    <row r="844" spans="3:31" ht="15.9" customHeight="1" thickBot="1" x14ac:dyDescent="0.3">
      <c r="M844" s="281" t="s">
        <v>90</v>
      </c>
      <c r="N844" s="410" t="s">
        <v>29</v>
      </c>
      <c r="O844" s="706" t="str">
        <f>IFERROR(VLOOKUP(N844,PPTO!$C$9:$H$64,2,0),"----")</f>
        <v>COMPONENTE ACUEDUCTO</v>
      </c>
      <c r="P844" s="706"/>
      <c r="Q844" s="706"/>
      <c r="R844" s="706"/>
      <c r="S844" s="706"/>
      <c r="T844" s="706"/>
      <c r="U844" s="706"/>
      <c r="V844" s="283" t="s">
        <v>93</v>
      </c>
      <c r="Y844" s="284" t="s">
        <v>107</v>
      </c>
      <c r="Z844" s="280"/>
      <c r="AA844" s="274"/>
      <c r="AB844" s="735"/>
      <c r="AC844" s="735"/>
      <c r="AD844" s="735"/>
      <c r="AE844" s="280"/>
    </row>
    <row r="845" spans="3:31" ht="15.9" customHeight="1" thickBot="1" x14ac:dyDescent="0.35">
      <c r="C845" s="285">
        <f>+N845</f>
        <v>1.1100000000000001</v>
      </c>
      <c r="D845" s="279"/>
      <c r="E845" s="279"/>
      <c r="F845" s="279"/>
      <c r="G845" s="279"/>
      <c r="H845" s="279"/>
      <c r="I845" s="279"/>
      <c r="J845" s="279"/>
      <c r="K845" s="286"/>
      <c r="M845" s="283" t="s">
        <v>94</v>
      </c>
      <c r="N845" s="287">
        <v>1.1100000000000001</v>
      </c>
      <c r="O845" s="736" t="str">
        <f>IFERROR(VLOOKUP(N845,PPTO!$C$9:$H$64,2,0),"----")</f>
        <v>Suministro e instalaciónTubería corrugada sanitaria de 8"</v>
      </c>
      <c r="P845" s="736"/>
      <c r="Q845" s="736"/>
      <c r="R845" s="736"/>
      <c r="S845" s="736"/>
      <c r="T845" s="736"/>
      <c r="U845" s="736"/>
      <c r="V845" s="288" t="str">
        <f>IFERROR(VLOOKUP(N845,PPTO!$C$9:$H$64,3,0),"----")</f>
        <v>ml</v>
      </c>
      <c r="Y845" s="289">
        <f>SUMIFS(PPTO!$F$7:$F$63,PPTO!$C$7:$C$63,APUS!N845)</f>
        <v>98.6</v>
      </c>
      <c r="Z845" s="280"/>
      <c r="AA845" s="279"/>
      <c r="AB845" s="280"/>
      <c r="AC845" s="280"/>
      <c r="AD845" s="280"/>
      <c r="AE845" s="280"/>
    </row>
    <row r="846" spans="3:31" ht="15.9" customHeight="1" thickBot="1" x14ac:dyDescent="0.35">
      <c r="C846" s="292"/>
      <c r="D846" s="279"/>
      <c r="E846" s="279"/>
      <c r="F846" s="279"/>
      <c r="G846" s="279"/>
      <c r="H846" s="279"/>
      <c r="I846" s="279"/>
      <c r="J846" s="279"/>
      <c r="K846" s="293"/>
      <c r="M846" s="737"/>
      <c r="N846" s="737"/>
      <c r="O846" s="737"/>
      <c r="P846" s="737"/>
      <c r="Q846" s="737"/>
      <c r="R846" s="737"/>
      <c r="S846" s="737"/>
      <c r="T846" s="737"/>
      <c r="U846" s="737"/>
      <c r="V846" s="737"/>
      <c r="Y846" s="294"/>
      <c r="Z846" s="280"/>
      <c r="AA846" s="279"/>
      <c r="AB846" s="280"/>
      <c r="AC846" s="280"/>
      <c r="AD846" s="280"/>
      <c r="AE846" s="280"/>
    </row>
    <row r="847" spans="3:31" ht="15.9" customHeight="1" thickBot="1" x14ac:dyDescent="0.35">
      <c r="C847" s="292"/>
      <c r="D847" s="295" t="s">
        <v>132</v>
      </c>
      <c r="E847" s="296" t="s">
        <v>133</v>
      </c>
      <c r="F847" s="296" t="s">
        <v>134</v>
      </c>
      <c r="G847" s="296" t="s">
        <v>135</v>
      </c>
      <c r="H847" s="296" t="s">
        <v>136</v>
      </c>
      <c r="I847" s="296" t="s">
        <v>137</v>
      </c>
      <c r="J847" s="297" t="s">
        <v>138</v>
      </c>
      <c r="K847" s="293"/>
      <c r="M847" s="738" t="s">
        <v>96</v>
      </c>
      <c r="N847" s="738"/>
      <c r="O847" s="738"/>
      <c r="P847" s="738"/>
      <c r="Q847" s="738"/>
      <c r="R847" s="738"/>
      <c r="S847" s="738"/>
      <c r="T847" s="738"/>
      <c r="U847" s="738"/>
      <c r="V847" s="738"/>
      <c r="Y847" s="298"/>
      <c r="Z847" s="299"/>
      <c r="AA847" s="279"/>
      <c r="AB847" s="731"/>
      <c r="AC847" s="732"/>
      <c r="AD847" s="280"/>
      <c r="AE847" s="303"/>
    </row>
    <row r="848" spans="3:31" ht="15.9" customHeight="1" x14ac:dyDescent="0.3">
      <c r="C848" s="292"/>
      <c r="D848" s="304"/>
      <c r="E848" s="305"/>
      <c r="F848" s="305"/>
      <c r="G848" s="305"/>
      <c r="H848" s="305"/>
      <c r="I848" s="305"/>
      <c r="J848" s="306"/>
      <c r="K848" s="293"/>
      <c r="M848" s="307" t="s">
        <v>97</v>
      </c>
      <c r="N848" s="706" t="s">
        <v>98</v>
      </c>
      <c r="O848" s="706"/>
      <c r="P848" s="706"/>
      <c r="Q848" s="706"/>
      <c r="R848" s="307" t="s">
        <v>99</v>
      </c>
      <c r="S848" s="307" t="s">
        <v>100</v>
      </c>
      <c r="T848" s="734" t="s">
        <v>8</v>
      </c>
      <c r="U848" s="734"/>
      <c r="V848" s="307" t="s">
        <v>101</v>
      </c>
      <c r="Y848" s="308" t="s">
        <v>107</v>
      </c>
      <c r="Z848" s="309" t="s">
        <v>9</v>
      </c>
      <c r="AA848" s="279"/>
      <c r="AB848" s="290"/>
      <c r="AC848" s="291"/>
      <c r="AD848" s="280"/>
      <c r="AE848" s="310"/>
    </row>
    <row r="849" spans="3:31" ht="15.9" customHeight="1" x14ac:dyDescent="0.3">
      <c r="C849" s="292"/>
      <c r="D849" s="311"/>
      <c r="E849" s="279"/>
      <c r="F849" s="279"/>
      <c r="G849" s="279"/>
      <c r="H849" s="279"/>
      <c r="I849" s="279"/>
      <c r="J849" s="312"/>
      <c r="K849" s="293"/>
      <c r="M849" s="313"/>
      <c r="N849" s="718" t="s">
        <v>102</v>
      </c>
      <c r="O849" s="718"/>
      <c r="P849" s="718"/>
      <c r="Q849" s="718"/>
      <c r="R849" s="314" t="s">
        <v>103</v>
      </c>
      <c r="S849" s="315">
        <f>$AA$9</f>
        <v>0.05</v>
      </c>
      <c r="T849" s="739">
        <f>V876</f>
        <v>27442</v>
      </c>
      <c r="U849" s="739"/>
      <c r="V849" s="316">
        <f>+IFERROR(T849*S849,0)</f>
        <v>1372.1000000000001</v>
      </c>
      <c r="Y849" s="317"/>
      <c r="Z849" s="318">
        <f>Y845*V849</f>
        <v>135289.06</v>
      </c>
      <c r="AA849" s="279"/>
      <c r="AB849" s="290"/>
      <c r="AC849" s="291"/>
      <c r="AD849" s="280"/>
      <c r="AE849" s="310" t="str">
        <f>+IF(V849=0,"CERO","NO")</f>
        <v>NO</v>
      </c>
    </row>
    <row r="850" spans="3:31" ht="15.9" customHeight="1" x14ac:dyDescent="0.3">
      <c r="C850" s="292"/>
      <c r="D850" s="311"/>
      <c r="E850" s="279"/>
      <c r="F850" s="279"/>
      <c r="G850" s="279"/>
      <c r="H850" s="279"/>
      <c r="I850" s="279"/>
      <c r="J850" s="312"/>
      <c r="K850" s="293"/>
      <c r="M850" s="319">
        <v>0</v>
      </c>
      <c r="N850" s="718" t="str">
        <f>IFERROR(VLOOKUP(M850,INSUMOS!$C$8:$K$934,2,0),"-----")</f>
        <v>-----</v>
      </c>
      <c r="O850" s="718"/>
      <c r="P850" s="718"/>
      <c r="Q850" s="718"/>
      <c r="R850" s="314" t="str">
        <f>IFERROR(VLOOKUP(M850,INSUMOS!$C$8:$K$934,6,0),"-----")</f>
        <v>-----</v>
      </c>
      <c r="S850" s="320"/>
      <c r="T850" s="740" t="str">
        <f>IFERROR(VLOOKUP(M850,INSUMOS!$C$8:$K$934,7,0),"0")</f>
        <v>0</v>
      </c>
      <c r="U850" s="740"/>
      <c r="V850" s="316">
        <f>+IFERROR(T850*S850,0)</f>
        <v>0</v>
      </c>
      <c r="Y850" s="321">
        <f>+IFERROR(Y845*S850,0)</f>
        <v>0</v>
      </c>
      <c r="Z850" s="318">
        <f>Y845*V850</f>
        <v>0</v>
      </c>
      <c r="AA850" s="300"/>
      <c r="AB850" s="301">
        <f>+Y850*T850</f>
        <v>0</v>
      </c>
      <c r="AC850" s="302">
        <f>+AB850-Z850</f>
        <v>0</v>
      </c>
      <c r="AD850" s="280"/>
      <c r="AE850" s="310" t="str">
        <f>+IF(V850=0,"CERO","NO")</f>
        <v>CERO</v>
      </c>
    </row>
    <row r="851" spans="3:31" ht="15.9" customHeight="1" x14ac:dyDescent="0.3">
      <c r="C851" s="292"/>
      <c r="D851" s="311"/>
      <c r="E851" s="279"/>
      <c r="F851" s="279"/>
      <c r="G851" s="279"/>
      <c r="H851" s="279"/>
      <c r="I851" s="279"/>
      <c r="J851" s="312"/>
      <c r="K851" s="293"/>
      <c r="M851" s="313">
        <v>0</v>
      </c>
      <c r="N851" s="718" t="str">
        <f>IFERROR(VLOOKUP(M851,INSUMOS!$C$8:$K$934,2,0),"-----")</f>
        <v>-----</v>
      </c>
      <c r="O851" s="718"/>
      <c r="P851" s="718"/>
      <c r="Q851" s="718"/>
      <c r="R851" s="314" t="str">
        <f>IFERROR(VLOOKUP(M851,INSUMOS!$C$8:$K$934,6,0),"-----")</f>
        <v>-----</v>
      </c>
      <c r="S851" s="320"/>
      <c r="T851" s="740" t="str">
        <f>IFERROR(VLOOKUP(M851,INSUMOS!$C$8:$K$934,7,0),"0")</f>
        <v>0</v>
      </c>
      <c r="U851" s="740"/>
      <c r="V851" s="316">
        <f>+IFERROR(T851*S851,0)</f>
        <v>0</v>
      </c>
      <c r="Y851" s="321">
        <f>+IFERROR(Y845*S851,0)</f>
        <v>0</v>
      </c>
      <c r="Z851" s="318">
        <f>Y845*V851</f>
        <v>0</v>
      </c>
      <c r="AA851" s="300"/>
      <c r="AB851" s="301">
        <f>+Y851*T851</f>
        <v>0</v>
      </c>
      <c r="AC851" s="302">
        <f>+AB851-Z851</f>
        <v>0</v>
      </c>
      <c r="AD851" s="280"/>
      <c r="AE851" s="310" t="str">
        <f>+IF(V851=0,"CERO","NO")</f>
        <v>CERO</v>
      </c>
    </row>
    <row r="852" spans="3:31" ht="15.9" customHeight="1" thickBot="1" x14ac:dyDescent="0.35">
      <c r="C852" s="292"/>
      <c r="D852" s="311"/>
      <c r="E852" s="279"/>
      <c r="F852" s="279"/>
      <c r="G852" s="279"/>
      <c r="H852" s="279"/>
      <c r="I852" s="279"/>
      <c r="J852" s="312"/>
      <c r="K852" s="293"/>
      <c r="M852" s="313">
        <v>0</v>
      </c>
      <c r="N852" s="718" t="str">
        <f>IFERROR(VLOOKUP(M852,INSUMOS!$C$8:$K$934,2,0),"-----")</f>
        <v>-----</v>
      </c>
      <c r="O852" s="718"/>
      <c r="P852" s="718"/>
      <c r="Q852" s="718"/>
      <c r="R852" s="314" t="str">
        <f>IFERROR(VLOOKUP(M852,INSUMOS!$C$8:$K$934,6,0),"-----")</f>
        <v>-----</v>
      </c>
      <c r="S852" s="320"/>
      <c r="T852" s="740" t="str">
        <f>IFERROR(VLOOKUP(M852,INSUMOS!$C$8:$K$934,7,0),"0")</f>
        <v>0</v>
      </c>
      <c r="U852" s="740"/>
      <c r="V852" s="316">
        <f>+IFERROR(T852*S852,0)</f>
        <v>0</v>
      </c>
      <c r="Y852" s="321">
        <f>+IFERROR(Y845*S852,0)</f>
        <v>0</v>
      </c>
      <c r="Z852" s="318">
        <f>Y845*V852</f>
        <v>0</v>
      </c>
      <c r="AA852" s="300"/>
      <c r="AB852" s="301">
        <f>+Y852*T852</f>
        <v>0</v>
      </c>
      <c r="AC852" s="302">
        <f>+AB852-Z852</f>
        <v>0</v>
      </c>
      <c r="AD852" s="280"/>
      <c r="AE852" s="310" t="str">
        <f>+IF(V852=0,"CERO","NO")</f>
        <v>CERO</v>
      </c>
    </row>
    <row r="853" spans="3:31" ht="15.9" customHeight="1" thickBot="1" x14ac:dyDescent="0.35">
      <c r="C853" s="292"/>
      <c r="D853" s="295" t="s">
        <v>132</v>
      </c>
      <c r="E853" s="296" t="s">
        <v>133</v>
      </c>
      <c r="F853" s="296" t="s">
        <v>134</v>
      </c>
      <c r="G853" s="296" t="s">
        <v>135</v>
      </c>
      <c r="H853" s="296" t="s">
        <v>136</v>
      </c>
      <c r="I853" s="296" t="s">
        <v>137</v>
      </c>
      <c r="J853" s="297" t="s">
        <v>138</v>
      </c>
      <c r="K853" s="293"/>
      <c r="M853" s="724"/>
      <c r="N853" s="725" t="s">
        <v>104</v>
      </c>
      <c r="O853" s="725"/>
      <c r="P853" s="725"/>
      <c r="Q853" s="725"/>
      <c r="R853" s="725"/>
      <c r="S853" s="725"/>
      <c r="T853" s="725"/>
      <c r="U853" s="725"/>
      <c r="V853" s="316">
        <f>+SUM(V849:V852)</f>
        <v>1372.1000000000001</v>
      </c>
      <c r="Y853" s="328" t="s">
        <v>139</v>
      </c>
      <c r="Z853" s="329">
        <f>+SUM(Z849:Z852)</f>
        <v>135289.06</v>
      </c>
      <c r="AA853" s="279"/>
      <c r="AB853" s="290"/>
      <c r="AC853" s="291"/>
      <c r="AD853" s="280"/>
      <c r="AE853" s="330"/>
    </row>
    <row r="854" spans="3:31" ht="15.9" customHeight="1" thickBot="1" x14ac:dyDescent="0.35">
      <c r="C854" s="292"/>
      <c r="D854" s="295">
        <f>C845</f>
        <v>1.1100000000000001</v>
      </c>
      <c r="E854" s="296"/>
      <c r="F854" s="296"/>
      <c r="G854" s="296"/>
      <c r="H854" s="296"/>
      <c r="I854" s="296"/>
      <c r="J854" s="297"/>
      <c r="K854" s="293"/>
      <c r="M854" s="724"/>
      <c r="N854" s="726" t="s">
        <v>105</v>
      </c>
      <c r="O854" s="726"/>
      <c r="P854" s="726"/>
      <c r="Q854" s="726"/>
      <c r="R854" s="726"/>
      <c r="S854" s="726"/>
      <c r="T854" s="726"/>
      <c r="U854" s="726"/>
      <c r="V854" s="344">
        <f>+ROUND(V853,$AA$2)</f>
        <v>1372</v>
      </c>
      <c r="Y854" s="332" t="s">
        <v>140</v>
      </c>
      <c r="Z854" s="333">
        <f>+ROUND(Z853,$AA$2)</f>
        <v>135289</v>
      </c>
      <c r="AA854" s="279"/>
      <c r="AB854" s="324">
        <f>+V854*Y845</f>
        <v>135279.19999999998</v>
      </c>
      <c r="AC854" s="325">
        <f>+AB854-Z854</f>
        <v>-9.8000000000174623</v>
      </c>
      <c r="AD854" s="280"/>
      <c r="AE854" s="334"/>
    </row>
    <row r="855" spans="3:31" ht="15.9" customHeight="1" x14ac:dyDescent="0.3">
      <c r="C855" s="292"/>
      <c r="D855" s="304"/>
      <c r="E855" s="305"/>
      <c r="F855" s="305"/>
      <c r="G855" s="305"/>
      <c r="H855" s="305"/>
      <c r="I855" s="305"/>
      <c r="J855" s="306"/>
      <c r="K855" s="293"/>
      <c r="M855" s="730" t="s">
        <v>106</v>
      </c>
      <c r="N855" s="730"/>
      <c r="O855" s="730"/>
      <c r="P855" s="730"/>
      <c r="Q855" s="730"/>
      <c r="R855" s="730"/>
      <c r="S855" s="730"/>
      <c r="T855" s="730"/>
      <c r="U855" s="730"/>
      <c r="V855" s="730"/>
      <c r="Y855" s="298"/>
      <c r="Z855" s="299"/>
      <c r="AA855" s="279"/>
      <c r="AB855" s="731"/>
      <c r="AC855" s="732"/>
      <c r="AD855" s="280"/>
      <c r="AE855" s="335"/>
    </row>
    <row r="856" spans="3:31" ht="15.9" customHeight="1" x14ac:dyDescent="0.3">
      <c r="C856" s="292"/>
      <c r="D856" s="311"/>
      <c r="E856" s="279"/>
      <c r="F856" s="279"/>
      <c r="G856" s="279"/>
      <c r="H856" s="279"/>
      <c r="I856" s="279"/>
      <c r="J856" s="312"/>
      <c r="K856" s="293"/>
      <c r="M856" s="307" t="s">
        <v>97</v>
      </c>
      <c r="N856" s="706" t="s">
        <v>98</v>
      </c>
      <c r="O856" s="706"/>
      <c r="P856" s="706"/>
      <c r="Q856" s="706"/>
      <c r="R856" s="307" t="s">
        <v>99</v>
      </c>
      <c r="S856" s="307" t="s">
        <v>107</v>
      </c>
      <c r="T856" s="336" t="s">
        <v>108</v>
      </c>
      <c r="U856" s="336" t="s">
        <v>8</v>
      </c>
      <c r="V856" s="307" t="s">
        <v>101</v>
      </c>
      <c r="Y856" s="308" t="s">
        <v>107</v>
      </c>
      <c r="Z856" s="309" t="s">
        <v>9</v>
      </c>
      <c r="AA856" s="279"/>
      <c r="AB856" s="290"/>
      <c r="AC856" s="291"/>
      <c r="AD856" s="280"/>
      <c r="AE856" s="337"/>
    </row>
    <row r="857" spans="3:31" ht="15.9" customHeight="1" x14ac:dyDescent="0.3">
      <c r="C857" s="292"/>
      <c r="D857" s="311"/>
      <c r="E857" s="279"/>
      <c r="F857" s="279"/>
      <c r="G857" s="279"/>
      <c r="H857" s="279"/>
      <c r="I857" s="279"/>
      <c r="J857" s="312"/>
      <c r="K857" s="293"/>
      <c r="M857" s="313">
        <v>582</v>
      </c>
      <c r="N857" s="718" t="str">
        <f>IFERROR(VLOOKUP(M857,INSUMOS!$C$8:$K$934,2,0),"-----")</f>
        <v>Tuberia Alcantarillado 200 mm (8")</v>
      </c>
      <c r="O857" s="718"/>
      <c r="P857" s="718"/>
      <c r="Q857" s="718"/>
      <c r="R857" s="314" t="str">
        <f>IFERROR(VLOOKUP(M857,INSUMOS!$C$8:$K$934,6,0),"-----")</f>
        <v>ml</v>
      </c>
      <c r="S857" s="322">
        <v>1</v>
      </c>
      <c r="T857" s="315">
        <v>0.05</v>
      </c>
      <c r="U857" s="338">
        <f>IFERROR(VLOOKUP(M857,INSUMOS!$C$8:$K$934,7,0),"0")</f>
        <v>96540</v>
      </c>
      <c r="V857" s="316">
        <f>+IFERROR(U857*(S857*(1+T857)),0)</f>
        <v>101367</v>
      </c>
      <c r="Y857" s="321">
        <f>+IFERROR(Y845*(S857*(1+T857)),0)</f>
        <v>103.53</v>
      </c>
      <c r="Z857" s="318">
        <f>Y845*V857</f>
        <v>9994786.1999999993</v>
      </c>
      <c r="AA857" s="300"/>
      <c r="AB857" s="301">
        <f>+Y857*U857</f>
        <v>9994786.1999999993</v>
      </c>
      <c r="AC857" s="302">
        <f>+AB857-Z857</f>
        <v>0</v>
      </c>
      <c r="AD857" s="280"/>
      <c r="AE857" s="337" t="str">
        <f t="shared" ref="AE857:AE859" si="112">+IF(V857=0,"CERO","NO")</f>
        <v>NO</v>
      </c>
    </row>
    <row r="858" spans="3:31" ht="15.9" customHeight="1" x14ac:dyDescent="0.3">
      <c r="C858" s="292"/>
      <c r="D858" s="311"/>
      <c r="E858" s="279"/>
      <c r="F858" s="279"/>
      <c r="G858" s="279"/>
      <c r="H858" s="279"/>
      <c r="I858" s="279"/>
      <c r="J858" s="312"/>
      <c r="K858" s="293"/>
      <c r="M858" s="313">
        <v>0</v>
      </c>
      <c r="N858" s="718" t="s">
        <v>927</v>
      </c>
      <c r="O858" s="718"/>
      <c r="P858" s="718"/>
      <c r="Q858" s="718"/>
      <c r="R858" s="314" t="s">
        <v>928</v>
      </c>
      <c r="S858" s="322">
        <v>0.1</v>
      </c>
      <c r="T858" s="315">
        <v>0.05</v>
      </c>
      <c r="U858" s="338">
        <v>32000</v>
      </c>
      <c r="V858" s="316">
        <f>+IFERROR(U858*(S858*(1+T858)),0)</f>
        <v>3360.0000000000005</v>
      </c>
      <c r="Y858" s="321">
        <f>+IFERROR(Y845*(S858*(1+T858)),0)</f>
        <v>10.353</v>
      </c>
      <c r="Z858" s="318">
        <f>Y845*V858</f>
        <v>331296</v>
      </c>
      <c r="AA858" s="300"/>
      <c r="AB858" s="301">
        <f t="shared" ref="AB858:AB859" si="113">+Y858*U858</f>
        <v>331296</v>
      </c>
      <c r="AC858" s="302">
        <f t="shared" ref="AC858:AC859" si="114">+AB858-Z858</f>
        <v>0</v>
      </c>
      <c r="AD858" s="280"/>
      <c r="AE858" s="337" t="str">
        <f t="shared" si="112"/>
        <v>NO</v>
      </c>
    </row>
    <row r="859" spans="3:31" ht="15.9" customHeight="1" thickBot="1" x14ac:dyDescent="0.35">
      <c r="C859" s="292"/>
      <c r="D859" s="311"/>
      <c r="E859" s="279"/>
      <c r="F859" s="279"/>
      <c r="G859" s="279"/>
      <c r="H859" s="279"/>
      <c r="I859" s="279"/>
      <c r="J859" s="312"/>
      <c r="K859" s="293"/>
      <c r="M859" s="313">
        <v>0</v>
      </c>
      <c r="N859" s="718" t="str">
        <f>IFERROR(VLOOKUP(M859,INSUMOS!$C$8:$K$934,2,0),"-----")</f>
        <v>-----</v>
      </c>
      <c r="O859" s="718"/>
      <c r="P859" s="718"/>
      <c r="Q859" s="718"/>
      <c r="R859" s="314" t="str">
        <f>IFERROR(VLOOKUP(M859,INSUMOS!$C$8:$K$934,6,0),"-----")</f>
        <v>-----</v>
      </c>
      <c r="S859" s="322"/>
      <c r="T859" s="315"/>
      <c r="U859" s="338" t="str">
        <f>IFERROR(VLOOKUP(M859,INSUMOS!$C$8:$K$934,7,0),"0")</f>
        <v>0</v>
      </c>
      <c r="V859" s="316">
        <f>+IFERROR(U859*(S859*(1+T859)),0)</f>
        <v>0</v>
      </c>
      <c r="Y859" s="321">
        <f>+IFERROR(Y845*(S859*(1+T859)),0)</f>
        <v>0</v>
      </c>
      <c r="Z859" s="318">
        <f>Y845*V859</f>
        <v>0</v>
      </c>
      <c r="AA859" s="300"/>
      <c r="AB859" s="301">
        <f t="shared" si="113"/>
        <v>0</v>
      </c>
      <c r="AC859" s="302">
        <f t="shared" si="114"/>
        <v>0</v>
      </c>
      <c r="AD859" s="280"/>
      <c r="AE859" s="337" t="str">
        <f t="shared" si="112"/>
        <v>CERO</v>
      </c>
    </row>
    <row r="860" spans="3:31" ht="15.9" customHeight="1" thickBot="1" x14ac:dyDescent="0.35">
      <c r="C860" s="292"/>
      <c r="D860" s="295" t="s">
        <v>132</v>
      </c>
      <c r="E860" s="296" t="s">
        <v>133</v>
      </c>
      <c r="F860" s="296" t="s">
        <v>134</v>
      </c>
      <c r="G860" s="296" t="s">
        <v>135</v>
      </c>
      <c r="H860" s="296" t="s">
        <v>136</v>
      </c>
      <c r="I860" s="296" t="s">
        <v>137</v>
      </c>
      <c r="J860" s="297" t="s">
        <v>138</v>
      </c>
      <c r="K860" s="293"/>
      <c r="M860" s="724"/>
      <c r="N860" s="725" t="s">
        <v>109</v>
      </c>
      <c r="O860" s="725"/>
      <c r="P860" s="725"/>
      <c r="Q860" s="725"/>
      <c r="R860" s="725"/>
      <c r="S860" s="725"/>
      <c r="T860" s="725"/>
      <c r="U860" s="725"/>
      <c r="V860" s="316">
        <f>+SUM(V857:V859)</f>
        <v>104727</v>
      </c>
      <c r="Y860" s="328" t="s">
        <v>139</v>
      </c>
      <c r="Z860" s="329">
        <f>+SUM(Z857:Z859)</f>
        <v>10326082.199999999</v>
      </c>
      <c r="AA860" s="279"/>
      <c r="AB860" s="290"/>
      <c r="AC860" s="291"/>
      <c r="AD860" s="280"/>
      <c r="AE860" s="330"/>
    </row>
    <row r="861" spans="3:31" ht="15.9" customHeight="1" thickBot="1" x14ac:dyDescent="0.35">
      <c r="C861" s="292"/>
      <c r="D861" s="295"/>
      <c r="E861" s="343">
        <f>+D854</f>
        <v>1.1100000000000001</v>
      </c>
      <c r="F861" s="296"/>
      <c r="G861" s="296"/>
      <c r="H861" s="296"/>
      <c r="I861" s="296"/>
      <c r="J861" s="297"/>
      <c r="K861" s="293"/>
      <c r="M861" s="724"/>
      <c r="N861" s="726" t="s">
        <v>110</v>
      </c>
      <c r="O861" s="726"/>
      <c r="P861" s="726"/>
      <c r="Q861" s="726"/>
      <c r="R861" s="726"/>
      <c r="S861" s="726"/>
      <c r="T861" s="726"/>
      <c r="U861" s="726"/>
      <c r="V861" s="344">
        <f>+ROUND(V860,$AA$2)</f>
        <v>104727</v>
      </c>
      <c r="Y861" s="332" t="s">
        <v>140</v>
      </c>
      <c r="Z861" s="333">
        <f>+ROUND(Z860,$AA$2)</f>
        <v>10326082</v>
      </c>
      <c r="AA861" s="279"/>
      <c r="AB861" s="324">
        <f>+V861*Y845</f>
        <v>10326082.199999999</v>
      </c>
      <c r="AC861" s="325">
        <f>+AB861-Z861</f>
        <v>0.19999999925494194</v>
      </c>
      <c r="AD861" s="280"/>
      <c r="AE861" s="334"/>
    </row>
    <row r="862" spans="3:31" ht="15.9" customHeight="1" x14ac:dyDescent="0.3">
      <c r="C862" s="292"/>
      <c r="D862" s="304"/>
      <c r="E862" s="305"/>
      <c r="F862" s="305"/>
      <c r="G862" s="305"/>
      <c r="H862" s="305"/>
      <c r="I862" s="305"/>
      <c r="J862" s="306"/>
      <c r="K862" s="293"/>
      <c r="M862" s="733" t="s">
        <v>111</v>
      </c>
      <c r="N862" s="733"/>
      <c r="O862" s="733"/>
      <c r="P862" s="733"/>
      <c r="Q862" s="733"/>
      <c r="R862" s="733"/>
      <c r="S862" s="733"/>
      <c r="T862" s="733"/>
      <c r="U862" s="733"/>
      <c r="V862" s="733"/>
      <c r="Y862" s="298"/>
      <c r="Z862" s="299"/>
      <c r="AA862" s="279"/>
      <c r="AB862" s="342"/>
      <c r="AC862" s="299"/>
      <c r="AD862" s="280"/>
      <c r="AE862" s="335"/>
    </row>
    <row r="863" spans="3:31" ht="27.6" x14ac:dyDescent="0.3">
      <c r="C863" s="292"/>
      <c r="D863" s="311"/>
      <c r="E863" s="279"/>
      <c r="F863" s="279"/>
      <c r="G863" s="279"/>
      <c r="H863" s="279"/>
      <c r="I863" s="279"/>
      <c r="J863" s="312"/>
      <c r="K863" s="293"/>
      <c r="M863" s="307" t="s">
        <v>97</v>
      </c>
      <c r="N863" s="706" t="s">
        <v>98</v>
      </c>
      <c r="O863" s="706"/>
      <c r="P863" s="706"/>
      <c r="Q863" s="307" t="s">
        <v>112</v>
      </c>
      <c r="R863" s="307" t="s">
        <v>113</v>
      </c>
      <c r="S863" s="307" t="s">
        <v>114</v>
      </c>
      <c r="T863" s="734" t="s">
        <v>115</v>
      </c>
      <c r="U863" s="734"/>
      <c r="V863" s="307" t="s">
        <v>101</v>
      </c>
      <c r="Y863" s="308" t="s">
        <v>107</v>
      </c>
      <c r="Z863" s="309" t="s">
        <v>9</v>
      </c>
      <c r="AA863" s="279"/>
      <c r="AB863" s="290"/>
      <c r="AC863" s="291"/>
      <c r="AD863" s="280"/>
      <c r="AE863" s="349"/>
    </row>
    <row r="864" spans="3:31" ht="14.4" x14ac:dyDescent="0.3">
      <c r="C864" s="350"/>
      <c r="D864" s="351"/>
      <c r="E864" s="345"/>
      <c r="F864" s="345"/>
      <c r="G864" s="345"/>
      <c r="H864" s="345"/>
      <c r="I864" s="345"/>
      <c r="J864" s="352"/>
      <c r="K864" s="353"/>
      <c r="M864" s="354">
        <v>161</v>
      </c>
      <c r="N864" s="718" t="str">
        <f>IFERROR(VLOOKUP(M864,INSUMOS!$C$8:$K$934,2,0),"-----")</f>
        <v>Transporte tuberia alcantarrillado</v>
      </c>
      <c r="O864" s="718"/>
      <c r="P864" s="718"/>
      <c r="Q864" s="314" t="str">
        <f>IFERROR(VLOOKUP(M864,INSUMOS!$C$8:$K$934,5,0),"-----")</f>
        <v>ml/km</v>
      </c>
      <c r="R864" s="355">
        <v>1</v>
      </c>
      <c r="S864" s="355">
        <f>IFERROR(VLOOKUP(M864,INSUMOS!$C$8:$K$934,6,0),"0")</f>
        <v>4.87</v>
      </c>
      <c r="T864" s="719">
        <f>IFERROR(VLOOKUP(M864,INSUMOS!$C$8:$K$934,7,0),"0")</f>
        <v>1250</v>
      </c>
      <c r="U864" s="719"/>
      <c r="V864" s="515">
        <f>+T864*S864*R864</f>
        <v>6087.5</v>
      </c>
      <c r="Y864" s="321">
        <f>+IFERROR((R864*S864)*Y845,0)</f>
        <v>480.18199999999996</v>
      </c>
      <c r="Z864" s="318">
        <f>Y845*V864</f>
        <v>600227.5</v>
      </c>
      <c r="AA864" s="345"/>
      <c r="AB864" s="346">
        <f>+Y864*T864</f>
        <v>600227.5</v>
      </c>
      <c r="AC864" s="347">
        <f>+AB864-Z864</f>
        <v>0</v>
      </c>
      <c r="AD864" s="348"/>
      <c r="AE864" s="337" t="str">
        <f t="shared" ref="AE864:AE867" si="115">+IF(V864=0,"CERO","NO")</f>
        <v>NO</v>
      </c>
    </row>
    <row r="865" spans="3:31" ht="15.9" customHeight="1" x14ac:dyDescent="0.3">
      <c r="C865" s="350"/>
      <c r="D865" s="351"/>
      <c r="E865" s="345"/>
      <c r="F865" s="345"/>
      <c r="G865" s="345"/>
      <c r="H865" s="345"/>
      <c r="I865" s="345"/>
      <c r="J865" s="352"/>
      <c r="K865" s="353"/>
      <c r="M865" s="354">
        <v>0</v>
      </c>
      <c r="N865" s="718" t="str">
        <f>IFERROR(VLOOKUP(M865,INSUMOS!$C$8:$K$934,2,0),"-----")</f>
        <v>-----</v>
      </c>
      <c r="O865" s="718"/>
      <c r="P865" s="718"/>
      <c r="Q865" s="314" t="str">
        <f>IFERROR(VLOOKUP(M865,INSUMOS!$C$8:$K$934,5,0),"-----")</f>
        <v>-----</v>
      </c>
      <c r="R865" s="355"/>
      <c r="S865" s="355" t="str">
        <f>IFERROR(VLOOKUP(M865,INSUMOS!$C$8:$K$934,6,0),"0")</f>
        <v>0</v>
      </c>
      <c r="T865" s="719" t="str">
        <f>IFERROR(VLOOKUP(M865,INSUMOS!$C$8:$K$934,7,0),"0")</f>
        <v>0</v>
      </c>
      <c r="U865" s="719"/>
      <c r="V865" s="515">
        <f>+T865*S865*R865</f>
        <v>0</v>
      </c>
      <c r="Y865" s="321">
        <f>+IFERROR((R865*S865)*Y845,0)</f>
        <v>0</v>
      </c>
      <c r="Z865" s="318">
        <f>Y845*V865</f>
        <v>0</v>
      </c>
      <c r="AA865" s="345"/>
      <c r="AB865" s="346">
        <f>+Y865*T865</f>
        <v>0</v>
      </c>
      <c r="AC865" s="347">
        <f>+AB865-Z865</f>
        <v>0</v>
      </c>
      <c r="AD865" s="348"/>
      <c r="AE865" s="337" t="str">
        <f t="shared" si="115"/>
        <v>CERO</v>
      </c>
    </row>
    <row r="866" spans="3:31" ht="15.9" customHeight="1" x14ac:dyDescent="0.3">
      <c r="C866" s="350"/>
      <c r="D866" s="351"/>
      <c r="E866" s="345"/>
      <c r="F866" s="345"/>
      <c r="G866" s="345"/>
      <c r="H866" s="345"/>
      <c r="I866" s="345"/>
      <c r="J866" s="352"/>
      <c r="K866" s="353"/>
      <c r="M866" s="354">
        <v>0</v>
      </c>
      <c r="N866" s="718" t="str">
        <f>IFERROR(VLOOKUP(M866,INSUMOS!$C$8:$K$934,2,0),"-----")</f>
        <v>-----</v>
      </c>
      <c r="O866" s="718"/>
      <c r="P866" s="718"/>
      <c r="Q866" s="314" t="str">
        <f>IFERROR(VLOOKUP(M866,INSUMOS!$C$8:$K$934,5,0),"-----")</f>
        <v>-----</v>
      </c>
      <c r="R866" s="355"/>
      <c r="S866" s="355" t="str">
        <f>IFERROR(VLOOKUP(M866,INSUMOS!$C$8:$K$934,6,0),"0")</f>
        <v>0</v>
      </c>
      <c r="T866" s="719" t="str">
        <f>IFERROR(VLOOKUP(M866,INSUMOS!$C$8:$K$934,7,0),"0")</f>
        <v>0</v>
      </c>
      <c r="U866" s="719"/>
      <c r="V866" s="515">
        <f>+T866*S866*R866</f>
        <v>0</v>
      </c>
      <c r="Y866" s="321">
        <f>+IFERROR((R866*S866)*Y845,0)</f>
        <v>0</v>
      </c>
      <c r="Z866" s="318">
        <f>Y845*V866</f>
        <v>0</v>
      </c>
      <c r="AA866" s="345"/>
      <c r="AB866" s="346">
        <f t="shared" ref="AB866" si="116">+Y866*T866</f>
        <v>0</v>
      </c>
      <c r="AC866" s="347">
        <f t="shared" ref="AC866" si="117">+AB866-Z866</f>
        <v>0</v>
      </c>
      <c r="AD866" s="348"/>
      <c r="AE866" s="337" t="str">
        <f t="shared" si="115"/>
        <v>CERO</v>
      </c>
    </row>
    <row r="867" spans="3:31" ht="15.9" customHeight="1" thickBot="1" x14ac:dyDescent="0.35">
      <c r="C867" s="350"/>
      <c r="D867" s="360"/>
      <c r="E867" s="361"/>
      <c r="F867" s="361"/>
      <c r="G867" s="361"/>
      <c r="H867" s="361"/>
      <c r="I867" s="361"/>
      <c r="J867" s="362"/>
      <c r="K867" s="353"/>
      <c r="M867" s="354">
        <v>0</v>
      </c>
      <c r="N867" s="718"/>
      <c r="O867" s="718"/>
      <c r="P867" s="718"/>
      <c r="Q867" s="357"/>
      <c r="R867" s="314"/>
      <c r="S867" s="358"/>
      <c r="T867" s="719"/>
      <c r="U867" s="719"/>
      <c r="V867" s="515"/>
      <c r="Y867" s="321">
        <f>+IFERROR((R867*S867)*Y845,0)</f>
        <v>0</v>
      </c>
      <c r="Z867" s="318">
        <f>Y845*V867</f>
        <v>0</v>
      </c>
      <c r="AA867" s="345"/>
      <c r="AB867" s="346">
        <f>+Y867*T867</f>
        <v>0</v>
      </c>
      <c r="AC867" s="347">
        <f>+AB867-Z867</f>
        <v>0</v>
      </c>
      <c r="AD867" s="348"/>
      <c r="AE867" s="337" t="str">
        <f t="shared" si="115"/>
        <v>CERO</v>
      </c>
    </row>
    <row r="868" spans="3:31" ht="15.9" customHeight="1" thickBot="1" x14ac:dyDescent="0.35">
      <c r="C868" s="292"/>
      <c r="D868" s="295" t="s">
        <v>132</v>
      </c>
      <c r="E868" s="296" t="s">
        <v>133</v>
      </c>
      <c r="F868" s="296" t="s">
        <v>134</v>
      </c>
      <c r="G868" s="296" t="s">
        <v>135</v>
      </c>
      <c r="H868" s="296" t="s">
        <v>136</v>
      </c>
      <c r="I868" s="296" t="s">
        <v>137</v>
      </c>
      <c r="J868" s="297" t="s">
        <v>138</v>
      </c>
      <c r="K868" s="293"/>
      <c r="M868" s="720"/>
      <c r="N868" s="721" t="s">
        <v>116</v>
      </c>
      <c r="O868" s="721"/>
      <c r="P868" s="721"/>
      <c r="Q868" s="721"/>
      <c r="R868" s="721"/>
      <c r="S868" s="721"/>
      <c r="T868" s="721"/>
      <c r="U868" s="721"/>
      <c r="V868" s="499">
        <f>+SUM(V864:V867)</f>
        <v>6087.5</v>
      </c>
      <c r="Y868" s="328" t="s">
        <v>139</v>
      </c>
      <c r="Z868" s="329">
        <f>+SUM(Z864:Z867)</f>
        <v>600227.5</v>
      </c>
      <c r="AA868" s="279"/>
      <c r="AB868" s="290"/>
      <c r="AC868" s="291"/>
      <c r="AD868" s="280"/>
      <c r="AE868" s="330"/>
    </row>
    <row r="869" spans="3:31" ht="15.9" customHeight="1" thickBot="1" x14ac:dyDescent="0.35">
      <c r="C869" s="292"/>
      <c r="D869" s="363"/>
      <c r="E869" s="364"/>
      <c r="F869" s="365">
        <f>+E861</f>
        <v>1.1100000000000001</v>
      </c>
      <c r="G869" s="364"/>
      <c r="H869" s="364"/>
      <c r="I869" s="364"/>
      <c r="J869" s="366"/>
      <c r="K869" s="293"/>
      <c r="M869" s="720"/>
      <c r="N869" s="722" t="s">
        <v>117</v>
      </c>
      <c r="O869" s="722"/>
      <c r="P869" s="722"/>
      <c r="Q869" s="722"/>
      <c r="R869" s="722"/>
      <c r="S869" s="722"/>
      <c r="T869" s="722"/>
      <c r="U869" s="722"/>
      <c r="V869" s="344">
        <f>+ROUND(V868,$AA$2)</f>
        <v>6088</v>
      </c>
      <c r="Y869" s="332" t="s">
        <v>140</v>
      </c>
      <c r="Z869" s="333">
        <f>+ROUND(Z868,$AA$2)</f>
        <v>600228</v>
      </c>
      <c r="AA869" s="279"/>
      <c r="AB869" s="324">
        <f>+V869*Y845</f>
        <v>600276.79999999993</v>
      </c>
      <c r="AC869" s="359"/>
      <c r="AD869" s="280"/>
      <c r="AE869" s="334"/>
    </row>
    <row r="870" spans="3:31" ht="15.9" customHeight="1" thickBot="1" x14ac:dyDescent="0.35">
      <c r="C870" s="292"/>
      <c r="D870" s="369"/>
      <c r="E870" s="370"/>
      <c r="F870" s="370"/>
      <c r="G870" s="370"/>
      <c r="H870" s="370"/>
      <c r="I870" s="370"/>
      <c r="J870" s="371"/>
      <c r="K870" s="293"/>
      <c r="M870" s="723" t="s">
        <v>118</v>
      </c>
      <c r="N870" s="723"/>
      <c r="O870" s="723"/>
      <c r="P870" s="723"/>
      <c r="Q870" s="723"/>
      <c r="R870" s="723"/>
      <c r="S870" s="723"/>
      <c r="T870" s="723"/>
      <c r="U870" s="723"/>
      <c r="V870" s="723"/>
      <c r="Y870" s="298"/>
      <c r="Z870" s="299"/>
      <c r="AA870" s="279"/>
      <c r="AB870" s="342"/>
      <c r="AC870" s="299"/>
      <c r="AD870" s="280"/>
      <c r="AE870" s="335"/>
    </row>
    <row r="871" spans="3:31" ht="15.9" customHeight="1" thickBot="1" x14ac:dyDescent="0.35">
      <c r="C871" s="292"/>
      <c r="D871" s="295" t="s">
        <v>132</v>
      </c>
      <c r="E871" s="296" t="s">
        <v>133</v>
      </c>
      <c r="F871" s="296" t="s">
        <v>134</v>
      </c>
      <c r="G871" s="296" t="s">
        <v>135</v>
      </c>
      <c r="H871" s="296" t="s">
        <v>136</v>
      </c>
      <c r="I871" s="296" t="s">
        <v>137</v>
      </c>
      <c r="J871" s="297" t="s">
        <v>138</v>
      </c>
      <c r="K871" s="293"/>
      <c r="M871" s="307" t="s">
        <v>97</v>
      </c>
      <c r="N871" s="372" t="s">
        <v>98</v>
      </c>
      <c r="O871" s="307" t="s">
        <v>99</v>
      </c>
      <c r="P871" s="396" t="s">
        <v>107</v>
      </c>
      <c r="Q871" s="307" t="s">
        <v>119</v>
      </c>
      <c r="R871" s="373" t="s">
        <v>120</v>
      </c>
      <c r="S871" s="307" t="s">
        <v>363</v>
      </c>
      <c r="T871" s="374" t="s">
        <v>121</v>
      </c>
      <c r="U871" s="375" t="s">
        <v>122</v>
      </c>
      <c r="V871" s="307" t="s">
        <v>101</v>
      </c>
      <c r="Y871" s="308" t="s">
        <v>107</v>
      </c>
      <c r="Z871" s="309" t="s">
        <v>9</v>
      </c>
      <c r="AA871" s="279"/>
      <c r="AB871" s="290"/>
      <c r="AC871" s="291"/>
      <c r="AD871" s="280"/>
      <c r="AE871" s="349"/>
    </row>
    <row r="872" spans="3:31" ht="14.4" x14ac:dyDescent="0.3">
      <c r="C872" s="292"/>
      <c r="D872" s="376"/>
      <c r="E872" s="377"/>
      <c r="F872" s="377"/>
      <c r="G872" s="377"/>
      <c r="H872" s="377"/>
      <c r="I872" s="377"/>
      <c r="J872" s="378">
        <f>+F869</f>
        <v>1.1100000000000001</v>
      </c>
      <c r="K872" s="293"/>
      <c r="M872" s="313">
        <v>201</v>
      </c>
      <c r="N872" s="379" t="str">
        <f>IFERROR(VLOOKUP(M872,INSUMOS!$C$8:$K$934,2,0),"-----")</f>
        <v>Oficial Albañileria</v>
      </c>
      <c r="O872" s="314" t="str">
        <f>IFERROR(VLOOKUP(M872,INSUMOS!$C$8:$K$934,3,0),"-----")</f>
        <v>JORNAL+PS</v>
      </c>
      <c r="P872" s="355">
        <v>1</v>
      </c>
      <c r="Q872" s="339">
        <v>20</v>
      </c>
      <c r="R872" s="380">
        <f>IFERROR(VLOOKUP(M872,INSUMOS!$C$8:$K$934,4,0),"-----")</f>
        <v>114970</v>
      </c>
      <c r="S872" s="380">
        <f>IFERROR(VLOOKUP(M872,INSUMOS!$C$8:$K$934,6,0),"-----")</f>
        <v>91976</v>
      </c>
      <c r="T872" s="380">
        <f>IFERROR(VLOOKUP(M872,INSUMOS!$C$8:$K$934,5,0),"-----")</f>
        <v>0</v>
      </c>
      <c r="U872" s="338">
        <f>SUM(R872:T872)</f>
        <v>206946</v>
      </c>
      <c r="V872" s="316">
        <f>+IFERROR((P872/Q872)*U872,0)</f>
        <v>10347.300000000001</v>
      </c>
      <c r="Y872" s="321">
        <f>+IFERROR((Y845/Q872*P872),0)</f>
        <v>4.93</v>
      </c>
      <c r="Z872" s="318">
        <f>Y845*V872</f>
        <v>1020243.78</v>
      </c>
      <c r="AA872" s="279"/>
      <c r="AB872" s="367">
        <f>+(U872)*Y872</f>
        <v>1020243.7799999999</v>
      </c>
      <c r="AC872" s="302">
        <f>+AB872-Z872</f>
        <v>0</v>
      </c>
      <c r="AD872" s="368"/>
      <c r="AE872" s="349" t="str">
        <f>+IF(V872=0,"CERO","NO")</f>
        <v>NO</v>
      </c>
    </row>
    <row r="873" spans="3:31" ht="15.9" customHeight="1" thickBot="1" x14ac:dyDescent="0.35">
      <c r="C873" s="292"/>
      <c r="D873" s="363"/>
      <c r="E873" s="364"/>
      <c r="F873" s="364"/>
      <c r="G873" s="364"/>
      <c r="H873" s="364"/>
      <c r="I873" s="364"/>
      <c r="J873" s="381">
        <f>+J872</f>
        <v>1.1100000000000001</v>
      </c>
      <c r="K873" s="293"/>
      <c r="M873" s="313">
        <v>202</v>
      </c>
      <c r="N873" s="379" t="str">
        <f>IFERROR(VLOOKUP(M873,INSUMOS!$C$8:$K$934,2,0),"-----")</f>
        <v>Ayudante Albañileria</v>
      </c>
      <c r="O873" s="314" t="str">
        <f>IFERROR(VLOOKUP(M873,INSUMOS!$C$8:$K$934,3,0),"-----")</f>
        <v>JORNAL+PS</v>
      </c>
      <c r="P873" s="355">
        <v>2</v>
      </c>
      <c r="Q873" s="339">
        <v>20</v>
      </c>
      <c r="R873" s="380">
        <f>IFERROR(VLOOKUP(M873,INSUMOS!$C$8:$K$934,4,0),"-----")</f>
        <v>94970</v>
      </c>
      <c r="S873" s="380">
        <f>IFERROR(VLOOKUP(M873,INSUMOS!$C$8:$K$934,6,0),"-----")</f>
        <v>75976</v>
      </c>
      <c r="T873" s="380">
        <f>IFERROR(VLOOKUP(M873,INSUMOS!$C$8:$K$934,5,0),"-----")</f>
        <v>0</v>
      </c>
      <c r="U873" s="338">
        <f>SUM(R873:T873)</f>
        <v>170946</v>
      </c>
      <c r="V873" s="316">
        <f>+IFERROR((P873/Q873)*U873,0)</f>
        <v>17094.600000000002</v>
      </c>
      <c r="Y873" s="321">
        <f>+IFERROR((Y845/Q873*P873),0)</f>
        <v>9.86</v>
      </c>
      <c r="Z873" s="318">
        <f>Y845*V873</f>
        <v>1685527.56</v>
      </c>
      <c r="AA873" s="279"/>
      <c r="AB873" s="367">
        <f>+U873*Y873</f>
        <v>1685527.5599999998</v>
      </c>
      <c r="AC873" s="302">
        <f>+AB873-Z873</f>
        <v>0</v>
      </c>
      <c r="AD873" s="280"/>
      <c r="AE873" s="349" t="str">
        <f t="shared" ref="AE873:AE874" si="118">+IF(V873=0,"CERO","NO")</f>
        <v>NO</v>
      </c>
    </row>
    <row r="874" spans="3:31" ht="15.9" customHeight="1" thickBot="1" x14ac:dyDescent="0.35">
      <c r="C874" s="292"/>
      <c r="D874" s="304"/>
      <c r="E874" s="305"/>
      <c r="F874" s="305"/>
      <c r="G874" s="305"/>
      <c r="H874" s="305"/>
      <c r="I874" s="305"/>
      <c r="J874" s="306"/>
      <c r="K874" s="293"/>
      <c r="M874" s="313">
        <v>0</v>
      </c>
      <c r="N874" s="379"/>
      <c r="O874" s="339"/>
      <c r="P874" s="382"/>
      <c r="Q874" s="319"/>
      <c r="R874" s="383"/>
      <c r="S874" s="384"/>
      <c r="T874" s="383"/>
      <c r="U874" s="338"/>
      <c r="V874" s="323"/>
      <c r="Y874" s="321">
        <f>+IFERROR((Y845/Q874*P874),0)</f>
        <v>0</v>
      </c>
      <c r="Z874" s="318">
        <f>Y845*V874</f>
        <v>0</v>
      </c>
      <c r="AA874" s="279"/>
      <c r="AB874" s="367">
        <f>+(U874)*Y874*P874</f>
        <v>0</v>
      </c>
      <c r="AC874" s="302">
        <f>+AB874-Z874</f>
        <v>0</v>
      </c>
      <c r="AD874" s="280"/>
      <c r="AE874" s="349" t="str">
        <f t="shared" si="118"/>
        <v>CERO</v>
      </c>
    </row>
    <row r="875" spans="3:31" ht="15.9" customHeight="1" thickBot="1" x14ac:dyDescent="0.35">
      <c r="C875" s="292"/>
      <c r="D875" s="295" t="s">
        <v>132</v>
      </c>
      <c r="E875" s="296" t="s">
        <v>133</v>
      </c>
      <c r="F875" s="296" t="s">
        <v>134</v>
      </c>
      <c r="G875" s="296" t="s">
        <v>135</v>
      </c>
      <c r="H875" s="296" t="s">
        <v>136</v>
      </c>
      <c r="I875" s="296" t="s">
        <v>137</v>
      </c>
      <c r="J875" s="297" t="s">
        <v>138</v>
      </c>
      <c r="K875" s="293"/>
      <c r="M875" s="724"/>
      <c r="N875" s="725" t="s">
        <v>123</v>
      </c>
      <c r="O875" s="725"/>
      <c r="P875" s="725"/>
      <c r="Q875" s="725"/>
      <c r="R875" s="725"/>
      <c r="S875" s="725"/>
      <c r="T875" s="725"/>
      <c r="U875" s="725"/>
      <c r="V875" s="316">
        <f>+SUM(V872:V874)</f>
        <v>27441.9</v>
      </c>
      <c r="Y875" s="328" t="s">
        <v>139</v>
      </c>
      <c r="Z875" s="329">
        <f>+SUM(Z872:Z874)</f>
        <v>2705771.34</v>
      </c>
      <c r="AA875" s="279"/>
      <c r="AB875" s="290"/>
      <c r="AC875" s="291"/>
      <c r="AD875" s="280"/>
      <c r="AE875" s="330"/>
    </row>
    <row r="876" spans="3:31" ht="15.9" customHeight="1" thickBot="1" x14ac:dyDescent="0.35">
      <c r="C876" s="292"/>
      <c r="D876" s="376"/>
      <c r="E876" s="377"/>
      <c r="F876" s="377"/>
      <c r="G876" s="386">
        <f>+F869</f>
        <v>1.1100000000000001</v>
      </c>
      <c r="H876" s="377"/>
      <c r="I876" s="377"/>
      <c r="J876" s="387"/>
      <c r="K876" s="293"/>
      <c r="M876" s="724"/>
      <c r="N876" s="726" t="s">
        <v>124</v>
      </c>
      <c r="O876" s="726"/>
      <c r="P876" s="726"/>
      <c r="Q876" s="726"/>
      <c r="R876" s="726"/>
      <c r="S876" s="726"/>
      <c r="T876" s="726"/>
      <c r="U876" s="726"/>
      <c r="V876" s="344">
        <f>+ROUND(V875,$AA$2)</f>
        <v>27442</v>
      </c>
      <c r="Y876" s="332" t="s">
        <v>140</v>
      </c>
      <c r="Z876" s="333">
        <f>+ROUND(Z875,$AA$2)</f>
        <v>2705771</v>
      </c>
      <c r="AA876" s="279"/>
      <c r="AB876" s="324">
        <f>+V876*Y845</f>
        <v>2705781.1999999997</v>
      </c>
      <c r="AC876" s="325">
        <f>+AB876-Z876</f>
        <v>10.199999999720603</v>
      </c>
      <c r="AD876" s="280"/>
      <c r="AE876" s="334"/>
    </row>
    <row r="877" spans="3:31" ht="15.9" customHeight="1" thickBot="1" x14ac:dyDescent="0.35">
      <c r="C877" s="292"/>
      <c r="D877" s="295" t="s">
        <v>132</v>
      </c>
      <c r="E877" s="296" t="s">
        <v>133</v>
      </c>
      <c r="F877" s="296" t="s">
        <v>134</v>
      </c>
      <c r="G877" s="296" t="s">
        <v>135</v>
      </c>
      <c r="H877" s="296" t="s">
        <v>136</v>
      </c>
      <c r="I877" s="296" t="s">
        <v>137</v>
      </c>
      <c r="J877" s="297" t="s">
        <v>138</v>
      </c>
      <c r="K877" s="293"/>
      <c r="M877" s="727"/>
      <c r="N877" s="727"/>
      <c r="O877" s="727"/>
      <c r="P877" s="727"/>
      <c r="Q877" s="727"/>
      <c r="R877" s="727"/>
      <c r="S877" s="727"/>
      <c r="T877" s="727"/>
      <c r="U877" s="727"/>
      <c r="V877" s="727"/>
      <c r="Y877" s="298"/>
      <c r="Z877" s="299"/>
      <c r="AA877" s="279"/>
      <c r="AB877" s="342"/>
      <c r="AC877" s="299"/>
      <c r="AD877" s="280"/>
      <c r="AE877" s="388"/>
    </row>
    <row r="878" spans="3:31" ht="15.9" customHeight="1" thickBot="1" x14ac:dyDescent="0.35">
      <c r="C878" s="292"/>
      <c r="D878" s="363"/>
      <c r="E878" s="364"/>
      <c r="F878" s="364"/>
      <c r="G878" s="364"/>
      <c r="H878" s="365">
        <f>G876</f>
        <v>1.1100000000000001</v>
      </c>
      <c r="I878" s="365"/>
      <c r="J878" s="381"/>
      <c r="K878" s="293"/>
      <c r="M878" s="726" t="s">
        <v>125</v>
      </c>
      <c r="N878" s="726"/>
      <c r="O878" s="726"/>
      <c r="P878" s="726"/>
      <c r="Q878" s="726"/>
      <c r="R878" s="726"/>
      <c r="S878" s="726"/>
      <c r="T878" s="726"/>
      <c r="U878" s="728">
        <f>+V876+V869+V861+V854</f>
        <v>139629</v>
      </c>
      <c r="V878" s="728"/>
      <c r="Y878" s="389"/>
      <c r="Z878" s="390">
        <f>+Z876+Z869+Z861+Z854</f>
        <v>13767370</v>
      </c>
      <c r="AA878" s="279"/>
      <c r="AB878" s="385">
        <f>+AB876+AB869+AB861+AB854</f>
        <v>13767419.399999999</v>
      </c>
      <c r="AC878" s="325">
        <f>+AB878-Z878</f>
        <v>49.399999998509884</v>
      </c>
      <c r="AD878" s="280"/>
      <c r="AE878" s="391"/>
    </row>
    <row r="879" spans="3:31" ht="15.9" customHeight="1" thickBot="1" x14ac:dyDescent="0.3">
      <c r="M879" s="412"/>
      <c r="N879" s="412"/>
      <c r="O879" s="412"/>
      <c r="P879" s="412"/>
      <c r="Q879" s="412"/>
      <c r="R879" s="412"/>
      <c r="S879" s="412"/>
      <c r="T879" s="412"/>
      <c r="U879" s="412"/>
      <c r="V879" s="412"/>
    </row>
    <row r="880" spans="3:31" ht="15.9" customHeight="1" x14ac:dyDescent="0.25">
      <c r="M880" s="729" t="s">
        <v>364</v>
      </c>
      <c r="N880" s="729"/>
      <c r="O880" s="729"/>
      <c r="P880" s="729"/>
      <c r="Q880" s="729"/>
      <c r="R880" s="729"/>
      <c r="S880" s="729"/>
      <c r="T880" s="729"/>
      <c r="U880" s="729"/>
      <c r="V880" s="729"/>
      <c r="Y880" s="298"/>
      <c r="Z880" s="299"/>
      <c r="AA880" s="279"/>
      <c r="AB880" s="280"/>
      <c r="AC880" s="280"/>
      <c r="AD880" s="280"/>
      <c r="AE880" s="335" t="s">
        <v>137</v>
      </c>
    </row>
    <row r="881" spans="4:31" ht="15.9" customHeight="1" x14ac:dyDescent="0.25">
      <c r="M881" s="700" t="s">
        <v>142</v>
      </c>
      <c r="N881" s="700"/>
      <c r="O881" s="700"/>
      <c r="P881" s="700"/>
      <c r="Q881" s="700"/>
      <c r="R881" s="700"/>
      <c r="S881" s="700"/>
      <c r="T881" s="413">
        <f>$AA$3</f>
        <v>0.25</v>
      </c>
      <c r="U881" s="701">
        <f>+ROUND(U878*T881,$AA$2)</f>
        <v>34907</v>
      </c>
      <c r="V881" s="701"/>
      <c r="Y881" s="317"/>
      <c r="Z881" s="414">
        <f>+Z878*T881</f>
        <v>3441842.5</v>
      </c>
      <c r="AA881" s="279"/>
      <c r="AB881" s="280"/>
      <c r="AC881" s="280"/>
      <c r="AD881" s="280"/>
      <c r="AE881" s="310" t="s">
        <v>137</v>
      </c>
    </row>
    <row r="882" spans="4:31" ht="15.9" customHeight="1" x14ac:dyDescent="0.25">
      <c r="M882" s="700" t="s">
        <v>19</v>
      </c>
      <c r="N882" s="700"/>
      <c r="O882" s="700"/>
      <c r="P882" s="700"/>
      <c r="Q882" s="700"/>
      <c r="R882" s="700"/>
      <c r="S882" s="700"/>
      <c r="T882" s="413">
        <f>$AA$4</f>
        <v>0.03</v>
      </c>
      <c r="U882" s="701">
        <f>+ROUND(U878*T882,$AA$2)</f>
        <v>4189</v>
      </c>
      <c r="V882" s="701"/>
      <c r="Y882" s="317"/>
      <c r="Z882" s="414">
        <f>+Z878*T882</f>
        <v>413021.1</v>
      </c>
      <c r="AA882" s="279"/>
      <c r="AB882" s="280"/>
      <c r="AC882" s="280"/>
      <c r="AD882" s="280"/>
      <c r="AE882" s="310" t="s">
        <v>137</v>
      </c>
    </row>
    <row r="883" spans="4:31" ht="15.9" customHeight="1" x14ac:dyDescent="0.25">
      <c r="M883" s="700" t="s">
        <v>20</v>
      </c>
      <c r="N883" s="700"/>
      <c r="O883" s="700"/>
      <c r="P883" s="700"/>
      <c r="Q883" s="700"/>
      <c r="R883" s="700"/>
      <c r="S883" s="700"/>
      <c r="T883" s="413">
        <f>$AA$5</f>
        <v>0.05</v>
      </c>
      <c r="U883" s="701">
        <f>+ROUND(U878*T883,$AA$2)</f>
        <v>6981</v>
      </c>
      <c r="V883" s="701"/>
      <c r="Y883" s="317"/>
      <c r="Z883" s="414">
        <f>+Z878*T883</f>
        <v>688368.5</v>
      </c>
      <c r="AA883" s="279"/>
      <c r="AB883" s="280"/>
      <c r="AC883" s="280"/>
      <c r="AD883" s="280"/>
      <c r="AE883" s="310" t="s">
        <v>137</v>
      </c>
    </row>
    <row r="884" spans="4:31" ht="15.9" customHeight="1" x14ac:dyDescent="0.25">
      <c r="M884" s="700" t="s">
        <v>21</v>
      </c>
      <c r="N884" s="700"/>
      <c r="O884" s="700"/>
      <c r="P884" s="700"/>
      <c r="Q884" s="700"/>
      <c r="R884" s="700"/>
      <c r="S884" s="700"/>
      <c r="T884" s="413">
        <f>$AA$6</f>
        <v>0</v>
      </c>
      <c r="U884" s="701">
        <f>+ROUND(U878*T884,$AA$2)</f>
        <v>0</v>
      </c>
      <c r="V884" s="701"/>
      <c r="Y884" s="317"/>
      <c r="Z884" s="414">
        <f>+Z883*T884</f>
        <v>0</v>
      </c>
      <c r="AA884" s="279"/>
      <c r="AB884" s="280"/>
      <c r="AC884" s="280"/>
      <c r="AD884" s="280"/>
      <c r="AE884" s="310" t="s">
        <v>137</v>
      </c>
    </row>
    <row r="885" spans="4:31" ht="15.9" customHeight="1" thickBot="1" x14ac:dyDescent="0.3">
      <c r="M885" s="702" t="s">
        <v>365</v>
      </c>
      <c r="N885" s="702"/>
      <c r="O885" s="702"/>
      <c r="P885" s="702"/>
      <c r="Q885" s="702"/>
      <c r="R885" s="702"/>
      <c r="S885" s="702"/>
      <c r="T885" s="702"/>
      <c r="U885" s="703">
        <f>+SUM(U881:V884)</f>
        <v>46077</v>
      </c>
      <c r="V885" s="703"/>
      <c r="Y885" s="317"/>
      <c r="Z885" s="415">
        <f>+SUM(Z881:Z884)</f>
        <v>4543232.0999999996</v>
      </c>
      <c r="AA885" s="279"/>
      <c r="AB885" s="280"/>
      <c r="AC885" s="280"/>
      <c r="AD885" s="280"/>
      <c r="AE885" s="310" t="s">
        <v>137</v>
      </c>
    </row>
    <row r="886" spans="4:31" ht="15.9" customHeight="1" thickBot="1" x14ac:dyDescent="0.3">
      <c r="D886" s="295" t="s">
        <v>132</v>
      </c>
      <c r="E886" s="296" t="s">
        <v>133</v>
      </c>
      <c r="F886" s="296" t="s">
        <v>134</v>
      </c>
      <c r="G886" s="296" t="s">
        <v>135</v>
      </c>
      <c r="H886" s="296" t="s">
        <v>136</v>
      </c>
      <c r="I886" s="296" t="s">
        <v>137</v>
      </c>
      <c r="J886" s="297" t="s">
        <v>138</v>
      </c>
      <c r="M886" s="377"/>
      <c r="N886" s="416"/>
      <c r="O886" s="416"/>
      <c r="P886" s="416"/>
      <c r="Q886" s="377"/>
      <c r="R886" s="377"/>
      <c r="S886" s="377"/>
      <c r="T886" s="417"/>
      <c r="U886" s="701"/>
      <c r="V886" s="701"/>
      <c r="Y886" s="317"/>
      <c r="Z886" s="291"/>
      <c r="AA886" s="279"/>
      <c r="AB886" s="280"/>
      <c r="AC886" s="280"/>
      <c r="AD886" s="280"/>
      <c r="AE886" s="310" t="s">
        <v>137</v>
      </c>
    </row>
    <row r="887" spans="4:31" ht="15.9" customHeight="1" thickBot="1" x14ac:dyDescent="0.3">
      <c r="D887" s="363"/>
      <c r="E887" s="364"/>
      <c r="F887" s="364"/>
      <c r="G887" s="364"/>
      <c r="H887" s="365"/>
      <c r="I887" s="365">
        <f>H878</f>
        <v>1.1100000000000001</v>
      </c>
      <c r="J887" s="381"/>
      <c r="M887" s="702" t="s">
        <v>11</v>
      </c>
      <c r="N887" s="702"/>
      <c r="O887" s="702"/>
      <c r="P887" s="702"/>
      <c r="Q887" s="702"/>
      <c r="R887" s="702"/>
      <c r="S887" s="702"/>
      <c r="T887" s="702"/>
      <c r="U887" s="704">
        <f>+U885+U878</f>
        <v>185706</v>
      </c>
      <c r="V887" s="704"/>
      <c r="Y887" s="389"/>
      <c r="Z887" s="418">
        <f>+Z885+Z878</f>
        <v>18310602.100000001</v>
      </c>
      <c r="AA887" s="279"/>
      <c r="AB887" s="280"/>
      <c r="AC887" s="280"/>
      <c r="AD887" s="280"/>
      <c r="AE887" s="334" t="s">
        <v>137</v>
      </c>
    </row>
    <row r="888" spans="4:31" ht="15.9" customHeight="1" x14ac:dyDescent="0.25">
      <c r="M888" s="705"/>
      <c r="N888" s="705"/>
      <c r="O888" s="705"/>
      <c r="P888" s="705"/>
      <c r="Q888" s="705"/>
      <c r="R888" s="706"/>
      <c r="S888" s="706"/>
      <c r="T888" s="706"/>
      <c r="U888" s="706"/>
      <c r="V888" s="706"/>
    </row>
    <row r="889" spans="4:31" ht="15.9" customHeight="1" x14ac:dyDescent="0.25">
      <c r="M889" s="705"/>
      <c r="N889" s="705"/>
      <c r="O889" s="705"/>
      <c r="P889" s="705"/>
      <c r="Q889" s="705"/>
      <c r="R889" s="706"/>
      <c r="S889" s="706"/>
      <c r="T889" s="706"/>
      <c r="U889" s="706"/>
      <c r="V889" s="706"/>
    </row>
    <row r="890" spans="4:31" ht="15.9" customHeight="1" x14ac:dyDescent="0.25">
      <c r="M890" s="705"/>
      <c r="N890" s="705"/>
      <c r="O890" s="705"/>
      <c r="P890" s="705"/>
      <c r="Q890" s="705"/>
      <c r="R890" s="706"/>
      <c r="S890" s="706"/>
      <c r="T890" s="706"/>
      <c r="U890" s="706"/>
      <c r="V890" s="706"/>
    </row>
    <row r="891" spans="4:31" ht="15.9" customHeight="1" x14ac:dyDescent="0.25">
      <c r="M891" s="705"/>
      <c r="N891" s="705"/>
      <c r="O891" s="705"/>
      <c r="P891" s="705"/>
      <c r="Q891" s="705"/>
      <c r="R891" s="706"/>
      <c r="S891" s="706"/>
      <c r="T891" s="706"/>
      <c r="U891" s="706"/>
      <c r="V891" s="706"/>
    </row>
    <row r="892" spans="4:31" ht="15.9" customHeight="1" x14ac:dyDescent="0.25">
      <c r="M892" s="707" t="s">
        <v>128</v>
      </c>
      <c r="N892" s="708" t="str">
        <f>$N$6</f>
        <v>ING. JEYSON JULIAN LEON RUEDA</v>
      </c>
      <c r="O892" s="709"/>
      <c r="P892" s="709"/>
      <c r="Q892" s="710"/>
      <c r="R892" s="711" t="s">
        <v>129</v>
      </c>
      <c r="S892" s="708" t="str">
        <f>$S$6</f>
        <v>ARQ. YASMID ROCÍO CARRILLO MORA</v>
      </c>
      <c r="T892" s="709"/>
      <c r="U892" s="709"/>
      <c r="V892" s="710"/>
    </row>
    <row r="893" spans="4:31" ht="15.9" customHeight="1" x14ac:dyDescent="0.25">
      <c r="M893" s="707"/>
      <c r="N893" s="712" t="str">
        <f>$N$7</f>
        <v>MP. 68202-416348 STD</v>
      </c>
      <c r="O893" s="713"/>
      <c r="P893" s="713"/>
      <c r="Q893" s="714"/>
      <c r="R893" s="711"/>
      <c r="S893" s="712" t="str">
        <f>$S$7</f>
        <v>SECRETARIA DE PLANEACIÓN Y OBRAS PÚBLICAS</v>
      </c>
      <c r="T893" s="713"/>
      <c r="U893" s="713"/>
      <c r="V893" s="714"/>
    </row>
    <row r="894" spans="4:31" ht="15.9" customHeight="1" x14ac:dyDescent="0.25">
      <c r="M894" s="707"/>
      <c r="N894" s="715"/>
      <c r="O894" s="716"/>
      <c r="P894" s="716"/>
      <c r="Q894" s="717"/>
      <c r="R894" s="711"/>
      <c r="S894" s="712" t="str">
        <f>$S$8</f>
        <v>MUNICIPIO DE PINCHOTE</v>
      </c>
      <c r="T894" s="713"/>
      <c r="U894" s="713"/>
      <c r="V894" s="714"/>
    </row>
    <row r="895" spans="4:31" ht="15.9" customHeight="1" x14ac:dyDescent="0.25"/>
    <row r="896" spans="4:31" ht="15.9" customHeight="1" thickBot="1" x14ac:dyDescent="0.3"/>
    <row r="897" spans="3:31" ht="15.9" customHeight="1" thickBot="1" x14ac:dyDescent="0.3">
      <c r="M897" s="281" t="s">
        <v>90</v>
      </c>
      <c r="N897" s="410" t="s">
        <v>29</v>
      </c>
      <c r="O897" s="706" t="str">
        <f>IFERROR(VLOOKUP(N897,PPTO!$C$9:$H$64,2,0),"----")</f>
        <v>COMPONENTE ACUEDUCTO</v>
      </c>
      <c r="P897" s="706"/>
      <c r="Q897" s="706"/>
      <c r="R897" s="706"/>
      <c r="S897" s="706"/>
      <c r="T897" s="706"/>
      <c r="U897" s="706"/>
      <c r="V897" s="283" t="s">
        <v>93</v>
      </c>
      <c r="Y897" s="284" t="s">
        <v>107</v>
      </c>
      <c r="Z897" s="280"/>
      <c r="AA897" s="274"/>
      <c r="AB897" s="735"/>
      <c r="AC897" s="735"/>
      <c r="AD897" s="735"/>
      <c r="AE897" s="280"/>
    </row>
    <row r="898" spans="3:31" ht="15.9" customHeight="1" thickBot="1" x14ac:dyDescent="0.35">
      <c r="C898" s="285">
        <f>+N898</f>
        <v>1.1200000000000001</v>
      </c>
      <c r="D898" s="279"/>
      <c r="E898" s="279"/>
      <c r="F898" s="279"/>
      <c r="G898" s="279"/>
      <c r="H898" s="279"/>
      <c r="I898" s="279"/>
      <c r="J898" s="279"/>
      <c r="K898" s="286"/>
      <c r="M898" s="283" t="s">
        <v>94</v>
      </c>
      <c r="N898" s="287">
        <v>1.1200000000000001</v>
      </c>
      <c r="O898" s="736" t="str">
        <f>IFERROR(VLOOKUP(N898,PPTO!$C$9:$H$64,2,0),"----")</f>
        <v>Suministro e instalacion de cajas dimiciliarias 0.6x0.6 (m) . Incluye tapas de concreto</v>
      </c>
      <c r="P898" s="736"/>
      <c r="Q898" s="736"/>
      <c r="R898" s="736"/>
      <c r="S898" s="736"/>
      <c r="T898" s="736"/>
      <c r="U898" s="736"/>
      <c r="V898" s="288" t="str">
        <f>IFERROR(VLOOKUP(N898,PPTO!$C$9:$H$64,3,0),"----")</f>
        <v>und</v>
      </c>
      <c r="Y898" s="289">
        <f>SUMIFS(PPTO!$F$7:$F$63,PPTO!$C$7:$C$63,APUS!N898)</f>
        <v>10</v>
      </c>
      <c r="Z898" s="280"/>
      <c r="AA898" s="279"/>
      <c r="AB898" s="280"/>
      <c r="AC898" s="280"/>
      <c r="AD898" s="280"/>
      <c r="AE898" s="280"/>
    </row>
    <row r="899" spans="3:31" ht="15.9" customHeight="1" thickBot="1" x14ac:dyDescent="0.35">
      <c r="C899" s="292"/>
      <c r="D899" s="279"/>
      <c r="E899" s="279"/>
      <c r="F899" s="279"/>
      <c r="G899" s="279"/>
      <c r="H899" s="279"/>
      <c r="I899" s="279"/>
      <c r="J899" s="279"/>
      <c r="K899" s="293"/>
      <c r="M899" s="737"/>
      <c r="N899" s="737"/>
      <c r="O899" s="737"/>
      <c r="P899" s="737"/>
      <c r="Q899" s="737"/>
      <c r="R899" s="737"/>
      <c r="S899" s="737"/>
      <c r="T899" s="737"/>
      <c r="U899" s="737"/>
      <c r="V899" s="737"/>
      <c r="Y899" s="294"/>
      <c r="Z899" s="280"/>
      <c r="AA899" s="279"/>
      <c r="AB899" s="280"/>
      <c r="AC899" s="280"/>
      <c r="AD899" s="280"/>
      <c r="AE899" s="280"/>
    </row>
    <row r="900" spans="3:31" ht="15.9" customHeight="1" thickBot="1" x14ac:dyDescent="0.35">
      <c r="C900" s="292"/>
      <c r="D900" s="295" t="s">
        <v>132</v>
      </c>
      <c r="E900" s="296" t="s">
        <v>133</v>
      </c>
      <c r="F900" s="296" t="s">
        <v>134</v>
      </c>
      <c r="G900" s="296" t="s">
        <v>135</v>
      </c>
      <c r="H900" s="296" t="s">
        <v>136</v>
      </c>
      <c r="I900" s="296" t="s">
        <v>137</v>
      </c>
      <c r="J900" s="297" t="s">
        <v>138</v>
      </c>
      <c r="K900" s="293"/>
      <c r="M900" s="738" t="s">
        <v>96</v>
      </c>
      <c r="N900" s="738"/>
      <c r="O900" s="738"/>
      <c r="P900" s="738"/>
      <c r="Q900" s="738"/>
      <c r="R900" s="738"/>
      <c r="S900" s="738"/>
      <c r="T900" s="738"/>
      <c r="U900" s="738"/>
      <c r="V900" s="738"/>
      <c r="Y900" s="298"/>
      <c r="Z900" s="299"/>
      <c r="AA900" s="279"/>
      <c r="AB900" s="731"/>
      <c r="AC900" s="732"/>
      <c r="AD900" s="280"/>
      <c r="AE900" s="303"/>
    </row>
    <row r="901" spans="3:31" ht="15.9" customHeight="1" x14ac:dyDescent="0.3">
      <c r="C901" s="292"/>
      <c r="D901" s="304"/>
      <c r="E901" s="305"/>
      <c r="F901" s="305"/>
      <c r="G901" s="305"/>
      <c r="H901" s="305"/>
      <c r="I901" s="305"/>
      <c r="J901" s="306"/>
      <c r="K901" s="293"/>
      <c r="M901" s="307" t="s">
        <v>97</v>
      </c>
      <c r="N901" s="706" t="s">
        <v>98</v>
      </c>
      <c r="O901" s="706"/>
      <c r="P901" s="706"/>
      <c r="Q901" s="706"/>
      <c r="R901" s="307" t="s">
        <v>99</v>
      </c>
      <c r="S901" s="307" t="s">
        <v>100</v>
      </c>
      <c r="T901" s="734" t="s">
        <v>8</v>
      </c>
      <c r="U901" s="734"/>
      <c r="V901" s="307" t="s">
        <v>101</v>
      </c>
      <c r="Y901" s="308" t="s">
        <v>107</v>
      </c>
      <c r="Z901" s="309" t="s">
        <v>9</v>
      </c>
      <c r="AA901" s="279"/>
      <c r="AB901" s="290"/>
      <c r="AC901" s="291"/>
      <c r="AD901" s="280"/>
      <c r="AE901" s="310"/>
    </row>
    <row r="902" spans="3:31" ht="15.9" customHeight="1" x14ac:dyDescent="0.3">
      <c r="C902" s="292"/>
      <c r="D902" s="311"/>
      <c r="E902" s="279"/>
      <c r="F902" s="279"/>
      <c r="G902" s="279"/>
      <c r="H902" s="279"/>
      <c r="I902" s="279"/>
      <c r="J902" s="312"/>
      <c r="K902" s="293"/>
      <c r="M902" s="313"/>
      <c r="N902" s="718" t="s">
        <v>102</v>
      </c>
      <c r="O902" s="718"/>
      <c r="P902" s="718"/>
      <c r="Q902" s="718"/>
      <c r="R902" s="314" t="s">
        <v>103</v>
      </c>
      <c r="S902" s="315">
        <f>$AA$9</f>
        <v>0.05</v>
      </c>
      <c r="T902" s="739">
        <f>V934</f>
        <v>365892</v>
      </c>
      <c r="U902" s="739"/>
      <c r="V902" s="316">
        <f>+IFERROR(T902*S902,0)</f>
        <v>18294.600000000002</v>
      </c>
      <c r="Y902" s="317"/>
      <c r="Z902" s="318">
        <f>Y898*V902</f>
        <v>182946.00000000003</v>
      </c>
      <c r="AA902" s="279"/>
      <c r="AB902" s="290"/>
      <c r="AC902" s="291"/>
      <c r="AD902" s="280"/>
      <c r="AE902" s="310" t="str">
        <f>+IF(V902=0,"CERO","NO")</f>
        <v>NO</v>
      </c>
    </row>
    <row r="903" spans="3:31" ht="15.9" customHeight="1" x14ac:dyDescent="0.3">
      <c r="C903" s="292"/>
      <c r="D903" s="311"/>
      <c r="E903" s="279"/>
      <c r="F903" s="279"/>
      <c r="G903" s="279"/>
      <c r="H903" s="279"/>
      <c r="I903" s="279"/>
      <c r="J903" s="312"/>
      <c r="K903" s="293"/>
      <c r="M903" s="319">
        <v>0</v>
      </c>
      <c r="N903" s="718" t="str">
        <f>IFERROR(VLOOKUP(M903,INSUMOS!$C$8:$K$934,2,0),"-----")</f>
        <v>-----</v>
      </c>
      <c r="O903" s="718"/>
      <c r="P903" s="718"/>
      <c r="Q903" s="718"/>
      <c r="R903" s="314" t="str">
        <f>IFERROR(VLOOKUP(M903,INSUMOS!$C$8:$K$934,6,0),"-----")</f>
        <v>-----</v>
      </c>
      <c r="S903" s="320"/>
      <c r="T903" s="740" t="str">
        <f>IFERROR(VLOOKUP(M903,INSUMOS!$C$8:$K$934,7,0),"0")</f>
        <v>0</v>
      </c>
      <c r="U903" s="740"/>
      <c r="V903" s="316">
        <f>+IFERROR(T903*S903,0)</f>
        <v>0</v>
      </c>
      <c r="Y903" s="321">
        <f>+IFERROR(Y898*S903,0)</f>
        <v>0</v>
      </c>
      <c r="Z903" s="318">
        <f>Y898*V903</f>
        <v>0</v>
      </c>
      <c r="AA903" s="300"/>
      <c r="AB903" s="301">
        <f>+Y903*T903</f>
        <v>0</v>
      </c>
      <c r="AC903" s="302">
        <f>+AB903-Z903</f>
        <v>0</v>
      </c>
      <c r="AD903" s="280"/>
      <c r="AE903" s="310" t="str">
        <f>+IF(V903=0,"CERO","NO")</f>
        <v>CERO</v>
      </c>
    </row>
    <row r="904" spans="3:31" ht="15.9" customHeight="1" x14ac:dyDescent="0.3">
      <c r="C904" s="292"/>
      <c r="D904" s="311"/>
      <c r="E904" s="279"/>
      <c r="F904" s="279"/>
      <c r="G904" s="279"/>
      <c r="H904" s="279"/>
      <c r="I904" s="279"/>
      <c r="J904" s="312"/>
      <c r="K904" s="293"/>
      <c r="M904" s="313">
        <v>0</v>
      </c>
      <c r="N904" s="718" t="str">
        <f>IFERROR(VLOOKUP(M904,INSUMOS!$C$8:$K$934,2,0),"-----")</f>
        <v>-----</v>
      </c>
      <c r="O904" s="718"/>
      <c r="P904" s="718"/>
      <c r="Q904" s="718"/>
      <c r="R904" s="314" t="str">
        <f>IFERROR(VLOOKUP(M904,INSUMOS!$C$8:$K$934,6,0),"-----")</f>
        <v>-----</v>
      </c>
      <c r="S904" s="320"/>
      <c r="T904" s="740" t="str">
        <f>IFERROR(VLOOKUP(M904,INSUMOS!$C$8:$K$934,7,0),"0")</f>
        <v>0</v>
      </c>
      <c r="U904" s="740"/>
      <c r="V904" s="316">
        <f>+IFERROR(T904*S904,0)</f>
        <v>0</v>
      </c>
      <c r="Y904" s="321">
        <f>+IFERROR(Y898*S904,0)</f>
        <v>0</v>
      </c>
      <c r="Z904" s="318">
        <f>Y898*V904</f>
        <v>0</v>
      </c>
      <c r="AA904" s="300"/>
      <c r="AB904" s="301">
        <f>+Y904*T904</f>
        <v>0</v>
      </c>
      <c r="AC904" s="302">
        <f>+AB904-Z904</f>
        <v>0</v>
      </c>
      <c r="AD904" s="280"/>
      <c r="AE904" s="310" t="str">
        <f>+IF(V904=0,"CERO","NO")</f>
        <v>CERO</v>
      </c>
    </row>
    <row r="905" spans="3:31" ht="15.9" customHeight="1" thickBot="1" x14ac:dyDescent="0.35">
      <c r="C905" s="292"/>
      <c r="D905" s="311"/>
      <c r="E905" s="279"/>
      <c r="F905" s="279"/>
      <c r="G905" s="279"/>
      <c r="H905" s="279"/>
      <c r="I905" s="279"/>
      <c r="J905" s="312"/>
      <c r="K905" s="293"/>
      <c r="M905" s="313">
        <v>0</v>
      </c>
      <c r="N905" s="718" t="str">
        <f>IFERROR(VLOOKUP(M905,INSUMOS!$C$8:$K$934,2,0),"-----")</f>
        <v>-----</v>
      </c>
      <c r="O905" s="718"/>
      <c r="P905" s="718"/>
      <c r="Q905" s="718"/>
      <c r="R905" s="314" t="str">
        <f>IFERROR(VLOOKUP(M905,INSUMOS!$C$8:$K$934,6,0),"-----")</f>
        <v>-----</v>
      </c>
      <c r="S905" s="320"/>
      <c r="T905" s="740" t="str">
        <f>IFERROR(VLOOKUP(M905,INSUMOS!$C$8:$K$934,7,0),"0")</f>
        <v>0</v>
      </c>
      <c r="U905" s="740"/>
      <c r="V905" s="316">
        <f>+IFERROR(T905*S905,0)</f>
        <v>0</v>
      </c>
      <c r="Y905" s="321">
        <f>+IFERROR(Y898*S905,0)</f>
        <v>0</v>
      </c>
      <c r="Z905" s="318">
        <f>Y898*V905</f>
        <v>0</v>
      </c>
      <c r="AA905" s="300"/>
      <c r="AB905" s="301">
        <f>+Y905*T905</f>
        <v>0</v>
      </c>
      <c r="AC905" s="302">
        <f>+AB905-Z905</f>
        <v>0</v>
      </c>
      <c r="AD905" s="280"/>
      <c r="AE905" s="310" t="str">
        <f>+IF(V905=0,"CERO","NO")</f>
        <v>CERO</v>
      </c>
    </row>
    <row r="906" spans="3:31" ht="15.9" customHeight="1" thickBot="1" x14ac:dyDescent="0.35">
      <c r="C906" s="292"/>
      <c r="D906" s="295" t="s">
        <v>132</v>
      </c>
      <c r="E906" s="296" t="s">
        <v>133</v>
      </c>
      <c r="F906" s="296" t="s">
        <v>134</v>
      </c>
      <c r="G906" s="296" t="s">
        <v>135</v>
      </c>
      <c r="H906" s="296" t="s">
        <v>136</v>
      </c>
      <c r="I906" s="296" t="s">
        <v>137</v>
      </c>
      <c r="J906" s="297" t="s">
        <v>138</v>
      </c>
      <c r="K906" s="293"/>
      <c r="M906" s="724"/>
      <c r="N906" s="725" t="s">
        <v>104</v>
      </c>
      <c r="O906" s="725"/>
      <c r="P906" s="725"/>
      <c r="Q906" s="725"/>
      <c r="R906" s="725"/>
      <c r="S906" s="725"/>
      <c r="T906" s="725"/>
      <c r="U906" s="725"/>
      <c r="V906" s="316">
        <f>+SUM(V902:V905)</f>
        <v>18294.600000000002</v>
      </c>
      <c r="Y906" s="328" t="s">
        <v>139</v>
      </c>
      <c r="Z906" s="329">
        <f>+SUM(Z902:Z905)</f>
        <v>182946.00000000003</v>
      </c>
      <c r="AA906" s="279"/>
      <c r="AB906" s="290"/>
      <c r="AC906" s="291"/>
      <c r="AD906" s="280"/>
      <c r="AE906" s="330"/>
    </row>
    <row r="907" spans="3:31" ht="15.9" customHeight="1" thickBot="1" x14ac:dyDescent="0.35">
      <c r="C907" s="292"/>
      <c r="D907" s="295">
        <f>C898</f>
        <v>1.1200000000000001</v>
      </c>
      <c r="E907" s="296"/>
      <c r="F907" s="296"/>
      <c r="G907" s="296"/>
      <c r="H907" s="296"/>
      <c r="I907" s="296"/>
      <c r="J907" s="297"/>
      <c r="K907" s="293"/>
      <c r="M907" s="724"/>
      <c r="N907" s="726" t="s">
        <v>105</v>
      </c>
      <c r="O907" s="726"/>
      <c r="P907" s="726"/>
      <c r="Q907" s="726"/>
      <c r="R907" s="726"/>
      <c r="S907" s="726"/>
      <c r="T907" s="726"/>
      <c r="U907" s="726"/>
      <c r="V907" s="344">
        <f>+ROUND(V906,$AA$2)</f>
        <v>18295</v>
      </c>
      <c r="Y907" s="332" t="s">
        <v>140</v>
      </c>
      <c r="Z907" s="333">
        <f>+ROUND(Z906,$AA$2)</f>
        <v>182946</v>
      </c>
      <c r="AA907" s="279"/>
      <c r="AB907" s="324">
        <f>+V907*Y898</f>
        <v>182950</v>
      </c>
      <c r="AC907" s="325">
        <f>+AB907-Z907</f>
        <v>4</v>
      </c>
      <c r="AD907" s="280"/>
      <c r="AE907" s="334"/>
    </row>
    <row r="908" spans="3:31" ht="15.9" customHeight="1" x14ac:dyDescent="0.3">
      <c r="C908" s="292"/>
      <c r="D908" s="304"/>
      <c r="E908" s="305"/>
      <c r="F908" s="305"/>
      <c r="G908" s="305"/>
      <c r="H908" s="305"/>
      <c r="I908" s="305"/>
      <c r="J908" s="306"/>
      <c r="K908" s="293"/>
      <c r="M908" s="730" t="s">
        <v>106</v>
      </c>
      <c r="N908" s="730"/>
      <c r="O908" s="730"/>
      <c r="P908" s="730"/>
      <c r="Q908" s="730"/>
      <c r="R908" s="730"/>
      <c r="S908" s="730"/>
      <c r="T908" s="730"/>
      <c r="U908" s="730"/>
      <c r="V908" s="730"/>
      <c r="Y908" s="298"/>
      <c r="Z908" s="299"/>
      <c r="AA908" s="279"/>
      <c r="AB908" s="731"/>
      <c r="AC908" s="732"/>
      <c r="AD908" s="280"/>
      <c r="AE908" s="335"/>
    </row>
    <row r="909" spans="3:31" ht="15.9" customHeight="1" x14ac:dyDescent="0.3">
      <c r="C909" s="292"/>
      <c r="D909" s="311"/>
      <c r="E909" s="279"/>
      <c r="F909" s="279"/>
      <c r="G909" s="279"/>
      <c r="H909" s="279"/>
      <c r="I909" s="279"/>
      <c r="J909" s="312"/>
      <c r="K909" s="293"/>
      <c r="M909" s="307" t="s">
        <v>97</v>
      </c>
      <c r="N909" s="706" t="s">
        <v>98</v>
      </c>
      <c r="O909" s="706"/>
      <c r="P909" s="706"/>
      <c r="Q909" s="706"/>
      <c r="R909" s="307" t="s">
        <v>99</v>
      </c>
      <c r="S909" s="307" t="s">
        <v>107</v>
      </c>
      <c r="T909" s="336" t="s">
        <v>108</v>
      </c>
      <c r="U909" s="336" t="s">
        <v>8</v>
      </c>
      <c r="V909" s="307" t="s">
        <v>101</v>
      </c>
      <c r="Y909" s="308" t="s">
        <v>107</v>
      </c>
      <c r="Z909" s="309" t="s">
        <v>9</v>
      </c>
      <c r="AA909" s="279"/>
      <c r="AB909" s="290"/>
      <c r="AC909" s="291"/>
      <c r="AD909" s="280"/>
      <c r="AE909" s="337"/>
    </row>
    <row r="910" spans="3:31" ht="15.9" customHeight="1" x14ac:dyDescent="0.3">
      <c r="C910" s="292"/>
      <c r="D910" s="311"/>
      <c r="E910" s="279"/>
      <c r="F910" s="279"/>
      <c r="G910" s="279"/>
      <c r="H910" s="279"/>
      <c r="I910" s="279"/>
      <c r="J910" s="312"/>
      <c r="K910" s="293"/>
      <c r="M910" s="313" t="s">
        <v>289</v>
      </c>
      <c r="N910" s="718" t="str">
        <f>IFERROR(VLOOKUP(M910,INSUMOS!$C$8:$K$934,2,0),"-----")</f>
        <v>Mortero 1:3 Impermeabilizado</v>
      </c>
      <c r="O910" s="718"/>
      <c r="P910" s="718"/>
      <c r="Q910" s="718"/>
      <c r="R910" s="314" t="str">
        <f>IFERROR(VLOOKUP(M910,INSUMOS!$C$8:$K$934,6,0),"-----")</f>
        <v>m3</v>
      </c>
      <c r="S910" s="322">
        <v>0.1</v>
      </c>
      <c r="T910" s="315">
        <v>0</v>
      </c>
      <c r="U910" s="338">
        <f>IFERROR(VLOOKUP(M910,INSUMOS!$C$8:$K$934,7,0),"0")</f>
        <v>1025181</v>
      </c>
      <c r="V910" s="316">
        <f>+IFERROR(U910*(S910*(1+T910)),0)</f>
        <v>102518.1</v>
      </c>
      <c r="Y910" s="321">
        <f>+IFERROR(Y898*(S910*(1+T910)),0)</f>
        <v>1</v>
      </c>
      <c r="Z910" s="318">
        <f>Y898*V910</f>
        <v>1025181</v>
      </c>
      <c r="AA910" s="300"/>
      <c r="AB910" s="301">
        <f>+Y910*U910</f>
        <v>1025181</v>
      </c>
      <c r="AC910" s="302">
        <f>+AB910-Z910</f>
        <v>0</v>
      </c>
      <c r="AD910" s="280"/>
      <c r="AE910" s="337" t="str">
        <f t="shared" ref="AE910:AE917" si="119">+IF(V910=0,"CERO","NO")</f>
        <v>NO</v>
      </c>
    </row>
    <row r="911" spans="3:31" ht="15.9" customHeight="1" x14ac:dyDescent="0.3">
      <c r="C911" s="292"/>
      <c r="D911" s="311"/>
      <c r="E911" s="279"/>
      <c r="F911" s="279"/>
      <c r="G911" s="279"/>
      <c r="H911" s="279"/>
      <c r="I911" s="279"/>
      <c r="J911" s="312"/>
      <c r="K911" s="293"/>
      <c r="M911" s="313" t="s">
        <v>226</v>
      </c>
      <c r="N911" s="718" t="str">
        <f>IFERROR(VLOOKUP(M911,INSUMOS!$C$8:$K$934,2,0),"-----")</f>
        <v>Concreto de 3000 PSI (210 kg/cm2)</v>
      </c>
      <c r="O911" s="718"/>
      <c r="P911" s="718"/>
      <c r="Q911" s="718"/>
      <c r="R911" s="314" t="str">
        <f>IFERROR(VLOOKUP(M911,INSUMOS!$C$8:$K$934,6,0),"-----")</f>
        <v>m3</v>
      </c>
      <c r="S911" s="322">
        <v>0.36</v>
      </c>
      <c r="T911" s="315">
        <v>0.02</v>
      </c>
      <c r="U911" s="338">
        <f>IFERROR(VLOOKUP(M911,INSUMOS!$C$8:$K$934,7,0),"0")</f>
        <v>780085</v>
      </c>
      <c r="V911" s="316">
        <f>+IFERROR(U911*(S911*(1+T911)),0)</f>
        <v>286447.212</v>
      </c>
      <c r="Y911" s="321">
        <f>+IFERROR(Y898*(S911*(1+T911)),0)</f>
        <v>3.6719999999999997</v>
      </c>
      <c r="Z911" s="318">
        <f>Y898*V911</f>
        <v>2864472.12</v>
      </c>
      <c r="AA911" s="300"/>
      <c r="AB911" s="301">
        <f t="shared" ref="AB911:AB917" si="120">+Y911*U911</f>
        <v>2864472.1199999996</v>
      </c>
      <c r="AC911" s="302">
        <f t="shared" ref="AC911:AC917" si="121">+AB911-Z911</f>
        <v>0</v>
      </c>
      <c r="AD911" s="280"/>
      <c r="AE911" s="337" t="str">
        <f t="shared" si="119"/>
        <v>NO</v>
      </c>
    </row>
    <row r="912" spans="3:31" ht="15.9" customHeight="1" x14ac:dyDescent="0.3">
      <c r="C912" s="292"/>
      <c r="D912" s="311"/>
      <c r="E912" s="279"/>
      <c r="F912" s="279"/>
      <c r="G912" s="279"/>
      <c r="H912" s="279"/>
      <c r="I912" s="279"/>
      <c r="J912" s="312"/>
      <c r="K912" s="293"/>
      <c r="M912" s="313">
        <v>430</v>
      </c>
      <c r="N912" s="718" t="str">
        <f>IFERROR(VLOOKUP(M912,INSUMOS!$C$8:$K$934,2,0),"-----")</f>
        <v>Ladrillo macizo</v>
      </c>
      <c r="O912" s="718"/>
      <c r="P912" s="718"/>
      <c r="Q912" s="718"/>
      <c r="R912" s="314" t="str">
        <f>IFERROR(VLOOKUP(M912,INSUMOS!$C$8:$K$934,6,0),"-----")</f>
        <v>und</v>
      </c>
      <c r="S912" s="322">
        <v>60</v>
      </c>
      <c r="T912" s="315">
        <v>0.02</v>
      </c>
      <c r="U912" s="338">
        <f>IFERROR(VLOOKUP(M912,INSUMOS!$C$8:$K$934,7,0),"0")</f>
        <v>1500</v>
      </c>
      <c r="V912" s="316">
        <f t="shared" ref="V912:V916" si="122">+IFERROR(U912*(S912*(1+T912)),0)</f>
        <v>91800</v>
      </c>
      <c r="Y912" s="321">
        <f>+IFERROR(Y898*(S912*(1+T912)),0)</f>
        <v>612</v>
      </c>
      <c r="Z912" s="318">
        <f>Y898*V912</f>
        <v>918000</v>
      </c>
      <c r="AA912" s="300"/>
      <c r="AB912" s="301">
        <f t="shared" ref="AB912:AB916" si="123">+Y912*U912</f>
        <v>918000</v>
      </c>
      <c r="AC912" s="302">
        <f t="shared" ref="AC912:AC916" si="124">+AB912-Z912</f>
        <v>0</v>
      </c>
      <c r="AD912" s="280"/>
      <c r="AE912" s="337" t="str">
        <f t="shared" ref="AE912:AE916" si="125">+IF(V912=0,"CERO","NO")</f>
        <v>NO</v>
      </c>
    </row>
    <row r="913" spans="3:31" ht="15.9" customHeight="1" x14ac:dyDescent="0.3">
      <c r="C913" s="292"/>
      <c r="D913" s="311"/>
      <c r="E913" s="279"/>
      <c r="F913" s="279"/>
      <c r="G913" s="279"/>
      <c r="H913" s="279"/>
      <c r="I913" s="279"/>
      <c r="J913" s="312"/>
      <c r="K913" s="293"/>
      <c r="M913" s="313"/>
      <c r="N913" s="718" t="s">
        <v>943</v>
      </c>
      <c r="O913" s="718"/>
      <c r="P913" s="718"/>
      <c r="Q913" s="718"/>
      <c r="R913" s="314" t="s">
        <v>36</v>
      </c>
      <c r="S913" s="322">
        <v>1</v>
      </c>
      <c r="T913" s="315">
        <v>0</v>
      </c>
      <c r="U913" s="338">
        <v>115800</v>
      </c>
      <c r="V913" s="316">
        <f t="shared" si="122"/>
        <v>115800</v>
      </c>
      <c r="Y913" s="321"/>
      <c r="Z913" s="318"/>
      <c r="AA913" s="300"/>
      <c r="AB913" s="301"/>
      <c r="AC913" s="302"/>
      <c r="AD913" s="280"/>
      <c r="AE913" s="337"/>
    </row>
    <row r="914" spans="3:31" ht="15.9" customHeight="1" x14ac:dyDescent="0.3">
      <c r="C914" s="292"/>
      <c r="D914" s="311"/>
      <c r="E914" s="279"/>
      <c r="F914" s="279"/>
      <c r="G914" s="279"/>
      <c r="H914" s="279"/>
      <c r="I914" s="279"/>
      <c r="J914" s="312"/>
      <c r="K914" s="293"/>
      <c r="M914" s="313"/>
      <c r="N914" s="718" t="s">
        <v>944</v>
      </c>
      <c r="O914" s="718"/>
      <c r="P914" s="718"/>
      <c r="Q914" s="718"/>
      <c r="R914" s="314" t="s">
        <v>593</v>
      </c>
      <c r="S914" s="322">
        <v>1</v>
      </c>
      <c r="T914" s="315">
        <v>0</v>
      </c>
      <c r="U914" s="338">
        <v>4500</v>
      </c>
      <c r="V914" s="316">
        <f t="shared" si="122"/>
        <v>4500</v>
      </c>
      <c r="Y914" s="321"/>
      <c r="Z914" s="318"/>
      <c r="AA914" s="300"/>
      <c r="AB914" s="301"/>
      <c r="AC914" s="302"/>
      <c r="AD914" s="280"/>
      <c r="AE914" s="337"/>
    </row>
    <row r="915" spans="3:31" ht="15.9" customHeight="1" x14ac:dyDescent="0.3">
      <c r="C915" s="292"/>
      <c r="D915" s="311"/>
      <c r="E915" s="279"/>
      <c r="F915" s="279"/>
      <c r="G915" s="279"/>
      <c r="H915" s="279"/>
      <c r="I915" s="279"/>
      <c r="J915" s="312"/>
      <c r="K915" s="293"/>
      <c r="M915" s="313"/>
      <c r="N915" s="718" t="s">
        <v>945</v>
      </c>
      <c r="O915" s="718"/>
      <c r="P915" s="718"/>
      <c r="Q915" s="718"/>
      <c r="R915" s="314" t="s">
        <v>35</v>
      </c>
      <c r="S915" s="322">
        <v>1</v>
      </c>
      <c r="T915" s="315">
        <v>0.05</v>
      </c>
      <c r="U915" s="338">
        <v>32500</v>
      </c>
      <c r="V915" s="316">
        <f t="shared" si="122"/>
        <v>34125</v>
      </c>
      <c r="Y915" s="321"/>
      <c r="Z915" s="318"/>
      <c r="AA915" s="300"/>
      <c r="AB915" s="301"/>
      <c r="AC915" s="302"/>
      <c r="AD915" s="280"/>
      <c r="AE915" s="337"/>
    </row>
    <row r="916" spans="3:31" ht="15.9" customHeight="1" x14ac:dyDescent="0.3">
      <c r="C916" s="292"/>
      <c r="D916" s="311"/>
      <c r="E916" s="279"/>
      <c r="F916" s="279"/>
      <c r="G916" s="279"/>
      <c r="H916" s="279"/>
      <c r="I916" s="279"/>
      <c r="J916" s="312"/>
      <c r="K916" s="293"/>
      <c r="M916" s="313">
        <v>0</v>
      </c>
      <c r="N916" s="718" t="str">
        <f>IFERROR(VLOOKUP(M916,INSUMOS!$C$8:$K$934,2,0),"-----")</f>
        <v>-----</v>
      </c>
      <c r="O916" s="718"/>
      <c r="P916" s="718"/>
      <c r="Q916" s="718"/>
      <c r="R916" s="314" t="str">
        <f>IFERROR(VLOOKUP(M916,INSUMOS!$C$8:$K$934,6,0),"-----")</f>
        <v>-----</v>
      </c>
      <c r="S916" s="322"/>
      <c r="T916" s="315"/>
      <c r="U916" s="338" t="str">
        <f>IFERROR(VLOOKUP(M916,INSUMOS!$C$8:$K$934,7,0),"0")</f>
        <v>0</v>
      </c>
      <c r="V916" s="316">
        <f t="shared" si="122"/>
        <v>0</v>
      </c>
      <c r="Y916" s="321">
        <f>+IFERROR(Y898*(S916*(1+T916)),0)</f>
        <v>0</v>
      </c>
      <c r="Z916" s="318">
        <f>Y898*V916</f>
        <v>0</v>
      </c>
      <c r="AA916" s="300"/>
      <c r="AB916" s="301">
        <f t="shared" si="123"/>
        <v>0</v>
      </c>
      <c r="AC916" s="302">
        <f t="shared" si="124"/>
        <v>0</v>
      </c>
      <c r="AD916" s="280"/>
      <c r="AE916" s="337" t="str">
        <f t="shared" si="125"/>
        <v>CERO</v>
      </c>
    </row>
    <row r="917" spans="3:31" ht="15.9" customHeight="1" thickBot="1" x14ac:dyDescent="0.35">
      <c r="C917" s="292"/>
      <c r="D917" s="311"/>
      <c r="E917" s="279"/>
      <c r="F917" s="279"/>
      <c r="G917" s="279"/>
      <c r="H917" s="279"/>
      <c r="I917" s="279"/>
      <c r="J917" s="312"/>
      <c r="K917" s="293"/>
      <c r="M917" s="313">
        <v>0</v>
      </c>
      <c r="N917" s="718" t="str">
        <f>IFERROR(VLOOKUP(M917,INSUMOS!$C$8:$K$934,2,0),"-----")</f>
        <v>-----</v>
      </c>
      <c r="O917" s="718"/>
      <c r="P917" s="718"/>
      <c r="Q917" s="718"/>
      <c r="R917" s="314" t="str">
        <f>IFERROR(VLOOKUP(M917,INSUMOS!$C$8:$K$934,6,0),"-----")</f>
        <v>-----</v>
      </c>
      <c r="S917" s="322"/>
      <c r="T917" s="315"/>
      <c r="U917" s="338" t="str">
        <f>IFERROR(VLOOKUP(M917,INSUMOS!$C$8:$K$934,7,0),"0")</f>
        <v>0</v>
      </c>
      <c r="V917" s="316">
        <f>+IFERROR(U917*(S917*(1+T917)),0)</f>
        <v>0</v>
      </c>
      <c r="Y917" s="321">
        <f>+IFERROR(Y898*(S917*(1+T917)),0)</f>
        <v>0</v>
      </c>
      <c r="Z917" s="318">
        <f>Y898*V917</f>
        <v>0</v>
      </c>
      <c r="AA917" s="300"/>
      <c r="AB917" s="301">
        <f t="shared" si="120"/>
        <v>0</v>
      </c>
      <c r="AC917" s="302">
        <f t="shared" si="121"/>
        <v>0</v>
      </c>
      <c r="AD917" s="280"/>
      <c r="AE917" s="337" t="str">
        <f t="shared" si="119"/>
        <v>CERO</v>
      </c>
    </row>
    <row r="918" spans="3:31" ht="15.9" customHeight="1" thickBot="1" x14ac:dyDescent="0.35">
      <c r="C918" s="292"/>
      <c r="D918" s="295" t="s">
        <v>132</v>
      </c>
      <c r="E918" s="296" t="s">
        <v>133</v>
      </c>
      <c r="F918" s="296" t="s">
        <v>134</v>
      </c>
      <c r="G918" s="296" t="s">
        <v>135</v>
      </c>
      <c r="H918" s="296" t="s">
        <v>136</v>
      </c>
      <c r="I918" s="296" t="s">
        <v>137</v>
      </c>
      <c r="J918" s="297" t="s">
        <v>138</v>
      </c>
      <c r="K918" s="293"/>
      <c r="M918" s="724"/>
      <c r="N918" s="725" t="s">
        <v>109</v>
      </c>
      <c r="O918" s="725"/>
      <c r="P918" s="725"/>
      <c r="Q918" s="725"/>
      <c r="R918" s="725"/>
      <c r="S918" s="725"/>
      <c r="T918" s="725"/>
      <c r="U918" s="725"/>
      <c r="V918" s="316">
        <f>+SUM(V910:V917)</f>
        <v>635190.31200000003</v>
      </c>
      <c r="Y918" s="328" t="s">
        <v>139</v>
      </c>
      <c r="Z918" s="329">
        <f>+SUM(Z910:Z917)</f>
        <v>4807653.12</v>
      </c>
      <c r="AA918" s="279"/>
      <c r="AB918" s="290"/>
      <c r="AC918" s="291"/>
      <c r="AD918" s="280"/>
      <c r="AE918" s="330"/>
    </row>
    <row r="919" spans="3:31" ht="15.9" customHeight="1" thickBot="1" x14ac:dyDescent="0.35">
      <c r="C919" s="292"/>
      <c r="D919" s="295"/>
      <c r="E919" s="343">
        <f>+D907</f>
        <v>1.1200000000000001</v>
      </c>
      <c r="F919" s="296"/>
      <c r="G919" s="296"/>
      <c r="H919" s="296"/>
      <c r="I919" s="296"/>
      <c r="J919" s="297"/>
      <c r="K919" s="293"/>
      <c r="M919" s="724"/>
      <c r="N919" s="726" t="s">
        <v>110</v>
      </c>
      <c r="O919" s="726"/>
      <c r="P919" s="726"/>
      <c r="Q919" s="726"/>
      <c r="R919" s="726"/>
      <c r="S919" s="726"/>
      <c r="T919" s="726"/>
      <c r="U919" s="726"/>
      <c r="V919" s="344">
        <f>+ROUND(V918,$AA$2)</f>
        <v>635190</v>
      </c>
      <c r="Y919" s="332" t="s">
        <v>140</v>
      </c>
      <c r="Z919" s="333">
        <f>+ROUND(Z918,$AA$2)</f>
        <v>4807653</v>
      </c>
      <c r="AA919" s="279"/>
      <c r="AB919" s="324">
        <f>+V919*Y898</f>
        <v>6351900</v>
      </c>
      <c r="AC919" s="325">
        <f>+AB919-Z919</f>
        <v>1544247</v>
      </c>
      <c r="AD919" s="280"/>
      <c r="AE919" s="334"/>
    </row>
    <row r="920" spans="3:31" ht="15.9" customHeight="1" x14ac:dyDescent="0.3">
      <c r="C920" s="292"/>
      <c r="D920" s="304"/>
      <c r="E920" s="305"/>
      <c r="F920" s="305"/>
      <c r="G920" s="305"/>
      <c r="H920" s="305"/>
      <c r="I920" s="305"/>
      <c r="J920" s="306"/>
      <c r="K920" s="293"/>
      <c r="M920" s="733" t="s">
        <v>111</v>
      </c>
      <c r="N920" s="733"/>
      <c r="O920" s="733"/>
      <c r="P920" s="733"/>
      <c r="Q920" s="733"/>
      <c r="R920" s="733"/>
      <c r="S920" s="733"/>
      <c r="T920" s="733"/>
      <c r="U920" s="733"/>
      <c r="V920" s="733"/>
      <c r="Y920" s="298"/>
      <c r="Z920" s="299"/>
      <c r="AA920" s="279"/>
      <c r="AB920" s="342"/>
      <c r="AC920" s="299"/>
      <c r="AD920" s="280"/>
      <c r="AE920" s="335"/>
    </row>
    <row r="921" spans="3:31" ht="27.6" x14ac:dyDescent="0.3">
      <c r="C921" s="292"/>
      <c r="D921" s="311"/>
      <c r="E921" s="279"/>
      <c r="F921" s="279"/>
      <c r="G921" s="279"/>
      <c r="H921" s="279"/>
      <c r="I921" s="279"/>
      <c r="J921" s="312"/>
      <c r="K921" s="293"/>
      <c r="M921" s="307" t="s">
        <v>97</v>
      </c>
      <c r="N921" s="706" t="s">
        <v>98</v>
      </c>
      <c r="O921" s="706"/>
      <c r="P921" s="706"/>
      <c r="Q921" s="307" t="s">
        <v>112</v>
      </c>
      <c r="R921" s="307" t="s">
        <v>113</v>
      </c>
      <c r="S921" s="307" t="s">
        <v>114</v>
      </c>
      <c r="T921" s="734" t="s">
        <v>115</v>
      </c>
      <c r="U921" s="734"/>
      <c r="V921" s="307" t="s">
        <v>101</v>
      </c>
      <c r="Y921" s="308" t="s">
        <v>107</v>
      </c>
      <c r="Z921" s="309" t="s">
        <v>9</v>
      </c>
      <c r="AA921" s="279"/>
      <c r="AB921" s="290"/>
      <c r="AC921" s="291"/>
      <c r="AD921" s="280"/>
      <c r="AE921" s="349"/>
    </row>
    <row r="922" spans="3:31" ht="14.4" x14ac:dyDescent="0.3">
      <c r="C922" s="350"/>
      <c r="D922" s="351"/>
      <c r="E922" s="345"/>
      <c r="F922" s="345"/>
      <c r="G922" s="345"/>
      <c r="H922" s="345"/>
      <c r="I922" s="345"/>
      <c r="J922" s="352"/>
      <c r="K922" s="353"/>
      <c r="M922" s="354">
        <v>129</v>
      </c>
      <c r="N922" s="718" t="str">
        <f>IFERROR(VLOOKUP(M922,INSUMOS!$C$8:$K$934,2,0),"-----")</f>
        <v>transporte materiales - San Gil</v>
      </c>
      <c r="O922" s="718"/>
      <c r="P922" s="718"/>
      <c r="Q922" s="314" t="str">
        <f>IFERROR(VLOOKUP(M922,INSUMOS!$C$8:$K$934,5,0),"-----")</f>
        <v>kg/km</v>
      </c>
      <c r="R922" s="355">
        <v>10</v>
      </c>
      <c r="S922" s="355">
        <f>IFERROR(VLOOKUP(M922,INSUMOS!$C$8:$K$934,6,0),"0")</f>
        <v>4.87</v>
      </c>
      <c r="T922" s="719">
        <f>IFERROR(VLOOKUP(M922,INSUMOS!$C$8:$K$934,7,0),"0")</f>
        <v>1000</v>
      </c>
      <c r="U922" s="719"/>
      <c r="V922" s="515">
        <f>+T922*S922*R922</f>
        <v>48700</v>
      </c>
      <c r="Y922" s="321">
        <f>+IFERROR((R922*S922)*Y898,0)</f>
        <v>487</v>
      </c>
      <c r="Z922" s="318">
        <f>Y898*V922</f>
        <v>487000</v>
      </c>
      <c r="AA922" s="345"/>
      <c r="AB922" s="346">
        <f>+Y922*T922</f>
        <v>487000</v>
      </c>
      <c r="AC922" s="347">
        <f>+AB922-Z922</f>
        <v>0</v>
      </c>
      <c r="AD922" s="348"/>
      <c r="AE922" s="337" t="str">
        <f t="shared" ref="AE922:AE925" si="126">+IF(V922=0,"CERO","NO")</f>
        <v>NO</v>
      </c>
    </row>
    <row r="923" spans="3:31" ht="15.9" customHeight="1" x14ac:dyDescent="0.3">
      <c r="C923" s="350"/>
      <c r="D923" s="351"/>
      <c r="E923" s="345"/>
      <c r="F923" s="345"/>
      <c r="G923" s="345"/>
      <c r="H923" s="345"/>
      <c r="I923" s="345"/>
      <c r="J923" s="352"/>
      <c r="K923" s="353"/>
      <c r="M923" s="354">
        <v>0</v>
      </c>
      <c r="N923" s="718" t="str">
        <f>IFERROR(VLOOKUP(M923,INSUMOS!$C$8:$K$934,2,0),"-----")</f>
        <v>-----</v>
      </c>
      <c r="O923" s="718"/>
      <c r="P923" s="718"/>
      <c r="Q923" s="314" t="str">
        <f>IFERROR(VLOOKUP(M923,INSUMOS!$C$8:$K$934,5,0),"-----")</f>
        <v>-----</v>
      </c>
      <c r="R923" s="355"/>
      <c r="S923" s="355" t="str">
        <f>IFERROR(VLOOKUP(M923,INSUMOS!$C$8:$K$934,6,0),"0")</f>
        <v>0</v>
      </c>
      <c r="T923" s="719" t="str">
        <f>IFERROR(VLOOKUP(M923,INSUMOS!$C$8:$K$934,7,0),"0")</f>
        <v>0</v>
      </c>
      <c r="U923" s="719"/>
      <c r="V923" s="515">
        <f>+T923*S923*R923</f>
        <v>0</v>
      </c>
      <c r="Y923" s="321">
        <f>+IFERROR((R923*S923)*Y898,0)</f>
        <v>0</v>
      </c>
      <c r="Z923" s="318">
        <f>Y898*V923</f>
        <v>0</v>
      </c>
      <c r="AA923" s="345"/>
      <c r="AB923" s="346">
        <f>+Y923*T923</f>
        <v>0</v>
      </c>
      <c r="AC923" s="347">
        <f>+AB923-Z923</f>
        <v>0</v>
      </c>
      <c r="AD923" s="348"/>
      <c r="AE923" s="337" t="str">
        <f t="shared" si="126"/>
        <v>CERO</v>
      </c>
    </row>
    <row r="924" spans="3:31" ht="15.9" customHeight="1" x14ac:dyDescent="0.3">
      <c r="C924" s="350"/>
      <c r="D924" s="351"/>
      <c r="E924" s="345"/>
      <c r="F924" s="345"/>
      <c r="G924" s="345"/>
      <c r="H924" s="345"/>
      <c r="I924" s="345"/>
      <c r="J924" s="352"/>
      <c r="K924" s="353"/>
      <c r="M924" s="354">
        <v>0</v>
      </c>
      <c r="N924" s="718" t="str">
        <f>IFERROR(VLOOKUP(M924,INSUMOS!$C$8:$K$934,2,0),"-----")</f>
        <v>-----</v>
      </c>
      <c r="O924" s="718"/>
      <c r="P924" s="718"/>
      <c r="Q924" s="314" t="str">
        <f>IFERROR(VLOOKUP(M924,INSUMOS!$C$8:$K$934,5,0),"-----")</f>
        <v>-----</v>
      </c>
      <c r="R924" s="355"/>
      <c r="S924" s="355" t="str">
        <f>IFERROR(VLOOKUP(M924,INSUMOS!$C$8:$K$934,6,0),"0")</f>
        <v>0</v>
      </c>
      <c r="T924" s="719" t="str">
        <f>IFERROR(VLOOKUP(M924,INSUMOS!$C$8:$K$934,7,0),"0")</f>
        <v>0</v>
      </c>
      <c r="U924" s="719"/>
      <c r="V924" s="515">
        <f>+T924*S924*R924</f>
        <v>0</v>
      </c>
      <c r="Y924" s="321">
        <f>+IFERROR((R924*S924)*Y898,0)</f>
        <v>0</v>
      </c>
      <c r="Z924" s="318">
        <f>Y898*V924</f>
        <v>0</v>
      </c>
      <c r="AA924" s="345"/>
      <c r="AB924" s="346">
        <f t="shared" ref="AB924" si="127">+Y924*T924</f>
        <v>0</v>
      </c>
      <c r="AC924" s="347">
        <f t="shared" ref="AC924" si="128">+AB924-Z924</f>
        <v>0</v>
      </c>
      <c r="AD924" s="348"/>
      <c r="AE924" s="337" t="str">
        <f t="shared" si="126"/>
        <v>CERO</v>
      </c>
    </row>
    <row r="925" spans="3:31" ht="15.9" customHeight="1" thickBot="1" x14ac:dyDescent="0.35">
      <c r="C925" s="350"/>
      <c r="D925" s="360"/>
      <c r="E925" s="361"/>
      <c r="F925" s="361"/>
      <c r="G925" s="361"/>
      <c r="H925" s="361"/>
      <c r="I925" s="361"/>
      <c r="J925" s="362"/>
      <c r="K925" s="353"/>
      <c r="M925" s="354">
        <v>0</v>
      </c>
      <c r="N925" s="718"/>
      <c r="O925" s="718"/>
      <c r="P925" s="718"/>
      <c r="Q925" s="357"/>
      <c r="R925" s="314"/>
      <c r="S925" s="358"/>
      <c r="T925" s="719"/>
      <c r="U925" s="719"/>
      <c r="V925" s="515"/>
      <c r="Y925" s="321">
        <f>+IFERROR((R925*S925)*Y898,0)</f>
        <v>0</v>
      </c>
      <c r="Z925" s="318">
        <f>Y898*V925</f>
        <v>0</v>
      </c>
      <c r="AA925" s="345"/>
      <c r="AB925" s="346">
        <f>+Y925*T925</f>
        <v>0</v>
      </c>
      <c r="AC925" s="347">
        <f>+AB925-Z925</f>
        <v>0</v>
      </c>
      <c r="AD925" s="348"/>
      <c r="AE925" s="337" t="str">
        <f t="shared" si="126"/>
        <v>CERO</v>
      </c>
    </row>
    <row r="926" spans="3:31" ht="15.9" customHeight="1" thickBot="1" x14ac:dyDescent="0.35">
      <c r="C926" s="292"/>
      <c r="D926" s="295" t="s">
        <v>132</v>
      </c>
      <c r="E926" s="296" t="s">
        <v>133</v>
      </c>
      <c r="F926" s="296" t="s">
        <v>134</v>
      </c>
      <c r="G926" s="296" t="s">
        <v>135</v>
      </c>
      <c r="H926" s="296" t="s">
        <v>136</v>
      </c>
      <c r="I926" s="296" t="s">
        <v>137</v>
      </c>
      <c r="J926" s="297" t="s">
        <v>138</v>
      </c>
      <c r="K926" s="293"/>
      <c r="M926" s="720"/>
      <c r="N926" s="721" t="s">
        <v>116</v>
      </c>
      <c r="O926" s="721"/>
      <c r="P926" s="721"/>
      <c r="Q926" s="721"/>
      <c r="R926" s="721"/>
      <c r="S926" s="721"/>
      <c r="T926" s="721"/>
      <c r="U926" s="721"/>
      <c r="V926" s="499">
        <f>+SUM(V922:V925)</f>
        <v>48700</v>
      </c>
      <c r="Y926" s="328" t="s">
        <v>139</v>
      </c>
      <c r="Z926" s="329">
        <f>+SUM(Z922:Z925)</f>
        <v>487000</v>
      </c>
      <c r="AA926" s="279"/>
      <c r="AB926" s="290"/>
      <c r="AC926" s="291"/>
      <c r="AD926" s="280"/>
      <c r="AE926" s="330"/>
    </row>
    <row r="927" spans="3:31" ht="15.9" customHeight="1" thickBot="1" x14ac:dyDescent="0.35">
      <c r="C927" s="292"/>
      <c r="D927" s="363"/>
      <c r="E927" s="364"/>
      <c r="F927" s="365">
        <f>+E919</f>
        <v>1.1200000000000001</v>
      </c>
      <c r="G927" s="364"/>
      <c r="H927" s="364"/>
      <c r="I927" s="364"/>
      <c r="J927" s="366"/>
      <c r="K927" s="293"/>
      <c r="M927" s="720"/>
      <c r="N927" s="722" t="s">
        <v>117</v>
      </c>
      <c r="O927" s="722"/>
      <c r="P927" s="722"/>
      <c r="Q927" s="722"/>
      <c r="R927" s="722"/>
      <c r="S927" s="722"/>
      <c r="T927" s="722"/>
      <c r="U927" s="722"/>
      <c r="V927" s="344">
        <f>+ROUND(V926,$AA$2)</f>
        <v>48700</v>
      </c>
      <c r="Y927" s="332" t="s">
        <v>140</v>
      </c>
      <c r="Z927" s="333">
        <f>+ROUND(Z926,$AA$2)</f>
        <v>487000</v>
      </c>
      <c r="AA927" s="279"/>
      <c r="AB927" s="324">
        <f>+V927*Y898</f>
        <v>487000</v>
      </c>
      <c r="AC927" s="359"/>
      <c r="AD927" s="280"/>
      <c r="AE927" s="334"/>
    </row>
    <row r="928" spans="3:31" ht="15.9" customHeight="1" thickBot="1" x14ac:dyDescent="0.35">
      <c r="C928" s="292"/>
      <c r="D928" s="369"/>
      <c r="E928" s="370"/>
      <c r="F928" s="370"/>
      <c r="G928" s="370"/>
      <c r="H928" s="370"/>
      <c r="I928" s="370"/>
      <c r="J928" s="371"/>
      <c r="K928" s="293"/>
      <c r="M928" s="723" t="s">
        <v>118</v>
      </c>
      <c r="N928" s="723"/>
      <c r="O928" s="723"/>
      <c r="P928" s="723"/>
      <c r="Q928" s="723"/>
      <c r="R928" s="723"/>
      <c r="S928" s="723"/>
      <c r="T928" s="723"/>
      <c r="U928" s="723"/>
      <c r="V928" s="723"/>
      <c r="Y928" s="298"/>
      <c r="Z928" s="299"/>
      <c r="AA928" s="279"/>
      <c r="AB928" s="342"/>
      <c r="AC928" s="299"/>
      <c r="AD928" s="280"/>
      <c r="AE928" s="335"/>
    </row>
    <row r="929" spans="3:31" ht="15.9" customHeight="1" thickBot="1" x14ac:dyDescent="0.35">
      <c r="C929" s="292"/>
      <c r="D929" s="295" t="s">
        <v>132</v>
      </c>
      <c r="E929" s="296" t="s">
        <v>133</v>
      </c>
      <c r="F929" s="296" t="s">
        <v>134</v>
      </c>
      <c r="G929" s="296" t="s">
        <v>135</v>
      </c>
      <c r="H929" s="296" t="s">
        <v>136</v>
      </c>
      <c r="I929" s="296" t="s">
        <v>137</v>
      </c>
      <c r="J929" s="297" t="s">
        <v>138</v>
      </c>
      <c r="K929" s="293"/>
      <c r="M929" s="307" t="s">
        <v>97</v>
      </c>
      <c r="N929" s="372" t="s">
        <v>98</v>
      </c>
      <c r="O929" s="307" t="s">
        <v>99</v>
      </c>
      <c r="P929" s="396" t="s">
        <v>107</v>
      </c>
      <c r="Q929" s="307" t="s">
        <v>119</v>
      </c>
      <c r="R929" s="373" t="s">
        <v>120</v>
      </c>
      <c r="S929" s="307" t="s">
        <v>363</v>
      </c>
      <c r="T929" s="374" t="s">
        <v>121</v>
      </c>
      <c r="U929" s="375" t="s">
        <v>122</v>
      </c>
      <c r="V929" s="307" t="s">
        <v>101</v>
      </c>
      <c r="Y929" s="308" t="s">
        <v>107</v>
      </c>
      <c r="Z929" s="309" t="s">
        <v>9</v>
      </c>
      <c r="AA929" s="279"/>
      <c r="AB929" s="290"/>
      <c r="AC929" s="291"/>
      <c r="AD929" s="280"/>
      <c r="AE929" s="349"/>
    </row>
    <row r="930" spans="3:31" ht="14.4" x14ac:dyDescent="0.3">
      <c r="C930" s="292"/>
      <c r="D930" s="376"/>
      <c r="E930" s="377"/>
      <c r="F930" s="377"/>
      <c r="G930" s="377"/>
      <c r="H930" s="377"/>
      <c r="I930" s="377"/>
      <c r="J930" s="378">
        <f>+F927</f>
        <v>1.1200000000000001</v>
      </c>
      <c r="K930" s="293"/>
      <c r="M930" s="313">
        <v>201</v>
      </c>
      <c r="N930" s="379" t="str">
        <f>IFERROR(VLOOKUP(M930,INSUMOS!$C$8:$K$934,2,0),"-----")</f>
        <v>Oficial Albañileria</v>
      </c>
      <c r="O930" s="314" t="str">
        <f>IFERROR(VLOOKUP(M930,INSUMOS!$C$8:$K$934,3,0),"-----")</f>
        <v>JORNAL+PS</v>
      </c>
      <c r="P930" s="355">
        <v>1</v>
      </c>
      <c r="Q930" s="339">
        <v>1.5</v>
      </c>
      <c r="R930" s="380">
        <f>IFERROR(VLOOKUP(M930,INSUMOS!$C$8:$K$934,4,0),"-----")</f>
        <v>114970</v>
      </c>
      <c r="S930" s="380">
        <f>IFERROR(VLOOKUP(M930,INSUMOS!$C$8:$K$934,6,0),"-----")</f>
        <v>91976</v>
      </c>
      <c r="T930" s="380">
        <f>IFERROR(VLOOKUP(M930,INSUMOS!$C$8:$K$934,5,0),"-----")</f>
        <v>0</v>
      </c>
      <c r="U930" s="338">
        <f>SUM(R930:T930)</f>
        <v>206946</v>
      </c>
      <c r="V930" s="316">
        <f>+IFERROR((P930/Q930)*U930,0)</f>
        <v>137964</v>
      </c>
      <c r="Y930" s="321">
        <f>+IFERROR((Y898/Q930*P930),0)</f>
        <v>6.666666666666667</v>
      </c>
      <c r="Z930" s="318">
        <f>Y898*V930</f>
        <v>1379640</v>
      </c>
      <c r="AA930" s="279"/>
      <c r="AB930" s="367">
        <f>+(U930)*Y930</f>
        <v>1379640</v>
      </c>
      <c r="AC930" s="302">
        <f>+AB930-Z930</f>
        <v>0</v>
      </c>
      <c r="AD930" s="368"/>
      <c r="AE930" s="349" t="str">
        <f>+IF(V930=0,"CERO","NO")</f>
        <v>NO</v>
      </c>
    </row>
    <row r="931" spans="3:31" ht="15.9" customHeight="1" thickBot="1" x14ac:dyDescent="0.35">
      <c r="C931" s="292"/>
      <c r="D931" s="363"/>
      <c r="E931" s="364"/>
      <c r="F931" s="364"/>
      <c r="G931" s="364"/>
      <c r="H931" s="364"/>
      <c r="I931" s="364"/>
      <c r="J931" s="381">
        <f>+J930</f>
        <v>1.1200000000000001</v>
      </c>
      <c r="K931" s="293"/>
      <c r="M931" s="313">
        <v>202</v>
      </c>
      <c r="N931" s="379" t="str">
        <f>IFERROR(VLOOKUP(M931,INSUMOS!$C$8:$K$934,2,0),"-----")</f>
        <v>Ayudante Albañileria</v>
      </c>
      <c r="O931" s="314" t="str">
        <f>IFERROR(VLOOKUP(M931,INSUMOS!$C$8:$K$934,3,0),"-----")</f>
        <v>JORNAL+PS</v>
      </c>
      <c r="P931" s="355">
        <v>2</v>
      </c>
      <c r="Q931" s="339">
        <v>1.5</v>
      </c>
      <c r="R931" s="380">
        <f>IFERROR(VLOOKUP(M931,INSUMOS!$C$8:$K$934,4,0),"-----")</f>
        <v>94970</v>
      </c>
      <c r="S931" s="380">
        <f>IFERROR(VLOOKUP(M931,INSUMOS!$C$8:$K$934,6,0),"-----")</f>
        <v>75976</v>
      </c>
      <c r="T931" s="380">
        <f>IFERROR(VLOOKUP(M931,INSUMOS!$C$8:$K$934,5,0),"-----")</f>
        <v>0</v>
      </c>
      <c r="U931" s="338">
        <f>SUM(R931:T931)</f>
        <v>170946</v>
      </c>
      <c r="V931" s="316">
        <f>+IFERROR((P931/Q931)*U931,0)</f>
        <v>227928</v>
      </c>
      <c r="Y931" s="321">
        <f>+IFERROR((Y898/Q931*P931),0)</f>
        <v>13.333333333333334</v>
      </c>
      <c r="Z931" s="318">
        <f>Y898*V931</f>
        <v>2279280</v>
      </c>
      <c r="AA931" s="279"/>
      <c r="AB931" s="367">
        <f>+U931*Y931</f>
        <v>2279280</v>
      </c>
      <c r="AC931" s="302">
        <f>+AB931-Z931</f>
        <v>0</v>
      </c>
      <c r="AD931" s="280"/>
      <c r="AE931" s="349" t="str">
        <f t="shared" ref="AE931:AE932" si="129">+IF(V931=0,"CERO","NO")</f>
        <v>NO</v>
      </c>
    </row>
    <row r="932" spans="3:31" ht="15.9" customHeight="1" thickBot="1" x14ac:dyDescent="0.35">
      <c r="C932" s="292"/>
      <c r="D932" s="304"/>
      <c r="E932" s="305"/>
      <c r="F932" s="305"/>
      <c r="G932" s="305"/>
      <c r="H932" s="305"/>
      <c r="I932" s="305"/>
      <c r="J932" s="306"/>
      <c r="K932" s="293"/>
      <c r="M932" s="313">
        <v>0</v>
      </c>
      <c r="N932" s="379"/>
      <c r="O932" s="339"/>
      <c r="P932" s="382"/>
      <c r="Q932" s="319"/>
      <c r="R932" s="383"/>
      <c r="S932" s="384"/>
      <c r="T932" s="383"/>
      <c r="U932" s="338"/>
      <c r="V932" s="323"/>
      <c r="Y932" s="321">
        <f>+IFERROR((Y898/Q932*P932),0)</f>
        <v>0</v>
      </c>
      <c r="Z932" s="318">
        <f>Y898*V932</f>
        <v>0</v>
      </c>
      <c r="AA932" s="279"/>
      <c r="AB932" s="367">
        <f>+(U932)*Y932*P932</f>
        <v>0</v>
      </c>
      <c r="AC932" s="302">
        <f>+AB932-Z932</f>
        <v>0</v>
      </c>
      <c r="AD932" s="280"/>
      <c r="AE932" s="349" t="str">
        <f t="shared" si="129"/>
        <v>CERO</v>
      </c>
    </row>
    <row r="933" spans="3:31" ht="15.9" customHeight="1" thickBot="1" x14ac:dyDescent="0.35">
      <c r="C933" s="292"/>
      <c r="D933" s="295" t="s">
        <v>132</v>
      </c>
      <c r="E933" s="296" t="s">
        <v>133</v>
      </c>
      <c r="F933" s="296" t="s">
        <v>134</v>
      </c>
      <c r="G933" s="296" t="s">
        <v>135</v>
      </c>
      <c r="H933" s="296" t="s">
        <v>136</v>
      </c>
      <c r="I933" s="296" t="s">
        <v>137</v>
      </c>
      <c r="J933" s="297" t="s">
        <v>138</v>
      </c>
      <c r="K933" s="293"/>
      <c r="M933" s="724"/>
      <c r="N933" s="725" t="s">
        <v>123</v>
      </c>
      <c r="O933" s="725"/>
      <c r="P933" s="725"/>
      <c r="Q933" s="725"/>
      <c r="R933" s="725"/>
      <c r="S933" s="725"/>
      <c r="T933" s="725"/>
      <c r="U933" s="725"/>
      <c r="V933" s="316">
        <f>+SUM(V930:V932)</f>
        <v>365892</v>
      </c>
      <c r="Y933" s="328" t="s">
        <v>139</v>
      </c>
      <c r="Z933" s="329">
        <f>+SUM(Z930:Z932)</f>
        <v>3658920</v>
      </c>
      <c r="AA933" s="279"/>
      <c r="AB933" s="290"/>
      <c r="AC933" s="291"/>
      <c r="AD933" s="280"/>
      <c r="AE933" s="330"/>
    </row>
    <row r="934" spans="3:31" ht="15.9" customHeight="1" thickBot="1" x14ac:dyDescent="0.35">
      <c r="C934" s="292"/>
      <c r="D934" s="376"/>
      <c r="E934" s="377"/>
      <c r="F934" s="377"/>
      <c r="G934" s="386">
        <f>+F927</f>
        <v>1.1200000000000001</v>
      </c>
      <c r="H934" s="377"/>
      <c r="I934" s="377"/>
      <c r="J934" s="387"/>
      <c r="K934" s="293"/>
      <c r="M934" s="724"/>
      <c r="N934" s="726" t="s">
        <v>124</v>
      </c>
      <c r="O934" s="726"/>
      <c r="P934" s="726"/>
      <c r="Q934" s="726"/>
      <c r="R934" s="726"/>
      <c r="S934" s="726"/>
      <c r="T934" s="726"/>
      <c r="U934" s="726"/>
      <c r="V934" s="344">
        <f>+ROUND(V933,$AA$2)</f>
        <v>365892</v>
      </c>
      <c r="Y934" s="332" t="s">
        <v>140</v>
      </c>
      <c r="Z934" s="333">
        <f>+ROUND(Z933,$AA$2)</f>
        <v>3658920</v>
      </c>
      <c r="AA934" s="279"/>
      <c r="AB934" s="324">
        <f>+V934*Y898</f>
        <v>3658920</v>
      </c>
      <c r="AC934" s="325">
        <f>+AB934-Z934</f>
        <v>0</v>
      </c>
      <c r="AD934" s="280"/>
      <c r="AE934" s="334"/>
    </row>
    <row r="935" spans="3:31" ht="15.9" customHeight="1" thickBot="1" x14ac:dyDescent="0.35">
      <c r="C935" s="292"/>
      <c r="D935" s="295" t="s">
        <v>132</v>
      </c>
      <c r="E935" s="296" t="s">
        <v>133</v>
      </c>
      <c r="F935" s="296" t="s">
        <v>134</v>
      </c>
      <c r="G935" s="296" t="s">
        <v>135</v>
      </c>
      <c r="H935" s="296" t="s">
        <v>136</v>
      </c>
      <c r="I935" s="296" t="s">
        <v>137</v>
      </c>
      <c r="J935" s="297" t="s">
        <v>138</v>
      </c>
      <c r="K935" s="293"/>
      <c r="M935" s="727"/>
      <c r="N935" s="727"/>
      <c r="O935" s="727"/>
      <c r="P935" s="727"/>
      <c r="Q935" s="727"/>
      <c r="R935" s="727"/>
      <c r="S935" s="727"/>
      <c r="T935" s="727"/>
      <c r="U935" s="727"/>
      <c r="V935" s="727"/>
      <c r="Y935" s="298"/>
      <c r="Z935" s="299"/>
      <c r="AA935" s="279"/>
      <c r="AB935" s="342"/>
      <c r="AC935" s="299"/>
      <c r="AD935" s="280"/>
      <c r="AE935" s="388"/>
    </row>
    <row r="936" spans="3:31" ht="15.9" customHeight="1" thickBot="1" x14ac:dyDescent="0.35">
      <c r="C936" s="292"/>
      <c r="D936" s="363"/>
      <c r="E936" s="364"/>
      <c r="F936" s="364"/>
      <c r="G936" s="364"/>
      <c r="H936" s="365">
        <f>G934</f>
        <v>1.1200000000000001</v>
      </c>
      <c r="I936" s="365"/>
      <c r="J936" s="381"/>
      <c r="K936" s="293"/>
      <c r="M936" s="726" t="s">
        <v>125</v>
      </c>
      <c r="N936" s="726"/>
      <c r="O936" s="726"/>
      <c r="P936" s="726"/>
      <c r="Q936" s="726"/>
      <c r="R936" s="726"/>
      <c r="S936" s="726"/>
      <c r="T936" s="726"/>
      <c r="U936" s="728">
        <f>+V934+V927+V919+V907</f>
        <v>1068077</v>
      </c>
      <c r="V936" s="728"/>
      <c r="Y936" s="389"/>
      <c r="Z936" s="390">
        <f>+Z934+Z927+Z919+Z907</f>
        <v>9136519</v>
      </c>
      <c r="AA936" s="279"/>
      <c r="AB936" s="385">
        <f>+AB934+AB927+AB919+AB907</f>
        <v>10680770</v>
      </c>
      <c r="AC936" s="325">
        <f>+AB936-Z936</f>
        <v>1544251</v>
      </c>
      <c r="AD936" s="280"/>
      <c r="AE936" s="391"/>
    </row>
    <row r="937" spans="3:31" ht="15.9" customHeight="1" thickBot="1" x14ac:dyDescent="0.3">
      <c r="M937" s="412"/>
      <c r="N937" s="412"/>
      <c r="O937" s="412"/>
      <c r="P937" s="412"/>
      <c r="Q937" s="412"/>
      <c r="R937" s="412"/>
      <c r="S937" s="412"/>
      <c r="T937" s="412"/>
      <c r="U937" s="412"/>
      <c r="V937" s="412"/>
    </row>
    <row r="938" spans="3:31" ht="15.9" customHeight="1" x14ac:dyDescent="0.25">
      <c r="M938" s="729" t="s">
        <v>364</v>
      </c>
      <c r="N938" s="729"/>
      <c r="O938" s="729"/>
      <c r="P938" s="729"/>
      <c r="Q938" s="729"/>
      <c r="R938" s="729"/>
      <c r="S938" s="729"/>
      <c r="T938" s="729"/>
      <c r="U938" s="729"/>
      <c r="V938" s="729"/>
      <c r="Y938" s="298"/>
      <c r="Z938" s="299"/>
      <c r="AA938" s="279"/>
      <c r="AB938" s="280"/>
      <c r="AC938" s="280"/>
      <c r="AD938" s="280"/>
      <c r="AE938" s="335" t="s">
        <v>137</v>
      </c>
    </row>
    <row r="939" spans="3:31" ht="15.9" customHeight="1" x14ac:dyDescent="0.25">
      <c r="M939" s="700" t="s">
        <v>142</v>
      </c>
      <c r="N939" s="700"/>
      <c r="O939" s="700"/>
      <c r="P939" s="700"/>
      <c r="Q939" s="700"/>
      <c r="R939" s="700"/>
      <c r="S939" s="700"/>
      <c r="T939" s="413">
        <f>$AA$3</f>
        <v>0.25</v>
      </c>
      <c r="U939" s="701">
        <f>+ROUND(U936*T939,$AA$2)</f>
        <v>267019</v>
      </c>
      <c r="V939" s="701"/>
      <c r="Y939" s="317"/>
      <c r="Z939" s="414">
        <f>+Z936*T939</f>
        <v>2284129.75</v>
      </c>
      <c r="AA939" s="279"/>
      <c r="AB939" s="280"/>
      <c r="AC939" s="280"/>
      <c r="AD939" s="280"/>
      <c r="AE939" s="310" t="s">
        <v>137</v>
      </c>
    </row>
    <row r="940" spans="3:31" ht="15.9" customHeight="1" x14ac:dyDescent="0.25">
      <c r="M940" s="700" t="s">
        <v>19</v>
      </c>
      <c r="N940" s="700"/>
      <c r="O940" s="700"/>
      <c r="P940" s="700"/>
      <c r="Q940" s="700"/>
      <c r="R940" s="700"/>
      <c r="S940" s="700"/>
      <c r="T940" s="413">
        <f>$AA$4</f>
        <v>0.03</v>
      </c>
      <c r="U940" s="701">
        <f>+ROUND(U936*T940,$AA$2)</f>
        <v>32042</v>
      </c>
      <c r="V940" s="701"/>
      <c r="Y940" s="317"/>
      <c r="Z940" s="414">
        <f>+Z936*T940</f>
        <v>274095.57</v>
      </c>
      <c r="AA940" s="279"/>
      <c r="AB940" s="280"/>
      <c r="AC940" s="280"/>
      <c r="AD940" s="280"/>
      <c r="AE940" s="310" t="s">
        <v>137</v>
      </c>
    </row>
    <row r="941" spans="3:31" ht="15.9" customHeight="1" x14ac:dyDescent="0.25">
      <c r="M941" s="700" t="s">
        <v>20</v>
      </c>
      <c r="N941" s="700"/>
      <c r="O941" s="700"/>
      <c r="P941" s="700"/>
      <c r="Q941" s="700"/>
      <c r="R941" s="700"/>
      <c r="S941" s="700"/>
      <c r="T941" s="413">
        <f>$AA$5</f>
        <v>0.05</v>
      </c>
      <c r="U941" s="701">
        <f>+ROUND(U936*T941,$AA$2)</f>
        <v>53404</v>
      </c>
      <c r="V941" s="701"/>
      <c r="Y941" s="317"/>
      <c r="Z941" s="414">
        <f>+Z936*T941</f>
        <v>456825.95</v>
      </c>
      <c r="AA941" s="279"/>
      <c r="AB941" s="280"/>
      <c r="AC941" s="280"/>
      <c r="AD941" s="280"/>
      <c r="AE941" s="310" t="s">
        <v>137</v>
      </c>
    </row>
    <row r="942" spans="3:31" ht="15.9" customHeight="1" x14ac:dyDescent="0.25">
      <c r="M942" s="700" t="s">
        <v>21</v>
      </c>
      <c r="N942" s="700"/>
      <c r="O942" s="700"/>
      <c r="P942" s="700"/>
      <c r="Q942" s="700"/>
      <c r="R942" s="700"/>
      <c r="S942" s="700"/>
      <c r="T942" s="413">
        <f>$AA$6</f>
        <v>0</v>
      </c>
      <c r="U942" s="701">
        <f>+ROUND(U936*T942,$AA$2)</f>
        <v>0</v>
      </c>
      <c r="V942" s="701"/>
      <c r="Y942" s="317"/>
      <c r="Z942" s="414">
        <f>+Z941*T942</f>
        <v>0</v>
      </c>
      <c r="AA942" s="279"/>
      <c r="AB942" s="280"/>
      <c r="AC942" s="280"/>
      <c r="AD942" s="280"/>
      <c r="AE942" s="310" t="s">
        <v>137</v>
      </c>
    </row>
    <row r="943" spans="3:31" ht="15.9" customHeight="1" thickBot="1" x14ac:dyDescent="0.3">
      <c r="M943" s="702" t="s">
        <v>365</v>
      </c>
      <c r="N943" s="702"/>
      <c r="O943" s="702"/>
      <c r="P943" s="702"/>
      <c r="Q943" s="702"/>
      <c r="R943" s="702"/>
      <c r="S943" s="702"/>
      <c r="T943" s="702"/>
      <c r="U943" s="703">
        <f>+SUM(U939:V942)</f>
        <v>352465</v>
      </c>
      <c r="V943" s="703"/>
      <c r="Y943" s="317"/>
      <c r="Z943" s="415">
        <f>+SUM(Z939:Z942)</f>
        <v>3015051.27</v>
      </c>
      <c r="AA943" s="279"/>
      <c r="AB943" s="280"/>
      <c r="AC943" s="280"/>
      <c r="AD943" s="280"/>
      <c r="AE943" s="310" t="s">
        <v>137</v>
      </c>
    </row>
    <row r="944" spans="3:31" ht="15.9" customHeight="1" thickBot="1" x14ac:dyDescent="0.3">
      <c r="D944" s="295" t="s">
        <v>132</v>
      </c>
      <c r="E944" s="296" t="s">
        <v>133</v>
      </c>
      <c r="F944" s="296" t="s">
        <v>134</v>
      </c>
      <c r="G944" s="296" t="s">
        <v>135</v>
      </c>
      <c r="H944" s="296" t="s">
        <v>136</v>
      </c>
      <c r="I944" s="296" t="s">
        <v>137</v>
      </c>
      <c r="J944" s="297" t="s">
        <v>138</v>
      </c>
      <c r="M944" s="377"/>
      <c r="N944" s="416"/>
      <c r="O944" s="416"/>
      <c r="P944" s="416"/>
      <c r="Q944" s="377"/>
      <c r="R944" s="377"/>
      <c r="S944" s="377"/>
      <c r="T944" s="417"/>
      <c r="U944" s="701"/>
      <c r="V944" s="701"/>
      <c r="Y944" s="317"/>
      <c r="Z944" s="291"/>
      <c r="AA944" s="279"/>
      <c r="AB944" s="280"/>
      <c r="AC944" s="280"/>
      <c r="AD944" s="280"/>
      <c r="AE944" s="310" t="s">
        <v>137</v>
      </c>
    </row>
    <row r="945" spans="3:31" ht="15.9" customHeight="1" thickBot="1" x14ac:dyDescent="0.3">
      <c r="D945" s="363"/>
      <c r="E945" s="364"/>
      <c r="F945" s="364"/>
      <c r="G945" s="364"/>
      <c r="H945" s="365"/>
      <c r="I945" s="365">
        <f>H936</f>
        <v>1.1200000000000001</v>
      </c>
      <c r="J945" s="381"/>
      <c r="M945" s="702" t="s">
        <v>11</v>
      </c>
      <c r="N945" s="702"/>
      <c r="O945" s="702"/>
      <c r="P945" s="702"/>
      <c r="Q945" s="702"/>
      <c r="R945" s="702"/>
      <c r="S945" s="702"/>
      <c r="T945" s="702"/>
      <c r="U945" s="704">
        <f>+U943+U936</f>
        <v>1420542</v>
      </c>
      <c r="V945" s="704"/>
      <c r="Y945" s="389"/>
      <c r="Z945" s="418">
        <f>+Z943+Z936</f>
        <v>12151570.27</v>
      </c>
      <c r="AA945" s="279"/>
      <c r="AB945" s="280"/>
      <c r="AC945" s="280"/>
      <c r="AD945" s="280"/>
      <c r="AE945" s="334" t="s">
        <v>137</v>
      </c>
    </row>
    <row r="946" spans="3:31" ht="15.9" customHeight="1" x14ac:dyDescent="0.25">
      <c r="M946" s="705"/>
      <c r="N946" s="705"/>
      <c r="O946" s="705"/>
      <c r="P946" s="705"/>
      <c r="Q946" s="705"/>
      <c r="R946" s="706"/>
      <c r="S946" s="706"/>
      <c r="T946" s="706"/>
      <c r="U946" s="706"/>
      <c r="V946" s="706"/>
    </row>
    <row r="947" spans="3:31" ht="15.9" customHeight="1" x14ac:dyDescent="0.25">
      <c r="M947" s="705"/>
      <c r="N947" s="705"/>
      <c r="O947" s="705"/>
      <c r="P947" s="705"/>
      <c r="Q947" s="705"/>
      <c r="R947" s="706"/>
      <c r="S947" s="706"/>
      <c r="T947" s="706"/>
      <c r="U947" s="706"/>
      <c r="V947" s="706"/>
    </row>
    <row r="948" spans="3:31" ht="15.9" customHeight="1" x14ac:dyDescent="0.25">
      <c r="M948" s="705"/>
      <c r="N948" s="705"/>
      <c r="O948" s="705"/>
      <c r="P948" s="705"/>
      <c r="Q948" s="705"/>
      <c r="R948" s="706"/>
      <c r="S948" s="706"/>
      <c r="T948" s="706"/>
      <c r="U948" s="706"/>
      <c r="V948" s="706"/>
    </row>
    <row r="949" spans="3:31" ht="15.9" customHeight="1" x14ac:dyDescent="0.25">
      <c r="M949" s="705"/>
      <c r="N949" s="705"/>
      <c r="O949" s="705"/>
      <c r="P949" s="705"/>
      <c r="Q949" s="705"/>
      <c r="R949" s="706"/>
      <c r="S949" s="706"/>
      <c r="T949" s="706"/>
      <c r="U949" s="706"/>
      <c r="V949" s="706"/>
    </row>
    <row r="950" spans="3:31" ht="15.9" customHeight="1" x14ac:dyDescent="0.25">
      <c r="M950" s="707" t="s">
        <v>128</v>
      </c>
      <c r="N950" s="708" t="str">
        <f>$N$6</f>
        <v>ING. JEYSON JULIAN LEON RUEDA</v>
      </c>
      <c r="O950" s="709"/>
      <c r="P950" s="709"/>
      <c r="Q950" s="710"/>
      <c r="R950" s="711" t="s">
        <v>129</v>
      </c>
      <c r="S950" s="708" t="str">
        <f>$S$6</f>
        <v>ARQ. YASMID ROCÍO CARRILLO MORA</v>
      </c>
      <c r="T950" s="709"/>
      <c r="U950" s="709"/>
      <c r="V950" s="710"/>
    </row>
    <row r="951" spans="3:31" ht="15.9" customHeight="1" x14ac:dyDescent="0.25">
      <c r="M951" s="707"/>
      <c r="N951" s="712" t="str">
        <f>$N$7</f>
        <v>MP. 68202-416348 STD</v>
      </c>
      <c r="O951" s="713"/>
      <c r="P951" s="713"/>
      <c r="Q951" s="714"/>
      <c r="R951" s="711"/>
      <c r="S951" s="712" t="str">
        <f>$S$7</f>
        <v>SECRETARIA DE PLANEACIÓN Y OBRAS PÚBLICAS</v>
      </c>
      <c r="T951" s="713"/>
      <c r="U951" s="713"/>
      <c r="V951" s="714"/>
    </row>
    <row r="952" spans="3:31" ht="15.9" customHeight="1" x14ac:dyDescent="0.25">
      <c r="M952" s="707"/>
      <c r="N952" s="715"/>
      <c r="O952" s="716"/>
      <c r="P952" s="716"/>
      <c r="Q952" s="717"/>
      <c r="R952" s="711"/>
      <c r="S952" s="712" t="str">
        <f>$S$8</f>
        <v>MUNICIPIO DE PINCHOTE</v>
      </c>
      <c r="T952" s="713"/>
      <c r="U952" s="713"/>
      <c r="V952" s="714"/>
    </row>
    <row r="953" spans="3:31" ht="15.9" customHeight="1" x14ac:dyDescent="0.25"/>
    <row r="954" spans="3:31" ht="15.9" customHeight="1" thickBot="1" x14ac:dyDescent="0.3"/>
    <row r="955" spans="3:31" ht="15.9" customHeight="1" thickBot="1" x14ac:dyDescent="0.3">
      <c r="M955" s="281" t="s">
        <v>90</v>
      </c>
      <c r="N955" s="410" t="s">
        <v>29</v>
      </c>
      <c r="O955" s="706" t="str">
        <f>IFERROR(VLOOKUP(N955,PPTO!$C$9:$H$64,2,0),"----")</f>
        <v>COMPONENTE ACUEDUCTO</v>
      </c>
      <c r="P955" s="706"/>
      <c r="Q955" s="706"/>
      <c r="R955" s="706"/>
      <c r="S955" s="706"/>
      <c r="T955" s="706"/>
      <c r="U955" s="706"/>
      <c r="V955" s="283" t="s">
        <v>93</v>
      </c>
      <c r="Y955" s="284" t="s">
        <v>107</v>
      </c>
      <c r="Z955" s="280"/>
      <c r="AA955" s="274"/>
      <c r="AB955" s="735"/>
      <c r="AC955" s="735"/>
      <c r="AD955" s="735"/>
      <c r="AE955" s="280"/>
    </row>
    <row r="956" spans="3:31" ht="15.9" customHeight="1" thickBot="1" x14ac:dyDescent="0.35">
      <c r="C956" s="285">
        <f>+N956</f>
        <v>1.1299999999999999</v>
      </c>
      <c r="D956" s="279"/>
      <c r="E956" s="279"/>
      <c r="F956" s="279"/>
      <c r="G956" s="279"/>
      <c r="H956" s="279"/>
      <c r="I956" s="279"/>
      <c r="J956" s="279"/>
      <c r="K956" s="286"/>
      <c r="M956" s="283" t="s">
        <v>94</v>
      </c>
      <c r="N956" s="287">
        <v>1.1299999999999999</v>
      </c>
      <c r="O956" s="736" t="str">
        <f>IFERROR(VLOOKUP(N956,PPTO!$C$9:$H$64,2,0),"----")</f>
        <v>Conexiòn Domiciliaria - Tuberìa Sanitaria (D=6")</v>
      </c>
      <c r="P956" s="736"/>
      <c r="Q956" s="736"/>
      <c r="R956" s="736"/>
      <c r="S956" s="736"/>
      <c r="T956" s="736"/>
      <c r="U956" s="736"/>
      <c r="V956" s="288" t="str">
        <f>IFERROR(VLOOKUP(N956,PPTO!$C$9:$H$64,3,0),"----")</f>
        <v>Und</v>
      </c>
      <c r="Y956" s="289">
        <f>SUMIFS(PPTO!$F$7:$F$63,PPTO!$C$7:$C$63,APUS!N956)</f>
        <v>10</v>
      </c>
      <c r="Z956" s="280"/>
      <c r="AA956" s="279"/>
      <c r="AB956" s="280"/>
      <c r="AC956" s="280"/>
      <c r="AD956" s="280"/>
      <c r="AE956" s="280"/>
    </row>
    <row r="957" spans="3:31" ht="15.9" customHeight="1" thickBot="1" x14ac:dyDescent="0.35">
      <c r="C957" s="292"/>
      <c r="D957" s="279"/>
      <c r="E957" s="279"/>
      <c r="F957" s="279"/>
      <c r="G957" s="279"/>
      <c r="H957" s="279"/>
      <c r="I957" s="279"/>
      <c r="J957" s="279"/>
      <c r="K957" s="293"/>
      <c r="M957" s="737"/>
      <c r="N957" s="737"/>
      <c r="O957" s="737"/>
      <c r="P957" s="737"/>
      <c r="Q957" s="737"/>
      <c r="R957" s="737"/>
      <c r="S957" s="737"/>
      <c r="T957" s="737"/>
      <c r="U957" s="737"/>
      <c r="V957" s="737"/>
      <c r="Y957" s="294"/>
      <c r="Z957" s="280"/>
      <c r="AA957" s="279"/>
      <c r="AB957" s="280"/>
      <c r="AC957" s="280"/>
      <c r="AD957" s="280"/>
      <c r="AE957" s="280"/>
    </row>
    <row r="958" spans="3:31" ht="15.9" customHeight="1" thickBot="1" x14ac:dyDescent="0.35">
      <c r="C958" s="292"/>
      <c r="D958" s="295" t="s">
        <v>132</v>
      </c>
      <c r="E958" s="296" t="s">
        <v>133</v>
      </c>
      <c r="F958" s="296" t="s">
        <v>134</v>
      </c>
      <c r="G958" s="296" t="s">
        <v>135</v>
      </c>
      <c r="H958" s="296" t="s">
        <v>136</v>
      </c>
      <c r="I958" s="296" t="s">
        <v>137</v>
      </c>
      <c r="J958" s="297" t="s">
        <v>138</v>
      </c>
      <c r="K958" s="293"/>
      <c r="M958" s="738" t="s">
        <v>96</v>
      </c>
      <c r="N958" s="738"/>
      <c r="O958" s="738"/>
      <c r="P958" s="738"/>
      <c r="Q958" s="738"/>
      <c r="R958" s="738"/>
      <c r="S958" s="738"/>
      <c r="T958" s="738"/>
      <c r="U958" s="738"/>
      <c r="V958" s="738"/>
      <c r="Y958" s="298"/>
      <c r="Z958" s="299"/>
      <c r="AA958" s="279"/>
      <c r="AB958" s="731"/>
      <c r="AC958" s="732"/>
      <c r="AD958" s="280"/>
      <c r="AE958" s="303"/>
    </row>
    <row r="959" spans="3:31" ht="15.9" customHeight="1" x14ac:dyDescent="0.3">
      <c r="C959" s="292"/>
      <c r="D959" s="304"/>
      <c r="E959" s="305"/>
      <c r="F959" s="305"/>
      <c r="G959" s="305"/>
      <c r="H959" s="305"/>
      <c r="I959" s="305"/>
      <c r="J959" s="306"/>
      <c r="K959" s="293"/>
      <c r="M959" s="307" t="s">
        <v>97</v>
      </c>
      <c r="N959" s="706" t="s">
        <v>98</v>
      </c>
      <c r="O959" s="706"/>
      <c r="P959" s="706"/>
      <c r="Q959" s="706"/>
      <c r="R959" s="307" t="s">
        <v>99</v>
      </c>
      <c r="S959" s="307" t="s">
        <v>100</v>
      </c>
      <c r="T959" s="734" t="s">
        <v>8</v>
      </c>
      <c r="U959" s="734"/>
      <c r="V959" s="307" t="s">
        <v>101</v>
      </c>
      <c r="Y959" s="308" t="s">
        <v>107</v>
      </c>
      <c r="Z959" s="309" t="s">
        <v>9</v>
      </c>
      <c r="AA959" s="279"/>
      <c r="AB959" s="290"/>
      <c r="AC959" s="291"/>
      <c r="AD959" s="280"/>
      <c r="AE959" s="310"/>
    </row>
    <row r="960" spans="3:31" ht="15.9" customHeight="1" x14ac:dyDescent="0.3">
      <c r="C960" s="292"/>
      <c r="D960" s="311"/>
      <c r="E960" s="279"/>
      <c r="F960" s="279"/>
      <c r="G960" s="279"/>
      <c r="H960" s="279"/>
      <c r="I960" s="279"/>
      <c r="J960" s="312"/>
      <c r="K960" s="293"/>
      <c r="M960" s="313"/>
      <c r="N960" s="718" t="s">
        <v>102</v>
      </c>
      <c r="O960" s="718"/>
      <c r="P960" s="718"/>
      <c r="Q960" s="718"/>
      <c r="R960" s="314" t="s">
        <v>103</v>
      </c>
      <c r="S960" s="315">
        <f>$AA$9</f>
        <v>0.05</v>
      </c>
      <c r="T960" s="739">
        <f>V988</f>
        <v>274419</v>
      </c>
      <c r="U960" s="739"/>
      <c r="V960" s="316">
        <f>+IFERROR(T960*S960,0)</f>
        <v>13720.95</v>
      </c>
      <c r="Y960" s="317"/>
      <c r="Z960" s="318">
        <f>Y956*V960</f>
        <v>137209.5</v>
      </c>
      <c r="AA960" s="279"/>
      <c r="AB960" s="290"/>
      <c r="AC960" s="291"/>
      <c r="AD960" s="280"/>
      <c r="AE960" s="310" t="str">
        <f>+IF(V960=0,"CERO","NO")</f>
        <v>NO</v>
      </c>
    </row>
    <row r="961" spans="3:31" ht="15.9" customHeight="1" x14ac:dyDescent="0.3">
      <c r="C961" s="292"/>
      <c r="D961" s="311"/>
      <c r="E961" s="279"/>
      <c r="F961" s="279"/>
      <c r="G961" s="279"/>
      <c r="H961" s="279"/>
      <c r="I961" s="279"/>
      <c r="J961" s="312"/>
      <c r="K961" s="293"/>
      <c r="M961" s="319">
        <v>0</v>
      </c>
      <c r="N961" s="718" t="str">
        <f>IFERROR(VLOOKUP(M961,INSUMOS!$C$8:$K$934,2,0),"-----")</f>
        <v>-----</v>
      </c>
      <c r="O961" s="718"/>
      <c r="P961" s="718"/>
      <c r="Q961" s="718"/>
      <c r="R961" s="314" t="str">
        <f>IFERROR(VLOOKUP(M961,INSUMOS!$C$8:$K$934,6,0),"-----")</f>
        <v>-----</v>
      </c>
      <c r="S961" s="320"/>
      <c r="T961" s="740" t="str">
        <f>IFERROR(VLOOKUP(M961,INSUMOS!$C$8:$K$934,7,0),"0")</f>
        <v>0</v>
      </c>
      <c r="U961" s="740"/>
      <c r="V961" s="316">
        <f>+IFERROR(T961*S961,0)</f>
        <v>0</v>
      </c>
      <c r="Y961" s="321">
        <f>+IFERROR(Y956*S961,0)</f>
        <v>0</v>
      </c>
      <c r="Z961" s="318">
        <f>Y956*V961</f>
        <v>0</v>
      </c>
      <c r="AA961" s="300"/>
      <c r="AB961" s="301">
        <f>+Y961*T961</f>
        <v>0</v>
      </c>
      <c r="AC961" s="302">
        <f>+AB961-Z961</f>
        <v>0</v>
      </c>
      <c r="AD961" s="280"/>
      <c r="AE961" s="310" t="str">
        <f>+IF(V961=0,"CERO","NO")</f>
        <v>CERO</v>
      </c>
    </row>
    <row r="962" spans="3:31" ht="15.9" customHeight="1" x14ac:dyDescent="0.3">
      <c r="C962" s="292"/>
      <c r="D962" s="311"/>
      <c r="E962" s="279"/>
      <c r="F962" s="279"/>
      <c r="G962" s="279"/>
      <c r="H962" s="279"/>
      <c r="I962" s="279"/>
      <c r="J962" s="312"/>
      <c r="K962" s="293"/>
      <c r="M962" s="313">
        <v>0</v>
      </c>
      <c r="N962" s="718" t="str">
        <f>IFERROR(VLOOKUP(M962,INSUMOS!$C$8:$K$934,2,0),"-----")</f>
        <v>-----</v>
      </c>
      <c r="O962" s="718"/>
      <c r="P962" s="718"/>
      <c r="Q962" s="718"/>
      <c r="R962" s="314" t="str">
        <f>IFERROR(VLOOKUP(M962,INSUMOS!$C$8:$K$934,6,0),"-----")</f>
        <v>-----</v>
      </c>
      <c r="S962" s="320"/>
      <c r="T962" s="740" t="str">
        <f>IFERROR(VLOOKUP(M962,INSUMOS!$C$8:$K$934,7,0),"0")</f>
        <v>0</v>
      </c>
      <c r="U962" s="740"/>
      <c r="V962" s="316">
        <f>+IFERROR(T962*S962,0)</f>
        <v>0</v>
      </c>
      <c r="Y962" s="321">
        <f>+IFERROR(Y956*S962,0)</f>
        <v>0</v>
      </c>
      <c r="Z962" s="318">
        <f>Y956*V962</f>
        <v>0</v>
      </c>
      <c r="AA962" s="300"/>
      <c r="AB962" s="301">
        <f>+Y962*T962</f>
        <v>0</v>
      </c>
      <c r="AC962" s="302">
        <f>+AB962-Z962</f>
        <v>0</v>
      </c>
      <c r="AD962" s="280"/>
      <c r="AE962" s="310" t="str">
        <f>+IF(V962=0,"CERO","NO")</f>
        <v>CERO</v>
      </c>
    </row>
    <row r="963" spans="3:31" ht="15.9" customHeight="1" thickBot="1" x14ac:dyDescent="0.35">
      <c r="C963" s="292"/>
      <c r="D963" s="311"/>
      <c r="E963" s="279"/>
      <c r="F963" s="279"/>
      <c r="G963" s="279"/>
      <c r="H963" s="279"/>
      <c r="I963" s="279"/>
      <c r="J963" s="312"/>
      <c r="K963" s="293"/>
      <c r="M963" s="313">
        <v>0</v>
      </c>
      <c r="N963" s="718" t="str">
        <f>IFERROR(VLOOKUP(M963,INSUMOS!$C$8:$K$934,2,0),"-----")</f>
        <v>-----</v>
      </c>
      <c r="O963" s="718"/>
      <c r="P963" s="718"/>
      <c r="Q963" s="718"/>
      <c r="R963" s="314" t="str">
        <f>IFERROR(VLOOKUP(M963,INSUMOS!$C$8:$K$934,6,0),"-----")</f>
        <v>-----</v>
      </c>
      <c r="S963" s="320"/>
      <c r="T963" s="740" t="str">
        <f>IFERROR(VLOOKUP(M963,INSUMOS!$C$8:$K$934,7,0),"0")</f>
        <v>0</v>
      </c>
      <c r="U963" s="740"/>
      <c r="V963" s="316">
        <f>+IFERROR(T963*S963,0)</f>
        <v>0</v>
      </c>
      <c r="Y963" s="321">
        <f>+IFERROR(Y956*S963,0)</f>
        <v>0</v>
      </c>
      <c r="Z963" s="318">
        <f>Y956*V963</f>
        <v>0</v>
      </c>
      <c r="AA963" s="300"/>
      <c r="AB963" s="301">
        <f>+Y963*T963</f>
        <v>0</v>
      </c>
      <c r="AC963" s="302">
        <f>+AB963-Z963</f>
        <v>0</v>
      </c>
      <c r="AD963" s="280"/>
      <c r="AE963" s="310" t="str">
        <f>+IF(V963=0,"CERO","NO")</f>
        <v>CERO</v>
      </c>
    </row>
    <row r="964" spans="3:31" ht="15.9" customHeight="1" thickBot="1" x14ac:dyDescent="0.35">
      <c r="C964" s="292"/>
      <c r="D964" s="295" t="s">
        <v>132</v>
      </c>
      <c r="E964" s="296" t="s">
        <v>133</v>
      </c>
      <c r="F964" s="296" t="s">
        <v>134</v>
      </c>
      <c r="G964" s="296" t="s">
        <v>135</v>
      </c>
      <c r="H964" s="296" t="s">
        <v>136</v>
      </c>
      <c r="I964" s="296" t="s">
        <v>137</v>
      </c>
      <c r="J964" s="297" t="s">
        <v>138</v>
      </c>
      <c r="K964" s="293"/>
      <c r="M964" s="724"/>
      <c r="N964" s="725" t="s">
        <v>104</v>
      </c>
      <c r="O964" s="725"/>
      <c r="P964" s="725"/>
      <c r="Q964" s="725"/>
      <c r="R964" s="725"/>
      <c r="S964" s="725"/>
      <c r="T964" s="725"/>
      <c r="U964" s="725"/>
      <c r="V964" s="316">
        <f>+SUM(V960:V963)</f>
        <v>13720.95</v>
      </c>
      <c r="Y964" s="328" t="s">
        <v>139</v>
      </c>
      <c r="Z964" s="329">
        <f>+SUM(Z960:Z963)</f>
        <v>137209.5</v>
      </c>
      <c r="AA964" s="279"/>
      <c r="AB964" s="290"/>
      <c r="AC964" s="291"/>
      <c r="AD964" s="280"/>
      <c r="AE964" s="330"/>
    </row>
    <row r="965" spans="3:31" ht="15.9" customHeight="1" thickBot="1" x14ac:dyDescent="0.35">
      <c r="C965" s="292"/>
      <c r="D965" s="295">
        <f>C956</f>
        <v>1.1299999999999999</v>
      </c>
      <c r="E965" s="296"/>
      <c r="F965" s="296"/>
      <c r="G965" s="296"/>
      <c r="H965" s="296"/>
      <c r="I965" s="296"/>
      <c r="J965" s="297"/>
      <c r="K965" s="293"/>
      <c r="M965" s="724"/>
      <c r="N965" s="726" t="s">
        <v>105</v>
      </c>
      <c r="O965" s="726"/>
      <c r="P965" s="726"/>
      <c r="Q965" s="726"/>
      <c r="R965" s="726"/>
      <c r="S965" s="726"/>
      <c r="T965" s="726"/>
      <c r="U965" s="726"/>
      <c r="V965" s="344">
        <f>+ROUND(V964,$AA$2)</f>
        <v>13721</v>
      </c>
      <c r="Y965" s="332" t="s">
        <v>140</v>
      </c>
      <c r="Z965" s="333">
        <f>+ROUND(Z964,$AA$2)</f>
        <v>137210</v>
      </c>
      <c r="AA965" s="279"/>
      <c r="AB965" s="324">
        <f>+V965*Y956</f>
        <v>137210</v>
      </c>
      <c r="AC965" s="325">
        <f>+AB965-Z965</f>
        <v>0</v>
      </c>
      <c r="AD965" s="280"/>
      <c r="AE965" s="334"/>
    </row>
    <row r="966" spans="3:31" ht="15.9" customHeight="1" x14ac:dyDescent="0.3">
      <c r="C966" s="292"/>
      <c r="D966" s="304"/>
      <c r="E966" s="305"/>
      <c r="F966" s="305"/>
      <c r="G966" s="305"/>
      <c r="H966" s="305"/>
      <c r="I966" s="305"/>
      <c r="J966" s="306"/>
      <c r="K966" s="293"/>
      <c r="M966" s="730" t="s">
        <v>106</v>
      </c>
      <c r="N966" s="730"/>
      <c r="O966" s="730"/>
      <c r="P966" s="730"/>
      <c r="Q966" s="730"/>
      <c r="R966" s="730"/>
      <c r="S966" s="730"/>
      <c r="T966" s="730"/>
      <c r="U966" s="730"/>
      <c r="V966" s="730"/>
      <c r="Y966" s="298"/>
      <c r="Z966" s="299"/>
      <c r="AA966" s="279"/>
      <c r="AB966" s="731"/>
      <c r="AC966" s="732"/>
      <c r="AD966" s="280"/>
      <c r="AE966" s="335"/>
    </row>
    <row r="967" spans="3:31" ht="15.9" customHeight="1" x14ac:dyDescent="0.3">
      <c r="C967" s="292"/>
      <c r="D967" s="311"/>
      <c r="E967" s="279"/>
      <c r="F967" s="279"/>
      <c r="G967" s="279"/>
      <c r="H967" s="279"/>
      <c r="I967" s="279"/>
      <c r="J967" s="312"/>
      <c r="K967" s="293"/>
      <c r="M967" s="307" t="s">
        <v>97</v>
      </c>
      <c r="N967" s="706" t="s">
        <v>98</v>
      </c>
      <c r="O967" s="706"/>
      <c r="P967" s="706"/>
      <c r="Q967" s="706"/>
      <c r="R967" s="307" t="s">
        <v>99</v>
      </c>
      <c r="S967" s="307" t="s">
        <v>107</v>
      </c>
      <c r="T967" s="336" t="s">
        <v>108</v>
      </c>
      <c r="U967" s="336" t="s">
        <v>8</v>
      </c>
      <c r="V967" s="307" t="s">
        <v>101</v>
      </c>
      <c r="Y967" s="308" t="s">
        <v>107</v>
      </c>
      <c r="Z967" s="309" t="s">
        <v>9</v>
      </c>
      <c r="AA967" s="279"/>
      <c r="AB967" s="290"/>
      <c r="AC967" s="291"/>
      <c r="AD967" s="280"/>
      <c r="AE967" s="337"/>
    </row>
    <row r="968" spans="3:31" ht="15.9" customHeight="1" x14ac:dyDescent="0.3">
      <c r="C968" s="292"/>
      <c r="D968" s="311"/>
      <c r="E968" s="279"/>
      <c r="F968" s="279"/>
      <c r="G968" s="279"/>
      <c r="H968" s="279"/>
      <c r="I968" s="279"/>
      <c r="J968" s="312"/>
      <c r="K968" s="293"/>
      <c r="M968" s="313">
        <v>581</v>
      </c>
      <c r="N968" s="718" t="str">
        <f>IFERROR(VLOOKUP(M968,INSUMOS!$C$8:$K$934,2,0),"-----")</f>
        <v>Tuberia Alcantarillado 160 mm (6")</v>
      </c>
      <c r="O968" s="718"/>
      <c r="P968" s="718"/>
      <c r="Q968" s="718"/>
      <c r="R968" s="314" t="str">
        <f>IFERROR(VLOOKUP(M968,INSUMOS!$C$8:$K$934,6,0),"-----")</f>
        <v>ml</v>
      </c>
      <c r="S968" s="322">
        <v>1</v>
      </c>
      <c r="T968" s="315">
        <v>0</v>
      </c>
      <c r="U968" s="338">
        <f>IFERROR(VLOOKUP(M968,INSUMOS!$C$8:$K$934,7,0),"0")</f>
        <v>52566</v>
      </c>
      <c r="V968" s="316">
        <f>+IFERROR(U968*(S968*(1+T968)),0)</f>
        <v>52566</v>
      </c>
      <c r="Y968" s="321">
        <f>+IFERROR(Y956*(S968*(1+T968)),0)</f>
        <v>10</v>
      </c>
      <c r="Z968" s="318">
        <f>Y956*V968</f>
        <v>525660</v>
      </c>
      <c r="AA968" s="300"/>
      <c r="AB968" s="301">
        <f>+Y968*U968</f>
        <v>525660</v>
      </c>
      <c r="AC968" s="302">
        <f>+AB968-Z968</f>
        <v>0</v>
      </c>
      <c r="AD968" s="280"/>
      <c r="AE968" s="337" t="str">
        <f t="shared" ref="AE968:AE970" si="130">+IF(V968=0,"CERO","NO")</f>
        <v>NO</v>
      </c>
    </row>
    <row r="969" spans="3:31" ht="15.9" customHeight="1" x14ac:dyDescent="0.3">
      <c r="C969" s="292"/>
      <c r="D969" s="311"/>
      <c r="E969" s="279"/>
      <c r="F969" s="279"/>
      <c r="G969" s="279"/>
      <c r="H969" s="279"/>
      <c r="I969" s="279"/>
      <c r="J969" s="312"/>
      <c r="K969" s="293"/>
      <c r="M969" s="313">
        <v>0</v>
      </c>
      <c r="N969" s="718" t="s">
        <v>933</v>
      </c>
      <c r="O969" s="718"/>
      <c r="P969" s="718"/>
      <c r="Q969" s="718"/>
      <c r="R969" s="314" t="s">
        <v>36</v>
      </c>
      <c r="S969" s="322">
        <v>1</v>
      </c>
      <c r="T969" s="315"/>
      <c r="U969" s="338">
        <v>95500</v>
      </c>
      <c r="V969" s="316">
        <f>+IFERROR(U969*(S969*(1+T969)),0)</f>
        <v>95500</v>
      </c>
      <c r="Y969" s="321">
        <f>+IFERROR(Y956*(S969*(1+T969)),0)</f>
        <v>10</v>
      </c>
      <c r="Z969" s="318">
        <f>Y956*V969</f>
        <v>955000</v>
      </c>
      <c r="AA969" s="300"/>
      <c r="AB969" s="301">
        <f t="shared" ref="AB969:AB970" si="131">+Y969*U969</f>
        <v>955000</v>
      </c>
      <c r="AC969" s="302">
        <f t="shared" ref="AC969:AC970" si="132">+AB969-Z969</f>
        <v>0</v>
      </c>
      <c r="AD969" s="280"/>
      <c r="AE969" s="337" t="str">
        <f t="shared" si="130"/>
        <v>NO</v>
      </c>
    </row>
    <row r="970" spans="3:31" ht="15.9" customHeight="1" x14ac:dyDescent="0.3">
      <c r="C970" s="292"/>
      <c r="D970" s="311"/>
      <c r="E970" s="279"/>
      <c r="F970" s="279"/>
      <c r="G970" s="279"/>
      <c r="H970" s="279"/>
      <c r="I970" s="279"/>
      <c r="J970" s="312"/>
      <c r="K970" s="293"/>
      <c r="M970" s="313">
        <v>0</v>
      </c>
      <c r="N970" s="718" t="s">
        <v>934</v>
      </c>
      <c r="O970" s="718"/>
      <c r="P970" s="718"/>
      <c r="Q970" s="718"/>
      <c r="R970" s="314" t="s">
        <v>935</v>
      </c>
      <c r="S970" s="322">
        <v>0.5</v>
      </c>
      <c r="T970" s="315">
        <v>0.05</v>
      </c>
      <c r="U970" s="338">
        <v>32000</v>
      </c>
      <c r="V970" s="316">
        <f>+IFERROR(U970*(S970*(1+T970)),0)</f>
        <v>16800</v>
      </c>
      <c r="Y970" s="321">
        <f>+IFERROR(Y956*(S970*(1+T970)),0)</f>
        <v>5.25</v>
      </c>
      <c r="Z970" s="318">
        <f>Y956*V970</f>
        <v>168000</v>
      </c>
      <c r="AA970" s="300"/>
      <c r="AB970" s="301">
        <f t="shared" si="131"/>
        <v>168000</v>
      </c>
      <c r="AC970" s="302">
        <f t="shared" si="132"/>
        <v>0</v>
      </c>
      <c r="AD970" s="280"/>
      <c r="AE970" s="337" t="str">
        <f t="shared" si="130"/>
        <v>NO</v>
      </c>
    </row>
    <row r="971" spans="3:31" ht="15.9" customHeight="1" thickBot="1" x14ac:dyDescent="0.35">
      <c r="C971" s="292"/>
      <c r="D971" s="311"/>
      <c r="E971" s="279"/>
      <c r="F971" s="279"/>
      <c r="G971" s="279"/>
      <c r="H971" s="279"/>
      <c r="I971" s="279"/>
      <c r="J971" s="312"/>
      <c r="K971" s="293"/>
      <c r="M971" s="313"/>
      <c r="N971" s="718" t="s">
        <v>937</v>
      </c>
      <c r="O971" s="718"/>
      <c r="P971" s="718"/>
      <c r="Q971" s="718"/>
      <c r="R971" s="314" t="s">
        <v>34</v>
      </c>
      <c r="S971" s="322">
        <v>0.15</v>
      </c>
      <c r="T971" s="315">
        <v>0.05</v>
      </c>
      <c r="U971" s="338">
        <f>INSUMOS!I335</f>
        <v>117647</v>
      </c>
      <c r="V971" s="316">
        <f>+IFERROR(U971*(S971*(1+T971)),0)</f>
        <v>18529.4025</v>
      </c>
      <c r="Y971" s="321"/>
      <c r="Z971" s="318"/>
      <c r="AA971" s="300"/>
      <c r="AB971" s="301"/>
      <c r="AC971" s="302"/>
      <c r="AD971" s="280"/>
      <c r="AE971" s="337"/>
    </row>
    <row r="972" spans="3:31" ht="15.9" customHeight="1" thickBot="1" x14ac:dyDescent="0.35">
      <c r="C972" s="292"/>
      <c r="D972" s="295" t="s">
        <v>132</v>
      </c>
      <c r="E972" s="296" t="s">
        <v>133</v>
      </c>
      <c r="F972" s="296" t="s">
        <v>134</v>
      </c>
      <c r="G972" s="296" t="s">
        <v>135</v>
      </c>
      <c r="H972" s="296" t="s">
        <v>136</v>
      </c>
      <c r="I972" s="296" t="s">
        <v>137</v>
      </c>
      <c r="J972" s="297" t="s">
        <v>138</v>
      </c>
      <c r="K972" s="293"/>
      <c r="M972" s="724"/>
      <c r="N972" s="725" t="s">
        <v>109</v>
      </c>
      <c r="O972" s="725"/>
      <c r="P972" s="725"/>
      <c r="Q972" s="725"/>
      <c r="R972" s="725"/>
      <c r="S972" s="725"/>
      <c r="T972" s="725"/>
      <c r="U972" s="725"/>
      <c r="V972" s="316">
        <f>+SUM(V968:V971)</f>
        <v>183395.4025</v>
      </c>
      <c r="Y972" s="328" t="s">
        <v>139</v>
      </c>
      <c r="Z972" s="329">
        <f>+SUM(Z968:Z970)</f>
        <v>1648660</v>
      </c>
      <c r="AA972" s="279"/>
      <c r="AB972" s="290"/>
      <c r="AC972" s="291"/>
      <c r="AD972" s="280"/>
      <c r="AE972" s="330"/>
    </row>
    <row r="973" spans="3:31" ht="15.9" customHeight="1" thickBot="1" x14ac:dyDescent="0.35">
      <c r="C973" s="292"/>
      <c r="D973" s="295"/>
      <c r="E973" s="343">
        <f>+D965</f>
        <v>1.1299999999999999</v>
      </c>
      <c r="F973" s="296"/>
      <c r="G973" s="296"/>
      <c r="H973" s="296"/>
      <c r="I973" s="296"/>
      <c r="J973" s="297"/>
      <c r="K973" s="293"/>
      <c r="M973" s="724"/>
      <c r="N973" s="726" t="s">
        <v>110</v>
      </c>
      <c r="O973" s="726"/>
      <c r="P973" s="726"/>
      <c r="Q973" s="726"/>
      <c r="R973" s="726"/>
      <c r="S973" s="726"/>
      <c r="T973" s="726"/>
      <c r="U973" s="726"/>
      <c r="V973" s="344">
        <f>+ROUND(V972,$AA$2)</f>
        <v>183395</v>
      </c>
      <c r="Y973" s="332" t="s">
        <v>140</v>
      </c>
      <c r="Z973" s="333">
        <f>+ROUND(Z972,$AA$2)</f>
        <v>1648660</v>
      </c>
      <c r="AA973" s="279"/>
      <c r="AB973" s="324">
        <f>+V973*Y956</f>
        <v>1833950</v>
      </c>
      <c r="AC973" s="325">
        <f>+AB973-Z973</f>
        <v>185290</v>
      </c>
      <c r="AD973" s="280"/>
      <c r="AE973" s="334"/>
    </row>
    <row r="974" spans="3:31" ht="15.9" customHeight="1" x14ac:dyDescent="0.3">
      <c r="C974" s="292"/>
      <c r="D974" s="304"/>
      <c r="E974" s="305"/>
      <c r="F974" s="305"/>
      <c r="G974" s="305"/>
      <c r="H974" s="305"/>
      <c r="I974" s="305"/>
      <c r="J974" s="306"/>
      <c r="K974" s="293"/>
      <c r="M974" s="733" t="s">
        <v>111</v>
      </c>
      <c r="N974" s="733"/>
      <c r="O974" s="733"/>
      <c r="P974" s="733"/>
      <c r="Q974" s="733"/>
      <c r="R974" s="733"/>
      <c r="S974" s="733"/>
      <c r="T974" s="733"/>
      <c r="U974" s="733"/>
      <c r="V974" s="733"/>
      <c r="Y974" s="298"/>
      <c r="Z974" s="299"/>
      <c r="AA974" s="279"/>
      <c r="AB974" s="342"/>
      <c r="AC974" s="299"/>
      <c r="AD974" s="280"/>
      <c r="AE974" s="335"/>
    </row>
    <row r="975" spans="3:31" ht="27.6" x14ac:dyDescent="0.3">
      <c r="C975" s="292"/>
      <c r="D975" s="311"/>
      <c r="E975" s="279"/>
      <c r="F975" s="279"/>
      <c r="G975" s="279"/>
      <c r="H975" s="279"/>
      <c r="I975" s="279"/>
      <c r="J975" s="312"/>
      <c r="K975" s="293"/>
      <c r="M975" s="307" t="s">
        <v>97</v>
      </c>
      <c r="N975" s="706" t="s">
        <v>98</v>
      </c>
      <c r="O975" s="706"/>
      <c r="P975" s="706"/>
      <c r="Q975" s="307" t="s">
        <v>112</v>
      </c>
      <c r="R975" s="307" t="s">
        <v>113</v>
      </c>
      <c r="S975" s="307" t="s">
        <v>114</v>
      </c>
      <c r="T975" s="734" t="s">
        <v>115</v>
      </c>
      <c r="U975" s="734"/>
      <c r="V975" s="307" t="s">
        <v>101</v>
      </c>
      <c r="Y975" s="308" t="s">
        <v>107</v>
      </c>
      <c r="Z975" s="309" t="s">
        <v>9</v>
      </c>
      <c r="AA975" s="279"/>
      <c r="AB975" s="290"/>
      <c r="AC975" s="291"/>
      <c r="AD975" s="280"/>
      <c r="AE975" s="349"/>
    </row>
    <row r="976" spans="3:31" ht="14.4" x14ac:dyDescent="0.3">
      <c r="C976" s="350"/>
      <c r="D976" s="351"/>
      <c r="E976" s="345"/>
      <c r="F976" s="345"/>
      <c r="G976" s="345"/>
      <c r="H976" s="345"/>
      <c r="I976" s="345"/>
      <c r="J976" s="352"/>
      <c r="K976" s="353"/>
      <c r="M976" s="354">
        <v>161</v>
      </c>
      <c r="N976" s="718" t="str">
        <f>IFERROR(VLOOKUP(M976,INSUMOS!$C$8:$K$934,2,0),"-----")</f>
        <v>Transporte tuberia alcantarrillado</v>
      </c>
      <c r="O976" s="718"/>
      <c r="P976" s="718"/>
      <c r="Q976" s="314" t="str">
        <f>IFERROR(VLOOKUP(M976,INSUMOS!$C$8:$K$934,5,0),"-----")</f>
        <v>ml/km</v>
      </c>
      <c r="R976" s="355">
        <v>1</v>
      </c>
      <c r="S976" s="355">
        <f>IFERROR(VLOOKUP(M976,INSUMOS!$C$8:$K$934,6,0),"0")</f>
        <v>4.87</v>
      </c>
      <c r="T976" s="719">
        <f>IFERROR(VLOOKUP(M976,INSUMOS!$C$8:$K$934,7,0),"0")</f>
        <v>1250</v>
      </c>
      <c r="U976" s="719"/>
      <c r="V976" s="515">
        <f>+T976*S976*R976</f>
        <v>6087.5</v>
      </c>
      <c r="Y976" s="321">
        <f>+IFERROR((R976*S976)*Y956,0)</f>
        <v>48.7</v>
      </c>
      <c r="Z976" s="318">
        <f>Y956*V976</f>
        <v>60875</v>
      </c>
      <c r="AA976" s="345"/>
      <c r="AB976" s="346">
        <f>+Y976*T976</f>
        <v>60875</v>
      </c>
      <c r="AC976" s="347">
        <f>+AB976-Z976</f>
        <v>0</v>
      </c>
      <c r="AD976" s="348"/>
      <c r="AE976" s="337" t="str">
        <f t="shared" ref="AE976:AE979" si="133">+IF(V976=0,"CERO","NO")</f>
        <v>NO</v>
      </c>
    </row>
    <row r="977" spans="3:31" ht="15.9" customHeight="1" x14ac:dyDescent="0.3">
      <c r="C977" s="350"/>
      <c r="D977" s="351"/>
      <c r="E977" s="345"/>
      <c r="F977" s="345"/>
      <c r="G977" s="345"/>
      <c r="H977" s="345"/>
      <c r="I977" s="345"/>
      <c r="J977" s="352"/>
      <c r="K977" s="353"/>
      <c r="M977" s="354">
        <v>0</v>
      </c>
      <c r="N977" s="718" t="s">
        <v>936</v>
      </c>
      <c r="O977" s="718"/>
      <c r="P977" s="718"/>
      <c r="Q977" s="314" t="s">
        <v>218</v>
      </c>
      <c r="R977" s="355">
        <v>1</v>
      </c>
      <c r="S977" s="355">
        <v>4.87</v>
      </c>
      <c r="T977" s="719">
        <v>1250</v>
      </c>
      <c r="U977" s="719"/>
      <c r="V977" s="515">
        <f>+T977*S977*R977</f>
        <v>6087.5</v>
      </c>
      <c r="Y977" s="321">
        <f>+IFERROR((R977*S977)*Y956,0)</f>
        <v>48.7</v>
      </c>
      <c r="Z977" s="318">
        <f>Y956*V977</f>
        <v>60875</v>
      </c>
      <c r="AA977" s="345"/>
      <c r="AB977" s="346">
        <f>+Y977*T977</f>
        <v>60875</v>
      </c>
      <c r="AC977" s="347">
        <f>+AB977-Z977</f>
        <v>0</v>
      </c>
      <c r="AD977" s="348"/>
      <c r="AE977" s="337" t="str">
        <f t="shared" si="133"/>
        <v>NO</v>
      </c>
    </row>
    <row r="978" spans="3:31" ht="15.9" customHeight="1" x14ac:dyDescent="0.3">
      <c r="C978" s="350"/>
      <c r="D978" s="351"/>
      <c r="E978" s="345"/>
      <c r="F978" s="345"/>
      <c r="G978" s="345"/>
      <c r="H978" s="345"/>
      <c r="I978" s="345"/>
      <c r="J978" s="352"/>
      <c r="K978" s="353"/>
      <c r="M978" s="354">
        <v>0</v>
      </c>
      <c r="N978" s="718" t="s">
        <v>938</v>
      </c>
      <c r="O978" s="718"/>
      <c r="P978" s="718"/>
      <c r="Q978" s="314" t="s">
        <v>939</v>
      </c>
      <c r="R978" s="355">
        <v>0.15</v>
      </c>
      <c r="S978" s="355">
        <f>INSUMOS!H114</f>
        <v>60.3</v>
      </c>
      <c r="T978" s="719">
        <f>INSUMOS!I114</f>
        <v>1800</v>
      </c>
      <c r="U978" s="719"/>
      <c r="V978" s="515">
        <f>+T978*S978*R978</f>
        <v>16281</v>
      </c>
      <c r="Y978" s="321">
        <f>+IFERROR((R978*S978)*Y956,0)</f>
        <v>90.45</v>
      </c>
      <c r="Z978" s="318">
        <f>Y956*V978</f>
        <v>162810</v>
      </c>
      <c r="AA978" s="345"/>
      <c r="AB978" s="346">
        <f t="shared" ref="AB978" si="134">+Y978*T978</f>
        <v>162810</v>
      </c>
      <c r="AC978" s="347">
        <f t="shared" ref="AC978" si="135">+AB978-Z978</f>
        <v>0</v>
      </c>
      <c r="AD978" s="348"/>
      <c r="AE978" s="337" t="str">
        <f t="shared" si="133"/>
        <v>NO</v>
      </c>
    </row>
    <row r="979" spans="3:31" ht="15.9" customHeight="1" thickBot="1" x14ac:dyDescent="0.35">
      <c r="C979" s="350"/>
      <c r="D979" s="360"/>
      <c r="E979" s="361"/>
      <c r="F979" s="361"/>
      <c r="G979" s="361"/>
      <c r="H979" s="361"/>
      <c r="I979" s="361"/>
      <c r="J979" s="362"/>
      <c r="K979" s="353"/>
      <c r="M979" s="354">
        <v>0</v>
      </c>
      <c r="N979" s="718"/>
      <c r="O979" s="718"/>
      <c r="P979" s="718"/>
      <c r="Q979" s="357"/>
      <c r="R979" s="314"/>
      <c r="S979" s="358"/>
      <c r="T979" s="719"/>
      <c r="U979" s="719"/>
      <c r="V979" s="515"/>
      <c r="Y979" s="321">
        <f>+IFERROR((R979*S979)*Y956,0)</f>
        <v>0</v>
      </c>
      <c r="Z979" s="318">
        <f>Y956*V979</f>
        <v>0</v>
      </c>
      <c r="AA979" s="345"/>
      <c r="AB979" s="346">
        <f>+Y979*T979</f>
        <v>0</v>
      </c>
      <c r="AC979" s="347">
        <f>+AB979-Z979</f>
        <v>0</v>
      </c>
      <c r="AD979" s="348"/>
      <c r="AE979" s="337" t="str">
        <f t="shared" si="133"/>
        <v>CERO</v>
      </c>
    </row>
    <row r="980" spans="3:31" ht="15.9" customHeight="1" thickBot="1" x14ac:dyDescent="0.35">
      <c r="C980" s="292"/>
      <c r="D980" s="295" t="s">
        <v>132</v>
      </c>
      <c r="E980" s="296" t="s">
        <v>133</v>
      </c>
      <c r="F980" s="296" t="s">
        <v>134</v>
      </c>
      <c r="G980" s="296" t="s">
        <v>135</v>
      </c>
      <c r="H980" s="296" t="s">
        <v>136</v>
      </c>
      <c r="I980" s="296" t="s">
        <v>137</v>
      </c>
      <c r="J980" s="297" t="s">
        <v>138</v>
      </c>
      <c r="K980" s="293"/>
      <c r="M980" s="720"/>
      <c r="N980" s="721" t="s">
        <v>116</v>
      </c>
      <c r="O980" s="721"/>
      <c r="P980" s="721"/>
      <c r="Q980" s="721"/>
      <c r="R980" s="721"/>
      <c r="S980" s="721"/>
      <c r="T980" s="721"/>
      <c r="U980" s="721"/>
      <c r="V980" s="499">
        <f>+SUM(V976:V979)</f>
        <v>28456</v>
      </c>
      <c r="Y980" s="328" t="s">
        <v>139</v>
      </c>
      <c r="Z980" s="329">
        <f>+SUM(Z976:Z979)</f>
        <v>284560</v>
      </c>
      <c r="AA980" s="279"/>
      <c r="AB980" s="290"/>
      <c r="AC980" s="291"/>
      <c r="AD980" s="280"/>
      <c r="AE980" s="330"/>
    </row>
    <row r="981" spans="3:31" ht="15.9" customHeight="1" thickBot="1" x14ac:dyDescent="0.35">
      <c r="C981" s="292"/>
      <c r="D981" s="363"/>
      <c r="E981" s="364"/>
      <c r="F981" s="365">
        <f>+E973</f>
        <v>1.1299999999999999</v>
      </c>
      <c r="G981" s="364"/>
      <c r="H981" s="364"/>
      <c r="I981" s="364"/>
      <c r="J981" s="366"/>
      <c r="K981" s="293"/>
      <c r="M981" s="720"/>
      <c r="N981" s="722" t="s">
        <v>117</v>
      </c>
      <c r="O981" s="722"/>
      <c r="P981" s="722"/>
      <c r="Q981" s="722"/>
      <c r="R981" s="722"/>
      <c r="S981" s="722"/>
      <c r="T981" s="722"/>
      <c r="U981" s="722"/>
      <c r="V981" s="344">
        <f>+ROUND(V980,$AA$2)</f>
        <v>28456</v>
      </c>
      <c r="Y981" s="332" t="s">
        <v>140</v>
      </c>
      <c r="Z981" s="333">
        <f>+ROUND(Z980,$AA$2)</f>
        <v>284560</v>
      </c>
      <c r="AA981" s="279"/>
      <c r="AB981" s="324">
        <f>+V981*Y956</f>
        <v>284560</v>
      </c>
      <c r="AC981" s="359"/>
      <c r="AD981" s="280"/>
      <c r="AE981" s="334"/>
    </row>
    <row r="982" spans="3:31" ht="15.9" customHeight="1" thickBot="1" x14ac:dyDescent="0.35">
      <c r="C982" s="292"/>
      <c r="D982" s="369"/>
      <c r="E982" s="370"/>
      <c r="F982" s="370"/>
      <c r="G982" s="370"/>
      <c r="H982" s="370"/>
      <c r="I982" s="370"/>
      <c r="J982" s="371"/>
      <c r="K982" s="293"/>
      <c r="M982" s="723" t="s">
        <v>118</v>
      </c>
      <c r="N982" s="723"/>
      <c r="O982" s="723"/>
      <c r="P982" s="723"/>
      <c r="Q982" s="723"/>
      <c r="R982" s="723"/>
      <c r="S982" s="723"/>
      <c r="T982" s="723"/>
      <c r="U982" s="723"/>
      <c r="V982" s="723"/>
      <c r="Y982" s="298"/>
      <c r="Z982" s="299"/>
      <c r="AA982" s="279"/>
      <c r="AB982" s="342"/>
      <c r="AC982" s="299"/>
      <c r="AD982" s="280"/>
      <c r="AE982" s="335"/>
    </row>
    <row r="983" spans="3:31" ht="15.9" customHeight="1" thickBot="1" x14ac:dyDescent="0.35">
      <c r="C983" s="292"/>
      <c r="D983" s="295" t="s">
        <v>132</v>
      </c>
      <c r="E983" s="296" t="s">
        <v>133</v>
      </c>
      <c r="F983" s="296" t="s">
        <v>134</v>
      </c>
      <c r="G983" s="296" t="s">
        <v>135</v>
      </c>
      <c r="H983" s="296" t="s">
        <v>136</v>
      </c>
      <c r="I983" s="296" t="s">
        <v>137</v>
      </c>
      <c r="J983" s="297" t="s">
        <v>138</v>
      </c>
      <c r="K983" s="293"/>
      <c r="M983" s="307" t="s">
        <v>97</v>
      </c>
      <c r="N983" s="372" t="s">
        <v>98</v>
      </c>
      <c r="O983" s="307" t="s">
        <v>99</v>
      </c>
      <c r="P983" s="396" t="s">
        <v>107</v>
      </c>
      <c r="Q983" s="307" t="s">
        <v>119</v>
      </c>
      <c r="R983" s="373" t="s">
        <v>120</v>
      </c>
      <c r="S983" s="307" t="s">
        <v>363</v>
      </c>
      <c r="T983" s="374" t="s">
        <v>121</v>
      </c>
      <c r="U983" s="375" t="s">
        <v>122</v>
      </c>
      <c r="V983" s="307" t="s">
        <v>101</v>
      </c>
      <c r="Y983" s="308" t="s">
        <v>107</v>
      </c>
      <c r="Z983" s="309" t="s">
        <v>9</v>
      </c>
      <c r="AA983" s="279"/>
      <c r="AB983" s="290"/>
      <c r="AC983" s="291"/>
      <c r="AD983" s="280"/>
      <c r="AE983" s="349"/>
    </row>
    <row r="984" spans="3:31" ht="14.4" x14ac:dyDescent="0.3">
      <c r="C984" s="292"/>
      <c r="D984" s="376"/>
      <c r="E984" s="377"/>
      <c r="F984" s="377"/>
      <c r="G984" s="377"/>
      <c r="H984" s="377"/>
      <c r="I984" s="377"/>
      <c r="J984" s="378">
        <f>+F981</f>
        <v>1.1299999999999999</v>
      </c>
      <c r="K984" s="293"/>
      <c r="M984" s="313">
        <v>201</v>
      </c>
      <c r="N984" s="379" t="str">
        <f>IFERROR(VLOOKUP(M984,INSUMOS!$C$8:$K$934,2,0),"-----")</f>
        <v>Oficial Albañileria</v>
      </c>
      <c r="O984" s="314" t="str">
        <f>IFERROR(VLOOKUP(M984,INSUMOS!$C$8:$K$934,3,0),"-----")</f>
        <v>JORNAL+PS</v>
      </c>
      <c r="P984" s="355">
        <v>1</v>
      </c>
      <c r="Q984" s="339">
        <v>2</v>
      </c>
      <c r="R984" s="380">
        <f>IFERROR(VLOOKUP(M984,INSUMOS!$C$8:$K$934,4,0),"-----")</f>
        <v>114970</v>
      </c>
      <c r="S984" s="380">
        <f>IFERROR(VLOOKUP(M984,INSUMOS!$C$8:$K$934,6,0),"-----")</f>
        <v>91976</v>
      </c>
      <c r="T984" s="380">
        <f>IFERROR(VLOOKUP(M984,INSUMOS!$C$8:$K$934,5,0),"-----")</f>
        <v>0</v>
      </c>
      <c r="U984" s="338">
        <f>SUM(R984:T984)</f>
        <v>206946</v>
      </c>
      <c r="V984" s="316">
        <f>+IFERROR((P984/Q984)*U984,0)</f>
        <v>103473</v>
      </c>
      <c r="Y984" s="321">
        <f>+IFERROR((Y956/Q984*P984),0)</f>
        <v>5</v>
      </c>
      <c r="Z984" s="318">
        <f>Y956*V984</f>
        <v>1034730</v>
      </c>
      <c r="AA984" s="279"/>
      <c r="AB984" s="367">
        <f>+(U984)*Y984</f>
        <v>1034730</v>
      </c>
      <c r="AC984" s="302">
        <f>+AB984-Z984</f>
        <v>0</v>
      </c>
      <c r="AD984" s="368"/>
      <c r="AE984" s="349" t="str">
        <f>+IF(V984=0,"CERO","NO")</f>
        <v>NO</v>
      </c>
    </row>
    <row r="985" spans="3:31" ht="15.9" customHeight="1" thickBot="1" x14ac:dyDescent="0.35">
      <c r="C985" s="292"/>
      <c r="D985" s="363"/>
      <c r="E985" s="364"/>
      <c r="F985" s="364"/>
      <c r="G985" s="364"/>
      <c r="H985" s="364"/>
      <c r="I985" s="364"/>
      <c r="J985" s="381">
        <f>+J984</f>
        <v>1.1299999999999999</v>
      </c>
      <c r="K985" s="293"/>
      <c r="M985" s="313">
        <v>202</v>
      </c>
      <c r="N985" s="379" t="str">
        <f>IFERROR(VLOOKUP(M985,INSUMOS!$C$8:$K$934,2,0),"-----")</f>
        <v>Ayudante Albañileria</v>
      </c>
      <c r="O985" s="314" t="str">
        <f>IFERROR(VLOOKUP(M985,INSUMOS!$C$8:$K$934,3,0),"-----")</f>
        <v>JORNAL+PS</v>
      </c>
      <c r="P985" s="355">
        <v>2</v>
      </c>
      <c r="Q985" s="339">
        <v>2</v>
      </c>
      <c r="R985" s="380">
        <f>IFERROR(VLOOKUP(M985,INSUMOS!$C$8:$K$934,4,0),"-----")</f>
        <v>94970</v>
      </c>
      <c r="S985" s="380">
        <f>IFERROR(VLOOKUP(M985,INSUMOS!$C$8:$K$934,6,0),"-----")</f>
        <v>75976</v>
      </c>
      <c r="T985" s="380">
        <f>IFERROR(VLOOKUP(M985,INSUMOS!$C$8:$K$934,5,0),"-----")</f>
        <v>0</v>
      </c>
      <c r="U985" s="338">
        <f>SUM(R985:T985)</f>
        <v>170946</v>
      </c>
      <c r="V985" s="316">
        <f>+IFERROR((P985/Q985)*U985,0)</f>
        <v>170946</v>
      </c>
      <c r="Y985" s="321">
        <f>+IFERROR((Y956/Q985*P985),0)</f>
        <v>10</v>
      </c>
      <c r="Z985" s="318">
        <f>Y956*V985</f>
        <v>1709460</v>
      </c>
      <c r="AA985" s="279"/>
      <c r="AB985" s="367">
        <f>+U985*Y985</f>
        <v>1709460</v>
      </c>
      <c r="AC985" s="302">
        <f>+AB985-Z985</f>
        <v>0</v>
      </c>
      <c r="AD985" s="280"/>
      <c r="AE985" s="349" t="str">
        <f t="shared" ref="AE985:AE986" si="136">+IF(V985=0,"CERO","NO")</f>
        <v>NO</v>
      </c>
    </row>
    <row r="986" spans="3:31" ht="15.9" customHeight="1" thickBot="1" x14ac:dyDescent="0.35">
      <c r="C986" s="292"/>
      <c r="D986" s="304"/>
      <c r="E986" s="305"/>
      <c r="F986" s="305"/>
      <c r="G986" s="305"/>
      <c r="H986" s="305"/>
      <c r="I986" s="305"/>
      <c r="J986" s="306"/>
      <c r="K986" s="293"/>
      <c r="M986" s="313">
        <v>0</v>
      </c>
      <c r="N986" s="379"/>
      <c r="O986" s="339"/>
      <c r="P986" s="382"/>
      <c r="Q986" s="319"/>
      <c r="R986" s="383"/>
      <c r="S986" s="384"/>
      <c r="T986" s="383"/>
      <c r="U986" s="338"/>
      <c r="V986" s="323"/>
      <c r="Y986" s="321">
        <f>+IFERROR((Y956/Q986*P986),0)</f>
        <v>0</v>
      </c>
      <c r="Z986" s="318">
        <f>Y956*V986</f>
        <v>0</v>
      </c>
      <c r="AA986" s="279"/>
      <c r="AB986" s="367">
        <f>+(U986)*Y986*P986</f>
        <v>0</v>
      </c>
      <c r="AC986" s="302">
        <f>+AB986-Z986</f>
        <v>0</v>
      </c>
      <c r="AD986" s="280"/>
      <c r="AE986" s="349" t="str">
        <f t="shared" si="136"/>
        <v>CERO</v>
      </c>
    </row>
    <row r="987" spans="3:31" ht="15.9" customHeight="1" thickBot="1" x14ac:dyDescent="0.35">
      <c r="C987" s="292"/>
      <c r="D987" s="295" t="s">
        <v>132</v>
      </c>
      <c r="E987" s="296" t="s">
        <v>133</v>
      </c>
      <c r="F987" s="296" t="s">
        <v>134</v>
      </c>
      <c r="G987" s="296" t="s">
        <v>135</v>
      </c>
      <c r="H987" s="296" t="s">
        <v>136</v>
      </c>
      <c r="I987" s="296" t="s">
        <v>137</v>
      </c>
      <c r="J987" s="297" t="s">
        <v>138</v>
      </c>
      <c r="K987" s="293"/>
      <c r="M987" s="724"/>
      <c r="N987" s="725" t="s">
        <v>123</v>
      </c>
      <c r="O987" s="725"/>
      <c r="P987" s="725"/>
      <c r="Q987" s="725"/>
      <c r="R987" s="725"/>
      <c r="S987" s="725"/>
      <c r="T987" s="725"/>
      <c r="U987" s="725"/>
      <c r="V987" s="316">
        <f>+SUM(V984:V986)</f>
        <v>274419</v>
      </c>
      <c r="Y987" s="328" t="s">
        <v>139</v>
      </c>
      <c r="Z987" s="329">
        <f>+SUM(Z984:Z986)</f>
        <v>2744190</v>
      </c>
      <c r="AA987" s="279"/>
      <c r="AB987" s="290"/>
      <c r="AC987" s="291"/>
      <c r="AD987" s="280"/>
      <c r="AE987" s="330"/>
    </row>
    <row r="988" spans="3:31" ht="15.9" customHeight="1" thickBot="1" x14ac:dyDescent="0.35">
      <c r="C988" s="292"/>
      <c r="D988" s="376"/>
      <c r="E988" s="377"/>
      <c r="F988" s="377"/>
      <c r="G988" s="386">
        <f>+F981</f>
        <v>1.1299999999999999</v>
      </c>
      <c r="H988" s="377"/>
      <c r="I988" s="377"/>
      <c r="J988" s="387"/>
      <c r="K988" s="293"/>
      <c r="M988" s="724"/>
      <c r="N988" s="726" t="s">
        <v>124</v>
      </c>
      <c r="O988" s="726"/>
      <c r="P988" s="726"/>
      <c r="Q988" s="726"/>
      <c r="R988" s="726"/>
      <c r="S988" s="726"/>
      <c r="T988" s="726"/>
      <c r="U988" s="726"/>
      <c r="V988" s="344">
        <f>+ROUND(V987,$AA$2)</f>
        <v>274419</v>
      </c>
      <c r="Y988" s="332" t="s">
        <v>140</v>
      </c>
      <c r="Z988" s="333">
        <f>+ROUND(Z987,$AA$2)</f>
        <v>2744190</v>
      </c>
      <c r="AA988" s="279"/>
      <c r="AB988" s="324">
        <f>+V988*Y956</f>
        <v>2744190</v>
      </c>
      <c r="AC988" s="325">
        <f>+AB988-Z988</f>
        <v>0</v>
      </c>
      <c r="AD988" s="280"/>
      <c r="AE988" s="334"/>
    </row>
    <row r="989" spans="3:31" ht="15.9" customHeight="1" thickBot="1" x14ac:dyDescent="0.35">
      <c r="C989" s="292"/>
      <c r="D989" s="295" t="s">
        <v>132</v>
      </c>
      <c r="E989" s="296" t="s">
        <v>133</v>
      </c>
      <c r="F989" s="296" t="s">
        <v>134</v>
      </c>
      <c r="G989" s="296" t="s">
        <v>135</v>
      </c>
      <c r="H989" s="296" t="s">
        <v>136</v>
      </c>
      <c r="I989" s="296" t="s">
        <v>137</v>
      </c>
      <c r="J989" s="297" t="s">
        <v>138</v>
      </c>
      <c r="K989" s="293"/>
      <c r="M989" s="727"/>
      <c r="N989" s="727"/>
      <c r="O989" s="727"/>
      <c r="P989" s="727"/>
      <c r="Q989" s="727"/>
      <c r="R989" s="727"/>
      <c r="S989" s="727"/>
      <c r="T989" s="727"/>
      <c r="U989" s="727"/>
      <c r="V989" s="727"/>
      <c r="Y989" s="298"/>
      <c r="Z989" s="299"/>
      <c r="AA989" s="279"/>
      <c r="AB989" s="342"/>
      <c r="AC989" s="299"/>
      <c r="AD989" s="280"/>
      <c r="AE989" s="388"/>
    </row>
    <row r="990" spans="3:31" ht="15.9" customHeight="1" thickBot="1" x14ac:dyDescent="0.35">
      <c r="C990" s="292"/>
      <c r="D990" s="363"/>
      <c r="E990" s="364"/>
      <c r="F990" s="364"/>
      <c r="G990" s="364"/>
      <c r="H990" s="365">
        <f>G988</f>
        <v>1.1299999999999999</v>
      </c>
      <c r="I990" s="365"/>
      <c r="J990" s="381"/>
      <c r="K990" s="293"/>
      <c r="M990" s="726" t="s">
        <v>125</v>
      </c>
      <c r="N990" s="726"/>
      <c r="O990" s="726"/>
      <c r="P990" s="726"/>
      <c r="Q990" s="726"/>
      <c r="R990" s="726"/>
      <c r="S990" s="726"/>
      <c r="T990" s="726"/>
      <c r="U990" s="728">
        <f>+V988+V981+V973+V965</f>
        <v>499991</v>
      </c>
      <c r="V990" s="728"/>
      <c r="Y990" s="389"/>
      <c r="Z990" s="390">
        <f>+Z988+Z981+Z973+Z965</f>
        <v>4814620</v>
      </c>
      <c r="AA990" s="279"/>
      <c r="AB990" s="385">
        <f>+AB988+AB981+AB973+AB965</f>
        <v>4999910</v>
      </c>
      <c r="AC990" s="325">
        <f>+AB990-Z990</f>
        <v>185290</v>
      </c>
      <c r="AD990" s="280"/>
      <c r="AE990" s="391"/>
    </row>
    <row r="991" spans="3:31" ht="15.9" customHeight="1" thickBot="1" x14ac:dyDescent="0.3">
      <c r="M991" s="412"/>
      <c r="N991" s="412"/>
      <c r="O991" s="412"/>
      <c r="P991" s="412"/>
      <c r="Q991" s="412"/>
      <c r="R991" s="412"/>
      <c r="S991" s="412"/>
      <c r="T991" s="412"/>
      <c r="U991" s="412"/>
      <c r="V991" s="412"/>
    </row>
    <row r="992" spans="3:31" ht="15.9" customHeight="1" x14ac:dyDescent="0.25">
      <c r="M992" s="729" t="s">
        <v>364</v>
      </c>
      <c r="N992" s="729"/>
      <c r="O992" s="729"/>
      <c r="P992" s="729"/>
      <c r="Q992" s="729"/>
      <c r="R992" s="729"/>
      <c r="S992" s="729"/>
      <c r="T992" s="729"/>
      <c r="U992" s="729"/>
      <c r="V992" s="729"/>
      <c r="Y992" s="298"/>
      <c r="Z992" s="299"/>
      <c r="AA992" s="279"/>
      <c r="AB992" s="280"/>
      <c r="AC992" s="280"/>
      <c r="AD992" s="280"/>
      <c r="AE992" s="335" t="s">
        <v>137</v>
      </c>
    </row>
    <row r="993" spans="4:31" ht="15.9" customHeight="1" x14ac:dyDescent="0.25">
      <c r="M993" s="700" t="s">
        <v>142</v>
      </c>
      <c r="N993" s="700"/>
      <c r="O993" s="700"/>
      <c r="P993" s="700"/>
      <c r="Q993" s="700"/>
      <c r="R993" s="700"/>
      <c r="S993" s="700"/>
      <c r="T993" s="413">
        <f>$AA$3</f>
        <v>0.25</v>
      </c>
      <c r="U993" s="701">
        <f>+ROUND(U990*T993,$AA$2)</f>
        <v>124998</v>
      </c>
      <c r="V993" s="701"/>
      <c r="Y993" s="317"/>
      <c r="Z993" s="414">
        <f>+Z990*T993</f>
        <v>1203655</v>
      </c>
      <c r="AA993" s="279"/>
      <c r="AB993" s="280"/>
      <c r="AC993" s="280"/>
      <c r="AD993" s="280"/>
      <c r="AE993" s="310" t="s">
        <v>137</v>
      </c>
    </row>
    <row r="994" spans="4:31" ht="15.9" customHeight="1" x14ac:dyDescent="0.25">
      <c r="M994" s="700" t="s">
        <v>19</v>
      </c>
      <c r="N994" s="700"/>
      <c r="O994" s="700"/>
      <c r="P994" s="700"/>
      <c r="Q994" s="700"/>
      <c r="R994" s="700"/>
      <c r="S994" s="700"/>
      <c r="T994" s="413">
        <f>$AA$4</f>
        <v>0.03</v>
      </c>
      <c r="U994" s="701">
        <f>+ROUND(U990*T994,$AA$2)</f>
        <v>15000</v>
      </c>
      <c r="V994" s="701"/>
      <c r="Y994" s="317"/>
      <c r="Z994" s="414">
        <f>+Z990*T994</f>
        <v>144438.6</v>
      </c>
      <c r="AA994" s="279"/>
      <c r="AB994" s="280"/>
      <c r="AC994" s="280"/>
      <c r="AD994" s="280"/>
      <c r="AE994" s="310" t="s">
        <v>137</v>
      </c>
    </row>
    <row r="995" spans="4:31" ht="15.9" customHeight="1" x14ac:dyDescent="0.25">
      <c r="M995" s="700" t="s">
        <v>20</v>
      </c>
      <c r="N995" s="700"/>
      <c r="O995" s="700"/>
      <c r="P995" s="700"/>
      <c r="Q995" s="700"/>
      <c r="R995" s="700"/>
      <c r="S995" s="700"/>
      <c r="T995" s="413">
        <f>$AA$5</f>
        <v>0.05</v>
      </c>
      <c r="U995" s="701">
        <f>+ROUND(U990*T995,$AA$2)</f>
        <v>25000</v>
      </c>
      <c r="V995" s="701"/>
      <c r="Y995" s="317"/>
      <c r="Z995" s="414">
        <f>+Z990*T995</f>
        <v>240731</v>
      </c>
      <c r="AA995" s="279"/>
      <c r="AB995" s="280"/>
      <c r="AC995" s="280"/>
      <c r="AD995" s="280"/>
      <c r="AE995" s="310" t="s">
        <v>137</v>
      </c>
    </row>
    <row r="996" spans="4:31" ht="15.9" customHeight="1" x14ac:dyDescent="0.25">
      <c r="M996" s="700" t="s">
        <v>21</v>
      </c>
      <c r="N996" s="700"/>
      <c r="O996" s="700"/>
      <c r="P996" s="700"/>
      <c r="Q996" s="700"/>
      <c r="R996" s="700"/>
      <c r="S996" s="700"/>
      <c r="T996" s="413">
        <f>$AA$6</f>
        <v>0</v>
      </c>
      <c r="U996" s="701">
        <f>+ROUND(U990*T996,$AA$2)</f>
        <v>0</v>
      </c>
      <c r="V996" s="701"/>
      <c r="Y996" s="317"/>
      <c r="Z996" s="414">
        <f>+Z995*T996</f>
        <v>0</v>
      </c>
      <c r="AA996" s="279"/>
      <c r="AB996" s="280"/>
      <c r="AC996" s="280"/>
      <c r="AD996" s="280"/>
      <c r="AE996" s="310" t="s">
        <v>137</v>
      </c>
    </row>
    <row r="997" spans="4:31" ht="15.9" customHeight="1" thickBot="1" x14ac:dyDescent="0.3">
      <c r="M997" s="702" t="s">
        <v>365</v>
      </c>
      <c r="N997" s="702"/>
      <c r="O997" s="702"/>
      <c r="P997" s="702"/>
      <c r="Q997" s="702"/>
      <c r="R997" s="702"/>
      <c r="S997" s="702"/>
      <c r="T997" s="702"/>
      <c r="U997" s="703">
        <f>+SUM(U993:V996)</f>
        <v>164998</v>
      </c>
      <c r="V997" s="703"/>
      <c r="Y997" s="317"/>
      <c r="Z997" s="415">
        <f>+SUM(Z993:Z996)</f>
        <v>1588824.6</v>
      </c>
      <c r="AA997" s="279"/>
      <c r="AB997" s="280"/>
      <c r="AC997" s="280"/>
      <c r="AD997" s="280"/>
      <c r="AE997" s="310" t="s">
        <v>137</v>
      </c>
    </row>
    <row r="998" spans="4:31" ht="15.9" customHeight="1" thickBot="1" x14ac:dyDescent="0.3">
      <c r="D998" s="295" t="s">
        <v>132</v>
      </c>
      <c r="E998" s="296" t="s">
        <v>133</v>
      </c>
      <c r="F998" s="296" t="s">
        <v>134</v>
      </c>
      <c r="G998" s="296" t="s">
        <v>135</v>
      </c>
      <c r="H998" s="296" t="s">
        <v>136</v>
      </c>
      <c r="I998" s="296" t="s">
        <v>137</v>
      </c>
      <c r="J998" s="297" t="s">
        <v>138</v>
      </c>
      <c r="M998" s="377"/>
      <c r="N998" s="416"/>
      <c r="O998" s="416"/>
      <c r="P998" s="416"/>
      <c r="Q998" s="377"/>
      <c r="R998" s="377"/>
      <c r="S998" s="377"/>
      <c r="T998" s="417"/>
      <c r="U998" s="701"/>
      <c r="V998" s="701"/>
      <c r="Y998" s="317"/>
      <c r="Z998" s="291"/>
      <c r="AA998" s="279"/>
      <c r="AB998" s="280"/>
      <c r="AC998" s="280"/>
      <c r="AD998" s="280"/>
      <c r="AE998" s="310" t="s">
        <v>137</v>
      </c>
    </row>
    <row r="999" spans="4:31" ht="15.9" customHeight="1" thickBot="1" x14ac:dyDescent="0.3">
      <c r="D999" s="363"/>
      <c r="E999" s="364"/>
      <c r="F999" s="364"/>
      <c r="G999" s="364"/>
      <c r="H999" s="365"/>
      <c r="I999" s="365">
        <f>H990</f>
        <v>1.1299999999999999</v>
      </c>
      <c r="J999" s="381"/>
      <c r="M999" s="702" t="s">
        <v>11</v>
      </c>
      <c r="N999" s="702"/>
      <c r="O999" s="702"/>
      <c r="P999" s="702"/>
      <c r="Q999" s="702"/>
      <c r="R999" s="702"/>
      <c r="S999" s="702"/>
      <c r="T999" s="702"/>
      <c r="U999" s="704">
        <f>+U997+U990</f>
        <v>664989</v>
      </c>
      <c r="V999" s="704"/>
      <c r="Y999" s="389"/>
      <c r="Z999" s="418">
        <f>+Z997+Z990</f>
        <v>6403444.5999999996</v>
      </c>
      <c r="AA999" s="279"/>
      <c r="AB999" s="280"/>
      <c r="AC999" s="280"/>
      <c r="AD999" s="280"/>
      <c r="AE999" s="334" t="s">
        <v>137</v>
      </c>
    </row>
    <row r="1000" spans="4:31" ht="15.9" customHeight="1" x14ac:dyDescent="0.25">
      <c r="M1000" s="705"/>
      <c r="N1000" s="705"/>
      <c r="O1000" s="705"/>
      <c r="P1000" s="705"/>
      <c r="Q1000" s="705"/>
      <c r="R1000" s="706"/>
      <c r="S1000" s="706"/>
      <c r="T1000" s="706"/>
      <c r="U1000" s="706"/>
      <c r="V1000" s="706"/>
    </row>
    <row r="1001" spans="4:31" ht="15.9" customHeight="1" x14ac:dyDescent="0.25">
      <c r="M1001" s="705"/>
      <c r="N1001" s="705"/>
      <c r="O1001" s="705"/>
      <c r="P1001" s="705"/>
      <c r="Q1001" s="705"/>
      <c r="R1001" s="706"/>
      <c r="S1001" s="706"/>
      <c r="T1001" s="706"/>
      <c r="U1001" s="706"/>
      <c r="V1001" s="706"/>
    </row>
    <row r="1002" spans="4:31" ht="15.9" customHeight="1" x14ac:dyDescent="0.25">
      <c r="M1002" s="705"/>
      <c r="N1002" s="705"/>
      <c r="O1002" s="705"/>
      <c r="P1002" s="705"/>
      <c r="Q1002" s="705"/>
      <c r="R1002" s="706"/>
      <c r="S1002" s="706"/>
      <c r="T1002" s="706"/>
      <c r="U1002" s="706"/>
      <c r="V1002" s="706"/>
    </row>
    <row r="1003" spans="4:31" ht="15.9" customHeight="1" x14ac:dyDescent="0.25">
      <c r="M1003" s="705"/>
      <c r="N1003" s="705"/>
      <c r="O1003" s="705"/>
      <c r="P1003" s="705"/>
      <c r="Q1003" s="705"/>
      <c r="R1003" s="706"/>
      <c r="S1003" s="706"/>
      <c r="T1003" s="706"/>
      <c r="U1003" s="706"/>
      <c r="V1003" s="706"/>
    </row>
    <row r="1004" spans="4:31" ht="15.9" customHeight="1" x14ac:dyDescent="0.25">
      <c r="M1004" s="707" t="s">
        <v>128</v>
      </c>
      <c r="N1004" s="708" t="str">
        <f>$N$6</f>
        <v>ING. JEYSON JULIAN LEON RUEDA</v>
      </c>
      <c r="O1004" s="709"/>
      <c r="P1004" s="709"/>
      <c r="Q1004" s="710"/>
      <c r="R1004" s="711" t="s">
        <v>129</v>
      </c>
      <c r="S1004" s="708" t="str">
        <f>$S$6</f>
        <v>ARQ. YASMID ROCÍO CARRILLO MORA</v>
      </c>
      <c r="T1004" s="709"/>
      <c r="U1004" s="709"/>
      <c r="V1004" s="710"/>
    </row>
    <row r="1005" spans="4:31" ht="15.9" customHeight="1" x14ac:dyDescent="0.25">
      <c r="M1005" s="707"/>
      <c r="N1005" s="712" t="str">
        <f>$N$7</f>
        <v>MP. 68202-416348 STD</v>
      </c>
      <c r="O1005" s="713"/>
      <c r="P1005" s="713"/>
      <c r="Q1005" s="714"/>
      <c r="R1005" s="711"/>
      <c r="S1005" s="712" t="str">
        <f>$S$7</f>
        <v>SECRETARIA DE PLANEACIÓN Y OBRAS PÚBLICAS</v>
      </c>
      <c r="T1005" s="713"/>
      <c r="U1005" s="713"/>
      <c r="V1005" s="714"/>
    </row>
    <row r="1006" spans="4:31" ht="15.9" customHeight="1" x14ac:dyDescent="0.25">
      <c r="M1006" s="707"/>
      <c r="N1006" s="715"/>
      <c r="O1006" s="716"/>
      <c r="P1006" s="716"/>
      <c r="Q1006" s="717"/>
      <c r="R1006" s="711"/>
      <c r="S1006" s="712" t="str">
        <f>$S$8</f>
        <v>MUNICIPIO DE PINCHOTE</v>
      </c>
      <c r="T1006" s="713"/>
      <c r="U1006" s="713"/>
      <c r="V1006" s="714"/>
    </row>
    <row r="1007" spans="4:31" ht="15.9" customHeight="1" x14ac:dyDescent="0.25"/>
    <row r="1008" spans="4:31" ht="15.9" customHeight="1" thickBot="1" x14ac:dyDescent="0.3"/>
    <row r="1009" spans="3:31" ht="15.9" customHeight="1" thickBot="1" x14ac:dyDescent="0.3">
      <c r="M1009" s="281" t="s">
        <v>90</v>
      </c>
      <c r="N1009" s="410" t="s">
        <v>29</v>
      </c>
      <c r="O1009" s="706" t="str">
        <f>IFERROR(VLOOKUP(N1009,PPTO!$C$9:$H$64,2,0),"----")</f>
        <v>COMPONENTE ACUEDUCTO</v>
      </c>
      <c r="P1009" s="706"/>
      <c r="Q1009" s="706"/>
      <c r="R1009" s="706"/>
      <c r="S1009" s="706"/>
      <c r="T1009" s="706"/>
      <c r="U1009" s="706"/>
      <c r="V1009" s="283" t="s">
        <v>93</v>
      </c>
      <c r="Y1009" s="284" t="s">
        <v>107</v>
      </c>
      <c r="Z1009" s="280"/>
      <c r="AA1009" s="274"/>
      <c r="AB1009" s="735"/>
      <c r="AC1009" s="735"/>
      <c r="AD1009" s="735"/>
      <c r="AE1009" s="280"/>
    </row>
    <row r="1010" spans="3:31" ht="15.9" customHeight="1" thickBot="1" x14ac:dyDescent="0.35">
      <c r="C1010" s="285">
        <f>+N1010</f>
        <v>1.1399999999999999</v>
      </c>
      <c r="D1010" s="279"/>
      <c r="E1010" s="279"/>
      <c r="F1010" s="279"/>
      <c r="G1010" s="279"/>
      <c r="H1010" s="279"/>
      <c r="I1010" s="279"/>
      <c r="J1010" s="279"/>
      <c r="K1010" s="286"/>
      <c r="M1010" s="283" t="s">
        <v>94</v>
      </c>
      <c r="N1010" s="287">
        <v>1.1399999999999999</v>
      </c>
      <c r="O1010" s="736" t="str">
        <f>IFERROR(VLOOKUP(N1010,PPTO!$C$9:$H$64,2,0),"----")</f>
        <v>Kit Silla yee 8" a 6" (Incluye caucho y abrazadera)</v>
      </c>
      <c r="P1010" s="736"/>
      <c r="Q1010" s="736"/>
      <c r="R1010" s="736"/>
      <c r="S1010" s="736"/>
      <c r="T1010" s="736"/>
      <c r="U1010" s="736"/>
      <c r="V1010" s="288" t="str">
        <f>IFERROR(VLOOKUP(N1010,PPTO!$C$9:$H$64,3,0),"----")</f>
        <v>und</v>
      </c>
      <c r="Y1010" s="289">
        <f>SUMIFS(PPTO!$F$7:$F$63,PPTO!$C$7:$C$63,APUS!N1010)</f>
        <v>10</v>
      </c>
      <c r="Z1010" s="280"/>
      <c r="AA1010" s="279"/>
      <c r="AB1010" s="280"/>
      <c r="AC1010" s="280"/>
      <c r="AD1010" s="280"/>
      <c r="AE1010" s="280"/>
    </row>
    <row r="1011" spans="3:31" ht="15.9" customHeight="1" thickBot="1" x14ac:dyDescent="0.35">
      <c r="C1011" s="292"/>
      <c r="D1011" s="279"/>
      <c r="E1011" s="279"/>
      <c r="F1011" s="279"/>
      <c r="G1011" s="279"/>
      <c r="H1011" s="279"/>
      <c r="I1011" s="279"/>
      <c r="J1011" s="279"/>
      <c r="K1011" s="293"/>
      <c r="M1011" s="737"/>
      <c r="N1011" s="737"/>
      <c r="O1011" s="737"/>
      <c r="P1011" s="737"/>
      <c r="Q1011" s="737"/>
      <c r="R1011" s="737"/>
      <c r="S1011" s="737"/>
      <c r="T1011" s="737"/>
      <c r="U1011" s="737"/>
      <c r="V1011" s="737"/>
      <c r="Y1011" s="294"/>
      <c r="Z1011" s="280"/>
      <c r="AA1011" s="279"/>
      <c r="AB1011" s="280"/>
      <c r="AC1011" s="280"/>
      <c r="AD1011" s="280"/>
      <c r="AE1011" s="280"/>
    </row>
    <row r="1012" spans="3:31" ht="15.9" customHeight="1" thickBot="1" x14ac:dyDescent="0.35">
      <c r="C1012" s="292"/>
      <c r="D1012" s="295" t="s">
        <v>132</v>
      </c>
      <c r="E1012" s="296" t="s">
        <v>133</v>
      </c>
      <c r="F1012" s="296" t="s">
        <v>134</v>
      </c>
      <c r="G1012" s="296" t="s">
        <v>135</v>
      </c>
      <c r="H1012" s="296" t="s">
        <v>136</v>
      </c>
      <c r="I1012" s="296" t="s">
        <v>137</v>
      </c>
      <c r="J1012" s="297" t="s">
        <v>138</v>
      </c>
      <c r="K1012" s="293"/>
      <c r="M1012" s="738" t="s">
        <v>96</v>
      </c>
      <c r="N1012" s="738"/>
      <c r="O1012" s="738"/>
      <c r="P1012" s="738"/>
      <c r="Q1012" s="738"/>
      <c r="R1012" s="738"/>
      <c r="S1012" s="738"/>
      <c r="T1012" s="738"/>
      <c r="U1012" s="738"/>
      <c r="V1012" s="738"/>
      <c r="Y1012" s="298"/>
      <c r="Z1012" s="299"/>
      <c r="AA1012" s="279"/>
      <c r="AB1012" s="731"/>
      <c r="AC1012" s="732"/>
      <c r="AD1012" s="280"/>
      <c r="AE1012" s="303"/>
    </row>
    <row r="1013" spans="3:31" ht="15.9" customHeight="1" x14ac:dyDescent="0.3">
      <c r="C1013" s="292"/>
      <c r="D1013" s="304"/>
      <c r="E1013" s="305"/>
      <c r="F1013" s="305"/>
      <c r="G1013" s="305"/>
      <c r="H1013" s="305"/>
      <c r="I1013" s="305"/>
      <c r="J1013" s="306"/>
      <c r="K1013" s="293"/>
      <c r="M1013" s="307" t="s">
        <v>97</v>
      </c>
      <c r="N1013" s="706" t="s">
        <v>98</v>
      </c>
      <c r="O1013" s="706"/>
      <c r="P1013" s="706"/>
      <c r="Q1013" s="706"/>
      <c r="R1013" s="307" t="s">
        <v>99</v>
      </c>
      <c r="S1013" s="307" t="s">
        <v>100</v>
      </c>
      <c r="T1013" s="734" t="s">
        <v>8</v>
      </c>
      <c r="U1013" s="734"/>
      <c r="V1013" s="307" t="s">
        <v>101</v>
      </c>
      <c r="Y1013" s="308" t="s">
        <v>107</v>
      </c>
      <c r="Z1013" s="309" t="s">
        <v>9</v>
      </c>
      <c r="AA1013" s="279"/>
      <c r="AB1013" s="290"/>
      <c r="AC1013" s="291"/>
      <c r="AD1013" s="280"/>
      <c r="AE1013" s="310"/>
    </row>
    <row r="1014" spans="3:31" ht="15.9" customHeight="1" x14ac:dyDescent="0.3">
      <c r="C1014" s="292"/>
      <c r="D1014" s="311"/>
      <c r="E1014" s="279"/>
      <c r="F1014" s="279"/>
      <c r="G1014" s="279"/>
      <c r="H1014" s="279"/>
      <c r="I1014" s="279"/>
      <c r="J1014" s="312"/>
      <c r="K1014" s="293"/>
      <c r="M1014" s="313"/>
      <c r="N1014" s="718" t="s">
        <v>102</v>
      </c>
      <c r="O1014" s="718"/>
      <c r="P1014" s="718"/>
      <c r="Q1014" s="718"/>
      <c r="R1014" s="314" t="s">
        <v>103</v>
      </c>
      <c r="S1014" s="315">
        <f>$AA$9</f>
        <v>0.05</v>
      </c>
      <c r="T1014" s="739">
        <f>V1041</f>
        <v>36589</v>
      </c>
      <c r="U1014" s="739"/>
      <c r="V1014" s="316">
        <f>+IFERROR(T1014*S1014,0)</f>
        <v>1829.45</v>
      </c>
      <c r="Y1014" s="317"/>
      <c r="Z1014" s="318">
        <f>Y1010*V1014</f>
        <v>18294.5</v>
      </c>
      <c r="AA1014" s="279"/>
      <c r="AB1014" s="290"/>
      <c r="AC1014" s="291"/>
      <c r="AD1014" s="280"/>
      <c r="AE1014" s="310" t="str">
        <f>+IF(V1014=0,"CERO","NO")</f>
        <v>NO</v>
      </c>
    </row>
    <row r="1015" spans="3:31" ht="15.9" customHeight="1" x14ac:dyDescent="0.3">
      <c r="C1015" s="292"/>
      <c r="D1015" s="311"/>
      <c r="E1015" s="279"/>
      <c r="F1015" s="279"/>
      <c r="G1015" s="279"/>
      <c r="H1015" s="279"/>
      <c r="I1015" s="279"/>
      <c r="J1015" s="312"/>
      <c r="K1015" s="293"/>
      <c r="M1015" s="319">
        <v>0</v>
      </c>
      <c r="N1015" s="718" t="str">
        <f>IFERROR(VLOOKUP(M1015,INSUMOS!$C$8:$K$934,2,0),"-----")</f>
        <v>-----</v>
      </c>
      <c r="O1015" s="718"/>
      <c r="P1015" s="718"/>
      <c r="Q1015" s="718"/>
      <c r="R1015" s="314" t="str">
        <f>IFERROR(VLOOKUP(M1015,INSUMOS!$C$8:$K$934,6,0),"-----")</f>
        <v>-----</v>
      </c>
      <c r="S1015" s="320"/>
      <c r="T1015" s="740" t="str">
        <f>IFERROR(VLOOKUP(M1015,INSUMOS!$C$8:$K$934,7,0),"0")</f>
        <v>0</v>
      </c>
      <c r="U1015" s="740"/>
      <c r="V1015" s="316">
        <f>+IFERROR(T1015*S1015,0)</f>
        <v>0</v>
      </c>
      <c r="Y1015" s="321">
        <f>+IFERROR(Y1010*S1015,0)</f>
        <v>0</v>
      </c>
      <c r="Z1015" s="318">
        <f>Y1010*V1015</f>
        <v>0</v>
      </c>
      <c r="AA1015" s="300"/>
      <c r="AB1015" s="301">
        <f>+Y1015*T1015</f>
        <v>0</v>
      </c>
      <c r="AC1015" s="302">
        <f>+AB1015-Z1015</f>
        <v>0</v>
      </c>
      <c r="AD1015" s="280"/>
      <c r="AE1015" s="310" t="str">
        <f>+IF(V1015=0,"CERO","NO")</f>
        <v>CERO</v>
      </c>
    </row>
    <row r="1016" spans="3:31" ht="15.9" customHeight="1" x14ac:dyDescent="0.3">
      <c r="C1016" s="292"/>
      <c r="D1016" s="311"/>
      <c r="E1016" s="279"/>
      <c r="F1016" s="279"/>
      <c r="G1016" s="279"/>
      <c r="H1016" s="279"/>
      <c r="I1016" s="279"/>
      <c r="J1016" s="312"/>
      <c r="K1016" s="293"/>
      <c r="M1016" s="313">
        <v>0</v>
      </c>
      <c r="N1016" s="718" t="str">
        <f>IFERROR(VLOOKUP(M1016,INSUMOS!$C$8:$K$934,2,0),"-----")</f>
        <v>-----</v>
      </c>
      <c r="O1016" s="718"/>
      <c r="P1016" s="718"/>
      <c r="Q1016" s="718"/>
      <c r="R1016" s="314" t="str">
        <f>IFERROR(VLOOKUP(M1016,INSUMOS!$C$8:$K$934,6,0),"-----")</f>
        <v>-----</v>
      </c>
      <c r="S1016" s="320"/>
      <c r="T1016" s="740" t="str">
        <f>IFERROR(VLOOKUP(M1016,INSUMOS!$C$8:$K$934,7,0),"0")</f>
        <v>0</v>
      </c>
      <c r="U1016" s="740"/>
      <c r="V1016" s="316">
        <f>+IFERROR(T1016*S1016,0)</f>
        <v>0</v>
      </c>
      <c r="Y1016" s="321">
        <f>+IFERROR(Y1010*S1016,0)</f>
        <v>0</v>
      </c>
      <c r="Z1016" s="318">
        <f>Y1010*V1016</f>
        <v>0</v>
      </c>
      <c r="AA1016" s="300"/>
      <c r="AB1016" s="301">
        <f>+Y1016*T1016</f>
        <v>0</v>
      </c>
      <c r="AC1016" s="302">
        <f>+AB1016-Z1016</f>
        <v>0</v>
      </c>
      <c r="AD1016" s="280"/>
      <c r="AE1016" s="310" t="str">
        <f>+IF(V1016=0,"CERO","NO")</f>
        <v>CERO</v>
      </c>
    </row>
    <row r="1017" spans="3:31" ht="15.9" customHeight="1" thickBot="1" x14ac:dyDescent="0.35">
      <c r="C1017" s="292"/>
      <c r="D1017" s="311"/>
      <c r="E1017" s="279"/>
      <c r="F1017" s="279"/>
      <c r="G1017" s="279"/>
      <c r="H1017" s="279"/>
      <c r="I1017" s="279"/>
      <c r="J1017" s="312"/>
      <c r="K1017" s="293"/>
      <c r="M1017" s="313">
        <v>0</v>
      </c>
      <c r="N1017" s="718" t="str">
        <f>IFERROR(VLOOKUP(M1017,INSUMOS!$C$8:$K$934,2,0),"-----")</f>
        <v>-----</v>
      </c>
      <c r="O1017" s="718"/>
      <c r="P1017" s="718"/>
      <c r="Q1017" s="718"/>
      <c r="R1017" s="314" t="str">
        <f>IFERROR(VLOOKUP(M1017,INSUMOS!$C$8:$K$934,6,0),"-----")</f>
        <v>-----</v>
      </c>
      <c r="S1017" s="320"/>
      <c r="T1017" s="740" t="str">
        <f>IFERROR(VLOOKUP(M1017,INSUMOS!$C$8:$K$934,7,0),"0")</f>
        <v>0</v>
      </c>
      <c r="U1017" s="740"/>
      <c r="V1017" s="316">
        <f>+IFERROR(T1017*S1017,0)</f>
        <v>0</v>
      </c>
      <c r="Y1017" s="321">
        <f>+IFERROR(Y1010*S1017,0)</f>
        <v>0</v>
      </c>
      <c r="Z1017" s="318">
        <f>Y1010*V1017</f>
        <v>0</v>
      </c>
      <c r="AA1017" s="300"/>
      <c r="AB1017" s="301">
        <f>+Y1017*T1017</f>
        <v>0</v>
      </c>
      <c r="AC1017" s="302">
        <f>+AB1017-Z1017</f>
        <v>0</v>
      </c>
      <c r="AD1017" s="280"/>
      <c r="AE1017" s="310" t="str">
        <f>+IF(V1017=0,"CERO","NO")</f>
        <v>CERO</v>
      </c>
    </row>
    <row r="1018" spans="3:31" ht="15.9" customHeight="1" thickBot="1" x14ac:dyDescent="0.35">
      <c r="C1018" s="292"/>
      <c r="D1018" s="295" t="s">
        <v>132</v>
      </c>
      <c r="E1018" s="296" t="s">
        <v>133</v>
      </c>
      <c r="F1018" s="296" t="s">
        <v>134</v>
      </c>
      <c r="G1018" s="296" t="s">
        <v>135</v>
      </c>
      <c r="H1018" s="296" t="s">
        <v>136</v>
      </c>
      <c r="I1018" s="296" t="s">
        <v>137</v>
      </c>
      <c r="J1018" s="297" t="s">
        <v>138</v>
      </c>
      <c r="K1018" s="293"/>
      <c r="M1018" s="724"/>
      <c r="N1018" s="725" t="s">
        <v>104</v>
      </c>
      <c r="O1018" s="725"/>
      <c r="P1018" s="725"/>
      <c r="Q1018" s="725"/>
      <c r="R1018" s="725"/>
      <c r="S1018" s="725"/>
      <c r="T1018" s="725"/>
      <c r="U1018" s="725"/>
      <c r="V1018" s="316">
        <f>+SUM(V1014:V1017)</f>
        <v>1829.45</v>
      </c>
      <c r="Y1018" s="328" t="s">
        <v>139</v>
      </c>
      <c r="Z1018" s="329">
        <f>+SUM(Z1014:Z1017)</f>
        <v>18294.5</v>
      </c>
      <c r="AA1018" s="279"/>
      <c r="AB1018" s="290"/>
      <c r="AC1018" s="291"/>
      <c r="AD1018" s="280"/>
      <c r="AE1018" s="330"/>
    </row>
    <row r="1019" spans="3:31" ht="15.9" customHeight="1" thickBot="1" x14ac:dyDescent="0.35">
      <c r="C1019" s="292"/>
      <c r="D1019" s="295">
        <f>C1010</f>
        <v>1.1399999999999999</v>
      </c>
      <c r="E1019" s="296"/>
      <c r="F1019" s="296"/>
      <c r="G1019" s="296"/>
      <c r="H1019" s="296"/>
      <c r="I1019" s="296"/>
      <c r="J1019" s="297"/>
      <c r="K1019" s="293"/>
      <c r="M1019" s="724"/>
      <c r="N1019" s="726" t="s">
        <v>105</v>
      </c>
      <c r="O1019" s="726"/>
      <c r="P1019" s="726"/>
      <c r="Q1019" s="726"/>
      <c r="R1019" s="726"/>
      <c r="S1019" s="726"/>
      <c r="T1019" s="726"/>
      <c r="U1019" s="726"/>
      <c r="V1019" s="344">
        <f>+ROUND(V1018,$AA$2)</f>
        <v>1829</v>
      </c>
      <c r="Y1019" s="332" t="s">
        <v>140</v>
      </c>
      <c r="Z1019" s="333">
        <f>+ROUND(Z1018,$AA$2)</f>
        <v>18295</v>
      </c>
      <c r="AA1019" s="279"/>
      <c r="AB1019" s="324">
        <f>+V1019*Y1010</f>
        <v>18290</v>
      </c>
      <c r="AC1019" s="325">
        <f>+AB1019-Z1019</f>
        <v>-5</v>
      </c>
      <c r="AD1019" s="280"/>
      <c r="AE1019" s="334"/>
    </row>
    <row r="1020" spans="3:31" ht="15.9" customHeight="1" x14ac:dyDescent="0.3">
      <c r="C1020" s="292"/>
      <c r="D1020" s="304"/>
      <c r="E1020" s="305"/>
      <c r="F1020" s="305"/>
      <c r="G1020" s="305"/>
      <c r="H1020" s="305"/>
      <c r="I1020" s="305"/>
      <c r="J1020" s="306"/>
      <c r="K1020" s="293"/>
      <c r="M1020" s="730" t="s">
        <v>106</v>
      </c>
      <c r="N1020" s="730"/>
      <c r="O1020" s="730"/>
      <c r="P1020" s="730"/>
      <c r="Q1020" s="730"/>
      <c r="R1020" s="730"/>
      <c r="S1020" s="730"/>
      <c r="T1020" s="730"/>
      <c r="U1020" s="730"/>
      <c r="V1020" s="730"/>
      <c r="Y1020" s="298"/>
      <c r="Z1020" s="299"/>
      <c r="AA1020" s="279"/>
      <c r="AB1020" s="731"/>
      <c r="AC1020" s="732"/>
      <c r="AD1020" s="280"/>
      <c r="AE1020" s="335"/>
    </row>
    <row r="1021" spans="3:31" ht="15.9" customHeight="1" x14ac:dyDescent="0.3">
      <c r="C1021" s="292"/>
      <c r="D1021" s="311"/>
      <c r="E1021" s="279"/>
      <c r="F1021" s="279"/>
      <c r="G1021" s="279"/>
      <c r="H1021" s="279"/>
      <c r="I1021" s="279"/>
      <c r="J1021" s="312"/>
      <c r="K1021" s="293"/>
      <c r="M1021" s="307" t="s">
        <v>97</v>
      </c>
      <c r="N1021" s="706" t="s">
        <v>98</v>
      </c>
      <c r="O1021" s="706"/>
      <c r="P1021" s="706"/>
      <c r="Q1021" s="706"/>
      <c r="R1021" s="307" t="s">
        <v>99</v>
      </c>
      <c r="S1021" s="307" t="s">
        <v>107</v>
      </c>
      <c r="T1021" s="336" t="s">
        <v>108</v>
      </c>
      <c r="U1021" s="336" t="s">
        <v>8</v>
      </c>
      <c r="V1021" s="307" t="s">
        <v>101</v>
      </c>
      <c r="Y1021" s="308" t="s">
        <v>107</v>
      </c>
      <c r="Z1021" s="309" t="s">
        <v>9</v>
      </c>
      <c r="AA1021" s="279"/>
      <c r="AB1021" s="290"/>
      <c r="AC1021" s="291"/>
      <c r="AD1021" s="280"/>
      <c r="AE1021" s="337"/>
    </row>
    <row r="1022" spans="3:31" ht="15.9" customHeight="1" x14ac:dyDescent="0.3">
      <c r="C1022" s="292"/>
      <c r="D1022" s="311"/>
      <c r="E1022" s="279"/>
      <c r="F1022" s="279"/>
      <c r="G1022" s="279"/>
      <c r="H1022" s="279"/>
      <c r="I1022" s="279"/>
      <c r="J1022" s="312"/>
      <c r="K1022" s="293"/>
      <c r="M1022" s="313">
        <v>650</v>
      </c>
      <c r="N1022" s="718" t="str">
        <f>IFERROR(VLOOKUP(M1022,INSUMOS!$C$8:$K$934,2,0),"-----")</f>
        <v>kit Silla yee 200x160 mm</v>
      </c>
      <c r="O1022" s="718"/>
      <c r="P1022" s="718"/>
      <c r="Q1022" s="718"/>
      <c r="R1022" s="314" t="str">
        <f>IFERROR(VLOOKUP(M1022,INSUMOS!$C$8:$K$934,6,0),"-----")</f>
        <v>und</v>
      </c>
      <c r="S1022" s="322">
        <v>1</v>
      </c>
      <c r="T1022" s="315">
        <v>0</v>
      </c>
      <c r="U1022" s="338">
        <f>IFERROR(VLOOKUP(M1022,INSUMOS!$C$8:$K$934,7,0),"0")</f>
        <v>185920</v>
      </c>
      <c r="V1022" s="316">
        <f>+IFERROR(U1022*(S1022*(1+T1022)),0)</f>
        <v>185920</v>
      </c>
      <c r="Y1022" s="321">
        <f>+IFERROR(Y1010*(S1022*(1+T1022)),0)</f>
        <v>10</v>
      </c>
      <c r="Z1022" s="318">
        <f>Y1010*V1022</f>
        <v>1859200</v>
      </c>
      <c r="AA1022" s="300"/>
      <c r="AB1022" s="301">
        <f>+Y1022*U1022</f>
        <v>1859200</v>
      </c>
      <c r="AC1022" s="302">
        <f>+AB1022-Z1022</f>
        <v>0</v>
      </c>
      <c r="AD1022" s="280"/>
      <c r="AE1022" s="337" t="str">
        <f t="shared" ref="AE1022:AE1024" si="137">+IF(V1022=0,"CERO","NO")</f>
        <v>NO</v>
      </c>
    </row>
    <row r="1023" spans="3:31" ht="15.9" customHeight="1" x14ac:dyDescent="0.3">
      <c r="C1023" s="292"/>
      <c r="D1023" s="311"/>
      <c r="E1023" s="279"/>
      <c r="F1023" s="279"/>
      <c r="G1023" s="279"/>
      <c r="H1023" s="279"/>
      <c r="I1023" s="279"/>
      <c r="J1023" s="312"/>
      <c r="K1023" s="293"/>
      <c r="M1023" s="313">
        <v>625</v>
      </c>
      <c r="N1023" s="718" t="str">
        <f>IFERROR(VLOOKUP(M1023,INSUMOS!$C$8:$K$934,2,0),"-----")</f>
        <v>Adhesivo Epoxico - 1/4 gl</v>
      </c>
      <c r="O1023" s="718"/>
      <c r="P1023" s="718"/>
      <c r="Q1023" s="718"/>
      <c r="R1023" s="314" t="str">
        <f>IFERROR(VLOOKUP(M1023,INSUMOS!$C$8:$K$934,6,0),"-----")</f>
        <v>und</v>
      </c>
      <c r="S1023" s="322">
        <v>0.5</v>
      </c>
      <c r="T1023" s="315">
        <v>0.02</v>
      </c>
      <c r="U1023" s="338">
        <f>IFERROR(VLOOKUP(M1023,INSUMOS!$C$8:$K$934,7,0),"0")</f>
        <v>158621</v>
      </c>
      <c r="V1023" s="316">
        <f>+IFERROR(U1023*(S1023*(1+T1023)),0)</f>
        <v>80896.710000000006</v>
      </c>
      <c r="Y1023" s="321">
        <f>+IFERROR(Y1010*(S1023*(1+T1023)),0)</f>
        <v>5.0999999999999996</v>
      </c>
      <c r="Z1023" s="318">
        <f>Y1010*V1023</f>
        <v>808967.10000000009</v>
      </c>
      <c r="AA1023" s="300"/>
      <c r="AB1023" s="301">
        <f t="shared" ref="AB1023:AB1024" si="138">+Y1023*U1023</f>
        <v>808967.1</v>
      </c>
      <c r="AC1023" s="302">
        <f t="shared" ref="AC1023:AC1024" si="139">+AB1023-Z1023</f>
        <v>0</v>
      </c>
      <c r="AD1023" s="280"/>
      <c r="AE1023" s="337" t="str">
        <f t="shared" si="137"/>
        <v>NO</v>
      </c>
    </row>
    <row r="1024" spans="3:31" ht="15.9" customHeight="1" thickBot="1" x14ac:dyDescent="0.35">
      <c r="C1024" s="292"/>
      <c r="D1024" s="311"/>
      <c r="E1024" s="279"/>
      <c r="F1024" s="279"/>
      <c r="G1024" s="279"/>
      <c r="H1024" s="279"/>
      <c r="I1024" s="279"/>
      <c r="J1024" s="312"/>
      <c r="K1024" s="293"/>
      <c r="M1024" s="313">
        <v>0</v>
      </c>
      <c r="N1024" s="718" t="str">
        <f>IFERROR(VLOOKUP(M1024,INSUMOS!$C$8:$K$934,2,0),"-----")</f>
        <v>-----</v>
      </c>
      <c r="O1024" s="718"/>
      <c r="P1024" s="718"/>
      <c r="Q1024" s="718"/>
      <c r="R1024" s="314" t="str">
        <f>IFERROR(VLOOKUP(M1024,INSUMOS!$C$8:$K$934,6,0),"-----")</f>
        <v>-----</v>
      </c>
      <c r="S1024" s="322"/>
      <c r="T1024" s="315"/>
      <c r="U1024" s="338" t="str">
        <f>IFERROR(VLOOKUP(M1024,INSUMOS!$C$8:$K$934,7,0),"0")</f>
        <v>0</v>
      </c>
      <c r="V1024" s="316">
        <f>+IFERROR(U1024*(S1024*(1+T1024)),0)</f>
        <v>0</v>
      </c>
      <c r="Y1024" s="321">
        <f>+IFERROR(Y1010*(S1024*(1+T1024)),0)</f>
        <v>0</v>
      </c>
      <c r="Z1024" s="318">
        <f>Y1010*V1024</f>
        <v>0</v>
      </c>
      <c r="AA1024" s="300"/>
      <c r="AB1024" s="301">
        <f t="shared" si="138"/>
        <v>0</v>
      </c>
      <c r="AC1024" s="302">
        <f t="shared" si="139"/>
        <v>0</v>
      </c>
      <c r="AD1024" s="280"/>
      <c r="AE1024" s="337" t="str">
        <f t="shared" si="137"/>
        <v>CERO</v>
      </c>
    </row>
    <row r="1025" spans="3:31" ht="15.9" customHeight="1" thickBot="1" x14ac:dyDescent="0.35">
      <c r="C1025" s="292"/>
      <c r="D1025" s="295" t="s">
        <v>132</v>
      </c>
      <c r="E1025" s="296" t="s">
        <v>133</v>
      </c>
      <c r="F1025" s="296" t="s">
        <v>134</v>
      </c>
      <c r="G1025" s="296" t="s">
        <v>135</v>
      </c>
      <c r="H1025" s="296" t="s">
        <v>136</v>
      </c>
      <c r="I1025" s="296" t="s">
        <v>137</v>
      </c>
      <c r="J1025" s="297" t="s">
        <v>138</v>
      </c>
      <c r="K1025" s="293"/>
      <c r="M1025" s="724"/>
      <c r="N1025" s="725" t="s">
        <v>109</v>
      </c>
      <c r="O1025" s="725"/>
      <c r="P1025" s="725"/>
      <c r="Q1025" s="725"/>
      <c r="R1025" s="725"/>
      <c r="S1025" s="725"/>
      <c r="T1025" s="725"/>
      <c r="U1025" s="725"/>
      <c r="V1025" s="316">
        <f>+SUM(V1022:V1024)</f>
        <v>266816.71000000002</v>
      </c>
      <c r="Y1025" s="328" t="s">
        <v>139</v>
      </c>
      <c r="Z1025" s="329">
        <f>+SUM(Z1022:Z1024)</f>
        <v>2668167.1</v>
      </c>
      <c r="AA1025" s="279"/>
      <c r="AB1025" s="290"/>
      <c r="AC1025" s="291"/>
      <c r="AD1025" s="280"/>
      <c r="AE1025" s="330"/>
    </row>
    <row r="1026" spans="3:31" ht="15.9" customHeight="1" thickBot="1" x14ac:dyDescent="0.35">
      <c r="C1026" s="292"/>
      <c r="D1026" s="295"/>
      <c r="E1026" s="343">
        <f>+D1019</f>
        <v>1.1399999999999999</v>
      </c>
      <c r="F1026" s="296"/>
      <c r="G1026" s="296"/>
      <c r="H1026" s="296"/>
      <c r="I1026" s="296"/>
      <c r="J1026" s="297"/>
      <c r="K1026" s="293"/>
      <c r="M1026" s="724"/>
      <c r="N1026" s="726" t="s">
        <v>110</v>
      </c>
      <c r="O1026" s="726"/>
      <c r="P1026" s="726"/>
      <c r="Q1026" s="726"/>
      <c r="R1026" s="726"/>
      <c r="S1026" s="726"/>
      <c r="T1026" s="726"/>
      <c r="U1026" s="726"/>
      <c r="V1026" s="344">
        <f>+ROUND(V1025,$AA$2)</f>
        <v>266817</v>
      </c>
      <c r="Y1026" s="332" t="s">
        <v>140</v>
      </c>
      <c r="Z1026" s="333">
        <f>+ROUND(Z1025,$AA$2)</f>
        <v>2668167</v>
      </c>
      <c r="AA1026" s="279"/>
      <c r="AB1026" s="324">
        <f>+V1026*Y1010</f>
        <v>2668170</v>
      </c>
      <c r="AC1026" s="325">
        <f>+AB1026-Z1026</f>
        <v>3</v>
      </c>
      <c r="AD1026" s="280"/>
      <c r="AE1026" s="334"/>
    </row>
    <row r="1027" spans="3:31" ht="15.9" customHeight="1" x14ac:dyDescent="0.3">
      <c r="C1027" s="292"/>
      <c r="D1027" s="304"/>
      <c r="E1027" s="305"/>
      <c r="F1027" s="305"/>
      <c r="G1027" s="305"/>
      <c r="H1027" s="305"/>
      <c r="I1027" s="305"/>
      <c r="J1027" s="306"/>
      <c r="K1027" s="293"/>
      <c r="M1027" s="733" t="s">
        <v>111</v>
      </c>
      <c r="N1027" s="733"/>
      <c r="O1027" s="733"/>
      <c r="P1027" s="733"/>
      <c r="Q1027" s="733"/>
      <c r="R1027" s="733"/>
      <c r="S1027" s="733"/>
      <c r="T1027" s="733"/>
      <c r="U1027" s="733"/>
      <c r="V1027" s="733"/>
      <c r="Y1027" s="298"/>
      <c r="Z1027" s="299"/>
      <c r="AA1027" s="279"/>
      <c r="AB1027" s="342"/>
      <c r="AC1027" s="299"/>
      <c r="AD1027" s="280"/>
      <c r="AE1027" s="335"/>
    </row>
    <row r="1028" spans="3:31" ht="27.6" x14ac:dyDescent="0.3">
      <c r="C1028" s="292"/>
      <c r="D1028" s="311"/>
      <c r="E1028" s="279"/>
      <c r="F1028" s="279"/>
      <c r="G1028" s="279"/>
      <c r="H1028" s="279"/>
      <c r="I1028" s="279"/>
      <c r="J1028" s="312"/>
      <c r="K1028" s="293"/>
      <c r="M1028" s="307" t="s">
        <v>97</v>
      </c>
      <c r="N1028" s="706" t="s">
        <v>98</v>
      </c>
      <c r="O1028" s="706"/>
      <c r="P1028" s="706"/>
      <c r="Q1028" s="307" t="s">
        <v>112</v>
      </c>
      <c r="R1028" s="307" t="s">
        <v>113</v>
      </c>
      <c r="S1028" s="307" t="s">
        <v>114</v>
      </c>
      <c r="T1028" s="734" t="s">
        <v>115</v>
      </c>
      <c r="U1028" s="734"/>
      <c r="V1028" s="307" t="s">
        <v>101</v>
      </c>
      <c r="Y1028" s="308" t="s">
        <v>107</v>
      </c>
      <c r="Z1028" s="309" t="s">
        <v>9</v>
      </c>
      <c r="AA1028" s="279"/>
      <c r="AB1028" s="290"/>
      <c r="AC1028" s="291"/>
      <c r="AD1028" s="280"/>
      <c r="AE1028" s="349"/>
    </row>
    <row r="1029" spans="3:31" ht="14.4" x14ac:dyDescent="0.3">
      <c r="C1029" s="350"/>
      <c r="D1029" s="351"/>
      <c r="E1029" s="345"/>
      <c r="F1029" s="345"/>
      <c r="G1029" s="345"/>
      <c r="H1029" s="345"/>
      <c r="I1029" s="345"/>
      <c r="J1029" s="352"/>
      <c r="K1029" s="353"/>
      <c r="M1029" s="354">
        <v>129</v>
      </c>
      <c r="N1029" s="718" t="str">
        <f>IFERROR(VLOOKUP(M1029,INSUMOS!$C$8:$K$934,2,0),"-----")</f>
        <v>transporte materiales - San Gil</v>
      </c>
      <c r="O1029" s="718"/>
      <c r="P1029" s="718"/>
      <c r="Q1029" s="314" t="str">
        <f>IFERROR(VLOOKUP(M1029,INSUMOS!$C$8:$K$934,5,0),"-----")</f>
        <v>kg/km</v>
      </c>
      <c r="R1029" s="355">
        <v>5</v>
      </c>
      <c r="S1029" s="355">
        <f>IFERROR(VLOOKUP(M1029,INSUMOS!$C$8:$K$934,6,0),"0")</f>
        <v>4.87</v>
      </c>
      <c r="T1029" s="719">
        <f>IFERROR(VLOOKUP(M1029,INSUMOS!$C$8:$K$934,7,0),"0")</f>
        <v>1000</v>
      </c>
      <c r="U1029" s="719"/>
      <c r="V1029" s="515">
        <f>+T1029*S1029*R1029</f>
        <v>24350</v>
      </c>
      <c r="Y1029" s="321">
        <f>+IFERROR((R1029*S1029)*Y1010,0)</f>
        <v>243.5</v>
      </c>
      <c r="Z1029" s="318">
        <f>Y1010*V1029</f>
        <v>243500</v>
      </c>
      <c r="AA1029" s="345"/>
      <c r="AB1029" s="346">
        <f>+Y1029*T1029</f>
        <v>243500</v>
      </c>
      <c r="AC1029" s="347">
        <f>+AB1029-Z1029</f>
        <v>0</v>
      </c>
      <c r="AD1029" s="348"/>
      <c r="AE1029" s="337" t="str">
        <f t="shared" ref="AE1029:AE1032" si="140">+IF(V1029=0,"CERO","NO")</f>
        <v>NO</v>
      </c>
    </row>
    <row r="1030" spans="3:31" ht="15.9" customHeight="1" x14ac:dyDescent="0.3">
      <c r="C1030" s="350"/>
      <c r="D1030" s="351"/>
      <c r="E1030" s="345"/>
      <c r="F1030" s="345"/>
      <c r="G1030" s="345"/>
      <c r="H1030" s="345"/>
      <c r="I1030" s="345"/>
      <c r="J1030" s="352"/>
      <c r="K1030" s="353"/>
      <c r="M1030" s="354">
        <v>0</v>
      </c>
      <c r="N1030" s="718" t="str">
        <f>IFERROR(VLOOKUP(M1030,INSUMOS!$C$8:$K$934,2,0),"-----")</f>
        <v>-----</v>
      </c>
      <c r="O1030" s="718"/>
      <c r="P1030" s="718"/>
      <c r="Q1030" s="314" t="str">
        <f>IFERROR(VLOOKUP(M1030,INSUMOS!$C$8:$K$934,5,0),"-----")</f>
        <v>-----</v>
      </c>
      <c r="R1030" s="355"/>
      <c r="S1030" s="355" t="str">
        <f>IFERROR(VLOOKUP(M1030,INSUMOS!$C$8:$K$934,6,0),"0")</f>
        <v>0</v>
      </c>
      <c r="T1030" s="719" t="str">
        <f>IFERROR(VLOOKUP(M1030,INSUMOS!$C$8:$K$934,7,0),"0")</f>
        <v>0</v>
      </c>
      <c r="U1030" s="719"/>
      <c r="V1030" s="515">
        <f>+T1030*S1030*R1030</f>
        <v>0</v>
      </c>
      <c r="Y1030" s="321">
        <f>+IFERROR((R1030*S1030)*Y1010,0)</f>
        <v>0</v>
      </c>
      <c r="Z1030" s="318">
        <f>Y1010*V1030</f>
        <v>0</v>
      </c>
      <c r="AA1030" s="345"/>
      <c r="AB1030" s="346">
        <f>+Y1030*T1030</f>
        <v>0</v>
      </c>
      <c r="AC1030" s="347">
        <f>+AB1030-Z1030</f>
        <v>0</v>
      </c>
      <c r="AD1030" s="348"/>
      <c r="AE1030" s="337" t="str">
        <f t="shared" si="140"/>
        <v>CERO</v>
      </c>
    </row>
    <row r="1031" spans="3:31" ht="15.9" customHeight="1" x14ac:dyDescent="0.3">
      <c r="C1031" s="350"/>
      <c r="D1031" s="351"/>
      <c r="E1031" s="345"/>
      <c r="F1031" s="345"/>
      <c r="G1031" s="345"/>
      <c r="H1031" s="345"/>
      <c r="I1031" s="345"/>
      <c r="J1031" s="352"/>
      <c r="K1031" s="353"/>
      <c r="M1031" s="354">
        <v>0</v>
      </c>
      <c r="N1031" s="718" t="str">
        <f>IFERROR(VLOOKUP(M1031,INSUMOS!$C$8:$K$934,2,0),"-----")</f>
        <v>-----</v>
      </c>
      <c r="O1031" s="718"/>
      <c r="P1031" s="718"/>
      <c r="Q1031" s="314" t="str">
        <f>IFERROR(VLOOKUP(M1031,INSUMOS!$C$8:$K$934,5,0),"-----")</f>
        <v>-----</v>
      </c>
      <c r="R1031" s="355"/>
      <c r="S1031" s="355" t="str">
        <f>IFERROR(VLOOKUP(M1031,INSUMOS!$C$8:$K$934,6,0),"0")</f>
        <v>0</v>
      </c>
      <c r="T1031" s="719" t="str">
        <f>IFERROR(VLOOKUP(M1031,INSUMOS!$C$8:$K$934,7,0),"0")</f>
        <v>0</v>
      </c>
      <c r="U1031" s="719"/>
      <c r="V1031" s="515">
        <f>+T1031*S1031*R1031</f>
        <v>0</v>
      </c>
      <c r="Y1031" s="321">
        <f>+IFERROR((R1031*S1031)*Y1010,0)</f>
        <v>0</v>
      </c>
      <c r="Z1031" s="318">
        <f>Y1010*V1031</f>
        <v>0</v>
      </c>
      <c r="AA1031" s="345"/>
      <c r="AB1031" s="346">
        <f t="shared" ref="AB1031" si="141">+Y1031*T1031</f>
        <v>0</v>
      </c>
      <c r="AC1031" s="347">
        <f t="shared" ref="AC1031" si="142">+AB1031-Z1031</f>
        <v>0</v>
      </c>
      <c r="AD1031" s="348"/>
      <c r="AE1031" s="337" t="str">
        <f t="shared" si="140"/>
        <v>CERO</v>
      </c>
    </row>
    <row r="1032" spans="3:31" ht="15.9" customHeight="1" thickBot="1" x14ac:dyDescent="0.35">
      <c r="C1032" s="350"/>
      <c r="D1032" s="360"/>
      <c r="E1032" s="361"/>
      <c r="F1032" s="361"/>
      <c r="G1032" s="361"/>
      <c r="H1032" s="361"/>
      <c r="I1032" s="361"/>
      <c r="J1032" s="362"/>
      <c r="K1032" s="353"/>
      <c r="M1032" s="354">
        <v>0</v>
      </c>
      <c r="N1032" s="718"/>
      <c r="O1032" s="718"/>
      <c r="P1032" s="718"/>
      <c r="Q1032" s="357"/>
      <c r="R1032" s="314"/>
      <c r="S1032" s="358"/>
      <c r="T1032" s="719"/>
      <c r="U1032" s="719"/>
      <c r="V1032" s="515"/>
      <c r="Y1032" s="321">
        <f>+IFERROR((R1032*S1032)*Y1010,0)</f>
        <v>0</v>
      </c>
      <c r="Z1032" s="318">
        <f>Y1010*V1032</f>
        <v>0</v>
      </c>
      <c r="AA1032" s="345"/>
      <c r="AB1032" s="346">
        <f>+Y1032*T1032</f>
        <v>0</v>
      </c>
      <c r="AC1032" s="347">
        <f>+AB1032-Z1032</f>
        <v>0</v>
      </c>
      <c r="AD1032" s="348"/>
      <c r="AE1032" s="337" t="str">
        <f t="shared" si="140"/>
        <v>CERO</v>
      </c>
    </row>
    <row r="1033" spans="3:31" ht="15.9" customHeight="1" thickBot="1" x14ac:dyDescent="0.35">
      <c r="C1033" s="292"/>
      <c r="D1033" s="295" t="s">
        <v>132</v>
      </c>
      <c r="E1033" s="296" t="s">
        <v>133</v>
      </c>
      <c r="F1033" s="296" t="s">
        <v>134</v>
      </c>
      <c r="G1033" s="296" t="s">
        <v>135</v>
      </c>
      <c r="H1033" s="296" t="s">
        <v>136</v>
      </c>
      <c r="I1033" s="296" t="s">
        <v>137</v>
      </c>
      <c r="J1033" s="297" t="s">
        <v>138</v>
      </c>
      <c r="K1033" s="293"/>
      <c r="M1033" s="720"/>
      <c r="N1033" s="721" t="s">
        <v>116</v>
      </c>
      <c r="O1033" s="721"/>
      <c r="P1033" s="721"/>
      <c r="Q1033" s="721"/>
      <c r="R1033" s="721"/>
      <c r="S1033" s="721"/>
      <c r="T1033" s="721"/>
      <c r="U1033" s="721"/>
      <c r="V1033" s="499">
        <f>+SUM(V1029:V1032)</f>
        <v>24350</v>
      </c>
      <c r="Y1033" s="328" t="s">
        <v>139</v>
      </c>
      <c r="Z1033" s="329">
        <f>+SUM(Z1029:Z1032)</f>
        <v>243500</v>
      </c>
      <c r="AA1033" s="279"/>
      <c r="AB1033" s="290"/>
      <c r="AC1033" s="291"/>
      <c r="AD1033" s="280"/>
      <c r="AE1033" s="330"/>
    </row>
    <row r="1034" spans="3:31" ht="15.9" customHeight="1" thickBot="1" x14ac:dyDescent="0.35">
      <c r="C1034" s="292"/>
      <c r="D1034" s="363"/>
      <c r="E1034" s="364"/>
      <c r="F1034" s="365">
        <f>+E1026</f>
        <v>1.1399999999999999</v>
      </c>
      <c r="G1034" s="364"/>
      <c r="H1034" s="364"/>
      <c r="I1034" s="364"/>
      <c r="J1034" s="366"/>
      <c r="K1034" s="293"/>
      <c r="M1034" s="720"/>
      <c r="N1034" s="722" t="s">
        <v>117</v>
      </c>
      <c r="O1034" s="722"/>
      <c r="P1034" s="722"/>
      <c r="Q1034" s="722"/>
      <c r="R1034" s="722"/>
      <c r="S1034" s="722"/>
      <c r="T1034" s="722"/>
      <c r="U1034" s="722"/>
      <c r="V1034" s="344">
        <f>+ROUND(V1033,$AA$2)</f>
        <v>24350</v>
      </c>
      <c r="Y1034" s="332" t="s">
        <v>140</v>
      </c>
      <c r="Z1034" s="333">
        <f>+ROUND(Z1033,$AA$2)</f>
        <v>243500</v>
      </c>
      <c r="AA1034" s="279"/>
      <c r="AB1034" s="324">
        <f>+V1034*Y1010</f>
        <v>243500</v>
      </c>
      <c r="AC1034" s="359"/>
      <c r="AD1034" s="280"/>
      <c r="AE1034" s="334"/>
    </row>
    <row r="1035" spans="3:31" ht="15.9" customHeight="1" thickBot="1" x14ac:dyDescent="0.35">
      <c r="C1035" s="292"/>
      <c r="D1035" s="369"/>
      <c r="E1035" s="370"/>
      <c r="F1035" s="370"/>
      <c r="G1035" s="370"/>
      <c r="H1035" s="370"/>
      <c r="I1035" s="370"/>
      <c r="J1035" s="371"/>
      <c r="K1035" s="293"/>
      <c r="M1035" s="723" t="s">
        <v>118</v>
      </c>
      <c r="N1035" s="723"/>
      <c r="O1035" s="723"/>
      <c r="P1035" s="723"/>
      <c r="Q1035" s="723"/>
      <c r="R1035" s="723"/>
      <c r="S1035" s="723"/>
      <c r="T1035" s="723"/>
      <c r="U1035" s="723"/>
      <c r="V1035" s="723"/>
      <c r="Y1035" s="298"/>
      <c r="Z1035" s="299"/>
      <c r="AA1035" s="279"/>
      <c r="AB1035" s="342"/>
      <c r="AC1035" s="299"/>
      <c r="AD1035" s="280"/>
      <c r="AE1035" s="335"/>
    </row>
    <row r="1036" spans="3:31" ht="15.9" customHeight="1" thickBot="1" x14ac:dyDescent="0.35">
      <c r="C1036" s="292"/>
      <c r="D1036" s="295" t="s">
        <v>132</v>
      </c>
      <c r="E1036" s="296" t="s">
        <v>133</v>
      </c>
      <c r="F1036" s="296" t="s">
        <v>134</v>
      </c>
      <c r="G1036" s="296" t="s">
        <v>135</v>
      </c>
      <c r="H1036" s="296" t="s">
        <v>136</v>
      </c>
      <c r="I1036" s="296" t="s">
        <v>137</v>
      </c>
      <c r="J1036" s="297" t="s">
        <v>138</v>
      </c>
      <c r="K1036" s="293"/>
      <c r="M1036" s="307" t="s">
        <v>97</v>
      </c>
      <c r="N1036" s="372" t="s">
        <v>98</v>
      </c>
      <c r="O1036" s="307" t="s">
        <v>99</v>
      </c>
      <c r="P1036" s="396" t="s">
        <v>107</v>
      </c>
      <c r="Q1036" s="307" t="s">
        <v>119</v>
      </c>
      <c r="R1036" s="373" t="s">
        <v>120</v>
      </c>
      <c r="S1036" s="307" t="s">
        <v>363</v>
      </c>
      <c r="T1036" s="374" t="s">
        <v>121</v>
      </c>
      <c r="U1036" s="375" t="s">
        <v>122</v>
      </c>
      <c r="V1036" s="307" t="s">
        <v>101</v>
      </c>
      <c r="Y1036" s="308" t="s">
        <v>107</v>
      </c>
      <c r="Z1036" s="309" t="s">
        <v>9</v>
      </c>
      <c r="AA1036" s="279"/>
      <c r="AB1036" s="290"/>
      <c r="AC1036" s="291"/>
      <c r="AD1036" s="280"/>
      <c r="AE1036" s="349"/>
    </row>
    <row r="1037" spans="3:31" ht="14.4" x14ac:dyDescent="0.3">
      <c r="C1037" s="292"/>
      <c r="D1037" s="376"/>
      <c r="E1037" s="377"/>
      <c r="F1037" s="377"/>
      <c r="G1037" s="377"/>
      <c r="H1037" s="377"/>
      <c r="I1037" s="377"/>
      <c r="J1037" s="378">
        <f>+F1034</f>
        <v>1.1399999999999999</v>
      </c>
      <c r="K1037" s="293"/>
      <c r="M1037" s="313">
        <v>201</v>
      </c>
      <c r="N1037" s="379" t="str">
        <f>IFERROR(VLOOKUP(M1037,INSUMOS!$C$8:$K$934,2,0),"-----")</f>
        <v>Oficial Albañileria</v>
      </c>
      <c r="O1037" s="314" t="str">
        <f>IFERROR(VLOOKUP(M1037,INSUMOS!$C$8:$K$934,3,0),"-----")</f>
        <v>JORNAL+PS</v>
      </c>
      <c r="P1037" s="355">
        <v>1</v>
      </c>
      <c r="Q1037" s="339">
        <v>15</v>
      </c>
      <c r="R1037" s="380">
        <f>IFERROR(VLOOKUP(M1037,INSUMOS!$C$8:$K$934,4,0),"-----")</f>
        <v>114970</v>
      </c>
      <c r="S1037" s="380">
        <f>IFERROR(VLOOKUP(M1037,INSUMOS!$C$8:$K$934,6,0),"-----")</f>
        <v>91976</v>
      </c>
      <c r="T1037" s="380">
        <f>IFERROR(VLOOKUP(M1037,INSUMOS!$C$8:$K$934,5,0),"-----")</f>
        <v>0</v>
      </c>
      <c r="U1037" s="338">
        <f>SUM(R1037:T1037)</f>
        <v>206946</v>
      </c>
      <c r="V1037" s="316">
        <f>+IFERROR((P1037/Q1037)*U1037,0)</f>
        <v>13796.4</v>
      </c>
      <c r="Y1037" s="321">
        <f>+IFERROR((Y1010/Q1037*P1037),0)</f>
        <v>0.66666666666666663</v>
      </c>
      <c r="Z1037" s="318">
        <f>Y1010*V1037</f>
        <v>137964</v>
      </c>
      <c r="AA1037" s="279"/>
      <c r="AB1037" s="367">
        <f>+(U1037)*Y1037</f>
        <v>137964</v>
      </c>
      <c r="AC1037" s="302">
        <f>+AB1037-Z1037</f>
        <v>0</v>
      </c>
      <c r="AD1037" s="368"/>
      <c r="AE1037" s="349" t="str">
        <f>+IF(V1037=0,"CERO","NO")</f>
        <v>NO</v>
      </c>
    </row>
    <row r="1038" spans="3:31" ht="15.9" customHeight="1" thickBot="1" x14ac:dyDescent="0.35">
      <c r="C1038" s="292"/>
      <c r="D1038" s="363"/>
      <c r="E1038" s="364"/>
      <c r="F1038" s="364"/>
      <c r="G1038" s="364"/>
      <c r="H1038" s="364"/>
      <c r="I1038" s="364"/>
      <c r="J1038" s="381">
        <f>+J1037</f>
        <v>1.1399999999999999</v>
      </c>
      <c r="K1038" s="293"/>
      <c r="M1038" s="313">
        <v>202</v>
      </c>
      <c r="N1038" s="379" t="str">
        <f>IFERROR(VLOOKUP(M1038,INSUMOS!$C$8:$K$934,2,0),"-----")</f>
        <v>Ayudante Albañileria</v>
      </c>
      <c r="O1038" s="314" t="str">
        <f>IFERROR(VLOOKUP(M1038,INSUMOS!$C$8:$K$934,3,0),"-----")</f>
        <v>JORNAL+PS</v>
      </c>
      <c r="P1038" s="355">
        <v>2</v>
      </c>
      <c r="Q1038" s="339">
        <v>15</v>
      </c>
      <c r="R1038" s="380">
        <f>IFERROR(VLOOKUP(M1038,INSUMOS!$C$8:$K$934,4,0),"-----")</f>
        <v>94970</v>
      </c>
      <c r="S1038" s="380">
        <f>IFERROR(VLOOKUP(M1038,INSUMOS!$C$8:$K$934,6,0),"-----")</f>
        <v>75976</v>
      </c>
      <c r="T1038" s="380">
        <f>IFERROR(VLOOKUP(M1038,INSUMOS!$C$8:$K$934,5,0),"-----")</f>
        <v>0</v>
      </c>
      <c r="U1038" s="338">
        <f>SUM(R1038:T1038)</f>
        <v>170946</v>
      </c>
      <c r="V1038" s="316">
        <f>+IFERROR((P1038/Q1038)*U1038,0)</f>
        <v>22792.799999999999</v>
      </c>
      <c r="Y1038" s="321">
        <f>+IFERROR((Y1010/Q1038*P1038),0)</f>
        <v>1.3333333333333333</v>
      </c>
      <c r="Z1038" s="318">
        <f>Y1010*V1038</f>
        <v>227928</v>
      </c>
      <c r="AA1038" s="279"/>
      <c r="AB1038" s="367">
        <f>+U1038*Y1038</f>
        <v>227928</v>
      </c>
      <c r="AC1038" s="302">
        <f>+AB1038-Z1038</f>
        <v>0</v>
      </c>
      <c r="AD1038" s="280"/>
      <c r="AE1038" s="349" t="str">
        <f t="shared" ref="AE1038:AE1039" si="143">+IF(V1038=0,"CERO","NO")</f>
        <v>NO</v>
      </c>
    </row>
    <row r="1039" spans="3:31" ht="15.9" customHeight="1" thickBot="1" x14ac:dyDescent="0.35">
      <c r="C1039" s="292"/>
      <c r="D1039" s="304"/>
      <c r="E1039" s="305"/>
      <c r="F1039" s="305"/>
      <c r="G1039" s="305"/>
      <c r="H1039" s="305"/>
      <c r="I1039" s="305"/>
      <c r="J1039" s="306"/>
      <c r="K1039" s="293"/>
      <c r="M1039" s="313">
        <v>0</v>
      </c>
      <c r="N1039" s="379"/>
      <c r="O1039" s="339"/>
      <c r="P1039" s="382"/>
      <c r="Q1039" s="319"/>
      <c r="R1039" s="383"/>
      <c r="S1039" s="384"/>
      <c r="T1039" s="383"/>
      <c r="U1039" s="338"/>
      <c r="V1039" s="323"/>
      <c r="Y1039" s="321">
        <f>+IFERROR((Y1010/Q1039*P1039),0)</f>
        <v>0</v>
      </c>
      <c r="Z1039" s="318">
        <f>Y1010*V1039</f>
        <v>0</v>
      </c>
      <c r="AA1039" s="279"/>
      <c r="AB1039" s="367">
        <f>+(U1039)*Y1039*P1039</f>
        <v>0</v>
      </c>
      <c r="AC1039" s="302">
        <f>+AB1039-Z1039</f>
        <v>0</v>
      </c>
      <c r="AD1039" s="280"/>
      <c r="AE1039" s="349" t="str">
        <f t="shared" si="143"/>
        <v>CERO</v>
      </c>
    </row>
    <row r="1040" spans="3:31" ht="15.9" customHeight="1" thickBot="1" x14ac:dyDescent="0.35">
      <c r="C1040" s="292"/>
      <c r="D1040" s="295" t="s">
        <v>132</v>
      </c>
      <c r="E1040" s="296" t="s">
        <v>133</v>
      </c>
      <c r="F1040" s="296" t="s">
        <v>134</v>
      </c>
      <c r="G1040" s="296" t="s">
        <v>135</v>
      </c>
      <c r="H1040" s="296" t="s">
        <v>136</v>
      </c>
      <c r="I1040" s="296" t="s">
        <v>137</v>
      </c>
      <c r="J1040" s="297" t="s">
        <v>138</v>
      </c>
      <c r="K1040" s="293"/>
      <c r="M1040" s="724"/>
      <c r="N1040" s="725" t="s">
        <v>123</v>
      </c>
      <c r="O1040" s="725"/>
      <c r="P1040" s="725"/>
      <c r="Q1040" s="725"/>
      <c r="R1040" s="725"/>
      <c r="S1040" s="725"/>
      <c r="T1040" s="725"/>
      <c r="U1040" s="725"/>
      <c r="V1040" s="316">
        <f>+SUM(V1037:V1039)</f>
        <v>36589.199999999997</v>
      </c>
      <c r="Y1040" s="328" t="s">
        <v>139</v>
      </c>
      <c r="Z1040" s="329">
        <f>+SUM(Z1037:Z1039)</f>
        <v>365892</v>
      </c>
      <c r="AA1040" s="279"/>
      <c r="AB1040" s="290"/>
      <c r="AC1040" s="291"/>
      <c r="AD1040" s="280"/>
      <c r="AE1040" s="330"/>
    </row>
    <row r="1041" spans="3:31" ht="15.9" customHeight="1" thickBot="1" x14ac:dyDescent="0.35">
      <c r="C1041" s="292"/>
      <c r="D1041" s="376"/>
      <c r="E1041" s="377"/>
      <c r="F1041" s="377"/>
      <c r="G1041" s="386">
        <f>+F1034</f>
        <v>1.1399999999999999</v>
      </c>
      <c r="H1041" s="377"/>
      <c r="I1041" s="377"/>
      <c r="J1041" s="387"/>
      <c r="K1041" s="293"/>
      <c r="M1041" s="724"/>
      <c r="N1041" s="726" t="s">
        <v>124</v>
      </c>
      <c r="O1041" s="726"/>
      <c r="P1041" s="726"/>
      <c r="Q1041" s="726"/>
      <c r="R1041" s="726"/>
      <c r="S1041" s="726"/>
      <c r="T1041" s="726"/>
      <c r="U1041" s="726"/>
      <c r="V1041" s="344">
        <f>+ROUND(V1040,$AA$2)</f>
        <v>36589</v>
      </c>
      <c r="Y1041" s="332" t="s">
        <v>140</v>
      </c>
      <c r="Z1041" s="333">
        <f>+ROUND(Z1040,$AA$2)</f>
        <v>365892</v>
      </c>
      <c r="AA1041" s="279"/>
      <c r="AB1041" s="324">
        <f>+V1041*Y1010</f>
        <v>365890</v>
      </c>
      <c r="AC1041" s="325">
        <f>+AB1041-Z1041</f>
        <v>-2</v>
      </c>
      <c r="AD1041" s="280"/>
      <c r="AE1041" s="334"/>
    </row>
    <row r="1042" spans="3:31" ht="15.9" customHeight="1" thickBot="1" x14ac:dyDescent="0.35">
      <c r="C1042" s="292"/>
      <c r="D1042" s="295" t="s">
        <v>132</v>
      </c>
      <c r="E1042" s="296" t="s">
        <v>133</v>
      </c>
      <c r="F1042" s="296" t="s">
        <v>134</v>
      </c>
      <c r="G1042" s="296" t="s">
        <v>135</v>
      </c>
      <c r="H1042" s="296" t="s">
        <v>136</v>
      </c>
      <c r="I1042" s="296" t="s">
        <v>137</v>
      </c>
      <c r="J1042" s="297" t="s">
        <v>138</v>
      </c>
      <c r="K1042" s="293"/>
      <c r="M1042" s="727"/>
      <c r="N1042" s="727"/>
      <c r="O1042" s="727"/>
      <c r="P1042" s="727"/>
      <c r="Q1042" s="727"/>
      <c r="R1042" s="727"/>
      <c r="S1042" s="727"/>
      <c r="T1042" s="727"/>
      <c r="U1042" s="727"/>
      <c r="V1042" s="727"/>
      <c r="Y1042" s="298"/>
      <c r="Z1042" s="299"/>
      <c r="AA1042" s="279"/>
      <c r="AB1042" s="342"/>
      <c r="AC1042" s="299"/>
      <c r="AD1042" s="280"/>
      <c r="AE1042" s="388"/>
    </row>
    <row r="1043" spans="3:31" ht="15.9" customHeight="1" thickBot="1" x14ac:dyDescent="0.35">
      <c r="C1043" s="292"/>
      <c r="D1043" s="363"/>
      <c r="E1043" s="364"/>
      <c r="F1043" s="364"/>
      <c r="G1043" s="364"/>
      <c r="H1043" s="365">
        <f>G1041</f>
        <v>1.1399999999999999</v>
      </c>
      <c r="I1043" s="365"/>
      <c r="J1043" s="381"/>
      <c r="K1043" s="293"/>
      <c r="M1043" s="726" t="s">
        <v>125</v>
      </c>
      <c r="N1043" s="726"/>
      <c r="O1043" s="726"/>
      <c r="P1043" s="726"/>
      <c r="Q1043" s="726"/>
      <c r="R1043" s="726"/>
      <c r="S1043" s="726"/>
      <c r="T1043" s="726"/>
      <c r="U1043" s="728">
        <f>+V1041+V1034+V1026+V1019</f>
        <v>329585</v>
      </c>
      <c r="V1043" s="728"/>
      <c r="Y1043" s="389"/>
      <c r="Z1043" s="390">
        <f>+Z1041+Z1034+Z1026+Z1019</f>
        <v>3295854</v>
      </c>
      <c r="AA1043" s="279"/>
      <c r="AB1043" s="385">
        <f>+AB1041+AB1034+AB1026+AB1019</f>
        <v>3295850</v>
      </c>
      <c r="AC1043" s="325">
        <f>+AB1043-Z1043</f>
        <v>-4</v>
      </c>
      <c r="AD1043" s="280"/>
      <c r="AE1043" s="391"/>
    </row>
    <row r="1044" spans="3:31" ht="15.9" customHeight="1" thickBot="1" x14ac:dyDescent="0.3">
      <c r="M1044" s="412"/>
      <c r="N1044" s="412"/>
      <c r="O1044" s="412"/>
      <c r="P1044" s="412"/>
      <c r="Q1044" s="412"/>
      <c r="R1044" s="412"/>
      <c r="S1044" s="412"/>
      <c r="T1044" s="412"/>
      <c r="U1044" s="412"/>
      <c r="V1044" s="412"/>
    </row>
    <row r="1045" spans="3:31" ht="15.9" customHeight="1" x14ac:dyDescent="0.25">
      <c r="M1045" s="729" t="s">
        <v>364</v>
      </c>
      <c r="N1045" s="729"/>
      <c r="O1045" s="729"/>
      <c r="P1045" s="729"/>
      <c r="Q1045" s="729"/>
      <c r="R1045" s="729"/>
      <c r="S1045" s="729"/>
      <c r="T1045" s="729"/>
      <c r="U1045" s="729"/>
      <c r="V1045" s="729"/>
      <c r="Y1045" s="298"/>
      <c r="Z1045" s="299"/>
      <c r="AA1045" s="279"/>
      <c r="AB1045" s="280"/>
      <c r="AC1045" s="280"/>
      <c r="AD1045" s="280"/>
      <c r="AE1045" s="335" t="s">
        <v>137</v>
      </c>
    </row>
    <row r="1046" spans="3:31" ht="15.9" customHeight="1" x14ac:dyDescent="0.25">
      <c r="M1046" s="700" t="s">
        <v>142</v>
      </c>
      <c r="N1046" s="700"/>
      <c r="O1046" s="700"/>
      <c r="P1046" s="700"/>
      <c r="Q1046" s="700"/>
      <c r="R1046" s="700"/>
      <c r="S1046" s="700"/>
      <c r="T1046" s="413">
        <f>$AA$3</f>
        <v>0.25</v>
      </c>
      <c r="U1046" s="701">
        <f>+ROUND(U1043*T1046,$AA$2)</f>
        <v>82396</v>
      </c>
      <c r="V1046" s="701"/>
      <c r="Y1046" s="317"/>
      <c r="Z1046" s="414">
        <f>+Z1043*T1046</f>
        <v>823963.5</v>
      </c>
      <c r="AA1046" s="279"/>
      <c r="AB1046" s="280"/>
      <c r="AC1046" s="280"/>
      <c r="AD1046" s="280"/>
      <c r="AE1046" s="310" t="s">
        <v>137</v>
      </c>
    </row>
    <row r="1047" spans="3:31" ht="15.9" customHeight="1" x14ac:dyDescent="0.25">
      <c r="M1047" s="700" t="s">
        <v>19</v>
      </c>
      <c r="N1047" s="700"/>
      <c r="O1047" s="700"/>
      <c r="P1047" s="700"/>
      <c r="Q1047" s="700"/>
      <c r="R1047" s="700"/>
      <c r="S1047" s="700"/>
      <c r="T1047" s="413">
        <f>$AA$4</f>
        <v>0.03</v>
      </c>
      <c r="U1047" s="701">
        <f>+ROUND(U1043*T1047,$AA$2)</f>
        <v>9888</v>
      </c>
      <c r="V1047" s="701"/>
      <c r="Y1047" s="317"/>
      <c r="Z1047" s="414">
        <f>+Z1043*T1047</f>
        <v>98875.62</v>
      </c>
      <c r="AA1047" s="279"/>
      <c r="AB1047" s="280"/>
      <c r="AC1047" s="280"/>
      <c r="AD1047" s="280"/>
      <c r="AE1047" s="310" t="s">
        <v>137</v>
      </c>
    </row>
    <row r="1048" spans="3:31" ht="15.9" customHeight="1" x14ac:dyDescent="0.25">
      <c r="M1048" s="700" t="s">
        <v>20</v>
      </c>
      <c r="N1048" s="700"/>
      <c r="O1048" s="700"/>
      <c r="P1048" s="700"/>
      <c r="Q1048" s="700"/>
      <c r="R1048" s="700"/>
      <c r="S1048" s="700"/>
      <c r="T1048" s="413">
        <f>$AA$5</f>
        <v>0.05</v>
      </c>
      <c r="U1048" s="701">
        <f>+ROUND(U1043*T1048,$AA$2)</f>
        <v>16479</v>
      </c>
      <c r="V1048" s="701"/>
      <c r="Y1048" s="317"/>
      <c r="Z1048" s="414">
        <f>+Z1043*T1048</f>
        <v>164792.70000000001</v>
      </c>
      <c r="AA1048" s="279"/>
      <c r="AB1048" s="280"/>
      <c r="AC1048" s="280"/>
      <c r="AD1048" s="280"/>
      <c r="AE1048" s="310" t="s">
        <v>137</v>
      </c>
    </row>
    <row r="1049" spans="3:31" ht="15.9" customHeight="1" x14ac:dyDescent="0.25">
      <c r="M1049" s="700" t="s">
        <v>21</v>
      </c>
      <c r="N1049" s="700"/>
      <c r="O1049" s="700"/>
      <c r="P1049" s="700"/>
      <c r="Q1049" s="700"/>
      <c r="R1049" s="700"/>
      <c r="S1049" s="700"/>
      <c r="T1049" s="413">
        <f>$AA$6</f>
        <v>0</v>
      </c>
      <c r="U1049" s="701">
        <f>+ROUND(U1043*T1049,$AA$2)</f>
        <v>0</v>
      </c>
      <c r="V1049" s="701"/>
      <c r="Y1049" s="317"/>
      <c r="Z1049" s="414">
        <f>+Z1048*T1049</f>
        <v>0</v>
      </c>
      <c r="AA1049" s="279"/>
      <c r="AB1049" s="280"/>
      <c r="AC1049" s="280"/>
      <c r="AD1049" s="280"/>
      <c r="AE1049" s="310" t="s">
        <v>137</v>
      </c>
    </row>
    <row r="1050" spans="3:31" ht="15.9" customHeight="1" thickBot="1" x14ac:dyDescent="0.3">
      <c r="M1050" s="702" t="s">
        <v>365</v>
      </c>
      <c r="N1050" s="702"/>
      <c r="O1050" s="702"/>
      <c r="P1050" s="702"/>
      <c r="Q1050" s="702"/>
      <c r="R1050" s="702"/>
      <c r="S1050" s="702"/>
      <c r="T1050" s="702"/>
      <c r="U1050" s="703">
        <f>+SUM(U1046:V1049)</f>
        <v>108763</v>
      </c>
      <c r="V1050" s="703"/>
      <c r="Y1050" s="317"/>
      <c r="Z1050" s="415">
        <f>+SUM(Z1046:Z1049)</f>
        <v>1087631.82</v>
      </c>
      <c r="AA1050" s="279"/>
      <c r="AB1050" s="280"/>
      <c r="AC1050" s="280"/>
      <c r="AD1050" s="280"/>
      <c r="AE1050" s="310" t="s">
        <v>137</v>
      </c>
    </row>
    <row r="1051" spans="3:31" ht="15.9" customHeight="1" thickBot="1" x14ac:dyDescent="0.3">
      <c r="D1051" s="295" t="s">
        <v>132</v>
      </c>
      <c r="E1051" s="296" t="s">
        <v>133</v>
      </c>
      <c r="F1051" s="296" t="s">
        <v>134</v>
      </c>
      <c r="G1051" s="296" t="s">
        <v>135</v>
      </c>
      <c r="H1051" s="296" t="s">
        <v>136</v>
      </c>
      <c r="I1051" s="296" t="s">
        <v>137</v>
      </c>
      <c r="J1051" s="297" t="s">
        <v>138</v>
      </c>
      <c r="M1051" s="377"/>
      <c r="N1051" s="416"/>
      <c r="O1051" s="416"/>
      <c r="P1051" s="416"/>
      <c r="Q1051" s="377"/>
      <c r="R1051" s="377"/>
      <c r="S1051" s="377"/>
      <c r="T1051" s="417"/>
      <c r="U1051" s="701"/>
      <c r="V1051" s="701"/>
      <c r="Y1051" s="317"/>
      <c r="Z1051" s="291"/>
      <c r="AA1051" s="279"/>
      <c r="AB1051" s="280"/>
      <c r="AC1051" s="280"/>
      <c r="AD1051" s="280"/>
      <c r="AE1051" s="310" t="s">
        <v>137</v>
      </c>
    </row>
    <row r="1052" spans="3:31" ht="15.9" customHeight="1" thickBot="1" x14ac:dyDescent="0.3">
      <c r="D1052" s="363"/>
      <c r="E1052" s="364"/>
      <c r="F1052" s="364"/>
      <c r="G1052" s="364"/>
      <c r="H1052" s="365"/>
      <c r="I1052" s="365">
        <f>H1043</f>
        <v>1.1399999999999999</v>
      </c>
      <c r="J1052" s="381"/>
      <c r="M1052" s="702" t="s">
        <v>11</v>
      </c>
      <c r="N1052" s="702"/>
      <c r="O1052" s="702"/>
      <c r="P1052" s="702"/>
      <c r="Q1052" s="702"/>
      <c r="R1052" s="702"/>
      <c r="S1052" s="702"/>
      <c r="T1052" s="702"/>
      <c r="U1052" s="704">
        <f>+U1050+U1043</f>
        <v>438348</v>
      </c>
      <c r="V1052" s="704"/>
      <c r="Y1052" s="389"/>
      <c r="Z1052" s="418">
        <f>+Z1050+Z1043</f>
        <v>4383485.82</v>
      </c>
      <c r="AA1052" s="279"/>
      <c r="AB1052" s="280"/>
      <c r="AC1052" s="280"/>
      <c r="AD1052" s="280"/>
      <c r="AE1052" s="334" t="s">
        <v>137</v>
      </c>
    </row>
    <row r="1053" spans="3:31" ht="15.9" customHeight="1" x14ac:dyDescent="0.25">
      <c r="M1053" s="705"/>
      <c r="N1053" s="705"/>
      <c r="O1053" s="705"/>
      <c r="P1053" s="705"/>
      <c r="Q1053" s="705"/>
      <c r="R1053" s="706"/>
      <c r="S1053" s="706"/>
      <c r="T1053" s="706"/>
      <c r="U1053" s="706"/>
      <c r="V1053" s="706"/>
    </row>
    <row r="1054" spans="3:31" ht="15.9" customHeight="1" x14ac:dyDescent="0.25">
      <c r="M1054" s="705"/>
      <c r="N1054" s="705"/>
      <c r="O1054" s="705"/>
      <c r="P1054" s="705"/>
      <c r="Q1054" s="705"/>
      <c r="R1054" s="706"/>
      <c r="S1054" s="706"/>
      <c r="T1054" s="706"/>
      <c r="U1054" s="706"/>
      <c r="V1054" s="706"/>
    </row>
    <row r="1055" spans="3:31" ht="15.9" customHeight="1" x14ac:dyDescent="0.25">
      <c r="M1055" s="705"/>
      <c r="N1055" s="705"/>
      <c r="O1055" s="705"/>
      <c r="P1055" s="705"/>
      <c r="Q1055" s="705"/>
      <c r="R1055" s="706"/>
      <c r="S1055" s="706"/>
      <c r="T1055" s="706"/>
      <c r="U1055" s="706"/>
      <c r="V1055" s="706"/>
    </row>
    <row r="1056" spans="3:31" ht="15.9" customHeight="1" x14ac:dyDescent="0.25">
      <c r="M1056" s="705"/>
      <c r="N1056" s="705"/>
      <c r="O1056" s="705"/>
      <c r="P1056" s="705"/>
      <c r="Q1056" s="705"/>
      <c r="R1056" s="706"/>
      <c r="S1056" s="706"/>
      <c r="T1056" s="706"/>
      <c r="U1056" s="706"/>
      <c r="V1056" s="706"/>
    </row>
    <row r="1057" spans="3:31" ht="15.9" customHeight="1" x14ac:dyDescent="0.25">
      <c r="M1057" s="707" t="s">
        <v>128</v>
      </c>
      <c r="N1057" s="708" t="str">
        <f>$N$6</f>
        <v>ING. JEYSON JULIAN LEON RUEDA</v>
      </c>
      <c r="O1057" s="709"/>
      <c r="P1057" s="709"/>
      <c r="Q1057" s="710"/>
      <c r="R1057" s="711" t="s">
        <v>129</v>
      </c>
      <c r="S1057" s="708" t="str">
        <f>$S$6</f>
        <v>ARQ. YASMID ROCÍO CARRILLO MORA</v>
      </c>
      <c r="T1057" s="709"/>
      <c r="U1057" s="709"/>
      <c r="V1057" s="710"/>
    </row>
    <row r="1058" spans="3:31" ht="15.9" customHeight="1" x14ac:dyDescent="0.25">
      <c r="M1058" s="707"/>
      <c r="N1058" s="712" t="str">
        <f>$N$7</f>
        <v>MP. 68202-416348 STD</v>
      </c>
      <c r="O1058" s="713"/>
      <c r="P1058" s="713"/>
      <c r="Q1058" s="714"/>
      <c r="R1058" s="711"/>
      <c r="S1058" s="712" t="str">
        <f>$S$7</f>
        <v>SECRETARIA DE PLANEACIÓN Y OBRAS PÚBLICAS</v>
      </c>
      <c r="T1058" s="713"/>
      <c r="U1058" s="713"/>
      <c r="V1058" s="714"/>
    </row>
    <row r="1059" spans="3:31" ht="15.9" customHeight="1" x14ac:dyDescent="0.25">
      <c r="M1059" s="707"/>
      <c r="N1059" s="715"/>
      <c r="O1059" s="716"/>
      <c r="P1059" s="716"/>
      <c r="Q1059" s="717"/>
      <c r="R1059" s="711"/>
      <c r="S1059" s="712" t="str">
        <f>$S$8</f>
        <v>MUNICIPIO DE PINCHOTE</v>
      </c>
      <c r="T1059" s="713"/>
      <c r="U1059" s="713"/>
      <c r="V1059" s="714"/>
    </row>
    <row r="1060" spans="3:31" ht="15.9" customHeight="1" x14ac:dyDescent="0.25"/>
    <row r="1061" spans="3:31" ht="15.9" customHeight="1" thickBot="1" x14ac:dyDescent="0.3"/>
    <row r="1062" spans="3:31" ht="15.9" customHeight="1" thickBot="1" x14ac:dyDescent="0.3">
      <c r="M1062" s="281" t="s">
        <v>90</v>
      </c>
      <c r="N1062" s="410" t="s">
        <v>30</v>
      </c>
      <c r="O1062" s="706" t="str">
        <f>IFERROR(VLOOKUP(N1062,PPTO!$C$9:$H$64,2,0),"----")</f>
        <v>ESTRUCTURA VIAL EN PIEDRA LABOR</v>
      </c>
      <c r="P1062" s="706"/>
      <c r="Q1062" s="706"/>
      <c r="R1062" s="706"/>
      <c r="S1062" s="706"/>
      <c r="T1062" s="706"/>
      <c r="U1062" s="706"/>
      <c r="V1062" s="283" t="s">
        <v>93</v>
      </c>
      <c r="Y1062" s="284" t="s">
        <v>107</v>
      </c>
      <c r="Z1062" s="280"/>
      <c r="AA1062" s="274"/>
      <c r="AB1062" s="735"/>
      <c r="AC1062" s="735"/>
      <c r="AD1062" s="735"/>
      <c r="AE1062" s="280"/>
    </row>
    <row r="1063" spans="3:31" ht="15.9" customHeight="1" thickBot="1" x14ac:dyDescent="0.35">
      <c r="C1063" s="285">
        <f>+N1063</f>
        <v>3.3</v>
      </c>
      <c r="D1063" s="279"/>
      <c r="E1063" s="279"/>
      <c r="F1063" s="279"/>
      <c r="G1063" s="279"/>
      <c r="H1063" s="279"/>
      <c r="I1063" s="279"/>
      <c r="J1063" s="279"/>
      <c r="K1063" s="286"/>
      <c r="M1063" s="283" t="s">
        <v>94</v>
      </c>
      <c r="N1063" s="287">
        <v>3.3</v>
      </c>
      <c r="O1063" s="736" t="str">
        <f>IFERROR(VLOOKUP(N1063,PPTO!$C$9:$H$64,2,0),"----")</f>
        <v>Excavaciones en material común en seco a maquina (Incluye retiro y disposición final)</v>
      </c>
      <c r="P1063" s="736"/>
      <c r="Q1063" s="736"/>
      <c r="R1063" s="736"/>
      <c r="S1063" s="736"/>
      <c r="T1063" s="736"/>
      <c r="U1063" s="736"/>
      <c r="V1063" s="288" t="str">
        <f>IFERROR(VLOOKUP(N1063,PPTO!$C$9:$H$64,3,0),"----")</f>
        <v>m3</v>
      </c>
      <c r="Y1063" s="289">
        <f>SUMIFS(PPTO!$F$7:$F$63,PPTO!$C$7:$C$63,APUS!N1063)</f>
        <v>117.29999999999998</v>
      </c>
      <c r="Z1063" s="280"/>
      <c r="AA1063" s="279"/>
      <c r="AB1063" s="280"/>
      <c r="AC1063" s="280"/>
      <c r="AD1063" s="280"/>
      <c r="AE1063" s="280"/>
    </row>
    <row r="1064" spans="3:31" ht="15.9" customHeight="1" thickBot="1" x14ac:dyDescent="0.35">
      <c r="C1064" s="292"/>
      <c r="D1064" s="279"/>
      <c r="E1064" s="279"/>
      <c r="F1064" s="279"/>
      <c r="G1064" s="279"/>
      <c r="H1064" s="279"/>
      <c r="I1064" s="279"/>
      <c r="J1064" s="279"/>
      <c r="K1064" s="293"/>
      <c r="M1064" s="737"/>
      <c r="N1064" s="737"/>
      <c r="O1064" s="737"/>
      <c r="P1064" s="737"/>
      <c r="Q1064" s="737"/>
      <c r="R1064" s="737"/>
      <c r="S1064" s="737"/>
      <c r="T1064" s="737"/>
      <c r="U1064" s="737"/>
      <c r="V1064" s="737"/>
      <c r="Y1064" s="294"/>
      <c r="Z1064" s="280"/>
      <c r="AA1064" s="279"/>
      <c r="AB1064" s="280"/>
      <c r="AC1064" s="280"/>
      <c r="AD1064" s="280"/>
      <c r="AE1064" s="280"/>
    </row>
    <row r="1065" spans="3:31" ht="15.9" customHeight="1" thickBot="1" x14ac:dyDescent="0.35">
      <c r="C1065" s="292"/>
      <c r="D1065" s="295" t="s">
        <v>132</v>
      </c>
      <c r="E1065" s="296" t="s">
        <v>133</v>
      </c>
      <c r="F1065" s="296" t="s">
        <v>134</v>
      </c>
      <c r="G1065" s="296" t="s">
        <v>135</v>
      </c>
      <c r="H1065" s="296" t="s">
        <v>136</v>
      </c>
      <c r="I1065" s="296" t="s">
        <v>137</v>
      </c>
      <c r="J1065" s="297" t="s">
        <v>138</v>
      </c>
      <c r="K1065" s="293"/>
      <c r="M1065" s="738" t="s">
        <v>96</v>
      </c>
      <c r="N1065" s="738"/>
      <c r="O1065" s="738"/>
      <c r="P1065" s="738"/>
      <c r="Q1065" s="738"/>
      <c r="R1065" s="738"/>
      <c r="S1065" s="738"/>
      <c r="T1065" s="738"/>
      <c r="U1065" s="738"/>
      <c r="V1065" s="738"/>
      <c r="Y1065" s="298"/>
      <c r="Z1065" s="299"/>
      <c r="AA1065" s="279"/>
      <c r="AB1065" s="731"/>
      <c r="AC1065" s="732"/>
      <c r="AD1065" s="280"/>
      <c r="AE1065" s="303"/>
    </row>
    <row r="1066" spans="3:31" ht="15.9" customHeight="1" x14ac:dyDescent="0.3">
      <c r="C1066" s="292"/>
      <c r="D1066" s="304"/>
      <c r="E1066" s="305"/>
      <c r="F1066" s="305"/>
      <c r="G1066" s="305"/>
      <c r="H1066" s="305"/>
      <c r="I1066" s="305"/>
      <c r="J1066" s="306"/>
      <c r="K1066" s="293"/>
      <c r="M1066" s="307" t="s">
        <v>97</v>
      </c>
      <c r="N1066" s="706" t="s">
        <v>98</v>
      </c>
      <c r="O1066" s="706"/>
      <c r="P1066" s="706"/>
      <c r="Q1066" s="706"/>
      <c r="R1066" s="307" t="s">
        <v>99</v>
      </c>
      <c r="S1066" s="307" t="s">
        <v>100</v>
      </c>
      <c r="T1066" s="734" t="s">
        <v>8</v>
      </c>
      <c r="U1066" s="734"/>
      <c r="V1066" s="307" t="s">
        <v>101</v>
      </c>
      <c r="Y1066" s="308" t="s">
        <v>107</v>
      </c>
      <c r="Z1066" s="309" t="s">
        <v>9</v>
      </c>
      <c r="AA1066" s="279"/>
      <c r="AB1066" s="290"/>
      <c r="AC1066" s="291"/>
      <c r="AD1066" s="280"/>
      <c r="AE1066" s="310"/>
    </row>
    <row r="1067" spans="3:31" ht="15.9" customHeight="1" x14ac:dyDescent="0.3">
      <c r="C1067" s="292"/>
      <c r="D1067" s="311"/>
      <c r="E1067" s="279"/>
      <c r="F1067" s="279"/>
      <c r="G1067" s="279"/>
      <c r="H1067" s="279"/>
      <c r="I1067" s="279"/>
      <c r="J1067" s="312"/>
      <c r="K1067" s="293"/>
      <c r="M1067" s="313"/>
      <c r="N1067" s="718" t="s">
        <v>102</v>
      </c>
      <c r="O1067" s="718"/>
      <c r="P1067" s="718"/>
      <c r="Q1067" s="718"/>
      <c r="R1067" s="314" t="s">
        <v>103</v>
      </c>
      <c r="S1067" s="315">
        <f>$AA$9</f>
        <v>0.05</v>
      </c>
      <c r="T1067" s="766">
        <f>V1094</f>
        <v>3419</v>
      </c>
      <c r="U1067" s="766"/>
      <c r="V1067" s="316">
        <f>+IFERROR(T1067*S1067,0)</f>
        <v>170.95000000000002</v>
      </c>
      <c r="Y1067" s="317"/>
      <c r="Z1067" s="318">
        <f>Y1063*V1067</f>
        <v>20052.434999999998</v>
      </c>
      <c r="AA1067" s="279"/>
      <c r="AB1067" s="290"/>
      <c r="AC1067" s="291"/>
      <c r="AD1067" s="280"/>
      <c r="AE1067" s="310" t="str">
        <f>+IF(V1067=0,"CERO","NO")</f>
        <v>NO</v>
      </c>
    </row>
    <row r="1068" spans="3:31" ht="15.9" customHeight="1" x14ac:dyDescent="0.3">
      <c r="C1068" s="292"/>
      <c r="D1068" s="311"/>
      <c r="E1068" s="279"/>
      <c r="F1068" s="279"/>
      <c r="G1068" s="279"/>
      <c r="H1068" s="279"/>
      <c r="I1068" s="279"/>
      <c r="J1068" s="312"/>
      <c r="K1068" s="293"/>
      <c r="M1068" s="319">
        <v>99</v>
      </c>
      <c r="N1068" s="718" t="str">
        <f>IFERROR(VLOOKUP(M1068,INSUMOS!$C$8:$K$934,2,0),"-----")</f>
        <v>Disposicion final de escombros</v>
      </c>
      <c r="O1068" s="718"/>
      <c r="P1068" s="718"/>
      <c r="Q1068" s="718"/>
      <c r="R1068" s="314" t="str">
        <f>IFERROR(VLOOKUP(M1068,INSUMOS!$C$8:$K$934,6,0),"-----")</f>
        <v>m3</v>
      </c>
      <c r="S1068" s="320">
        <v>1.2</v>
      </c>
      <c r="T1068" s="767">
        <f>IFERROR(VLOOKUP(M1068,INSUMOS!$C$8:$K$934,7,0),"0")</f>
        <v>9683</v>
      </c>
      <c r="U1068" s="767"/>
      <c r="V1068" s="316">
        <f>+IFERROR(T1068*S1068,0)</f>
        <v>11619.6</v>
      </c>
      <c r="Y1068" s="321">
        <f>+IFERROR(Y1063*S1068,0)</f>
        <v>140.75999999999996</v>
      </c>
      <c r="Z1068" s="318">
        <f>Y1063*V1068</f>
        <v>1362979.0799999998</v>
      </c>
      <c r="AA1068" s="300"/>
      <c r="AB1068" s="301">
        <f>+Y1068*T1068</f>
        <v>1362979.0799999996</v>
      </c>
      <c r="AC1068" s="302">
        <f>+AB1068-Z1068</f>
        <v>0</v>
      </c>
      <c r="AD1068" s="280"/>
      <c r="AE1068" s="310" t="str">
        <f>+IF(V1068=0,"CERO","NO")</f>
        <v>NO</v>
      </c>
    </row>
    <row r="1069" spans="3:31" ht="15.9" customHeight="1" x14ac:dyDescent="0.3">
      <c r="C1069" s="292"/>
      <c r="D1069" s="311"/>
      <c r="E1069" s="279"/>
      <c r="F1069" s="279"/>
      <c r="G1069" s="279"/>
      <c r="H1069" s="279"/>
      <c r="I1069" s="279"/>
      <c r="J1069" s="312"/>
      <c r="K1069" s="293"/>
      <c r="M1069" s="313">
        <v>30</v>
      </c>
      <c r="N1069" s="718" t="str">
        <f>IFERROR(VLOOKUP(M1069,INSUMOS!$C$8:$K$934,2,0),"-----")</f>
        <v>RetroExcavadora</v>
      </c>
      <c r="O1069" s="718"/>
      <c r="P1069" s="718"/>
      <c r="Q1069" s="718"/>
      <c r="R1069" s="314" t="str">
        <f>IFERROR(VLOOKUP(M1069,INSUMOS!$C$8:$K$934,6,0),"-----")</f>
        <v>Hora</v>
      </c>
      <c r="S1069" s="320">
        <v>0.2</v>
      </c>
      <c r="T1069" s="767">
        <f>IFERROR(VLOOKUP(M1069,INSUMOS!$C$8:$K$934,7,0),"0")</f>
        <v>190000</v>
      </c>
      <c r="U1069" s="767"/>
      <c r="V1069" s="316">
        <f>+IFERROR(T1069*S1069,0)</f>
        <v>38000</v>
      </c>
      <c r="Y1069" s="321">
        <f>+IFERROR(Y1063*S1069,0)</f>
        <v>23.459999999999997</v>
      </c>
      <c r="Z1069" s="318">
        <f>Y1063*V1069</f>
        <v>4457399.9999999991</v>
      </c>
      <c r="AA1069" s="300"/>
      <c r="AB1069" s="301">
        <f>+Y1069*T1069</f>
        <v>4457399.9999999991</v>
      </c>
      <c r="AC1069" s="302">
        <f>+AB1069-Z1069</f>
        <v>0</v>
      </c>
      <c r="AD1069" s="280"/>
      <c r="AE1069" s="310" t="str">
        <f>+IF(V1069=0,"CERO","NO")</f>
        <v>NO</v>
      </c>
    </row>
    <row r="1070" spans="3:31" ht="15.9" customHeight="1" thickBot="1" x14ac:dyDescent="0.35">
      <c r="C1070" s="292"/>
      <c r="D1070" s="311"/>
      <c r="E1070" s="279"/>
      <c r="F1070" s="279"/>
      <c r="G1070" s="279"/>
      <c r="H1070" s="279"/>
      <c r="I1070" s="279"/>
      <c r="J1070" s="312"/>
      <c r="K1070" s="293"/>
      <c r="M1070" s="313">
        <v>0</v>
      </c>
      <c r="N1070" s="727"/>
      <c r="O1070" s="727"/>
      <c r="P1070" s="727"/>
      <c r="Q1070" s="727"/>
      <c r="R1070" s="326"/>
      <c r="S1070" s="326"/>
      <c r="T1070" s="768"/>
      <c r="U1070" s="768"/>
      <c r="V1070" s="327"/>
      <c r="Y1070" s="321">
        <f>+IFERROR(Y1063*S1070,0)</f>
        <v>0</v>
      </c>
      <c r="Z1070" s="318">
        <f>Y1063*V1070</f>
        <v>0</v>
      </c>
      <c r="AA1070" s="300"/>
      <c r="AB1070" s="301">
        <f>+Y1070*T1070</f>
        <v>0</v>
      </c>
      <c r="AC1070" s="302">
        <f>+AB1070-Z1070</f>
        <v>0</v>
      </c>
      <c r="AD1070" s="280"/>
      <c r="AE1070" s="310" t="str">
        <f>+IF(V1070=0,"CERO","NO")</f>
        <v>CERO</v>
      </c>
    </row>
    <row r="1071" spans="3:31" ht="15.9" customHeight="1" thickBot="1" x14ac:dyDescent="0.35">
      <c r="C1071" s="292"/>
      <c r="D1071" s="295" t="s">
        <v>132</v>
      </c>
      <c r="E1071" s="296" t="s">
        <v>133</v>
      </c>
      <c r="F1071" s="296" t="s">
        <v>134</v>
      </c>
      <c r="G1071" s="296" t="s">
        <v>135</v>
      </c>
      <c r="H1071" s="296" t="s">
        <v>136</v>
      </c>
      <c r="I1071" s="296" t="s">
        <v>137</v>
      </c>
      <c r="J1071" s="297" t="s">
        <v>138</v>
      </c>
      <c r="K1071" s="293"/>
      <c r="M1071" s="724"/>
      <c r="N1071" s="725" t="s">
        <v>104</v>
      </c>
      <c r="O1071" s="725"/>
      <c r="P1071" s="725"/>
      <c r="Q1071" s="725"/>
      <c r="R1071" s="725"/>
      <c r="S1071" s="725"/>
      <c r="T1071" s="725"/>
      <c r="U1071" s="725"/>
      <c r="V1071" s="316">
        <f>+SUM(V1067:V1070)</f>
        <v>49790.55</v>
      </c>
      <c r="Y1071" s="328" t="s">
        <v>139</v>
      </c>
      <c r="Z1071" s="329">
        <f>+SUM(Z1067:Z1070)</f>
        <v>5840431.5149999987</v>
      </c>
      <c r="AA1071" s="279"/>
      <c r="AB1071" s="290"/>
      <c r="AC1071" s="291"/>
      <c r="AD1071" s="280"/>
      <c r="AE1071" s="330"/>
    </row>
    <row r="1072" spans="3:31" ht="15.9" customHeight="1" thickBot="1" x14ac:dyDescent="0.35">
      <c r="C1072" s="292"/>
      <c r="D1072" s="295">
        <f>C1063</f>
        <v>3.3</v>
      </c>
      <c r="E1072" s="296"/>
      <c r="F1072" s="296"/>
      <c r="G1072" s="296"/>
      <c r="H1072" s="296"/>
      <c r="I1072" s="296"/>
      <c r="J1072" s="297"/>
      <c r="K1072" s="293"/>
      <c r="M1072" s="724"/>
      <c r="N1072" s="726" t="s">
        <v>105</v>
      </c>
      <c r="O1072" s="726"/>
      <c r="P1072" s="726"/>
      <c r="Q1072" s="726"/>
      <c r="R1072" s="726"/>
      <c r="S1072" s="726"/>
      <c r="T1072" s="726"/>
      <c r="U1072" s="726"/>
      <c r="V1072" s="344">
        <f>+ROUND(V1071,$AA$2)</f>
        <v>49791</v>
      </c>
      <c r="Y1072" s="332" t="s">
        <v>140</v>
      </c>
      <c r="Z1072" s="333">
        <f>+ROUND(Z1071,$AA$2)</f>
        <v>5840432</v>
      </c>
      <c r="AA1072" s="279"/>
      <c r="AB1072" s="324">
        <f>+V1072*Y1063</f>
        <v>5840484.2999999989</v>
      </c>
      <c r="AC1072" s="325">
        <f>+AB1072-Z1072</f>
        <v>52.299999998882413</v>
      </c>
      <c r="AD1072" s="280"/>
      <c r="AE1072" s="334"/>
    </row>
    <row r="1073" spans="3:31" ht="15.9" customHeight="1" x14ac:dyDescent="0.3">
      <c r="C1073" s="292"/>
      <c r="D1073" s="304"/>
      <c r="E1073" s="305"/>
      <c r="F1073" s="305"/>
      <c r="G1073" s="305"/>
      <c r="H1073" s="305"/>
      <c r="I1073" s="305"/>
      <c r="J1073" s="306"/>
      <c r="K1073" s="293"/>
      <c r="M1073" s="730" t="s">
        <v>106</v>
      </c>
      <c r="N1073" s="730"/>
      <c r="O1073" s="730"/>
      <c r="P1073" s="730"/>
      <c r="Q1073" s="730"/>
      <c r="R1073" s="730"/>
      <c r="S1073" s="730"/>
      <c r="T1073" s="730"/>
      <c r="U1073" s="730"/>
      <c r="V1073" s="730"/>
      <c r="Y1073" s="298"/>
      <c r="Z1073" s="299"/>
      <c r="AA1073" s="279"/>
      <c r="AB1073" s="731"/>
      <c r="AC1073" s="732"/>
      <c r="AD1073" s="280"/>
      <c r="AE1073" s="335"/>
    </row>
    <row r="1074" spans="3:31" ht="15.9" customHeight="1" x14ac:dyDescent="0.3">
      <c r="C1074" s="292"/>
      <c r="D1074" s="311"/>
      <c r="E1074" s="279"/>
      <c r="F1074" s="279"/>
      <c r="G1074" s="279"/>
      <c r="H1074" s="279"/>
      <c r="I1074" s="279"/>
      <c r="J1074" s="312"/>
      <c r="K1074" s="293"/>
      <c r="M1074" s="307" t="s">
        <v>97</v>
      </c>
      <c r="N1074" s="706" t="s">
        <v>98</v>
      </c>
      <c r="O1074" s="706"/>
      <c r="P1074" s="706"/>
      <c r="Q1074" s="706"/>
      <c r="R1074" s="307" t="s">
        <v>99</v>
      </c>
      <c r="S1074" s="307" t="s">
        <v>107</v>
      </c>
      <c r="T1074" s="336" t="s">
        <v>108</v>
      </c>
      <c r="U1074" s="336" t="s">
        <v>8</v>
      </c>
      <c r="V1074" s="307" t="s">
        <v>101</v>
      </c>
      <c r="Y1074" s="308" t="s">
        <v>107</v>
      </c>
      <c r="Z1074" s="309" t="s">
        <v>9</v>
      </c>
      <c r="AA1074" s="279"/>
      <c r="AB1074" s="290"/>
      <c r="AC1074" s="291"/>
      <c r="AD1074" s="280"/>
      <c r="AE1074" s="337"/>
    </row>
    <row r="1075" spans="3:31" ht="15.9" customHeight="1" x14ac:dyDescent="0.3">
      <c r="C1075" s="292"/>
      <c r="D1075" s="311"/>
      <c r="E1075" s="279"/>
      <c r="F1075" s="279"/>
      <c r="G1075" s="279"/>
      <c r="H1075" s="279"/>
      <c r="I1075" s="279"/>
      <c r="J1075" s="312"/>
      <c r="K1075" s="293"/>
      <c r="M1075" s="313">
        <v>0</v>
      </c>
      <c r="N1075" s="718" t="str">
        <f>IFERROR(VLOOKUP(M1075,INSUMOS!$C$8:$K$934,2,0),"-----")</f>
        <v>-----</v>
      </c>
      <c r="O1075" s="718"/>
      <c r="P1075" s="718"/>
      <c r="Q1075" s="718"/>
      <c r="R1075" s="314" t="str">
        <f>IFERROR(VLOOKUP(M1075,INSUMOS!$C$8:$K$934,6,0),"-----")</f>
        <v>-----</v>
      </c>
      <c r="S1075" s="322"/>
      <c r="T1075" s="315">
        <v>0</v>
      </c>
      <c r="U1075" s="338" t="str">
        <f>IFERROR(VLOOKUP(M1075,INSUMOS!$C$8:$K$934,7,0),"0")</f>
        <v>0</v>
      </c>
      <c r="V1075" s="316">
        <f>+IFERROR(U1075*(S1075*(1+T1075)),0)</f>
        <v>0</v>
      </c>
      <c r="Y1075" s="321">
        <f>+IFERROR(Y1063*(S1075*(1+T1075)),0)</f>
        <v>0</v>
      </c>
      <c r="Z1075" s="318">
        <f>Y1063*V1075</f>
        <v>0</v>
      </c>
      <c r="AA1075" s="300"/>
      <c r="AB1075" s="301">
        <f>+Y1075*U1075</f>
        <v>0</v>
      </c>
      <c r="AC1075" s="302">
        <f>+AB1075-Z1075</f>
        <v>0</v>
      </c>
      <c r="AD1075" s="280"/>
      <c r="AE1075" s="337" t="str">
        <f t="shared" ref="AE1075:AE1077" si="144">+IF(V1075=0,"CERO","NO")</f>
        <v>CERO</v>
      </c>
    </row>
    <row r="1076" spans="3:31" ht="15.9" customHeight="1" x14ac:dyDescent="0.3">
      <c r="C1076" s="292"/>
      <c r="D1076" s="311"/>
      <c r="E1076" s="279"/>
      <c r="F1076" s="279"/>
      <c r="G1076" s="279"/>
      <c r="H1076" s="279"/>
      <c r="I1076" s="279"/>
      <c r="J1076" s="312"/>
      <c r="K1076" s="293"/>
      <c r="M1076" s="313">
        <v>0</v>
      </c>
      <c r="N1076" s="718" t="str">
        <f>IFERROR(VLOOKUP(M1076,INSUMOS!$C$8:$K$934,2,0),"-----")</f>
        <v>-----</v>
      </c>
      <c r="O1076" s="718"/>
      <c r="P1076" s="718"/>
      <c r="Q1076" s="718"/>
      <c r="R1076" s="314" t="str">
        <f>IFERROR(VLOOKUP(M1076,INSUMOS!$C$8:$K$934,6,0),"-----")</f>
        <v>-----</v>
      </c>
      <c r="S1076" s="322"/>
      <c r="T1076" s="315">
        <v>0</v>
      </c>
      <c r="U1076" s="338" t="str">
        <f>IFERROR(VLOOKUP(M1076,INSUMOS!$C$8:$K$934,7,0),"0")</f>
        <v>0</v>
      </c>
      <c r="V1076" s="316">
        <f>+IFERROR(U1076*(S1076*(1+T1076)),0)</f>
        <v>0</v>
      </c>
      <c r="Y1076" s="321">
        <f>+IFERROR(Y1063*(S1076*(1+T1076)),0)</f>
        <v>0</v>
      </c>
      <c r="Z1076" s="318">
        <f>Y1063*V1076</f>
        <v>0</v>
      </c>
      <c r="AA1076" s="300"/>
      <c r="AB1076" s="301">
        <f t="shared" ref="AB1076:AB1077" si="145">+Y1076*U1076</f>
        <v>0</v>
      </c>
      <c r="AC1076" s="302">
        <f t="shared" ref="AC1076:AC1077" si="146">+AB1076-Z1076</f>
        <v>0</v>
      </c>
      <c r="AD1076" s="280"/>
      <c r="AE1076" s="337" t="str">
        <f t="shared" si="144"/>
        <v>CERO</v>
      </c>
    </row>
    <row r="1077" spans="3:31" ht="15.9" customHeight="1" thickBot="1" x14ac:dyDescent="0.35">
      <c r="C1077" s="292"/>
      <c r="D1077" s="311"/>
      <c r="E1077" s="279"/>
      <c r="F1077" s="279"/>
      <c r="G1077" s="279"/>
      <c r="H1077" s="279"/>
      <c r="I1077" s="279"/>
      <c r="J1077" s="312"/>
      <c r="K1077" s="293"/>
      <c r="M1077" s="313">
        <v>0</v>
      </c>
      <c r="N1077" s="718" t="str">
        <f>IFERROR(VLOOKUP(M1077,INSUMOS!$C$8:$K$934,2,0),"-----")</f>
        <v>-----</v>
      </c>
      <c r="O1077" s="718"/>
      <c r="P1077" s="718"/>
      <c r="Q1077" s="718"/>
      <c r="R1077" s="314" t="str">
        <f>IFERROR(VLOOKUP(M1077,INSUMOS!$C$8:$K$934,6,0),"-----")</f>
        <v>-----</v>
      </c>
      <c r="S1077" s="322"/>
      <c r="T1077" s="315">
        <v>0</v>
      </c>
      <c r="U1077" s="338" t="str">
        <f>IFERROR(VLOOKUP(M1077,INSUMOS!$C$8:$K$934,7,0),"0")</f>
        <v>0</v>
      </c>
      <c r="V1077" s="316">
        <f>+IFERROR(U1077*(S1077*(1+T1077)),0)</f>
        <v>0</v>
      </c>
      <c r="Y1077" s="321">
        <f>+IFERROR(Y1063*(S1077*(1+T1077)),0)</f>
        <v>0</v>
      </c>
      <c r="Z1077" s="318">
        <f>Y1063*V1077</f>
        <v>0</v>
      </c>
      <c r="AA1077" s="300"/>
      <c r="AB1077" s="301">
        <f t="shared" si="145"/>
        <v>0</v>
      </c>
      <c r="AC1077" s="302">
        <f t="shared" si="146"/>
        <v>0</v>
      </c>
      <c r="AD1077" s="280"/>
      <c r="AE1077" s="337" t="str">
        <f t="shared" si="144"/>
        <v>CERO</v>
      </c>
    </row>
    <row r="1078" spans="3:31" ht="15.9" customHeight="1" thickBot="1" x14ac:dyDescent="0.35">
      <c r="C1078" s="292"/>
      <c r="D1078" s="295" t="s">
        <v>132</v>
      </c>
      <c r="E1078" s="296" t="s">
        <v>133</v>
      </c>
      <c r="F1078" s="296" t="s">
        <v>134</v>
      </c>
      <c r="G1078" s="296" t="s">
        <v>135</v>
      </c>
      <c r="H1078" s="296" t="s">
        <v>136</v>
      </c>
      <c r="I1078" s="296" t="s">
        <v>137</v>
      </c>
      <c r="J1078" s="297" t="s">
        <v>138</v>
      </c>
      <c r="K1078" s="293"/>
      <c r="M1078" s="724"/>
      <c r="N1078" s="725" t="s">
        <v>109</v>
      </c>
      <c r="O1078" s="725"/>
      <c r="P1078" s="725"/>
      <c r="Q1078" s="725"/>
      <c r="R1078" s="725"/>
      <c r="S1078" s="725"/>
      <c r="T1078" s="725"/>
      <c r="U1078" s="725"/>
      <c r="V1078" s="316">
        <f>+SUM(V1075:V1077)</f>
        <v>0</v>
      </c>
      <c r="Y1078" s="328" t="s">
        <v>139</v>
      </c>
      <c r="Z1078" s="329">
        <f>+SUM(Z1075:Z1077)</f>
        <v>0</v>
      </c>
      <c r="AA1078" s="279"/>
      <c r="AB1078" s="290"/>
      <c r="AC1078" s="291"/>
      <c r="AD1078" s="280"/>
      <c r="AE1078" s="330"/>
    </row>
    <row r="1079" spans="3:31" ht="15.9" customHeight="1" thickBot="1" x14ac:dyDescent="0.35">
      <c r="C1079" s="292"/>
      <c r="D1079" s="295"/>
      <c r="E1079" s="343">
        <f>+D1072</f>
        <v>3.3</v>
      </c>
      <c r="F1079" s="296"/>
      <c r="G1079" s="296"/>
      <c r="H1079" s="296"/>
      <c r="I1079" s="296"/>
      <c r="J1079" s="297"/>
      <c r="K1079" s="293"/>
      <c r="M1079" s="724"/>
      <c r="N1079" s="726" t="s">
        <v>110</v>
      </c>
      <c r="O1079" s="726"/>
      <c r="P1079" s="726"/>
      <c r="Q1079" s="726"/>
      <c r="R1079" s="726"/>
      <c r="S1079" s="726"/>
      <c r="T1079" s="726"/>
      <c r="U1079" s="726"/>
      <c r="V1079" s="344">
        <f>+ROUND(V1078,$AA$2)</f>
        <v>0</v>
      </c>
      <c r="Y1079" s="332" t="s">
        <v>140</v>
      </c>
      <c r="Z1079" s="333">
        <f>+ROUND(Z1078,$AA$2)</f>
        <v>0</v>
      </c>
      <c r="AA1079" s="279"/>
      <c r="AB1079" s="324">
        <f>+V1079*Y1063</f>
        <v>0</v>
      </c>
      <c r="AC1079" s="325">
        <f>+AB1079-Z1079</f>
        <v>0</v>
      </c>
      <c r="AD1079" s="280"/>
      <c r="AE1079" s="334"/>
    </row>
    <row r="1080" spans="3:31" ht="15.9" customHeight="1" x14ac:dyDescent="0.3">
      <c r="C1080" s="292"/>
      <c r="D1080" s="304"/>
      <c r="E1080" s="305"/>
      <c r="F1080" s="305"/>
      <c r="G1080" s="305"/>
      <c r="H1080" s="305"/>
      <c r="I1080" s="305"/>
      <c r="J1080" s="306"/>
      <c r="K1080" s="293"/>
      <c r="M1080" s="733" t="s">
        <v>111</v>
      </c>
      <c r="N1080" s="733"/>
      <c r="O1080" s="733"/>
      <c r="P1080" s="733"/>
      <c r="Q1080" s="733"/>
      <c r="R1080" s="733"/>
      <c r="S1080" s="733"/>
      <c r="T1080" s="733"/>
      <c r="U1080" s="733"/>
      <c r="V1080" s="733"/>
      <c r="Y1080" s="298"/>
      <c r="Z1080" s="299"/>
      <c r="AA1080" s="279"/>
      <c r="AB1080" s="342"/>
      <c r="AC1080" s="299"/>
      <c r="AD1080" s="280"/>
      <c r="AE1080" s="335"/>
    </row>
    <row r="1081" spans="3:31" ht="27.6" x14ac:dyDescent="0.3">
      <c r="C1081" s="292"/>
      <c r="D1081" s="311"/>
      <c r="E1081" s="279"/>
      <c r="F1081" s="279"/>
      <c r="G1081" s="279"/>
      <c r="H1081" s="279"/>
      <c r="I1081" s="279"/>
      <c r="J1081" s="312"/>
      <c r="K1081" s="293"/>
      <c r="M1081" s="307" t="s">
        <v>97</v>
      </c>
      <c r="N1081" s="706" t="s">
        <v>98</v>
      </c>
      <c r="O1081" s="706"/>
      <c r="P1081" s="706"/>
      <c r="Q1081" s="307" t="s">
        <v>112</v>
      </c>
      <c r="R1081" s="307" t="s">
        <v>113</v>
      </c>
      <c r="S1081" s="307" t="s">
        <v>114</v>
      </c>
      <c r="T1081" s="734" t="s">
        <v>115</v>
      </c>
      <c r="U1081" s="734"/>
      <c r="V1081" s="307" t="s">
        <v>101</v>
      </c>
      <c r="Y1081" s="308" t="s">
        <v>107</v>
      </c>
      <c r="Z1081" s="309" t="s">
        <v>9</v>
      </c>
      <c r="AA1081" s="279"/>
      <c r="AB1081" s="290"/>
      <c r="AC1081" s="291"/>
      <c r="AD1081" s="280"/>
      <c r="AE1081" s="349"/>
    </row>
    <row r="1082" spans="3:31" ht="14.4" x14ac:dyDescent="0.3">
      <c r="C1082" s="350"/>
      <c r="D1082" s="351"/>
      <c r="E1082" s="345"/>
      <c r="F1082" s="345"/>
      <c r="G1082" s="345"/>
      <c r="H1082" s="345"/>
      <c r="I1082" s="345"/>
      <c r="J1082" s="352"/>
      <c r="K1082" s="353"/>
      <c r="M1082" s="354">
        <v>105</v>
      </c>
      <c r="N1082" s="718" t="str">
        <f>IFERROR(VLOOKUP(M1082,INSUMOS!$C$8:$K$934,2,0),"-----")</f>
        <v>Transporte Retiro de material sobrante</v>
      </c>
      <c r="O1082" s="718"/>
      <c r="P1082" s="718"/>
      <c r="Q1082" s="314" t="str">
        <f>IFERROR(VLOOKUP(M1082,INSUMOS!$C$8:$K$934,5,0),"-----")</f>
        <v>m3/km</v>
      </c>
      <c r="R1082" s="355">
        <v>1.2</v>
      </c>
      <c r="S1082" s="355">
        <f>IFERROR(VLOOKUP(M1082,INSUMOS!$C$8:$K$934,6,0),"0")</f>
        <v>1.9</v>
      </c>
      <c r="T1082" s="719">
        <f>IFERROR(VLOOKUP(M1082,INSUMOS!$C$8:$K$934,7,0),"0")</f>
        <v>1800</v>
      </c>
      <c r="U1082" s="719"/>
      <c r="V1082" s="515">
        <f>+T1082*S1082*R1082</f>
        <v>4104</v>
      </c>
      <c r="Y1082" s="321">
        <f>+IFERROR((R1082*S1082)*Y1063,0)</f>
        <v>267.44399999999996</v>
      </c>
      <c r="Z1082" s="318">
        <f>Y1063*V1082</f>
        <v>481399.19999999995</v>
      </c>
      <c r="AA1082" s="345"/>
      <c r="AB1082" s="346">
        <f>+Y1082*T1082</f>
        <v>481399.19999999995</v>
      </c>
      <c r="AC1082" s="347">
        <f>+AB1082-Z1082</f>
        <v>0</v>
      </c>
      <c r="AD1082" s="348"/>
      <c r="AE1082" s="337" t="str">
        <f t="shared" ref="AE1082:AE1085" si="147">+IF(V1082=0,"CERO","NO")</f>
        <v>NO</v>
      </c>
    </row>
    <row r="1083" spans="3:31" ht="15.9" customHeight="1" x14ac:dyDescent="0.3">
      <c r="C1083" s="350"/>
      <c r="D1083" s="351"/>
      <c r="E1083" s="345"/>
      <c r="F1083" s="345"/>
      <c r="G1083" s="345"/>
      <c r="H1083" s="345"/>
      <c r="I1083" s="345"/>
      <c r="J1083" s="352"/>
      <c r="K1083" s="353"/>
      <c r="M1083" s="354">
        <v>0</v>
      </c>
      <c r="N1083" s="718" t="str">
        <f>IFERROR(VLOOKUP(M1083,INSUMOS!$C$8:$K$934,2,0),"-----")</f>
        <v>-----</v>
      </c>
      <c r="O1083" s="718"/>
      <c r="P1083" s="718"/>
      <c r="Q1083" s="314" t="str">
        <f>IFERROR(VLOOKUP(M1083,INSUMOS!$C$8:$K$934,5,0),"-----")</f>
        <v>-----</v>
      </c>
      <c r="R1083" s="355"/>
      <c r="S1083" s="355" t="str">
        <f>IFERROR(VLOOKUP(M1083,INSUMOS!$C$8:$K$934,6,0),"0")</f>
        <v>0</v>
      </c>
      <c r="T1083" s="719" t="str">
        <f>IFERROR(VLOOKUP(M1083,INSUMOS!$C$8:$K$934,7,0),"0")</f>
        <v>0</v>
      </c>
      <c r="U1083" s="719"/>
      <c r="V1083" s="515">
        <f>+T1083*S1083*R1083</f>
        <v>0</v>
      </c>
      <c r="Y1083" s="321">
        <f>+IFERROR((R1083*S1083)*Y1063,0)</f>
        <v>0</v>
      </c>
      <c r="Z1083" s="318">
        <f>Y1063*V1083</f>
        <v>0</v>
      </c>
      <c r="AA1083" s="345"/>
      <c r="AB1083" s="346">
        <f>+Y1083*T1083</f>
        <v>0</v>
      </c>
      <c r="AC1083" s="347">
        <f>+AB1083-Z1083</f>
        <v>0</v>
      </c>
      <c r="AD1083" s="348"/>
      <c r="AE1083" s="337" t="str">
        <f t="shared" si="147"/>
        <v>CERO</v>
      </c>
    </row>
    <row r="1084" spans="3:31" ht="15.9" customHeight="1" x14ac:dyDescent="0.3">
      <c r="C1084" s="350"/>
      <c r="D1084" s="351"/>
      <c r="E1084" s="345"/>
      <c r="F1084" s="345"/>
      <c r="G1084" s="345"/>
      <c r="H1084" s="345"/>
      <c r="I1084" s="345"/>
      <c r="J1084" s="352"/>
      <c r="K1084" s="353"/>
      <c r="M1084" s="354">
        <v>0</v>
      </c>
      <c r="N1084" s="718" t="str">
        <f>IFERROR(VLOOKUP(M1084,INSUMOS!$C$8:$K$934,2,0),"-----")</f>
        <v>-----</v>
      </c>
      <c r="O1084" s="718"/>
      <c r="P1084" s="718"/>
      <c r="Q1084" s="314" t="str">
        <f>IFERROR(VLOOKUP(M1084,INSUMOS!$C$8:$K$934,5,0),"-----")</f>
        <v>-----</v>
      </c>
      <c r="R1084" s="355"/>
      <c r="S1084" s="355" t="str">
        <f>IFERROR(VLOOKUP(M1084,INSUMOS!$C$8:$K$934,6,0),"0")</f>
        <v>0</v>
      </c>
      <c r="T1084" s="719" t="str">
        <f>IFERROR(VLOOKUP(M1084,INSUMOS!$C$8:$K$934,7,0),"0")</f>
        <v>0</v>
      </c>
      <c r="U1084" s="719"/>
      <c r="V1084" s="515">
        <f>+T1084*S1084*R1084</f>
        <v>0</v>
      </c>
      <c r="Y1084" s="321">
        <f>+IFERROR((R1084*S1084)*Y1063,0)</f>
        <v>0</v>
      </c>
      <c r="Z1084" s="318">
        <f>Y1063*V1084</f>
        <v>0</v>
      </c>
      <c r="AA1084" s="345"/>
      <c r="AB1084" s="346">
        <f t="shared" ref="AB1084" si="148">+Y1084*T1084</f>
        <v>0</v>
      </c>
      <c r="AC1084" s="347">
        <f t="shared" ref="AC1084" si="149">+AB1084-Z1084</f>
        <v>0</v>
      </c>
      <c r="AD1084" s="348"/>
      <c r="AE1084" s="337" t="str">
        <f t="shared" si="147"/>
        <v>CERO</v>
      </c>
    </row>
    <row r="1085" spans="3:31" ht="15.9" customHeight="1" thickBot="1" x14ac:dyDescent="0.35">
      <c r="C1085" s="350"/>
      <c r="D1085" s="360"/>
      <c r="E1085" s="361"/>
      <c r="F1085" s="361"/>
      <c r="G1085" s="361"/>
      <c r="H1085" s="361"/>
      <c r="I1085" s="361"/>
      <c r="J1085" s="362"/>
      <c r="K1085" s="353"/>
      <c r="M1085" s="354">
        <v>0</v>
      </c>
      <c r="N1085" s="718"/>
      <c r="O1085" s="718"/>
      <c r="P1085" s="718"/>
      <c r="Q1085" s="357"/>
      <c r="R1085" s="314"/>
      <c r="S1085" s="358"/>
      <c r="T1085" s="719"/>
      <c r="U1085" s="719"/>
      <c r="V1085" s="515"/>
      <c r="Y1085" s="321">
        <f>+IFERROR((R1085*S1085)*Y1063,0)</f>
        <v>0</v>
      </c>
      <c r="Z1085" s="318">
        <f>Y1063*V1085</f>
        <v>0</v>
      </c>
      <c r="AA1085" s="345"/>
      <c r="AB1085" s="346">
        <f>+Y1085*T1085</f>
        <v>0</v>
      </c>
      <c r="AC1085" s="347">
        <f>+AB1085-Z1085</f>
        <v>0</v>
      </c>
      <c r="AD1085" s="348"/>
      <c r="AE1085" s="337" t="str">
        <f t="shared" si="147"/>
        <v>CERO</v>
      </c>
    </row>
    <row r="1086" spans="3:31" ht="15.9" customHeight="1" thickBot="1" x14ac:dyDescent="0.35">
      <c r="C1086" s="292"/>
      <c r="D1086" s="295" t="s">
        <v>132</v>
      </c>
      <c r="E1086" s="296" t="s">
        <v>133</v>
      </c>
      <c r="F1086" s="296" t="s">
        <v>134</v>
      </c>
      <c r="G1086" s="296" t="s">
        <v>135</v>
      </c>
      <c r="H1086" s="296" t="s">
        <v>136</v>
      </c>
      <c r="I1086" s="296" t="s">
        <v>137</v>
      </c>
      <c r="J1086" s="297" t="s">
        <v>138</v>
      </c>
      <c r="K1086" s="293"/>
      <c r="M1086" s="720"/>
      <c r="N1086" s="721" t="s">
        <v>116</v>
      </c>
      <c r="O1086" s="721"/>
      <c r="P1086" s="721"/>
      <c r="Q1086" s="721"/>
      <c r="R1086" s="721"/>
      <c r="S1086" s="721"/>
      <c r="T1086" s="721"/>
      <c r="U1086" s="721"/>
      <c r="V1086" s="499">
        <f>+SUM(V1082:V1085)</f>
        <v>4104</v>
      </c>
      <c r="Y1086" s="328" t="s">
        <v>139</v>
      </c>
      <c r="Z1086" s="329">
        <f>+SUM(Z1082:Z1085)</f>
        <v>481399.19999999995</v>
      </c>
      <c r="AA1086" s="279"/>
      <c r="AB1086" s="290"/>
      <c r="AC1086" s="291"/>
      <c r="AD1086" s="280"/>
      <c r="AE1086" s="330"/>
    </row>
    <row r="1087" spans="3:31" ht="15.9" customHeight="1" thickBot="1" x14ac:dyDescent="0.35">
      <c r="C1087" s="292"/>
      <c r="D1087" s="363"/>
      <c r="E1087" s="364"/>
      <c r="F1087" s="365">
        <f>+E1079</f>
        <v>3.3</v>
      </c>
      <c r="G1087" s="364"/>
      <c r="H1087" s="364"/>
      <c r="I1087" s="364"/>
      <c r="J1087" s="366"/>
      <c r="K1087" s="293"/>
      <c r="M1087" s="720"/>
      <c r="N1087" s="722" t="s">
        <v>117</v>
      </c>
      <c r="O1087" s="722"/>
      <c r="P1087" s="722"/>
      <c r="Q1087" s="722"/>
      <c r="R1087" s="722"/>
      <c r="S1087" s="722"/>
      <c r="T1087" s="722"/>
      <c r="U1087" s="722"/>
      <c r="V1087" s="344">
        <f>+ROUND(V1086,$AA$2)</f>
        <v>4104</v>
      </c>
      <c r="Y1087" s="332" t="s">
        <v>140</v>
      </c>
      <c r="Z1087" s="333">
        <f>+ROUND(Z1086,$AA$2)</f>
        <v>481399</v>
      </c>
      <c r="AA1087" s="279"/>
      <c r="AB1087" s="324">
        <f>+V1087*Y1063</f>
        <v>481399.19999999995</v>
      </c>
      <c r="AC1087" s="359"/>
      <c r="AD1087" s="280"/>
      <c r="AE1087" s="334"/>
    </row>
    <row r="1088" spans="3:31" ht="15.9" customHeight="1" thickBot="1" x14ac:dyDescent="0.35">
      <c r="C1088" s="292"/>
      <c r="D1088" s="369"/>
      <c r="E1088" s="370"/>
      <c r="F1088" s="370"/>
      <c r="G1088" s="370"/>
      <c r="H1088" s="370"/>
      <c r="I1088" s="370"/>
      <c r="J1088" s="371"/>
      <c r="K1088" s="293"/>
      <c r="M1088" s="723" t="s">
        <v>118</v>
      </c>
      <c r="N1088" s="723"/>
      <c r="O1088" s="723"/>
      <c r="P1088" s="723"/>
      <c r="Q1088" s="723"/>
      <c r="R1088" s="723"/>
      <c r="S1088" s="723"/>
      <c r="T1088" s="723"/>
      <c r="U1088" s="723"/>
      <c r="V1088" s="723"/>
      <c r="Y1088" s="298"/>
      <c r="Z1088" s="299"/>
      <c r="AA1088" s="279"/>
      <c r="AB1088" s="342"/>
      <c r="AC1088" s="299"/>
      <c r="AD1088" s="280"/>
      <c r="AE1088" s="335"/>
    </row>
    <row r="1089" spans="3:31" ht="15.9" customHeight="1" thickBot="1" x14ac:dyDescent="0.35">
      <c r="C1089" s="292"/>
      <c r="D1089" s="295" t="s">
        <v>132</v>
      </c>
      <c r="E1089" s="296" t="s">
        <v>133</v>
      </c>
      <c r="F1089" s="296" t="s">
        <v>134</v>
      </c>
      <c r="G1089" s="296" t="s">
        <v>135</v>
      </c>
      <c r="H1089" s="296" t="s">
        <v>136</v>
      </c>
      <c r="I1089" s="296" t="s">
        <v>137</v>
      </c>
      <c r="J1089" s="297" t="s">
        <v>138</v>
      </c>
      <c r="K1089" s="293"/>
      <c r="M1089" s="307" t="s">
        <v>97</v>
      </c>
      <c r="N1089" s="372" t="s">
        <v>98</v>
      </c>
      <c r="O1089" s="307" t="s">
        <v>99</v>
      </c>
      <c r="P1089" s="396" t="s">
        <v>107</v>
      </c>
      <c r="Q1089" s="307" t="s">
        <v>119</v>
      </c>
      <c r="R1089" s="373" t="s">
        <v>120</v>
      </c>
      <c r="S1089" s="307" t="s">
        <v>363</v>
      </c>
      <c r="T1089" s="374" t="s">
        <v>121</v>
      </c>
      <c r="U1089" s="375" t="s">
        <v>122</v>
      </c>
      <c r="V1089" s="307" t="s">
        <v>101</v>
      </c>
      <c r="Y1089" s="308" t="s">
        <v>107</v>
      </c>
      <c r="Z1089" s="309" t="s">
        <v>9</v>
      </c>
      <c r="AA1089" s="279"/>
      <c r="AB1089" s="290"/>
      <c r="AC1089" s="291"/>
      <c r="AD1089" s="280"/>
      <c r="AE1089" s="349"/>
    </row>
    <row r="1090" spans="3:31" ht="14.4" x14ac:dyDescent="0.3">
      <c r="C1090" s="292"/>
      <c r="D1090" s="376"/>
      <c r="E1090" s="377"/>
      <c r="F1090" s="377"/>
      <c r="G1090" s="377"/>
      <c r="H1090" s="377"/>
      <c r="I1090" s="377"/>
      <c r="J1090" s="378">
        <f>+F1087</f>
        <v>3.3</v>
      </c>
      <c r="K1090" s="293"/>
      <c r="M1090" s="313">
        <v>202</v>
      </c>
      <c r="N1090" s="379" t="str">
        <f>IFERROR(VLOOKUP(M1090,INSUMOS!$C$8:$K$934,2,0),"-----")</f>
        <v>Ayudante Albañileria</v>
      </c>
      <c r="O1090" s="314" t="str">
        <f>IFERROR(VLOOKUP(M1090,INSUMOS!$C$8:$K$934,3,0),"-----")</f>
        <v>JORNAL+PS</v>
      </c>
      <c r="P1090" s="355">
        <v>1</v>
      </c>
      <c r="Q1090" s="339">
        <v>50</v>
      </c>
      <c r="R1090" s="380">
        <f>IFERROR(VLOOKUP(M1090,INSUMOS!$C$8:$K$934,4,0),"-----")</f>
        <v>94970</v>
      </c>
      <c r="S1090" s="380">
        <f>IFERROR(VLOOKUP(M1090,INSUMOS!$C$8:$K$934,6,0),"-----")</f>
        <v>75976</v>
      </c>
      <c r="T1090" s="380">
        <f>IFERROR(VLOOKUP(M1090,INSUMOS!$C$8:$K$934,5,0),"-----")</f>
        <v>0</v>
      </c>
      <c r="U1090" s="338">
        <f>SUM(R1090:T1090)</f>
        <v>170946</v>
      </c>
      <c r="V1090" s="316">
        <f>+IFERROR((P1090/Q1090)*U1090,0)</f>
        <v>3418.92</v>
      </c>
      <c r="Y1090" s="321">
        <f>+IFERROR((Y1063/Q1090*P1090),0)</f>
        <v>2.3459999999999996</v>
      </c>
      <c r="Z1090" s="318">
        <f>Y1063*V1090</f>
        <v>401039.31599999993</v>
      </c>
      <c r="AA1090" s="279"/>
      <c r="AB1090" s="367">
        <f>+(U1090)*Y1090</f>
        <v>401039.31599999993</v>
      </c>
      <c r="AC1090" s="302">
        <f>+AB1090-Z1090</f>
        <v>0</v>
      </c>
      <c r="AD1090" s="368"/>
      <c r="AE1090" s="349" t="str">
        <f>+IF(V1090=0,"CERO","NO")</f>
        <v>NO</v>
      </c>
    </row>
    <row r="1091" spans="3:31" ht="15.9" customHeight="1" thickBot="1" x14ac:dyDescent="0.35">
      <c r="C1091" s="292"/>
      <c r="D1091" s="363"/>
      <c r="E1091" s="364"/>
      <c r="F1091" s="364"/>
      <c r="G1091" s="364"/>
      <c r="H1091" s="364"/>
      <c r="I1091" s="364"/>
      <c r="J1091" s="381">
        <f>+J1090</f>
        <v>3.3</v>
      </c>
      <c r="K1091" s="293"/>
      <c r="M1091" s="313">
        <v>0</v>
      </c>
      <c r="N1091" s="379" t="str">
        <f>IFERROR(VLOOKUP(M1091,INSUMOS!$C$8:$K$934,2,0),"-----")</f>
        <v>-----</v>
      </c>
      <c r="O1091" s="314" t="str">
        <f>IFERROR(VLOOKUP(M1091,INSUMOS!$C$8:$K$934,3,0),"-----")</f>
        <v>-----</v>
      </c>
      <c r="P1091" s="355"/>
      <c r="Q1091" s="339"/>
      <c r="R1091" s="380" t="str">
        <f>IFERROR(VLOOKUP(M1091,INSUMOS!$C$8:$K$934,4,0),"-----")</f>
        <v>-----</v>
      </c>
      <c r="S1091" s="380" t="str">
        <f>IFERROR(VLOOKUP(M1091,INSUMOS!$C$8:$K$934,6,0),"-----")</f>
        <v>-----</v>
      </c>
      <c r="T1091" s="380" t="str">
        <f>IFERROR(VLOOKUP(M1091,INSUMOS!$C$8:$K$934,5,0),"-----")</f>
        <v>-----</v>
      </c>
      <c r="U1091" s="338">
        <f>SUM(R1091:T1091)</f>
        <v>0</v>
      </c>
      <c r="V1091" s="316">
        <f>+IFERROR((P1091/Q1091)*U1091,0)</f>
        <v>0</v>
      </c>
      <c r="Y1091" s="321">
        <f>+IFERROR((Y1063/Q1091*P1091),0)</f>
        <v>0</v>
      </c>
      <c r="Z1091" s="318">
        <f>Y1063*V1091</f>
        <v>0</v>
      </c>
      <c r="AA1091" s="279"/>
      <c r="AB1091" s="367">
        <f>+U1091*Y1091</f>
        <v>0</v>
      </c>
      <c r="AC1091" s="302">
        <f>+AB1091-Z1091</f>
        <v>0</v>
      </c>
      <c r="AD1091" s="280"/>
      <c r="AE1091" s="349" t="str">
        <f t="shared" ref="AE1091:AE1092" si="150">+IF(V1091=0,"CERO","NO")</f>
        <v>CERO</v>
      </c>
    </row>
    <row r="1092" spans="3:31" ht="15.9" customHeight="1" thickBot="1" x14ac:dyDescent="0.35">
      <c r="C1092" s="292"/>
      <c r="D1092" s="304"/>
      <c r="E1092" s="305"/>
      <c r="F1092" s="305"/>
      <c r="G1092" s="305"/>
      <c r="H1092" s="305"/>
      <c r="I1092" s="305"/>
      <c r="J1092" s="306"/>
      <c r="K1092" s="293"/>
      <c r="M1092" s="313">
        <v>0</v>
      </c>
      <c r="N1092" s="379"/>
      <c r="O1092" s="339"/>
      <c r="P1092" s="382"/>
      <c r="Q1092" s="319"/>
      <c r="R1092" s="383"/>
      <c r="S1092" s="384"/>
      <c r="T1092" s="383"/>
      <c r="U1092" s="338"/>
      <c r="V1092" s="323"/>
      <c r="Y1092" s="321">
        <f>+IFERROR((Y1063/Q1092*P1092),0)</f>
        <v>0</v>
      </c>
      <c r="Z1092" s="318">
        <f>Y1063*V1092</f>
        <v>0</v>
      </c>
      <c r="AA1092" s="279"/>
      <c r="AB1092" s="367">
        <f>+(U1092)*Y1092*P1092</f>
        <v>0</v>
      </c>
      <c r="AC1092" s="302">
        <f>+AB1092-Z1092</f>
        <v>0</v>
      </c>
      <c r="AD1092" s="280"/>
      <c r="AE1092" s="349" t="str">
        <f t="shared" si="150"/>
        <v>CERO</v>
      </c>
    </row>
    <row r="1093" spans="3:31" ht="15.9" customHeight="1" thickBot="1" x14ac:dyDescent="0.35">
      <c r="C1093" s="292"/>
      <c r="D1093" s="295" t="s">
        <v>132</v>
      </c>
      <c r="E1093" s="296" t="s">
        <v>133</v>
      </c>
      <c r="F1093" s="296" t="s">
        <v>134</v>
      </c>
      <c r="G1093" s="296" t="s">
        <v>135</v>
      </c>
      <c r="H1093" s="296" t="s">
        <v>136</v>
      </c>
      <c r="I1093" s="296" t="s">
        <v>137</v>
      </c>
      <c r="J1093" s="297" t="s">
        <v>138</v>
      </c>
      <c r="K1093" s="293"/>
      <c r="M1093" s="724"/>
      <c r="N1093" s="725" t="s">
        <v>123</v>
      </c>
      <c r="O1093" s="725"/>
      <c r="P1093" s="725"/>
      <c r="Q1093" s="725"/>
      <c r="R1093" s="725"/>
      <c r="S1093" s="725"/>
      <c r="T1093" s="725"/>
      <c r="U1093" s="725"/>
      <c r="V1093" s="316">
        <f>+SUM(V1090:V1092)</f>
        <v>3418.92</v>
      </c>
      <c r="Y1093" s="328" t="s">
        <v>139</v>
      </c>
      <c r="Z1093" s="329">
        <f>+SUM(Z1090:Z1092)</f>
        <v>401039.31599999993</v>
      </c>
      <c r="AA1093" s="279"/>
      <c r="AB1093" s="290"/>
      <c r="AC1093" s="291"/>
      <c r="AD1093" s="280"/>
      <c r="AE1093" s="330"/>
    </row>
    <row r="1094" spans="3:31" ht="15.9" customHeight="1" thickBot="1" x14ac:dyDescent="0.35">
      <c r="C1094" s="292"/>
      <c r="D1094" s="376"/>
      <c r="E1094" s="377"/>
      <c r="F1094" s="377"/>
      <c r="G1094" s="386">
        <f>+F1087</f>
        <v>3.3</v>
      </c>
      <c r="H1094" s="377"/>
      <c r="I1094" s="377"/>
      <c r="J1094" s="387"/>
      <c r="K1094" s="293"/>
      <c r="M1094" s="724"/>
      <c r="N1094" s="726" t="s">
        <v>124</v>
      </c>
      <c r="O1094" s="726"/>
      <c r="P1094" s="726"/>
      <c r="Q1094" s="726"/>
      <c r="R1094" s="726"/>
      <c r="S1094" s="726"/>
      <c r="T1094" s="726"/>
      <c r="U1094" s="726"/>
      <c r="V1094" s="344">
        <f>+ROUND(V1093,$AA$2)</f>
        <v>3419</v>
      </c>
      <c r="Y1094" s="332" t="s">
        <v>140</v>
      </c>
      <c r="Z1094" s="333">
        <f>+ROUND(Z1093,$AA$2)</f>
        <v>401039</v>
      </c>
      <c r="AA1094" s="279"/>
      <c r="AB1094" s="324">
        <f>+V1094*Y1063</f>
        <v>401048.69999999995</v>
      </c>
      <c r="AC1094" s="325">
        <f>+AB1094-Z1094</f>
        <v>9.6999999999534339</v>
      </c>
      <c r="AD1094" s="280"/>
      <c r="AE1094" s="334"/>
    </row>
    <row r="1095" spans="3:31" ht="15.9" customHeight="1" thickBot="1" x14ac:dyDescent="0.35">
      <c r="C1095" s="292"/>
      <c r="D1095" s="295" t="s">
        <v>132</v>
      </c>
      <c r="E1095" s="296" t="s">
        <v>133</v>
      </c>
      <c r="F1095" s="296" t="s">
        <v>134</v>
      </c>
      <c r="G1095" s="296" t="s">
        <v>135</v>
      </c>
      <c r="H1095" s="296" t="s">
        <v>136</v>
      </c>
      <c r="I1095" s="296" t="s">
        <v>137</v>
      </c>
      <c r="J1095" s="297" t="s">
        <v>138</v>
      </c>
      <c r="K1095" s="293"/>
      <c r="M1095" s="727"/>
      <c r="N1095" s="727"/>
      <c r="O1095" s="727"/>
      <c r="P1095" s="727"/>
      <c r="Q1095" s="727"/>
      <c r="R1095" s="727"/>
      <c r="S1095" s="727"/>
      <c r="T1095" s="727"/>
      <c r="U1095" s="727"/>
      <c r="V1095" s="727"/>
      <c r="Y1095" s="298"/>
      <c r="Z1095" s="299"/>
      <c r="AA1095" s="279"/>
      <c r="AB1095" s="342"/>
      <c r="AC1095" s="299"/>
      <c r="AD1095" s="280"/>
      <c r="AE1095" s="388"/>
    </row>
    <row r="1096" spans="3:31" ht="15.9" customHeight="1" thickBot="1" x14ac:dyDescent="0.35">
      <c r="C1096" s="292"/>
      <c r="D1096" s="363"/>
      <c r="E1096" s="364"/>
      <c r="F1096" s="364"/>
      <c r="G1096" s="364"/>
      <c r="H1096" s="365">
        <f>G1094</f>
        <v>3.3</v>
      </c>
      <c r="I1096" s="365"/>
      <c r="J1096" s="381"/>
      <c r="K1096" s="293"/>
      <c r="M1096" s="726" t="s">
        <v>125</v>
      </c>
      <c r="N1096" s="726"/>
      <c r="O1096" s="726"/>
      <c r="P1096" s="726"/>
      <c r="Q1096" s="726"/>
      <c r="R1096" s="726"/>
      <c r="S1096" s="726"/>
      <c r="T1096" s="726"/>
      <c r="U1096" s="728">
        <f>+V1094+V1087+V1079+V1072</f>
        <v>57314</v>
      </c>
      <c r="V1096" s="728"/>
      <c r="Y1096" s="389"/>
      <c r="Z1096" s="390">
        <f>+Z1094+Z1087+Z1079+Z1072</f>
        <v>6722870</v>
      </c>
      <c r="AA1096" s="279"/>
      <c r="AB1096" s="385">
        <f>+AB1094+AB1087+AB1079+AB1072</f>
        <v>6722932.1999999993</v>
      </c>
      <c r="AC1096" s="325">
        <f>+AB1096-Z1096</f>
        <v>62.199999999254942</v>
      </c>
      <c r="AD1096" s="280"/>
      <c r="AE1096" s="391"/>
    </row>
    <row r="1097" spans="3:31" ht="15.9" customHeight="1" thickBot="1" x14ac:dyDescent="0.3">
      <c r="M1097" s="412"/>
      <c r="N1097" s="412"/>
      <c r="O1097" s="412"/>
      <c r="P1097" s="412"/>
      <c r="Q1097" s="412"/>
      <c r="R1097" s="412"/>
      <c r="S1097" s="412"/>
      <c r="T1097" s="412"/>
      <c r="U1097" s="412"/>
      <c r="V1097" s="412"/>
    </row>
    <row r="1098" spans="3:31" ht="15.9" customHeight="1" x14ac:dyDescent="0.25">
      <c r="M1098" s="729" t="s">
        <v>364</v>
      </c>
      <c r="N1098" s="729"/>
      <c r="O1098" s="729"/>
      <c r="P1098" s="729"/>
      <c r="Q1098" s="729"/>
      <c r="R1098" s="729"/>
      <c r="S1098" s="729"/>
      <c r="T1098" s="729"/>
      <c r="U1098" s="729"/>
      <c r="V1098" s="729"/>
      <c r="Y1098" s="298"/>
      <c r="Z1098" s="299"/>
      <c r="AA1098" s="279"/>
      <c r="AB1098" s="280"/>
      <c r="AC1098" s="280"/>
      <c r="AD1098" s="280"/>
      <c r="AE1098" s="335" t="s">
        <v>137</v>
      </c>
    </row>
    <row r="1099" spans="3:31" ht="15.9" customHeight="1" x14ac:dyDescent="0.25">
      <c r="M1099" s="700" t="s">
        <v>142</v>
      </c>
      <c r="N1099" s="700"/>
      <c r="O1099" s="700"/>
      <c r="P1099" s="700"/>
      <c r="Q1099" s="700"/>
      <c r="R1099" s="700"/>
      <c r="S1099" s="700"/>
      <c r="T1099" s="413">
        <f>$AA$3</f>
        <v>0.25</v>
      </c>
      <c r="U1099" s="701">
        <f>+ROUND(U1096*T1099,$AA$2)</f>
        <v>14329</v>
      </c>
      <c r="V1099" s="701"/>
      <c r="Y1099" s="317"/>
      <c r="Z1099" s="414">
        <f>+Z1096*T1099</f>
        <v>1680717.5</v>
      </c>
      <c r="AA1099" s="279"/>
      <c r="AB1099" s="280"/>
      <c r="AC1099" s="280"/>
      <c r="AD1099" s="280"/>
      <c r="AE1099" s="310" t="s">
        <v>137</v>
      </c>
    </row>
    <row r="1100" spans="3:31" ht="15.9" customHeight="1" x14ac:dyDescent="0.25">
      <c r="M1100" s="700" t="s">
        <v>19</v>
      </c>
      <c r="N1100" s="700"/>
      <c r="O1100" s="700"/>
      <c r="P1100" s="700"/>
      <c r="Q1100" s="700"/>
      <c r="R1100" s="700"/>
      <c r="S1100" s="700"/>
      <c r="T1100" s="413">
        <f>$AA$4</f>
        <v>0.03</v>
      </c>
      <c r="U1100" s="701">
        <f>+ROUND(U1096*T1100,$AA$2)</f>
        <v>1719</v>
      </c>
      <c r="V1100" s="701"/>
      <c r="Y1100" s="317"/>
      <c r="Z1100" s="414">
        <f>+Z1096*T1100</f>
        <v>201686.1</v>
      </c>
      <c r="AA1100" s="279"/>
      <c r="AB1100" s="280"/>
      <c r="AC1100" s="280"/>
      <c r="AD1100" s="280"/>
      <c r="AE1100" s="310" t="s">
        <v>137</v>
      </c>
    </row>
    <row r="1101" spans="3:31" ht="15.9" customHeight="1" x14ac:dyDescent="0.25">
      <c r="M1101" s="700" t="s">
        <v>20</v>
      </c>
      <c r="N1101" s="700"/>
      <c r="O1101" s="700"/>
      <c r="P1101" s="700"/>
      <c r="Q1101" s="700"/>
      <c r="R1101" s="700"/>
      <c r="S1101" s="700"/>
      <c r="T1101" s="413">
        <f>$AA$5</f>
        <v>0.05</v>
      </c>
      <c r="U1101" s="701">
        <f>+ROUND(U1096*T1101,$AA$2)</f>
        <v>2866</v>
      </c>
      <c r="V1101" s="701"/>
      <c r="Y1101" s="317"/>
      <c r="Z1101" s="414">
        <f>+Z1096*T1101</f>
        <v>336143.5</v>
      </c>
      <c r="AA1101" s="279"/>
      <c r="AB1101" s="280"/>
      <c r="AC1101" s="280"/>
      <c r="AD1101" s="280"/>
      <c r="AE1101" s="310" t="s">
        <v>137</v>
      </c>
    </row>
    <row r="1102" spans="3:31" ht="15.9" customHeight="1" x14ac:dyDescent="0.25">
      <c r="M1102" s="700" t="s">
        <v>21</v>
      </c>
      <c r="N1102" s="700"/>
      <c r="O1102" s="700"/>
      <c r="P1102" s="700"/>
      <c r="Q1102" s="700"/>
      <c r="R1102" s="700"/>
      <c r="S1102" s="700"/>
      <c r="T1102" s="413">
        <f>$AA$6</f>
        <v>0</v>
      </c>
      <c r="U1102" s="701">
        <f>+ROUND(U1096*T1102,$AA$2)</f>
        <v>0</v>
      </c>
      <c r="V1102" s="701"/>
      <c r="Y1102" s="317"/>
      <c r="Z1102" s="414">
        <f>+Z1101*T1102</f>
        <v>0</v>
      </c>
      <c r="AA1102" s="279"/>
      <c r="AB1102" s="280"/>
      <c r="AC1102" s="280"/>
      <c r="AD1102" s="280"/>
      <c r="AE1102" s="310" t="s">
        <v>137</v>
      </c>
    </row>
    <row r="1103" spans="3:31" ht="15.9" customHeight="1" thickBot="1" x14ac:dyDescent="0.3">
      <c r="M1103" s="702" t="s">
        <v>365</v>
      </c>
      <c r="N1103" s="702"/>
      <c r="O1103" s="702"/>
      <c r="P1103" s="702"/>
      <c r="Q1103" s="702"/>
      <c r="R1103" s="702"/>
      <c r="S1103" s="702"/>
      <c r="T1103" s="702"/>
      <c r="U1103" s="703">
        <f>+SUM(U1099:V1102)</f>
        <v>18914</v>
      </c>
      <c r="V1103" s="703"/>
      <c r="Y1103" s="317"/>
      <c r="Z1103" s="415">
        <f>+SUM(Z1099:Z1102)</f>
        <v>2218547.1</v>
      </c>
      <c r="AA1103" s="279"/>
      <c r="AB1103" s="280"/>
      <c r="AC1103" s="280"/>
      <c r="AD1103" s="280"/>
      <c r="AE1103" s="310" t="s">
        <v>137</v>
      </c>
    </row>
    <row r="1104" spans="3:31" ht="15.9" customHeight="1" thickBot="1" x14ac:dyDescent="0.3">
      <c r="D1104" s="295" t="s">
        <v>132</v>
      </c>
      <c r="E1104" s="296" t="s">
        <v>133</v>
      </c>
      <c r="F1104" s="296" t="s">
        <v>134</v>
      </c>
      <c r="G1104" s="296" t="s">
        <v>135</v>
      </c>
      <c r="H1104" s="296" t="s">
        <v>136</v>
      </c>
      <c r="I1104" s="296" t="s">
        <v>137</v>
      </c>
      <c r="J1104" s="297" t="s">
        <v>138</v>
      </c>
      <c r="M1104" s="377"/>
      <c r="N1104" s="416"/>
      <c r="O1104" s="416"/>
      <c r="P1104" s="416"/>
      <c r="Q1104" s="377"/>
      <c r="R1104" s="377"/>
      <c r="S1104" s="377"/>
      <c r="T1104" s="417"/>
      <c r="U1104" s="701"/>
      <c r="V1104" s="701"/>
      <c r="Y1104" s="317"/>
      <c r="Z1104" s="291"/>
      <c r="AA1104" s="279"/>
      <c r="AB1104" s="280"/>
      <c r="AC1104" s="280"/>
      <c r="AD1104" s="280"/>
      <c r="AE1104" s="310" t="s">
        <v>137</v>
      </c>
    </row>
    <row r="1105" spans="3:31" ht="15.9" customHeight="1" thickBot="1" x14ac:dyDescent="0.3">
      <c r="D1105" s="363"/>
      <c r="E1105" s="364"/>
      <c r="F1105" s="364"/>
      <c r="G1105" s="364"/>
      <c r="H1105" s="365"/>
      <c r="I1105" s="365">
        <f>H1096</f>
        <v>3.3</v>
      </c>
      <c r="J1105" s="381"/>
      <c r="M1105" s="702" t="s">
        <v>11</v>
      </c>
      <c r="N1105" s="702"/>
      <c r="O1105" s="702"/>
      <c r="P1105" s="702"/>
      <c r="Q1105" s="702"/>
      <c r="R1105" s="702"/>
      <c r="S1105" s="702"/>
      <c r="T1105" s="702"/>
      <c r="U1105" s="704">
        <f>+U1103+U1096</f>
        <v>76228</v>
      </c>
      <c r="V1105" s="704"/>
      <c r="Y1105" s="389"/>
      <c r="Z1105" s="418">
        <f>+Z1103+Z1096</f>
        <v>8941417.0999999996</v>
      </c>
      <c r="AA1105" s="279"/>
      <c r="AB1105" s="280"/>
      <c r="AC1105" s="280"/>
      <c r="AD1105" s="280"/>
      <c r="AE1105" s="334" t="s">
        <v>137</v>
      </c>
    </row>
    <row r="1106" spans="3:31" ht="15.9" customHeight="1" x14ac:dyDescent="0.25">
      <c r="M1106" s="705"/>
      <c r="N1106" s="705"/>
      <c r="O1106" s="705"/>
      <c r="P1106" s="705"/>
      <c r="Q1106" s="705"/>
      <c r="R1106" s="706"/>
      <c r="S1106" s="706"/>
      <c r="T1106" s="706"/>
      <c r="U1106" s="706"/>
      <c r="V1106" s="706"/>
    </row>
    <row r="1107" spans="3:31" ht="15.9" customHeight="1" x14ac:dyDescent="0.25">
      <c r="M1107" s="705"/>
      <c r="N1107" s="705"/>
      <c r="O1107" s="705"/>
      <c r="P1107" s="705"/>
      <c r="Q1107" s="705"/>
      <c r="R1107" s="706"/>
      <c r="S1107" s="706"/>
      <c r="T1107" s="706"/>
      <c r="U1107" s="706"/>
      <c r="V1107" s="706"/>
    </row>
    <row r="1108" spans="3:31" ht="15.9" customHeight="1" x14ac:dyDescent="0.25">
      <c r="M1108" s="705"/>
      <c r="N1108" s="705"/>
      <c r="O1108" s="705"/>
      <c r="P1108" s="705"/>
      <c r="Q1108" s="705"/>
      <c r="R1108" s="706"/>
      <c r="S1108" s="706"/>
      <c r="T1108" s="706"/>
      <c r="U1108" s="706"/>
      <c r="V1108" s="706"/>
    </row>
    <row r="1109" spans="3:31" ht="15.9" customHeight="1" x14ac:dyDescent="0.25">
      <c r="M1109" s="705"/>
      <c r="N1109" s="705"/>
      <c r="O1109" s="705"/>
      <c r="P1109" s="705"/>
      <c r="Q1109" s="705"/>
      <c r="R1109" s="706"/>
      <c r="S1109" s="706"/>
      <c r="T1109" s="706"/>
      <c r="U1109" s="706"/>
      <c r="V1109" s="706"/>
    </row>
    <row r="1110" spans="3:31" ht="15.9" customHeight="1" x14ac:dyDescent="0.25">
      <c r="M1110" s="707" t="s">
        <v>128</v>
      </c>
      <c r="N1110" s="708" t="str">
        <f>$N$6</f>
        <v>ING. JEYSON JULIAN LEON RUEDA</v>
      </c>
      <c r="O1110" s="709"/>
      <c r="P1110" s="709"/>
      <c r="Q1110" s="710"/>
      <c r="R1110" s="711" t="s">
        <v>129</v>
      </c>
      <c r="S1110" s="708" t="str">
        <f>$S$6</f>
        <v>ARQ. YASMID ROCÍO CARRILLO MORA</v>
      </c>
      <c r="T1110" s="709"/>
      <c r="U1110" s="709"/>
      <c r="V1110" s="710"/>
    </row>
    <row r="1111" spans="3:31" ht="15.9" customHeight="1" x14ac:dyDescent="0.25">
      <c r="M1111" s="707"/>
      <c r="N1111" s="712" t="str">
        <f>$N$7</f>
        <v>MP. 68202-416348 STD</v>
      </c>
      <c r="O1111" s="713"/>
      <c r="P1111" s="713"/>
      <c r="Q1111" s="714"/>
      <c r="R1111" s="711"/>
      <c r="S1111" s="712" t="str">
        <f>$S$7</f>
        <v>SECRETARIA DE PLANEACIÓN Y OBRAS PÚBLICAS</v>
      </c>
      <c r="T1111" s="713"/>
      <c r="U1111" s="713"/>
      <c r="V1111" s="714"/>
    </row>
    <row r="1112" spans="3:31" ht="15.9" customHeight="1" x14ac:dyDescent="0.25">
      <c r="M1112" s="707"/>
      <c r="N1112" s="715"/>
      <c r="O1112" s="716"/>
      <c r="P1112" s="716"/>
      <c r="Q1112" s="717"/>
      <c r="R1112" s="711"/>
      <c r="S1112" s="712" t="str">
        <f>$S$8</f>
        <v>MUNICIPIO DE PINCHOTE</v>
      </c>
      <c r="T1112" s="713"/>
      <c r="U1112" s="713"/>
      <c r="V1112" s="714"/>
    </row>
    <row r="1113" spans="3:31" ht="15.9" customHeight="1" x14ac:dyDescent="0.25"/>
    <row r="1114" spans="3:31" ht="15.9" customHeight="1" thickBot="1" x14ac:dyDescent="0.3"/>
    <row r="1115" spans="3:31" ht="15.9" customHeight="1" thickBot="1" x14ac:dyDescent="0.3">
      <c r="M1115" s="281" t="s">
        <v>90</v>
      </c>
      <c r="N1115" s="410" t="s">
        <v>30</v>
      </c>
      <c r="O1115" s="706" t="str">
        <f>IFERROR(VLOOKUP(N1115,PPTO!$C$9:$H$64,2,0),"----")</f>
        <v>ESTRUCTURA VIAL EN PIEDRA LABOR</v>
      </c>
      <c r="P1115" s="706"/>
      <c r="Q1115" s="706"/>
      <c r="R1115" s="706"/>
      <c r="S1115" s="706"/>
      <c r="T1115" s="706"/>
      <c r="U1115" s="706"/>
      <c r="V1115" s="283" t="s">
        <v>93</v>
      </c>
      <c r="Y1115" s="284" t="s">
        <v>107</v>
      </c>
      <c r="Z1115" s="280"/>
      <c r="AA1115" s="274"/>
      <c r="AB1115" s="735"/>
      <c r="AC1115" s="735"/>
      <c r="AD1115" s="735"/>
      <c r="AE1115" s="280"/>
    </row>
    <row r="1116" spans="3:31" ht="15.9" customHeight="1" thickBot="1" x14ac:dyDescent="0.35">
      <c r="C1116" s="285">
        <f>+N1116</f>
        <v>3.4</v>
      </c>
      <c r="D1116" s="279"/>
      <c r="E1116" s="279"/>
      <c r="F1116" s="279"/>
      <c r="G1116" s="279"/>
      <c r="H1116" s="279"/>
      <c r="I1116" s="279"/>
      <c r="J1116" s="279"/>
      <c r="K1116" s="286"/>
      <c r="M1116" s="283" t="s">
        <v>94</v>
      </c>
      <c r="N1116" s="287">
        <v>3.4</v>
      </c>
      <c r="O1116" s="736" t="str">
        <f>IFERROR(VLOOKUP(N1116,PPTO!$C$9:$H$64,2,0),"----")</f>
        <v>Conformacion de la Subrasante a maquina</v>
      </c>
      <c r="P1116" s="736"/>
      <c r="Q1116" s="736"/>
      <c r="R1116" s="736"/>
      <c r="S1116" s="736"/>
      <c r="T1116" s="736"/>
      <c r="U1116" s="736"/>
      <c r="V1116" s="288" t="str">
        <f>IFERROR(VLOOKUP(N1116,PPTO!$C$9:$H$64,3,0),"----")</f>
        <v>m2</v>
      </c>
      <c r="Y1116" s="289">
        <f>SUMIFS(PPTO!$F$7:$F$63,PPTO!$C$7:$C$63,APUS!N1116)</f>
        <v>667.4</v>
      </c>
      <c r="Z1116" s="280"/>
      <c r="AA1116" s="279"/>
      <c r="AB1116" s="280"/>
      <c r="AC1116" s="280"/>
      <c r="AD1116" s="280"/>
      <c r="AE1116" s="280"/>
    </row>
    <row r="1117" spans="3:31" ht="15.9" customHeight="1" thickBot="1" x14ac:dyDescent="0.35">
      <c r="C1117" s="292"/>
      <c r="D1117" s="279"/>
      <c r="E1117" s="279"/>
      <c r="F1117" s="279"/>
      <c r="G1117" s="279"/>
      <c r="H1117" s="279"/>
      <c r="I1117" s="279"/>
      <c r="J1117" s="279"/>
      <c r="K1117" s="293"/>
      <c r="M1117" s="737"/>
      <c r="N1117" s="737"/>
      <c r="O1117" s="737"/>
      <c r="P1117" s="737"/>
      <c r="Q1117" s="737"/>
      <c r="R1117" s="737"/>
      <c r="S1117" s="737"/>
      <c r="T1117" s="737"/>
      <c r="U1117" s="737"/>
      <c r="V1117" s="737"/>
      <c r="Y1117" s="294"/>
      <c r="Z1117" s="280"/>
      <c r="AA1117" s="279"/>
      <c r="AB1117" s="280"/>
      <c r="AC1117" s="280"/>
      <c r="AD1117" s="280"/>
      <c r="AE1117" s="280"/>
    </row>
    <row r="1118" spans="3:31" ht="15.9" customHeight="1" thickBot="1" x14ac:dyDescent="0.35">
      <c r="C1118" s="292"/>
      <c r="D1118" s="295" t="s">
        <v>132</v>
      </c>
      <c r="E1118" s="296" t="s">
        <v>133</v>
      </c>
      <c r="F1118" s="296" t="s">
        <v>134</v>
      </c>
      <c r="G1118" s="296" t="s">
        <v>135</v>
      </c>
      <c r="H1118" s="296" t="s">
        <v>136</v>
      </c>
      <c r="I1118" s="296" t="s">
        <v>137</v>
      </c>
      <c r="J1118" s="297" t="s">
        <v>138</v>
      </c>
      <c r="K1118" s="293"/>
      <c r="M1118" s="738" t="s">
        <v>96</v>
      </c>
      <c r="N1118" s="738"/>
      <c r="O1118" s="738"/>
      <c r="P1118" s="738"/>
      <c r="Q1118" s="738"/>
      <c r="R1118" s="738"/>
      <c r="S1118" s="738"/>
      <c r="T1118" s="738"/>
      <c r="U1118" s="738"/>
      <c r="V1118" s="738"/>
      <c r="Y1118" s="298"/>
      <c r="Z1118" s="299"/>
      <c r="AA1118" s="279"/>
      <c r="AB1118" s="731"/>
      <c r="AC1118" s="732"/>
      <c r="AD1118" s="280"/>
      <c r="AE1118" s="303"/>
    </row>
    <row r="1119" spans="3:31" ht="15.9" customHeight="1" x14ac:dyDescent="0.3">
      <c r="C1119" s="292"/>
      <c r="D1119" s="304"/>
      <c r="E1119" s="305"/>
      <c r="F1119" s="305"/>
      <c r="G1119" s="305"/>
      <c r="H1119" s="305"/>
      <c r="I1119" s="305"/>
      <c r="J1119" s="306"/>
      <c r="K1119" s="293"/>
      <c r="M1119" s="307" t="s">
        <v>97</v>
      </c>
      <c r="N1119" s="706" t="s">
        <v>98</v>
      </c>
      <c r="O1119" s="706"/>
      <c r="P1119" s="706"/>
      <c r="Q1119" s="706"/>
      <c r="R1119" s="307" t="s">
        <v>99</v>
      </c>
      <c r="S1119" s="307" t="s">
        <v>100</v>
      </c>
      <c r="T1119" s="734" t="s">
        <v>8</v>
      </c>
      <c r="U1119" s="734"/>
      <c r="V1119" s="307" t="s">
        <v>101</v>
      </c>
      <c r="Y1119" s="308" t="s">
        <v>107</v>
      </c>
      <c r="Z1119" s="309" t="s">
        <v>9</v>
      </c>
      <c r="AA1119" s="279"/>
      <c r="AB1119" s="290"/>
      <c r="AC1119" s="291"/>
      <c r="AD1119" s="280"/>
      <c r="AE1119" s="310"/>
    </row>
    <row r="1120" spans="3:31" ht="15.9" customHeight="1" x14ac:dyDescent="0.3">
      <c r="C1120" s="292"/>
      <c r="D1120" s="311"/>
      <c r="E1120" s="279"/>
      <c r="F1120" s="279"/>
      <c r="G1120" s="279"/>
      <c r="H1120" s="279"/>
      <c r="I1120" s="279"/>
      <c r="J1120" s="312"/>
      <c r="K1120" s="293"/>
      <c r="M1120" s="313"/>
      <c r="N1120" s="718" t="s">
        <v>102</v>
      </c>
      <c r="O1120" s="718"/>
      <c r="P1120" s="718"/>
      <c r="Q1120" s="718"/>
      <c r="R1120" s="314" t="s">
        <v>103</v>
      </c>
      <c r="S1120" s="315">
        <f>$AA$9</f>
        <v>0.05</v>
      </c>
      <c r="T1120" s="766">
        <f>V1147</f>
        <v>1709</v>
      </c>
      <c r="U1120" s="766"/>
      <c r="V1120" s="316">
        <f>+IFERROR(T1120*S1120,0)</f>
        <v>85.45</v>
      </c>
      <c r="Y1120" s="317"/>
      <c r="Z1120" s="318">
        <f>Y1116*V1120</f>
        <v>57029.33</v>
      </c>
      <c r="AA1120" s="279"/>
      <c r="AB1120" s="290"/>
      <c r="AC1120" s="291"/>
      <c r="AD1120" s="280"/>
      <c r="AE1120" s="310" t="str">
        <f>+IF(V1120=0,"CERO","NO")</f>
        <v>NO</v>
      </c>
    </row>
    <row r="1121" spans="3:31" ht="15.9" customHeight="1" x14ac:dyDescent="0.3">
      <c r="C1121" s="292"/>
      <c r="D1121" s="311"/>
      <c r="E1121" s="279"/>
      <c r="F1121" s="279"/>
      <c r="G1121" s="279"/>
      <c r="H1121" s="279"/>
      <c r="I1121" s="279"/>
      <c r="J1121" s="312"/>
      <c r="K1121" s="293"/>
      <c r="M1121" s="319">
        <v>29</v>
      </c>
      <c r="N1121" s="718" t="str">
        <f>IFERROR(VLOOKUP(M1121,INSUMOS!$C$8:$K$934,2,0),"-----")</f>
        <v>Vibrocompactador de 8 Toneladas</v>
      </c>
      <c r="O1121" s="718"/>
      <c r="P1121" s="718"/>
      <c r="Q1121" s="718"/>
      <c r="R1121" s="314" t="str">
        <f>IFERROR(VLOOKUP(M1121,INSUMOS!$C$8:$K$934,6,0),"-----")</f>
        <v>Hora</v>
      </c>
      <c r="S1121" s="320">
        <v>1.4999999999999999E-2</v>
      </c>
      <c r="T1121" s="767">
        <f>IFERROR(VLOOKUP(M1121,INSUMOS!$C$8:$K$934,7,0),"0")</f>
        <v>165000</v>
      </c>
      <c r="U1121" s="767"/>
      <c r="V1121" s="316">
        <f>+IFERROR(T1121*S1121,0)</f>
        <v>2475</v>
      </c>
      <c r="Y1121" s="321">
        <f>+IFERROR(Y1116*S1121,0)</f>
        <v>10.010999999999999</v>
      </c>
      <c r="Z1121" s="318">
        <f>Y1116*V1121</f>
        <v>1651815</v>
      </c>
      <c r="AA1121" s="300"/>
      <c r="AB1121" s="301">
        <f>+Y1121*T1121</f>
        <v>1651814.9999999998</v>
      </c>
      <c r="AC1121" s="302">
        <f>+AB1121-Z1121</f>
        <v>0</v>
      </c>
      <c r="AD1121" s="280"/>
      <c r="AE1121" s="310" t="str">
        <f>+IF(V1121=0,"CERO","NO")</f>
        <v>NO</v>
      </c>
    </row>
    <row r="1122" spans="3:31" ht="15.9" customHeight="1" x14ac:dyDescent="0.3">
      <c r="C1122" s="292"/>
      <c r="D1122" s="311"/>
      <c r="E1122" s="279"/>
      <c r="F1122" s="279"/>
      <c r="G1122" s="279"/>
      <c r="H1122" s="279"/>
      <c r="I1122" s="279"/>
      <c r="J1122" s="312"/>
      <c r="K1122" s="293"/>
      <c r="M1122" s="313">
        <v>0</v>
      </c>
      <c r="N1122" s="718" t="str">
        <f>IFERROR(VLOOKUP(M1122,INSUMOS!$C$8:$K$934,2,0),"-----")</f>
        <v>-----</v>
      </c>
      <c r="O1122" s="718"/>
      <c r="P1122" s="718"/>
      <c r="Q1122" s="718"/>
      <c r="R1122" s="314" t="str">
        <f>IFERROR(VLOOKUP(M1122,INSUMOS!$C$8:$K$934,6,0),"-----")</f>
        <v>-----</v>
      </c>
      <c r="S1122" s="320"/>
      <c r="T1122" s="767" t="str">
        <f>IFERROR(VLOOKUP(M1122,INSUMOS!$C$8:$K$934,7,0),"0")</f>
        <v>0</v>
      </c>
      <c r="U1122" s="767"/>
      <c r="V1122" s="316">
        <f>+IFERROR(T1122*S1122,0)</f>
        <v>0</v>
      </c>
      <c r="Y1122" s="321">
        <f>+IFERROR(Y1116*S1122,0)</f>
        <v>0</v>
      </c>
      <c r="Z1122" s="318">
        <f>Y1116*V1122</f>
        <v>0</v>
      </c>
      <c r="AA1122" s="300"/>
      <c r="AB1122" s="301">
        <f>+Y1122*T1122</f>
        <v>0</v>
      </c>
      <c r="AC1122" s="302">
        <f>+AB1122-Z1122</f>
        <v>0</v>
      </c>
      <c r="AD1122" s="280"/>
      <c r="AE1122" s="310" t="str">
        <f>+IF(V1122=0,"CERO","NO")</f>
        <v>CERO</v>
      </c>
    </row>
    <row r="1123" spans="3:31" ht="15.9" customHeight="1" thickBot="1" x14ac:dyDescent="0.35">
      <c r="C1123" s="292"/>
      <c r="D1123" s="311"/>
      <c r="E1123" s="279"/>
      <c r="F1123" s="279"/>
      <c r="G1123" s="279"/>
      <c r="H1123" s="279"/>
      <c r="I1123" s="279"/>
      <c r="J1123" s="312"/>
      <c r="K1123" s="293"/>
      <c r="M1123" s="313">
        <v>0</v>
      </c>
      <c r="N1123" s="727"/>
      <c r="O1123" s="727"/>
      <c r="P1123" s="727"/>
      <c r="Q1123" s="727"/>
      <c r="R1123" s="326"/>
      <c r="S1123" s="326"/>
      <c r="T1123" s="768"/>
      <c r="U1123" s="768"/>
      <c r="V1123" s="327"/>
      <c r="Y1123" s="321">
        <f>+IFERROR(Y1116*S1123,0)</f>
        <v>0</v>
      </c>
      <c r="Z1123" s="318">
        <f>Y1116*V1123</f>
        <v>0</v>
      </c>
      <c r="AA1123" s="300"/>
      <c r="AB1123" s="301">
        <f>+Y1123*T1123</f>
        <v>0</v>
      </c>
      <c r="AC1123" s="302">
        <f>+AB1123-Z1123</f>
        <v>0</v>
      </c>
      <c r="AD1123" s="280"/>
      <c r="AE1123" s="310" t="str">
        <f>+IF(V1123=0,"CERO","NO")</f>
        <v>CERO</v>
      </c>
    </row>
    <row r="1124" spans="3:31" ht="15.9" customHeight="1" thickBot="1" x14ac:dyDescent="0.35">
      <c r="C1124" s="292"/>
      <c r="D1124" s="295" t="s">
        <v>132</v>
      </c>
      <c r="E1124" s="296" t="s">
        <v>133</v>
      </c>
      <c r="F1124" s="296" t="s">
        <v>134</v>
      </c>
      <c r="G1124" s="296" t="s">
        <v>135</v>
      </c>
      <c r="H1124" s="296" t="s">
        <v>136</v>
      </c>
      <c r="I1124" s="296" t="s">
        <v>137</v>
      </c>
      <c r="J1124" s="297" t="s">
        <v>138</v>
      </c>
      <c r="K1124" s="293"/>
      <c r="M1124" s="724"/>
      <c r="N1124" s="725" t="s">
        <v>104</v>
      </c>
      <c r="O1124" s="725"/>
      <c r="P1124" s="725"/>
      <c r="Q1124" s="725"/>
      <c r="R1124" s="725"/>
      <c r="S1124" s="725"/>
      <c r="T1124" s="725"/>
      <c r="U1124" s="725"/>
      <c r="V1124" s="316">
        <f>+SUM(V1120:V1123)</f>
        <v>2560.4499999999998</v>
      </c>
      <c r="Y1124" s="328" t="s">
        <v>139</v>
      </c>
      <c r="Z1124" s="329">
        <f>+SUM(Z1120:Z1123)</f>
        <v>1708844.33</v>
      </c>
      <c r="AA1124" s="279"/>
      <c r="AB1124" s="290"/>
      <c r="AC1124" s="291"/>
      <c r="AD1124" s="280"/>
      <c r="AE1124" s="330"/>
    </row>
    <row r="1125" spans="3:31" ht="15.9" customHeight="1" thickBot="1" x14ac:dyDescent="0.35">
      <c r="C1125" s="292"/>
      <c r="D1125" s="295">
        <f>C1116</f>
        <v>3.4</v>
      </c>
      <c r="E1125" s="296"/>
      <c r="F1125" s="296"/>
      <c r="G1125" s="296"/>
      <c r="H1125" s="296"/>
      <c r="I1125" s="296"/>
      <c r="J1125" s="297"/>
      <c r="K1125" s="293"/>
      <c r="M1125" s="724"/>
      <c r="N1125" s="726" t="s">
        <v>105</v>
      </c>
      <c r="O1125" s="726"/>
      <c r="P1125" s="726"/>
      <c r="Q1125" s="726"/>
      <c r="R1125" s="726"/>
      <c r="S1125" s="726"/>
      <c r="T1125" s="726"/>
      <c r="U1125" s="726"/>
      <c r="V1125" s="344">
        <f>+ROUND(V1124,$AA$2)</f>
        <v>2560</v>
      </c>
      <c r="Y1125" s="332" t="s">
        <v>140</v>
      </c>
      <c r="Z1125" s="333">
        <f>+ROUND(Z1124,$AA$2)</f>
        <v>1708844</v>
      </c>
      <c r="AA1125" s="279"/>
      <c r="AB1125" s="324">
        <f>+V1125*Y1116</f>
        <v>1708544</v>
      </c>
      <c r="AC1125" s="325">
        <f>+AB1125-Z1125</f>
        <v>-300</v>
      </c>
      <c r="AD1125" s="280"/>
      <c r="AE1125" s="334"/>
    </row>
    <row r="1126" spans="3:31" ht="15.9" customHeight="1" x14ac:dyDescent="0.3">
      <c r="C1126" s="292"/>
      <c r="D1126" s="304"/>
      <c r="E1126" s="305"/>
      <c r="F1126" s="305"/>
      <c r="G1126" s="305"/>
      <c r="H1126" s="305"/>
      <c r="I1126" s="305"/>
      <c r="J1126" s="306"/>
      <c r="K1126" s="293"/>
      <c r="M1126" s="730" t="s">
        <v>106</v>
      </c>
      <c r="N1126" s="730"/>
      <c r="O1126" s="730"/>
      <c r="P1126" s="730"/>
      <c r="Q1126" s="730"/>
      <c r="R1126" s="730"/>
      <c r="S1126" s="730"/>
      <c r="T1126" s="730"/>
      <c r="U1126" s="730"/>
      <c r="V1126" s="730"/>
      <c r="Y1126" s="298"/>
      <c r="Z1126" s="299"/>
      <c r="AA1126" s="279"/>
      <c r="AB1126" s="731"/>
      <c r="AC1126" s="732"/>
      <c r="AD1126" s="280"/>
      <c r="AE1126" s="335"/>
    </row>
    <row r="1127" spans="3:31" ht="15.9" customHeight="1" x14ac:dyDescent="0.3">
      <c r="C1127" s="292"/>
      <c r="D1127" s="311"/>
      <c r="E1127" s="279"/>
      <c r="F1127" s="279"/>
      <c r="G1127" s="279"/>
      <c r="H1127" s="279"/>
      <c r="I1127" s="279"/>
      <c r="J1127" s="312"/>
      <c r="K1127" s="293"/>
      <c r="M1127" s="307" t="s">
        <v>97</v>
      </c>
      <c r="N1127" s="706" t="s">
        <v>98</v>
      </c>
      <c r="O1127" s="706"/>
      <c r="P1127" s="706"/>
      <c r="Q1127" s="706"/>
      <c r="R1127" s="307" t="s">
        <v>99</v>
      </c>
      <c r="S1127" s="307" t="s">
        <v>107</v>
      </c>
      <c r="T1127" s="336" t="s">
        <v>108</v>
      </c>
      <c r="U1127" s="336" t="s">
        <v>8</v>
      </c>
      <c r="V1127" s="307" t="s">
        <v>101</v>
      </c>
      <c r="Y1127" s="308" t="s">
        <v>107</v>
      </c>
      <c r="Z1127" s="309" t="s">
        <v>9</v>
      </c>
      <c r="AA1127" s="279"/>
      <c r="AB1127" s="290"/>
      <c r="AC1127" s="291"/>
      <c r="AD1127" s="280"/>
      <c r="AE1127" s="337"/>
    </row>
    <row r="1128" spans="3:31" ht="15.9" customHeight="1" x14ac:dyDescent="0.3">
      <c r="C1128" s="292"/>
      <c r="D1128" s="311"/>
      <c r="E1128" s="279"/>
      <c r="F1128" s="279"/>
      <c r="G1128" s="279"/>
      <c r="H1128" s="279"/>
      <c r="I1128" s="279"/>
      <c r="J1128" s="312"/>
      <c r="K1128" s="293"/>
      <c r="M1128" s="313">
        <v>0</v>
      </c>
      <c r="N1128" s="718" t="str">
        <f>IFERROR(VLOOKUP(M1128,INSUMOS!$C$8:$K$934,2,0),"-----")</f>
        <v>-----</v>
      </c>
      <c r="O1128" s="718"/>
      <c r="P1128" s="718"/>
      <c r="Q1128" s="718"/>
      <c r="R1128" s="314" t="str">
        <f>IFERROR(VLOOKUP(M1128,INSUMOS!$C$8:$K$934,6,0),"-----")</f>
        <v>-----</v>
      </c>
      <c r="S1128" s="322"/>
      <c r="T1128" s="315">
        <v>0</v>
      </c>
      <c r="U1128" s="338" t="str">
        <f>IFERROR(VLOOKUP(M1128,INSUMOS!$C$8:$K$934,7,0),"0")</f>
        <v>0</v>
      </c>
      <c r="V1128" s="316">
        <f>+IFERROR(U1128*(S1128*(1+T1128)),0)</f>
        <v>0</v>
      </c>
      <c r="Y1128" s="321">
        <f>+IFERROR(Y1116*(S1128*(1+T1128)),0)</f>
        <v>0</v>
      </c>
      <c r="Z1128" s="318">
        <f>Y1116*V1128</f>
        <v>0</v>
      </c>
      <c r="AA1128" s="300"/>
      <c r="AB1128" s="301">
        <f>+Y1128*U1128</f>
        <v>0</v>
      </c>
      <c r="AC1128" s="302">
        <f>+AB1128-Z1128</f>
        <v>0</v>
      </c>
      <c r="AD1128" s="280"/>
      <c r="AE1128" s="337" t="str">
        <f t="shared" ref="AE1128:AE1130" si="151">+IF(V1128=0,"CERO","NO")</f>
        <v>CERO</v>
      </c>
    </row>
    <row r="1129" spans="3:31" ht="15.9" customHeight="1" x14ac:dyDescent="0.3">
      <c r="C1129" s="292"/>
      <c r="D1129" s="311"/>
      <c r="E1129" s="279"/>
      <c r="F1129" s="279"/>
      <c r="G1129" s="279"/>
      <c r="H1129" s="279"/>
      <c r="I1129" s="279"/>
      <c r="J1129" s="312"/>
      <c r="K1129" s="293"/>
      <c r="M1129" s="313">
        <v>0</v>
      </c>
      <c r="N1129" s="718" t="str">
        <f>IFERROR(VLOOKUP(M1129,INSUMOS!$C$8:$K$934,2,0),"-----")</f>
        <v>-----</v>
      </c>
      <c r="O1129" s="718"/>
      <c r="P1129" s="718"/>
      <c r="Q1129" s="718"/>
      <c r="R1129" s="314" t="str">
        <f>IFERROR(VLOOKUP(M1129,INSUMOS!$C$8:$K$934,6,0),"-----")</f>
        <v>-----</v>
      </c>
      <c r="S1129" s="322"/>
      <c r="T1129" s="315">
        <v>0</v>
      </c>
      <c r="U1129" s="338" t="str">
        <f>IFERROR(VLOOKUP(M1129,INSUMOS!$C$8:$K$934,7,0),"0")</f>
        <v>0</v>
      </c>
      <c r="V1129" s="316">
        <f>+IFERROR(U1129*(S1129*(1+T1129)),0)</f>
        <v>0</v>
      </c>
      <c r="Y1129" s="321">
        <f>+IFERROR(Y1116*(S1129*(1+T1129)),0)</f>
        <v>0</v>
      </c>
      <c r="Z1129" s="318">
        <f>Y1116*V1129</f>
        <v>0</v>
      </c>
      <c r="AA1129" s="300"/>
      <c r="AB1129" s="301">
        <f t="shared" ref="AB1129:AB1130" si="152">+Y1129*U1129</f>
        <v>0</v>
      </c>
      <c r="AC1129" s="302">
        <f t="shared" ref="AC1129:AC1130" si="153">+AB1129-Z1129</f>
        <v>0</v>
      </c>
      <c r="AD1129" s="280"/>
      <c r="AE1129" s="337" t="str">
        <f t="shared" si="151"/>
        <v>CERO</v>
      </c>
    </row>
    <row r="1130" spans="3:31" ht="15.9" customHeight="1" thickBot="1" x14ac:dyDescent="0.35">
      <c r="C1130" s="292"/>
      <c r="D1130" s="311"/>
      <c r="E1130" s="279"/>
      <c r="F1130" s="279"/>
      <c r="G1130" s="279"/>
      <c r="H1130" s="279"/>
      <c r="I1130" s="279"/>
      <c r="J1130" s="312"/>
      <c r="K1130" s="293"/>
      <c r="M1130" s="313">
        <v>0</v>
      </c>
      <c r="N1130" s="718" t="str">
        <f>IFERROR(VLOOKUP(M1130,INSUMOS!$C$8:$K$934,2,0),"-----")</f>
        <v>-----</v>
      </c>
      <c r="O1130" s="718"/>
      <c r="P1130" s="718"/>
      <c r="Q1130" s="718"/>
      <c r="R1130" s="314" t="str">
        <f>IFERROR(VLOOKUP(M1130,INSUMOS!$C$8:$K$934,6,0),"-----")</f>
        <v>-----</v>
      </c>
      <c r="S1130" s="322"/>
      <c r="T1130" s="315">
        <v>0</v>
      </c>
      <c r="U1130" s="338" t="str">
        <f>IFERROR(VLOOKUP(M1130,INSUMOS!$C$8:$K$934,7,0),"0")</f>
        <v>0</v>
      </c>
      <c r="V1130" s="316">
        <f>+IFERROR(U1130*(S1130*(1+T1130)),0)</f>
        <v>0</v>
      </c>
      <c r="Y1130" s="321">
        <f>+IFERROR(Y1116*(S1130*(1+T1130)),0)</f>
        <v>0</v>
      </c>
      <c r="Z1130" s="318">
        <f>Y1116*V1130</f>
        <v>0</v>
      </c>
      <c r="AA1130" s="300"/>
      <c r="AB1130" s="301">
        <f t="shared" si="152"/>
        <v>0</v>
      </c>
      <c r="AC1130" s="302">
        <f t="shared" si="153"/>
        <v>0</v>
      </c>
      <c r="AD1130" s="280"/>
      <c r="AE1130" s="337" t="str">
        <f t="shared" si="151"/>
        <v>CERO</v>
      </c>
    </row>
    <row r="1131" spans="3:31" ht="15.9" customHeight="1" thickBot="1" x14ac:dyDescent="0.35">
      <c r="C1131" s="292"/>
      <c r="D1131" s="295" t="s">
        <v>132</v>
      </c>
      <c r="E1131" s="296" t="s">
        <v>133</v>
      </c>
      <c r="F1131" s="296" t="s">
        <v>134</v>
      </c>
      <c r="G1131" s="296" t="s">
        <v>135</v>
      </c>
      <c r="H1131" s="296" t="s">
        <v>136</v>
      </c>
      <c r="I1131" s="296" t="s">
        <v>137</v>
      </c>
      <c r="J1131" s="297" t="s">
        <v>138</v>
      </c>
      <c r="K1131" s="293"/>
      <c r="M1131" s="724"/>
      <c r="N1131" s="725" t="s">
        <v>109</v>
      </c>
      <c r="O1131" s="725"/>
      <c r="P1131" s="725"/>
      <c r="Q1131" s="725"/>
      <c r="R1131" s="725"/>
      <c r="S1131" s="725"/>
      <c r="T1131" s="725"/>
      <c r="U1131" s="725"/>
      <c r="V1131" s="316">
        <f>+SUM(V1128:V1130)</f>
        <v>0</v>
      </c>
      <c r="Y1131" s="328" t="s">
        <v>139</v>
      </c>
      <c r="Z1131" s="329">
        <f>+SUM(Z1128:Z1130)</f>
        <v>0</v>
      </c>
      <c r="AA1131" s="279"/>
      <c r="AB1131" s="290"/>
      <c r="AC1131" s="291"/>
      <c r="AD1131" s="280"/>
      <c r="AE1131" s="330"/>
    </row>
    <row r="1132" spans="3:31" ht="15.9" customHeight="1" thickBot="1" x14ac:dyDescent="0.35">
      <c r="C1132" s="292"/>
      <c r="D1132" s="295"/>
      <c r="E1132" s="343">
        <f>+D1125</f>
        <v>3.4</v>
      </c>
      <c r="F1132" s="296"/>
      <c r="G1132" s="296"/>
      <c r="H1132" s="296"/>
      <c r="I1132" s="296"/>
      <c r="J1132" s="297"/>
      <c r="K1132" s="293"/>
      <c r="M1132" s="724"/>
      <c r="N1132" s="726" t="s">
        <v>110</v>
      </c>
      <c r="O1132" s="726"/>
      <c r="P1132" s="726"/>
      <c r="Q1132" s="726"/>
      <c r="R1132" s="726"/>
      <c r="S1132" s="726"/>
      <c r="T1132" s="726"/>
      <c r="U1132" s="726"/>
      <c r="V1132" s="344">
        <f>+ROUND(V1131,$AA$2)</f>
        <v>0</v>
      </c>
      <c r="Y1132" s="332" t="s">
        <v>140</v>
      </c>
      <c r="Z1132" s="333">
        <f>+ROUND(Z1131,$AA$2)</f>
        <v>0</v>
      </c>
      <c r="AA1132" s="279"/>
      <c r="AB1132" s="324">
        <f>+V1132*Y1116</f>
        <v>0</v>
      </c>
      <c r="AC1132" s="325">
        <f>+AB1132-Z1132</f>
        <v>0</v>
      </c>
      <c r="AD1132" s="280"/>
      <c r="AE1132" s="334"/>
    </row>
    <row r="1133" spans="3:31" ht="15.9" customHeight="1" x14ac:dyDescent="0.3">
      <c r="C1133" s="292"/>
      <c r="D1133" s="304"/>
      <c r="E1133" s="305"/>
      <c r="F1133" s="305"/>
      <c r="G1133" s="305"/>
      <c r="H1133" s="305"/>
      <c r="I1133" s="305"/>
      <c r="J1133" s="306"/>
      <c r="K1133" s="293"/>
      <c r="M1133" s="733" t="s">
        <v>111</v>
      </c>
      <c r="N1133" s="733"/>
      <c r="O1133" s="733"/>
      <c r="P1133" s="733"/>
      <c r="Q1133" s="733"/>
      <c r="R1133" s="733"/>
      <c r="S1133" s="733"/>
      <c r="T1133" s="733"/>
      <c r="U1133" s="733"/>
      <c r="V1133" s="733"/>
      <c r="Y1133" s="298"/>
      <c r="Z1133" s="299"/>
      <c r="AA1133" s="279"/>
      <c r="AB1133" s="342"/>
      <c r="AC1133" s="299"/>
      <c r="AD1133" s="280"/>
      <c r="AE1133" s="335"/>
    </row>
    <row r="1134" spans="3:31" ht="27.6" x14ac:dyDescent="0.3">
      <c r="C1134" s="292"/>
      <c r="D1134" s="311"/>
      <c r="E1134" s="279"/>
      <c r="F1134" s="279"/>
      <c r="G1134" s="279"/>
      <c r="H1134" s="279"/>
      <c r="I1134" s="279"/>
      <c r="J1134" s="312"/>
      <c r="K1134" s="293"/>
      <c r="M1134" s="307" t="s">
        <v>97</v>
      </c>
      <c r="N1134" s="706" t="s">
        <v>98</v>
      </c>
      <c r="O1134" s="706"/>
      <c r="P1134" s="706"/>
      <c r="Q1134" s="307" t="s">
        <v>112</v>
      </c>
      <c r="R1134" s="307" t="s">
        <v>113</v>
      </c>
      <c r="S1134" s="307" t="s">
        <v>114</v>
      </c>
      <c r="T1134" s="734" t="s">
        <v>115</v>
      </c>
      <c r="U1134" s="734"/>
      <c r="V1134" s="307" t="s">
        <v>101</v>
      </c>
      <c r="Y1134" s="308" t="s">
        <v>107</v>
      </c>
      <c r="Z1134" s="309" t="s">
        <v>9</v>
      </c>
      <c r="AA1134" s="279"/>
      <c r="AB1134" s="290"/>
      <c r="AC1134" s="291"/>
      <c r="AD1134" s="280"/>
      <c r="AE1134" s="349"/>
    </row>
    <row r="1135" spans="3:31" ht="14.4" x14ac:dyDescent="0.3">
      <c r="C1135" s="350"/>
      <c r="D1135" s="351"/>
      <c r="E1135" s="345"/>
      <c r="F1135" s="345"/>
      <c r="G1135" s="345"/>
      <c r="H1135" s="345"/>
      <c r="I1135" s="345"/>
      <c r="J1135" s="352"/>
      <c r="K1135" s="353"/>
      <c r="M1135" s="354">
        <v>0</v>
      </c>
      <c r="N1135" s="718" t="str">
        <f>IFERROR(VLOOKUP(M1135,INSUMOS!$C$8:$K$934,2,0),"-----")</f>
        <v>-----</v>
      </c>
      <c r="O1135" s="718"/>
      <c r="P1135" s="718"/>
      <c r="Q1135" s="314" t="str">
        <f>IFERROR(VLOOKUP(M1135,INSUMOS!$C$8:$K$934,5,0),"-----")</f>
        <v>-----</v>
      </c>
      <c r="R1135" s="355"/>
      <c r="S1135" s="355" t="str">
        <f>IFERROR(VLOOKUP(M1135,INSUMOS!$C$8:$K$934,6,0),"0")</f>
        <v>0</v>
      </c>
      <c r="T1135" s="719" t="str">
        <f>IFERROR(VLOOKUP(M1135,INSUMOS!$C$8:$K$934,7,0),"0")</f>
        <v>0</v>
      </c>
      <c r="U1135" s="719"/>
      <c r="V1135" s="515">
        <f>+T1135*S1135*R1135</f>
        <v>0</v>
      </c>
      <c r="Y1135" s="321">
        <f>+IFERROR((R1135*S1135)*Y1116,0)</f>
        <v>0</v>
      </c>
      <c r="Z1135" s="318">
        <f>Y1116*V1135</f>
        <v>0</v>
      </c>
      <c r="AA1135" s="345"/>
      <c r="AB1135" s="346">
        <f>+Y1135*T1135</f>
        <v>0</v>
      </c>
      <c r="AC1135" s="347">
        <f>+AB1135-Z1135</f>
        <v>0</v>
      </c>
      <c r="AD1135" s="348"/>
      <c r="AE1135" s="337" t="str">
        <f t="shared" ref="AE1135:AE1138" si="154">+IF(V1135=0,"CERO","NO")</f>
        <v>CERO</v>
      </c>
    </row>
    <row r="1136" spans="3:31" ht="15.9" customHeight="1" x14ac:dyDescent="0.3">
      <c r="C1136" s="350"/>
      <c r="D1136" s="351"/>
      <c r="E1136" s="345"/>
      <c r="F1136" s="345"/>
      <c r="G1136" s="345"/>
      <c r="H1136" s="345"/>
      <c r="I1136" s="345"/>
      <c r="J1136" s="352"/>
      <c r="K1136" s="353"/>
      <c r="M1136" s="354">
        <v>0</v>
      </c>
      <c r="N1136" s="718" t="str">
        <f>IFERROR(VLOOKUP(M1136,INSUMOS!$C$8:$K$934,2,0),"-----")</f>
        <v>-----</v>
      </c>
      <c r="O1136" s="718"/>
      <c r="P1136" s="718"/>
      <c r="Q1136" s="314" t="str">
        <f>IFERROR(VLOOKUP(M1136,INSUMOS!$C$8:$K$934,5,0),"-----")</f>
        <v>-----</v>
      </c>
      <c r="R1136" s="355"/>
      <c r="S1136" s="355" t="str">
        <f>IFERROR(VLOOKUP(M1136,INSUMOS!$C$8:$K$934,6,0),"0")</f>
        <v>0</v>
      </c>
      <c r="T1136" s="719" t="str">
        <f>IFERROR(VLOOKUP(M1136,INSUMOS!$C$8:$K$934,7,0),"0")</f>
        <v>0</v>
      </c>
      <c r="U1136" s="719"/>
      <c r="V1136" s="515">
        <f>+T1136*S1136*R1136</f>
        <v>0</v>
      </c>
      <c r="Y1136" s="321">
        <f>+IFERROR((R1136*S1136)*Y1116,0)</f>
        <v>0</v>
      </c>
      <c r="Z1136" s="318">
        <f>Y1116*V1136</f>
        <v>0</v>
      </c>
      <c r="AA1136" s="345"/>
      <c r="AB1136" s="346">
        <f>+Y1136*T1136</f>
        <v>0</v>
      </c>
      <c r="AC1136" s="347">
        <f>+AB1136-Z1136</f>
        <v>0</v>
      </c>
      <c r="AD1136" s="348"/>
      <c r="AE1136" s="337" t="str">
        <f t="shared" si="154"/>
        <v>CERO</v>
      </c>
    </row>
    <row r="1137" spans="3:31" ht="15.9" customHeight="1" x14ac:dyDescent="0.3">
      <c r="C1137" s="350"/>
      <c r="D1137" s="351"/>
      <c r="E1137" s="345"/>
      <c r="F1137" s="345"/>
      <c r="G1137" s="345"/>
      <c r="H1137" s="345"/>
      <c r="I1137" s="345"/>
      <c r="J1137" s="352"/>
      <c r="K1137" s="353"/>
      <c r="M1137" s="354">
        <v>0</v>
      </c>
      <c r="N1137" s="718" t="str">
        <f>IFERROR(VLOOKUP(M1137,INSUMOS!$C$8:$K$934,2,0),"-----")</f>
        <v>-----</v>
      </c>
      <c r="O1137" s="718"/>
      <c r="P1137" s="718"/>
      <c r="Q1137" s="314" t="str">
        <f>IFERROR(VLOOKUP(M1137,INSUMOS!$C$8:$K$934,5,0),"-----")</f>
        <v>-----</v>
      </c>
      <c r="R1137" s="355"/>
      <c r="S1137" s="355" t="str">
        <f>IFERROR(VLOOKUP(M1137,INSUMOS!$C$8:$K$934,6,0),"0")</f>
        <v>0</v>
      </c>
      <c r="T1137" s="719" t="str">
        <f>IFERROR(VLOOKUP(M1137,INSUMOS!$C$8:$K$934,7,0),"0")</f>
        <v>0</v>
      </c>
      <c r="U1137" s="719"/>
      <c r="V1137" s="515">
        <f>+T1137*S1137*R1137</f>
        <v>0</v>
      </c>
      <c r="Y1137" s="321">
        <f>+IFERROR((R1137*S1137)*Y1116,0)</f>
        <v>0</v>
      </c>
      <c r="Z1137" s="318">
        <f>Y1116*V1137</f>
        <v>0</v>
      </c>
      <c r="AA1137" s="345"/>
      <c r="AB1137" s="346">
        <f t="shared" ref="AB1137" si="155">+Y1137*T1137</f>
        <v>0</v>
      </c>
      <c r="AC1137" s="347">
        <f t="shared" ref="AC1137" si="156">+AB1137-Z1137</f>
        <v>0</v>
      </c>
      <c r="AD1137" s="348"/>
      <c r="AE1137" s="337" t="str">
        <f t="shared" si="154"/>
        <v>CERO</v>
      </c>
    </row>
    <row r="1138" spans="3:31" ht="15.9" customHeight="1" thickBot="1" x14ac:dyDescent="0.35">
      <c r="C1138" s="350"/>
      <c r="D1138" s="360"/>
      <c r="E1138" s="361"/>
      <c r="F1138" s="361"/>
      <c r="G1138" s="361"/>
      <c r="H1138" s="361"/>
      <c r="I1138" s="361"/>
      <c r="J1138" s="362"/>
      <c r="K1138" s="353"/>
      <c r="M1138" s="354">
        <v>0</v>
      </c>
      <c r="N1138" s="718"/>
      <c r="O1138" s="718"/>
      <c r="P1138" s="718"/>
      <c r="Q1138" s="357"/>
      <c r="R1138" s="314"/>
      <c r="S1138" s="358"/>
      <c r="T1138" s="719"/>
      <c r="U1138" s="719"/>
      <c r="V1138" s="515"/>
      <c r="Y1138" s="321">
        <f>+IFERROR((R1138*S1138)*Y1116,0)</f>
        <v>0</v>
      </c>
      <c r="Z1138" s="318">
        <f>Y1116*V1138</f>
        <v>0</v>
      </c>
      <c r="AA1138" s="345"/>
      <c r="AB1138" s="346">
        <f>+Y1138*T1138</f>
        <v>0</v>
      </c>
      <c r="AC1138" s="347">
        <f>+AB1138-Z1138</f>
        <v>0</v>
      </c>
      <c r="AD1138" s="348"/>
      <c r="AE1138" s="337" t="str">
        <f t="shared" si="154"/>
        <v>CERO</v>
      </c>
    </row>
    <row r="1139" spans="3:31" ht="15.9" customHeight="1" thickBot="1" x14ac:dyDescent="0.35">
      <c r="C1139" s="292"/>
      <c r="D1139" s="295" t="s">
        <v>132</v>
      </c>
      <c r="E1139" s="296" t="s">
        <v>133</v>
      </c>
      <c r="F1139" s="296" t="s">
        <v>134</v>
      </c>
      <c r="G1139" s="296" t="s">
        <v>135</v>
      </c>
      <c r="H1139" s="296" t="s">
        <v>136</v>
      </c>
      <c r="I1139" s="296" t="s">
        <v>137</v>
      </c>
      <c r="J1139" s="297" t="s">
        <v>138</v>
      </c>
      <c r="K1139" s="293"/>
      <c r="M1139" s="720"/>
      <c r="N1139" s="721" t="s">
        <v>116</v>
      </c>
      <c r="O1139" s="721"/>
      <c r="P1139" s="721"/>
      <c r="Q1139" s="721"/>
      <c r="R1139" s="721"/>
      <c r="S1139" s="721"/>
      <c r="T1139" s="721"/>
      <c r="U1139" s="721"/>
      <c r="V1139" s="499">
        <f>+SUM(V1135:V1138)</f>
        <v>0</v>
      </c>
      <c r="Y1139" s="328" t="s">
        <v>139</v>
      </c>
      <c r="Z1139" s="329">
        <f>+SUM(Z1135:Z1138)</f>
        <v>0</v>
      </c>
      <c r="AA1139" s="279"/>
      <c r="AB1139" s="290"/>
      <c r="AC1139" s="291"/>
      <c r="AD1139" s="280"/>
      <c r="AE1139" s="330"/>
    </row>
    <row r="1140" spans="3:31" ht="15.9" customHeight="1" thickBot="1" x14ac:dyDescent="0.35">
      <c r="C1140" s="292"/>
      <c r="D1140" s="363"/>
      <c r="E1140" s="364"/>
      <c r="F1140" s="365">
        <f>+E1132</f>
        <v>3.4</v>
      </c>
      <c r="G1140" s="364"/>
      <c r="H1140" s="364"/>
      <c r="I1140" s="364"/>
      <c r="J1140" s="366"/>
      <c r="K1140" s="293"/>
      <c r="M1140" s="720"/>
      <c r="N1140" s="722" t="s">
        <v>117</v>
      </c>
      <c r="O1140" s="722"/>
      <c r="P1140" s="722"/>
      <c r="Q1140" s="722"/>
      <c r="R1140" s="722"/>
      <c r="S1140" s="722"/>
      <c r="T1140" s="722"/>
      <c r="U1140" s="722"/>
      <c r="V1140" s="344">
        <f>+ROUND(V1139,$AA$2)</f>
        <v>0</v>
      </c>
      <c r="Y1140" s="332" t="s">
        <v>140</v>
      </c>
      <c r="Z1140" s="333">
        <f>+ROUND(Z1139,$AA$2)</f>
        <v>0</v>
      </c>
      <c r="AA1140" s="279"/>
      <c r="AB1140" s="324">
        <f>+V1140*Y1116</f>
        <v>0</v>
      </c>
      <c r="AC1140" s="359"/>
      <c r="AD1140" s="280"/>
      <c r="AE1140" s="334"/>
    </row>
    <row r="1141" spans="3:31" ht="15.9" customHeight="1" thickBot="1" x14ac:dyDescent="0.35">
      <c r="C1141" s="292"/>
      <c r="D1141" s="369"/>
      <c r="E1141" s="370"/>
      <c r="F1141" s="370"/>
      <c r="G1141" s="370"/>
      <c r="H1141" s="370"/>
      <c r="I1141" s="370"/>
      <c r="J1141" s="371"/>
      <c r="K1141" s="293"/>
      <c r="M1141" s="723" t="s">
        <v>118</v>
      </c>
      <c r="N1141" s="723"/>
      <c r="O1141" s="723"/>
      <c r="P1141" s="723"/>
      <c r="Q1141" s="723"/>
      <c r="R1141" s="723"/>
      <c r="S1141" s="723"/>
      <c r="T1141" s="723"/>
      <c r="U1141" s="723"/>
      <c r="V1141" s="723"/>
      <c r="Y1141" s="298"/>
      <c r="Z1141" s="299"/>
      <c r="AA1141" s="279"/>
      <c r="AB1141" s="342"/>
      <c r="AC1141" s="299"/>
      <c r="AD1141" s="280"/>
      <c r="AE1141" s="335"/>
    </row>
    <row r="1142" spans="3:31" ht="15.9" customHeight="1" thickBot="1" x14ac:dyDescent="0.35">
      <c r="C1142" s="292"/>
      <c r="D1142" s="295" t="s">
        <v>132</v>
      </c>
      <c r="E1142" s="296" t="s">
        <v>133</v>
      </c>
      <c r="F1142" s="296" t="s">
        <v>134</v>
      </c>
      <c r="G1142" s="296" t="s">
        <v>135</v>
      </c>
      <c r="H1142" s="296" t="s">
        <v>136</v>
      </c>
      <c r="I1142" s="296" t="s">
        <v>137</v>
      </c>
      <c r="J1142" s="297" t="s">
        <v>138</v>
      </c>
      <c r="K1142" s="293"/>
      <c r="M1142" s="307" t="s">
        <v>97</v>
      </c>
      <c r="N1142" s="372" t="s">
        <v>98</v>
      </c>
      <c r="O1142" s="307" t="s">
        <v>99</v>
      </c>
      <c r="P1142" s="396" t="s">
        <v>107</v>
      </c>
      <c r="Q1142" s="307" t="s">
        <v>119</v>
      </c>
      <c r="R1142" s="373" t="s">
        <v>120</v>
      </c>
      <c r="S1142" s="307" t="s">
        <v>363</v>
      </c>
      <c r="T1142" s="374" t="s">
        <v>121</v>
      </c>
      <c r="U1142" s="375" t="s">
        <v>122</v>
      </c>
      <c r="V1142" s="307" t="s">
        <v>101</v>
      </c>
      <c r="Y1142" s="308" t="s">
        <v>107</v>
      </c>
      <c r="Z1142" s="309" t="s">
        <v>9</v>
      </c>
      <c r="AA1142" s="279"/>
      <c r="AB1142" s="290"/>
      <c r="AC1142" s="291"/>
      <c r="AD1142" s="280"/>
      <c r="AE1142" s="349"/>
    </row>
    <row r="1143" spans="3:31" ht="14.4" x14ac:dyDescent="0.3">
      <c r="C1143" s="292"/>
      <c r="D1143" s="376"/>
      <c r="E1143" s="377"/>
      <c r="F1143" s="377"/>
      <c r="G1143" s="377"/>
      <c r="H1143" s="377"/>
      <c r="I1143" s="377"/>
      <c r="J1143" s="378">
        <f>+F1140</f>
        <v>3.4</v>
      </c>
      <c r="K1143" s="293"/>
      <c r="M1143" s="313">
        <v>202</v>
      </c>
      <c r="N1143" s="379" t="str">
        <f>IFERROR(VLOOKUP(M1143,INSUMOS!$C$8:$K$934,2,0),"-----")</f>
        <v>Ayudante Albañileria</v>
      </c>
      <c r="O1143" s="314" t="str">
        <f>IFERROR(VLOOKUP(M1143,INSUMOS!$C$8:$K$934,3,0),"-----")</f>
        <v>JORNAL+PS</v>
      </c>
      <c r="P1143" s="355">
        <v>1</v>
      </c>
      <c r="Q1143" s="339">
        <v>100</v>
      </c>
      <c r="R1143" s="380">
        <f>IFERROR(VLOOKUP(M1143,INSUMOS!$C$8:$K$934,4,0),"-----")</f>
        <v>94970</v>
      </c>
      <c r="S1143" s="380">
        <f>IFERROR(VLOOKUP(M1143,INSUMOS!$C$8:$K$934,6,0),"-----")</f>
        <v>75976</v>
      </c>
      <c r="T1143" s="380">
        <f>IFERROR(VLOOKUP(M1143,INSUMOS!$C$8:$K$934,5,0),"-----")</f>
        <v>0</v>
      </c>
      <c r="U1143" s="338">
        <f>SUM(R1143:T1143)</f>
        <v>170946</v>
      </c>
      <c r="V1143" s="316">
        <f>+IFERROR((P1143/Q1143)*U1143,0)</f>
        <v>1709.46</v>
      </c>
      <c r="Y1143" s="321">
        <f>+IFERROR((Y1116/Q1143*P1143),0)</f>
        <v>6.6739999999999995</v>
      </c>
      <c r="Z1143" s="318">
        <f>Y1116*V1143</f>
        <v>1140893.6040000001</v>
      </c>
      <c r="AA1143" s="279"/>
      <c r="AB1143" s="367">
        <f>+(U1143)*Y1143</f>
        <v>1140893.6039999998</v>
      </c>
      <c r="AC1143" s="302">
        <f>+AB1143-Z1143</f>
        <v>0</v>
      </c>
      <c r="AD1143" s="368"/>
      <c r="AE1143" s="349" t="str">
        <f>+IF(V1143=0,"CERO","NO")</f>
        <v>NO</v>
      </c>
    </row>
    <row r="1144" spans="3:31" ht="15.9" customHeight="1" thickBot="1" x14ac:dyDescent="0.35">
      <c r="C1144" s="292"/>
      <c r="D1144" s="363"/>
      <c r="E1144" s="364"/>
      <c r="F1144" s="364"/>
      <c r="G1144" s="364"/>
      <c r="H1144" s="364"/>
      <c r="I1144" s="364"/>
      <c r="J1144" s="381">
        <f>+J1143</f>
        <v>3.4</v>
      </c>
      <c r="K1144" s="293"/>
      <c r="M1144" s="313">
        <v>0</v>
      </c>
      <c r="N1144" s="379" t="str">
        <f>IFERROR(VLOOKUP(M1144,INSUMOS!$C$8:$K$934,2,0),"-----")</f>
        <v>-----</v>
      </c>
      <c r="O1144" s="314" t="str">
        <f>IFERROR(VLOOKUP(M1144,INSUMOS!$C$8:$K$934,3,0),"-----")</f>
        <v>-----</v>
      </c>
      <c r="P1144" s="355"/>
      <c r="Q1144" s="339"/>
      <c r="R1144" s="380" t="str">
        <f>IFERROR(VLOOKUP(M1144,INSUMOS!$C$8:$K$934,4,0),"-----")</f>
        <v>-----</v>
      </c>
      <c r="S1144" s="380" t="str">
        <f>IFERROR(VLOOKUP(M1144,INSUMOS!$C$8:$K$934,6,0),"-----")</f>
        <v>-----</v>
      </c>
      <c r="T1144" s="380" t="str">
        <f>IFERROR(VLOOKUP(M1144,INSUMOS!$C$8:$K$934,5,0),"-----")</f>
        <v>-----</v>
      </c>
      <c r="U1144" s="338">
        <f>SUM(R1144:T1144)</f>
        <v>0</v>
      </c>
      <c r="V1144" s="316">
        <f>+IFERROR((P1144/Q1144)*U1144,0)</f>
        <v>0</v>
      </c>
      <c r="Y1144" s="321">
        <f>+IFERROR((Y1116/Q1144*P1144),0)</f>
        <v>0</v>
      </c>
      <c r="Z1144" s="318">
        <f>Y1116*V1144</f>
        <v>0</v>
      </c>
      <c r="AA1144" s="279"/>
      <c r="AB1144" s="367">
        <f>+U1144*Y1144</f>
        <v>0</v>
      </c>
      <c r="AC1144" s="302">
        <f>+AB1144-Z1144</f>
        <v>0</v>
      </c>
      <c r="AD1144" s="280"/>
      <c r="AE1144" s="349" t="str">
        <f t="shared" ref="AE1144:AE1145" si="157">+IF(V1144=0,"CERO","NO")</f>
        <v>CERO</v>
      </c>
    </row>
    <row r="1145" spans="3:31" ht="15.9" customHeight="1" thickBot="1" x14ac:dyDescent="0.35">
      <c r="C1145" s="292"/>
      <c r="D1145" s="304"/>
      <c r="E1145" s="305"/>
      <c r="F1145" s="305"/>
      <c r="G1145" s="305"/>
      <c r="H1145" s="305"/>
      <c r="I1145" s="305"/>
      <c r="J1145" s="306"/>
      <c r="K1145" s="293"/>
      <c r="M1145" s="313">
        <v>0</v>
      </c>
      <c r="N1145" s="379"/>
      <c r="O1145" s="339"/>
      <c r="P1145" s="382"/>
      <c r="Q1145" s="319"/>
      <c r="R1145" s="383"/>
      <c r="S1145" s="384"/>
      <c r="T1145" s="383"/>
      <c r="U1145" s="338"/>
      <c r="V1145" s="323"/>
      <c r="Y1145" s="321">
        <f>+IFERROR((Y1116/Q1145*P1145),0)</f>
        <v>0</v>
      </c>
      <c r="Z1145" s="318">
        <f>Y1116*V1145</f>
        <v>0</v>
      </c>
      <c r="AA1145" s="279"/>
      <c r="AB1145" s="367">
        <f>+(U1145)*Y1145*P1145</f>
        <v>0</v>
      </c>
      <c r="AC1145" s="302">
        <f>+AB1145-Z1145</f>
        <v>0</v>
      </c>
      <c r="AD1145" s="280"/>
      <c r="AE1145" s="349" t="str">
        <f t="shared" si="157"/>
        <v>CERO</v>
      </c>
    </row>
    <row r="1146" spans="3:31" ht="15.9" customHeight="1" thickBot="1" x14ac:dyDescent="0.35">
      <c r="C1146" s="292"/>
      <c r="D1146" s="295" t="s">
        <v>132</v>
      </c>
      <c r="E1146" s="296" t="s">
        <v>133</v>
      </c>
      <c r="F1146" s="296" t="s">
        <v>134</v>
      </c>
      <c r="G1146" s="296" t="s">
        <v>135</v>
      </c>
      <c r="H1146" s="296" t="s">
        <v>136</v>
      </c>
      <c r="I1146" s="296" t="s">
        <v>137</v>
      </c>
      <c r="J1146" s="297" t="s">
        <v>138</v>
      </c>
      <c r="K1146" s="293"/>
      <c r="M1146" s="724"/>
      <c r="N1146" s="725" t="s">
        <v>123</v>
      </c>
      <c r="O1146" s="725"/>
      <c r="P1146" s="725"/>
      <c r="Q1146" s="725"/>
      <c r="R1146" s="725"/>
      <c r="S1146" s="725"/>
      <c r="T1146" s="725"/>
      <c r="U1146" s="725"/>
      <c r="V1146" s="316">
        <f>+SUM(V1143:V1145)</f>
        <v>1709.46</v>
      </c>
      <c r="Y1146" s="328" t="s">
        <v>139</v>
      </c>
      <c r="Z1146" s="329">
        <f>+SUM(Z1143:Z1145)</f>
        <v>1140893.6040000001</v>
      </c>
      <c r="AA1146" s="279"/>
      <c r="AB1146" s="290"/>
      <c r="AC1146" s="291"/>
      <c r="AD1146" s="280"/>
      <c r="AE1146" s="330"/>
    </row>
    <row r="1147" spans="3:31" ht="15.9" customHeight="1" thickBot="1" x14ac:dyDescent="0.35">
      <c r="C1147" s="292"/>
      <c r="D1147" s="376"/>
      <c r="E1147" s="377"/>
      <c r="F1147" s="377"/>
      <c r="G1147" s="386">
        <f>+F1140</f>
        <v>3.4</v>
      </c>
      <c r="H1147" s="377"/>
      <c r="I1147" s="377"/>
      <c r="J1147" s="387"/>
      <c r="K1147" s="293"/>
      <c r="M1147" s="724"/>
      <c r="N1147" s="726" t="s">
        <v>124</v>
      </c>
      <c r="O1147" s="726"/>
      <c r="P1147" s="726"/>
      <c r="Q1147" s="726"/>
      <c r="R1147" s="726"/>
      <c r="S1147" s="726"/>
      <c r="T1147" s="726"/>
      <c r="U1147" s="726"/>
      <c r="V1147" s="344">
        <f>+ROUND(V1146,$AA$2)</f>
        <v>1709</v>
      </c>
      <c r="Y1147" s="332" t="s">
        <v>140</v>
      </c>
      <c r="Z1147" s="333">
        <f>+ROUND(Z1146,$AA$2)</f>
        <v>1140894</v>
      </c>
      <c r="AA1147" s="279"/>
      <c r="AB1147" s="324">
        <f>+V1147*Y1116</f>
        <v>1140586.5999999999</v>
      </c>
      <c r="AC1147" s="325">
        <f>+AB1147-Z1147</f>
        <v>-307.4000000001397</v>
      </c>
      <c r="AD1147" s="280"/>
      <c r="AE1147" s="334"/>
    </row>
    <row r="1148" spans="3:31" ht="15.9" customHeight="1" thickBot="1" x14ac:dyDescent="0.35">
      <c r="C1148" s="292"/>
      <c r="D1148" s="295" t="s">
        <v>132</v>
      </c>
      <c r="E1148" s="296" t="s">
        <v>133</v>
      </c>
      <c r="F1148" s="296" t="s">
        <v>134</v>
      </c>
      <c r="G1148" s="296" t="s">
        <v>135</v>
      </c>
      <c r="H1148" s="296" t="s">
        <v>136</v>
      </c>
      <c r="I1148" s="296" t="s">
        <v>137</v>
      </c>
      <c r="J1148" s="297" t="s">
        <v>138</v>
      </c>
      <c r="K1148" s="293"/>
      <c r="M1148" s="727"/>
      <c r="N1148" s="727"/>
      <c r="O1148" s="727"/>
      <c r="P1148" s="727"/>
      <c r="Q1148" s="727"/>
      <c r="R1148" s="727"/>
      <c r="S1148" s="727"/>
      <c r="T1148" s="727"/>
      <c r="U1148" s="727"/>
      <c r="V1148" s="727"/>
      <c r="Y1148" s="298"/>
      <c r="Z1148" s="299"/>
      <c r="AA1148" s="279"/>
      <c r="AB1148" s="342"/>
      <c r="AC1148" s="299"/>
      <c r="AD1148" s="280"/>
      <c r="AE1148" s="388"/>
    </row>
    <row r="1149" spans="3:31" ht="15.9" customHeight="1" thickBot="1" x14ac:dyDescent="0.35">
      <c r="C1149" s="292"/>
      <c r="D1149" s="363"/>
      <c r="E1149" s="364"/>
      <c r="F1149" s="364"/>
      <c r="G1149" s="364"/>
      <c r="H1149" s="365">
        <f>G1147</f>
        <v>3.4</v>
      </c>
      <c r="I1149" s="365"/>
      <c r="J1149" s="381"/>
      <c r="K1149" s="293"/>
      <c r="M1149" s="726" t="s">
        <v>125</v>
      </c>
      <c r="N1149" s="726"/>
      <c r="O1149" s="726"/>
      <c r="P1149" s="726"/>
      <c r="Q1149" s="726"/>
      <c r="R1149" s="726"/>
      <c r="S1149" s="726"/>
      <c r="T1149" s="726"/>
      <c r="U1149" s="728">
        <f>+V1147+V1140+V1132+V1125</f>
        <v>4269</v>
      </c>
      <c r="V1149" s="728"/>
      <c r="Y1149" s="389"/>
      <c r="Z1149" s="390">
        <f>+Z1147+Z1140+Z1132+Z1125</f>
        <v>2849738</v>
      </c>
      <c r="AA1149" s="279"/>
      <c r="AB1149" s="385">
        <f>+AB1147+AB1140+AB1132+AB1125</f>
        <v>2849130.5999999996</v>
      </c>
      <c r="AC1149" s="325">
        <f>+AB1149-Z1149</f>
        <v>-607.40000000037253</v>
      </c>
      <c r="AD1149" s="280"/>
      <c r="AE1149" s="391"/>
    </row>
    <row r="1150" spans="3:31" ht="15.9" customHeight="1" thickBot="1" x14ac:dyDescent="0.3">
      <c r="M1150" s="412"/>
      <c r="N1150" s="412"/>
      <c r="O1150" s="412"/>
      <c r="P1150" s="412"/>
      <c r="Q1150" s="412"/>
      <c r="R1150" s="412"/>
      <c r="S1150" s="412"/>
      <c r="T1150" s="412"/>
      <c r="U1150" s="412"/>
      <c r="V1150" s="412"/>
    </row>
    <row r="1151" spans="3:31" ht="15.9" customHeight="1" x14ac:dyDescent="0.25">
      <c r="M1151" s="729" t="s">
        <v>364</v>
      </c>
      <c r="N1151" s="729"/>
      <c r="O1151" s="729"/>
      <c r="P1151" s="729"/>
      <c r="Q1151" s="729"/>
      <c r="R1151" s="729"/>
      <c r="S1151" s="729"/>
      <c r="T1151" s="729"/>
      <c r="U1151" s="729"/>
      <c r="V1151" s="729"/>
      <c r="Y1151" s="298"/>
      <c r="Z1151" s="299"/>
      <c r="AA1151" s="279"/>
      <c r="AB1151" s="280"/>
      <c r="AC1151" s="280"/>
      <c r="AD1151" s="280"/>
      <c r="AE1151" s="335" t="s">
        <v>137</v>
      </c>
    </row>
    <row r="1152" spans="3:31" ht="15.9" customHeight="1" x14ac:dyDescent="0.25">
      <c r="M1152" s="700" t="s">
        <v>142</v>
      </c>
      <c r="N1152" s="700"/>
      <c r="O1152" s="700"/>
      <c r="P1152" s="700"/>
      <c r="Q1152" s="700"/>
      <c r="R1152" s="700"/>
      <c r="S1152" s="700"/>
      <c r="T1152" s="413">
        <f>$AA$3</f>
        <v>0.25</v>
      </c>
      <c r="U1152" s="701">
        <f>+ROUND(U1149*T1152,$AA$2)</f>
        <v>1067</v>
      </c>
      <c r="V1152" s="701"/>
      <c r="Y1152" s="317"/>
      <c r="Z1152" s="414">
        <f>+Z1149*T1152</f>
        <v>712434.5</v>
      </c>
      <c r="AA1152" s="279"/>
      <c r="AB1152" s="280"/>
      <c r="AC1152" s="280"/>
      <c r="AD1152" s="280"/>
      <c r="AE1152" s="310" t="s">
        <v>137</v>
      </c>
    </row>
    <row r="1153" spans="4:31" ht="15.9" customHeight="1" x14ac:dyDescent="0.25">
      <c r="M1153" s="700" t="s">
        <v>19</v>
      </c>
      <c r="N1153" s="700"/>
      <c r="O1153" s="700"/>
      <c r="P1153" s="700"/>
      <c r="Q1153" s="700"/>
      <c r="R1153" s="700"/>
      <c r="S1153" s="700"/>
      <c r="T1153" s="413">
        <f>$AA$4</f>
        <v>0.03</v>
      </c>
      <c r="U1153" s="701">
        <f>+ROUND(U1149*T1153,$AA$2)</f>
        <v>128</v>
      </c>
      <c r="V1153" s="701"/>
      <c r="Y1153" s="317"/>
      <c r="Z1153" s="414">
        <f>+Z1149*T1153</f>
        <v>85492.14</v>
      </c>
      <c r="AA1153" s="279"/>
      <c r="AB1153" s="280"/>
      <c r="AC1153" s="280"/>
      <c r="AD1153" s="280"/>
      <c r="AE1153" s="310" t="s">
        <v>137</v>
      </c>
    </row>
    <row r="1154" spans="4:31" ht="15.9" customHeight="1" x14ac:dyDescent="0.25">
      <c r="M1154" s="700" t="s">
        <v>20</v>
      </c>
      <c r="N1154" s="700"/>
      <c r="O1154" s="700"/>
      <c r="P1154" s="700"/>
      <c r="Q1154" s="700"/>
      <c r="R1154" s="700"/>
      <c r="S1154" s="700"/>
      <c r="T1154" s="413">
        <f>$AA$5</f>
        <v>0.05</v>
      </c>
      <c r="U1154" s="701">
        <f>+ROUND(U1149*T1154,$AA$2)</f>
        <v>213</v>
      </c>
      <c r="V1154" s="701"/>
      <c r="Y1154" s="317"/>
      <c r="Z1154" s="414">
        <f>+Z1149*T1154</f>
        <v>142486.9</v>
      </c>
      <c r="AA1154" s="279"/>
      <c r="AB1154" s="280"/>
      <c r="AC1154" s="280"/>
      <c r="AD1154" s="280"/>
      <c r="AE1154" s="310" t="s">
        <v>137</v>
      </c>
    </row>
    <row r="1155" spans="4:31" ht="15.9" customHeight="1" x14ac:dyDescent="0.25">
      <c r="M1155" s="700" t="s">
        <v>21</v>
      </c>
      <c r="N1155" s="700"/>
      <c r="O1155" s="700"/>
      <c r="P1155" s="700"/>
      <c r="Q1155" s="700"/>
      <c r="R1155" s="700"/>
      <c r="S1155" s="700"/>
      <c r="T1155" s="413">
        <f>$AA$6</f>
        <v>0</v>
      </c>
      <c r="U1155" s="701">
        <f>+ROUND(U1149*T1155,$AA$2)</f>
        <v>0</v>
      </c>
      <c r="V1155" s="701"/>
      <c r="Y1155" s="317"/>
      <c r="Z1155" s="414">
        <f>+Z1154*T1155</f>
        <v>0</v>
      </c>
      <c r="AA1155" s="279"/>
      <c r="AB1155" s="280"/>
      <c r="AC1155" s="280"/>
      <c r="AD1155" s="280"/>
      <c r="AE1155" s="310" t="s">
        <v>137</v>
      </c>
    </row>
    <row r="1156" spans="4:31" ht="15.9" customHeight="1" thickBot="1" x14ac:dyDescent="0.3">
      <c r="M1156" s="702" t="s">
        <v>365</v>
      </c>
      <c r="N1156" s="702"/>
      <c r="O1156" s="702"/>
      <c r="P1156" s="702"/>
      <c r="Q1156" s="702"/>
      <c r="R1156" s="702"/>
      <c r="S1156" s="702"/>
      <c r="T1156" s="702"/>
      <c r="U1156" s="703">
        <f>+SUM(U1152:V1155)</f>
        <v>1408</v>
      </c>
      <c r="V1156" s="703"/>
      <c r="Y1156" s="317"/>
      <c r="Z1156" s="415">
        <f>+SUM(Z1152:Z1155)</f>
        <v>940413.54</v>
      </c>
      <c r="AA1156" s="279"/>
      <c r="AB1156" s="280"/>
      <c r="AC1156" s="280"/>
      <c r="AD1156" s="280"/>
      <c r="AE1156" s="310" t="s">
        <v>137</v>
      </c>
    </row>
    <row r="1157" spans="4:31" ht="15.9" customHeight="1" thickBot="1" x14ac:dyDescent="0.3">
      <c r="D1157" s="295" t="s">
        <v>132</v>
      </c>
      <c r="E1157" s="296" t="s">
        <v>133</v>
      </c>
      <c r="F1157" s="296" t="s">
        <v>134</v>
      </c>
      <c r="G1157" s="296" t="s">
        <v>135</v>
      </c>
      <c r="H1157" s="296" t="s">
        <v>136</v>
      </c>
      <c r="I1157" s="296" t="s">
        <v>137</v>
      </c>
      <c r="J1157" s="297" t="s">
        <v>138</v>
      </c>
      <c r="M1157" s="377"/>
      <c r="N1157" s="416"/>
      <c r="O1157" s="416"/>
      <c r="P1157" s="416"/>
      <c r="Q1157" s="377"/>
      <c r="R1157" s="377"/>
      <c r="S1157" s="377"/>
      <c r="T1157" s="417"/>
      <c r="U1157" s="701"/>
      <c r="V1157" s="701"/>
      <c r="Y1157" s="317"/>
      <c r="Z1157" s="291"/>
      <c r="AA1157" s="279"/>
      <c r="AB1157" s="280"/>
      <c r="AC1157" s="280"/>
      <c r="AD1157" s="280"/>
      <c r="AE1157" s="310" t="s">
        <v>137</v>
      </c>
    </row>
    <row r="1158" spans="4:31" ht="15.9" customHeight="1" thickBot="1" x14ac:dyDescent="0.3">
      <c r="D1158" s="363"/>
      <c r="E1158" s="364"/>
      <c r="F1158" s="364"/>
      <c r="G1158" s="364"/>
      <c r="H1158" s="365"/>
      <c r="I1158" s="365">
        <f>H1149</f>
        <v>3.4</v>
      </c>
      <c r="J1158" s="381"/>
      <c r="M1158" s="702" t="s">
        <v>11</v>
      </c>
      <c r="N1158" s="702"/>
      <c r="O1158" s="702"/>
      <c r="P1158" s="702"/>
      <c r="Q1158" s="702"/>
      <c r="R1158" s="702"/>
      <c r="S1158" s="702"/>
      <c r="T1158" s="702"/>
      <c r="U1158" s="704">
        <f>+U1156+U1149</f>
        <v>5677</v>
      </c>
      <c r="V1158" s="704"/>
      <c r="Y1158" s="389"/>
      <c r="Z1158" s="418">
        <f>+Z1156+Z1149</f>
        <v>3790151.54</v>
      </c>
      <c r="AA1158" s="279"/>
      <c r="AB1158" s="280"/>
      <c r="AC1158" s="280"/>
      <c r="AD1158" s="280"/>
      <c r="AE1158" s="334" t="s">
        <v>137</v>
      </c>
    </row>
    <row r="1159" spans="4:31" ht="15.9" customHeight="1" x14ac:dyDescent="0.25">
      <c r="M1159" s="705"/>
      <c r="N1159" s="705"/>
      <c r="O1159" s="705"/>
      <c r="P1159" s="705"/>
      <c r="Q1159" s="705"/>
      <c r="R1159" s="706"/>
      <c r="S1159" s="706"/>
      <c r="T1159" s="706"/>
      <c r="U1159" s="706"/>
      <c r="V1159" s="706"/>
    </row>
    <row r="1160" spans="4:31" ht="15.9" customHeight="1" x14ac:dyDescent="0.25">
      <c r="M1160" s="705"/>
      <c r="N1160" s="705"/>
      <c r="O1160" s="705"/>
      <c r="P1160" s="705"/>
      <c r="Q1160" s="705"/>
      <c r="R1160" s="706"/>
      <c r="S1160" s="706"/>
      <c r="T1160" s="706"/>
      <c r="U1160" s="706"/>
      <c r="V1160" s="706"/>
    </row>
    <row r="1161" spans="4:31" ht="15.9" customHeight="1" x14ac:dyDescent="0.25">
      <c r="M1161" s="705"/>
      <c r="N1161" s="705"/>
      <c r="O1161" s="705"/>
      <c r="P1161" s="705"/>
      <c r="Q1161" s="705"/>
      <c r="R1161" s="706"/>
      <c r="S1161" s="706"/>
      <c r="T1161" s="706"/>
      <c r="U1161" s="706"/>
      <c r="V1161" s="706"/>
    </row>
    <row r="1162" spans="4:31" ht="15.9" customHeight="1" x14ac:dyDescent="0.25">
      <c r="M1162" s="705"/>
      <c r="N1162" s="705"/>
      <c r="O1162" s="705"/>
      <c r="P1162" s="705"/>
      <c r="Q1162" s="705"/>
      <c r="R1162" s="706"/>
      <c r="S1162" s="706"/>
      <c r="T1162" s="706"/>
      <c r="U1162" s="706"/>
      <c r="V1162" s="706"/>
    </row>
    <row r="1163" spans="4:31" ht="15.9" customHeight="1" x14ac:dyDescent="0.25">
      <c r="M1163" s="707" t="s">
        <v>128</v>
      </c>
      <c r="N1163" s="708" t="str">
        <f>$N$6</f>
        <v>ING. JEYSON JULIAN LEON RUEDA</v>
      </c>
      <c r="O1163" s="709"/>
      <c r="P1163" s="709"/>
      <c r="Q1163" s="710"/>
      <c r="R1163" s="711" t="s">
        <v>129</v>
      </c>
      <c r="S1163" s="708" t="str">
        <f>$S$6</f>
        <v>ARQ. YASMID ROCÍO CARRILLO MORA</v>
      </c>
      <c r="T1163" s="709"/>
      <c r="U1163" s="709"/>
      <c r="V1163" s="710"/>
    </row>
    <row r="1164" spans="4:31" ht="15.9" customHeight="1" x14ac:dyDescent="0.25">
      <c r="M1164" s="707"/>
      <c r="N1164" s="712" t="str">
        <f>$N$7</f>
        <v>MP. 68202-416348 STD</v>
      </c>
      <c r="O1164" s="713"/>
      <c r="P1164" s="713"/>
      <c r="Q1164" s="714"/>
      <c r="R1164" s="711"/>
      <c r="S1164" s="712" t="str">
        <f>$S$7</f>
        <v>SECRETARIA DE PLANEACIÓN Y OBRAS PÚBLICAS</v>
      </c>
      <c r="T1164" s="713"/>
      <c r="U1164" s="713"/>
      <c r="V1164" s="714"/>
    </row>
    <row r="1165" spans="4:31" ht="15.9" customHeight="1" x14ac:dyDescent="0.25">
      <c r="M1165" s="707"/>
      <c r="N1165" s="715"/>
      <c r="O1165" s="716"/>
      <c r="P1165" s="716"/>
      <c r="Q1165" s="717"/>
      <c r="R1165" s="711"/>
      <c r="S1165" s="712" t="str">
        <f>$S$8</f>
        <v>MUNICIPIO DE PINCHOTE</v>
      </c>
      <c r="T1165" s="713"/>
      <c r="U1165" s="713"/>
      <c r="V1165" s="714"/>
    </row>
    <row r="1166" spans="4:31" ht="15.9" customHeight="1" x14ac:dyDescent="0.25"/>
    <row r="1167" spans="4:31" ht="15.9" customHeight="1" thickBot="1" x14ac:dyDescent="0.3"/>
    <row r="1168" spans="4:31" ht="15.9" customHeight="1" thickBot="1" x14ac:dyDescent="0.3">
      <c r="M1168" s="281" t="s">
        <v>90</v>
      </c>
      <c r="N1168" s="410" t="s">
        <v>30</v>
      </c>
      <c r="O1168" s="706" t="str">
        <f>IFERROR(VLOOKUP(N1168,PPTO!$C$9:$H$64,2,0),"----")</f>
        <v>ESTRUCTURA VIAL EN PIEDRA LABOR</v>
      </c>
      <c r="P1168" s="706"/>
      <c r="Q1168" s="706"/>
      <c r="R1168" s="706"/>
      <c r="S1168" s="706"/>
      <c r="T1168" s="706"/>
      <c r="U1168" s="706"/>
      <c r="V1168" s="283" t="s">
        <v>93</v>
      </c>
      <c r="Y1168" s="284" t="s">
        <v>107</v>
      </c>
      <c r="Z1168" s="280"/>
      <c r="AA1168" s="274"/>
      <c r="AB1168" s="735"/>
      <c r="AC1168" s="735"/>
      <c r="AD1168" s="735"/>
      <c r="AE1168" s="280"/>
    </row>
    <row r="1169" spans="3:31" ht="15.9" customHeight="1" thickBot="1" x14ac:dyDescent="0.35">
      <c r="C1169" s="285">
        <f>+N1169</f>
        <v>3.5</v>
      </c>
      <c r="D1169" s="279"/>
      <c r="E1169" s="279"/>
      <c r="F1169" s="279"/>
      <c r="G1169" s="279"/>
      <c r="H1169" s="279"/>
      <c r="I1169" s="279"/>
      <c r="J1169" s="279"/>
      <c r="K1169" s="286"/>
      <c r="M1169" s="283" t="s">
        <v>94</v>
      </c>
      <c r="N1169" s="287">
        <v>3.5</v>
      </c>
      <c r="O1169" s="736" t="str">
        <f>IFERROR(VLOOKUP(N1169,PPTO!$C$9:$H$64,2,0),"----")</f>
        <v>Subbase Granular Clase C (incluye suministro, extendido, nivelación, humedecido y compactación)</v>
      </c>
      <c r="P1169" s="736"/>
      <c r="Q1169" s="736"/>
      <c r="R1169" s="736"/>
      <c r="S1169" s="736"/>
      <c r="T1169" s="736"/>
      <c r="U1169" s="736"/>
      <c r="V1169" s="288" t="str">
        <f>IFERROR(VLOOKUP(N1169,PPTO!$C$9:$H$64,3,0),"----")</f>
        <v>m3</v>
      </c>
      <c r="Y1169" s="289">
        <f>SUMIFS(PPTO!$F$7:$F$63,PPTO!$C$7:$C$63,APUS!N1169)</f>
        <v>89.189999999999984</v>
      </c>
      <c r="Z1169" s="280"/>
      <c r="AA1169" s="279"/>
      <c r="AB1169" s="280"/>
      <c r="AC1169" s="280"/>
      <c r="AD1169" s="280"/>
      <c r="AE1169" s="280"/>
    </row>
    <row r="1170" spans="3:31" ht="15.9" customHeight="1" thickBot="1" x14ac:dyDescent="0.35">
      <c r="C1170" s="292"/>
      <c r="D1170" s="279"/>
      <c r="E1170" s="279"/>
      <c r="F1170" s="279"/>
      <c r="G1170" s="279"/>
      <c r="H1170" s="279"/>
      <c r="I1170" s="279"/>
      <c r="J1170" s="279"/>
      <c r="K1170" s="293"/>
      <c r="M1170" s="737"/>
      <c r="N1170" s="737"/>
      <c r="O1170" s="737"/>
      <c r="P1170" s="737"/>
      <c r="Q1170" s="737"/>
      <c r="R1170" s="737"/>
      <c r="S1170" s="737"/>
      <c r="T1170" s="737"/>
      <c r="U1170" s="737"/>
      <c r="V1170" s="737"/>
      <c r="Y1170" s="294"/>
      <c r="Z1170" s="280"/>
      <c r="AA1170" s="279"/>
      <c r="AB1170" s="280"/>
      <c r="AC1170" s="280"/>
      <c r="AD1170" s="280"/>
      <c r="AE1170" s="280"/>
    </row>
    <row r="1171" spans="3:31" ht="15.9" customHeight="1" thickBot="1" x14ac:dyDescent="0.35">
      <c r="C1171" s="292"/>
      <c r="D1171" s="295" t="s">
        <v>132</v>
      </c>
      <c r="E1171" s="296" t="s">
        <v>133</v>
      </c>
      <c r="F1171" s="296" t="s">
        <v>134</v>
      </c>
      <c r="G1171" s="296" t="s">
        <v>135</v>
      </c>
      <c r="H1171" s="296" t="s">
        <v>136</v>
      </c>
      <c r="I1171" s="296" t="s">
        <v>137</v>
      </c>
      <c r="J1171" s="297" t="s">
        <v>138</v>
      </c>
      <c r="K1171" s="293"/>
      <c r="M1171" s="738" t="s">
        <v>96</v>
      </c>
      <c r="N1171" s="738"/>
      <c r="O1171" s="738"/>
      <c r="P1171" s="738"/>
      <c r="Q1171" s="738"/>
      <c r="R1171" s="738"/>
      <c r="S1171" s="738"/>
      <c r="T1171" s="738"/>
      <c r="U1171" s="738"/>
      <c r="V1171" s="738"/>
      <c r="Y1171" s="298"/>
      <c r="Z1171" s="299"/>
      <c r="AA1171" s="279"/>
      <c r="AB1171" s="731"/>
      <c r="AC1171" s="732"/>
      <c r="AD1171" s="280"/>
      <c r="AE1171" s="303"/>
    </row>
    <row r="1172" spans="3:31" ht="15.9" customHeight="1" x14ac:dyDescent="0.3">
      <c r="C1172" s="292"/>
      <c r="D1172" s="304"/>
      <c r="E1172" s="305"/>
      <c r="F1172" s="305"/>
      <c r="G1172" s="305"/>
      <c r="H1172" s="305"/>
      <c r="I1172" s="305"/>
      <c r="J1172" s="306"/>
      <c r="K1172" s="293"/>
      <c r="M1172" s="307" t="s">
        <v>97</v>
      </c>
      <c r="N1172" s="706" t="s">
        <v>98</v>
      </c>
      <c r="O1172" s="706"/>
      <c r="P1172" s="706"/>
      <c r="Q1172" s="706"/>
      <c r="R1172" s="307" t="s">
        <v>99</v>
      </c>
      <c r="S1172" s="307" t="s">
        <v>100</v>
      </c>
      <c r="T1172" s="734" t="s">
        <v>8</v>
      </c>
      <c r="U1172" s="734"/>
      <c r="V1172" s="307" t="s">
        <v>101</v>
      </c>
      <c r="Y1172" s="308" t="s">
        <v>107</v>
      </c>
      <c r="Z1172" s="309" t="s">
        <v>9</v>
      </c>
      <c r="AA1172" s="279"/>
      <c r="AB1172" s="290"/>
      <c r="AC1172" s="291"/>
      <c r="AD1172" s="280"/>
      <c r="AE1172" s="310"/>
    </row>
    <row r="1173" spans="3:31" ht="15.9" customHeight="1" x14ac:dyDescent="0.3">
      <c r="C1173" s="292"/>
      <c r="D1173" s="311"/>
      <c r="E1173" s="279"/>
      <c r="F1173" s="279"/>
      <c r="G1173" s="279"/>
      <c r="H1173" s="279"/>
      <c r="I1173" s="279"/>
      <c r="J1173" s="312"/>
      <c r="K1173" s="293"/>
      <c r="M1173" s="313"/>
      <c r="N1173" s="718" t="s">
        <v>102</v>
      </c>
      <c r="O1173" s="718"/>
      <c r="P1173" s="718"/>
      <c r="Q1173" s="718"/>
      <c r="R1173" s="314" t="s">
        <v>103</v>
      </c>
      <c r="S1173" s="315">
        <f>$AA$9</f>
        <v>0.05</v>
      </c>
      <c r="T1173" s="766">
        <f>V1200</f>
        <v>2137</v>
      </c>
      <c r="U1173" s="766"/>
      <c r="V1173" s="316">
        <f>+IFERROR(T1173*S1173,0)</f>
        <v>106.85000000000001</v>
      </c>
      <c r="Y1173" s="317"/>
      <c r="Z1173" s="318">
        <f>Y1169*V1173</f>
        <v>9529.9514999999992</v>
      </c>
      <c r="AA1173" s="279"/>
      <c r="AB1173" s="290"/>
      <c r="AC1173" s="291"/>
      <c r="AD1173" s="280"/>
      <c r="AE1173" s="310" t="str">
        <f>+IF(V1173=0,"CERO","NO")</f>
        <v>NO</v>
      </c>
    </row>
    <row r="1174" spans="3:31" ht="15.9" customHeight="1" x14ac:dyDescent="0.3">
      <c r="C1174" s="292"/>
      <c r="D1174" s="311"/>
      <c r="E1174" s="279"/>
      <c r="F1174" s="279"/>
      <c r="G1174" s="279"/>
      <c r="H1174" s="279"/>
      <c r="I1174" s="279"/>
      <c r="J1174" s="312"/>
      <c r="K1174" s="293"/>
      <c r="M1174" s="319">
        <v>29</v>
      </c>
      <c r="N1174" s="718" t="str">
        <f>IFERROR(VLOOKUP(M1174,INSUMOS!$C$8:$K$934,2,0),"-----")</f>
        <v>Vibrocompactador de 8 Toneladas</v>
      </c>
      <c r="O1174" s="718"/>
      <c r="P1174" s="718"/>
      <c r="Q1174" s="718"/>
      <c r="R1174" s="314" t="str">
        <f>IFERROR(VLOOKUP(M1174,INSUMOS!$C$8:$K$934,6,0),"-----")</f>
        <v>Hora</v>
      </c>
      <c r="S1174" s="320">
        <v>0.1</v>
      </c>
      <c r="T1174" s="767">
        <f>IFERROR(VLOOKUP(M1174,INSUMOS!$C$8:$K$934,7,0),"0")</f>
        <v>165000</v>
      </c>
      <c r="U1174" s="767"/>
      <c r="V1174" s="316">
        <f>+IFERROR(T1174*S1174,0)</f>
        <v>16500</v>
      </c>
      <c r="Y1174" s="321">
        <f>+IFERROR(Y1169*S1174,0)</f>
        <v>8.9189999999999987</v>
      </c>
      <c r="Z1174" s="318">
        <f>Y1169*V1174</f>
        <v>1471634.9999999998</v>
      </c>
      <c r="AA1174" s="300"/>
      <c r="AB1174" s="301">
        <f>+Y1174*T1174</f>
        <v>1471634.9999999998</v>
      </c>
      <c r="AC1174" s="302">
        <f>+AB1174-Z1174</f>
        <v>0</v>
      </c>
      <c r="AD1174" s="280"/>
      <c r="AE1174" s="310" t="str">
        <f>+IF(V1174=0,"CERO","NO")</f>
        <v>NO</v>
      </c>
    </row>
    <row r="1175" spans="3:31" ht="15.9" customHeight="1" x14ac:dyDescent="0.3">
      <c r="C1175" s="292"/>
      <c r="D1175" s="311"/>
      <c r="E1175" s="279"/>
      <c r="F1175" s="279"/>
      <c r="G1175" s="279"/>
      <c r="H1175" s="279"/>
      <c r="I1175" s="279"/>
      <c r="J1175" s="312"/>
      <c r="K1175" s="293"/>
      <c r="M1175" s="313">
        <v>30</v>
      </c>
      <c r="N1175" s="718" t="str">
        <f>IFERROR(VLOOKUP(M1175,INSUMOS!$C$8:$K$934,2,0),"-----")</f>
        <v>RetroExcavadora</v>
      </c>
      <c r="O1175" s="718"/>
      <c r="P1175" s="718"/>
      <c r="Q1175" s="718"/>
      <c r="R1175" s="314" t="str">
        <f>IFERROR(VLOOKUP(M1175,INSUMOS!$C$8:$K$934,6,0),"-----")</f>
        <v>Hora</v>
      </c>
      <c r="S1175" s="320">
        <v>0.1</v>
      </c>
      <c r="T1175" s="767">
        <f>IFERROR(VLOOKUP(M1175,INSUMOS!$C$8:$K$934,7,0),"0")</f>
        <v>190000</v>
      </c>
      <c r="U1175" s="767"/>
      <c r="V1175" s="316">
        <f>+IFERROR(T1175*S1175,0)</f>
        <v>19000</v>
      </c>
      <c r="Y1175" s="321">
        <f>+IFERROR(Y1169*S1175,0)</f>
        <v>8.9189999999999987</v>
      </c>
      <c r="Z1175" s="318">
        <f>Y1169*V1175</f>
        <v>1694609.9999999998</v>
      </c>
      <c r="AA1175" s="300"/>
      <c r="AB1175" s="301">
        <f>+Y1175*T1175</f>
        <v>1694609.9999999998</v>
      </c>
      <c r="AC1175" s="302">
        <f>+AB1175-Z1175</f>
        <v>0</v>
      </c>
      <c r="AD1175" s="280"/>
      <c r="AE1175" s="310" t="str">
        <f>+IF(V1175=0,"CERO","NO")</f>
        <v>NO</v>
      </c>
    </row>
    <row r="1176" spans="3:31" ht="15.9" customHeight="1" thickBot="1" x14ac:dyDescent="0.35">
      <c r="C1176" s="292"/>
      <c r="D1176" s="311"/>
      <c r="E1176" s="279"/>
      <c r="F1176" s="279"/>
      <c r="G1176" s="279"/>
      <c r="H1176" s="279"/>
      <c r="I1176" s="279"/>
      <c r="J1176" s="312"/>
      <c r="K1176" s="293"/>
      <c r="M1176" s="313">
        <v>0</v>
      </c>
      <c r="N1176" s="727"/>
      <c r="O1176" s="727"/>
      <c r="P1176" s="727"/>
      <c r="Q1176" s="727"/>
      <c r="R1176" s="326"/>
      <c r="S1176" s="326"/>
      <c r="T1176" s="768"/>
      <c r="U1176" s="768"/>
      <c r="V1176" s="327"/>
      <c r="Y1176" s="321">
        <f>+IFERROR(Y1169*S1176,0)</f>
        <v>0</v>
      </c>
      <c r="Z1176" s="318">
        <f>Y1169*V1176</f>
        <v>0</v>
      </c>
      <c r="AA1176" s="300"/>
      <c r="AB1176" s="301">
        <f>+Y1176*T1176</f>
        <v>0</v>
      </c>
      <c r="AC1176" s="302">
        <f>+AB1176-Z1176</f>
        <v>0</v>
      </c>
      <c r="AD1176" s="280"/>
      <c r="AE1176" s="310" t="str">
        <f>+IF(V1176=0,"CERO","NO")</f>
        <v>CERO</v>
      </c>
    </row>
    <row r="1177" spans="3:31" ht="15.9" customHeight="1" thickBot="1" x14ac:dyDescent="0.35">
      <c r="C1177" s="292"/>
      <c r="D1177" s="295" t="s">
        <v>132</v>
      </c>
      <c r="E1177" s="296" t="s">
        <v>133</v>
      </c>
      <c r="F1177" s="296" t="s">
        <v>134</v>
      </c>
      <c r="G1177" s="296" t="s">
        <v>135</v>
      </c>
      <c r="H1177" s="296" t="s">
        <v>136</v>
      </c>
      <c r="I1177" s="296" t="s">
        <v>137</v>
      </c>
      <c r="J1177" s="297" t="s">
        <v>138</v>
      </c>
      <c r="K1177" s="293"/>
      <c r="M1177" s="724"/>
      <c r="N1177" s="725" t="s">
        <v>104</v>
      </c>
      <c r="O1177" s="725"/>
      <c r="P1177" s="725"/>
      <c r="Q1177" s="725"/>
      <c r="R1177" s="725"/>
      <c r="S1177" s="725"/>
      <c r="T1177" s="725"/>
      <c r="U1177" s="725"/>
      <c r="V1177" s="316">
        <f>+SUM(V1173:V1176)</f>
        <v>35606.85</v>
      </c>
      <c r="Y1177" s="328" t="s">
        <v>139</v>
      </c>
      <c r="Z1177" s="329">
        <f>+SUM(Z1173:Z1176)</f>
        <v>3175774.9514999995</v>
      </c>
      <c r="AA1177" s="279"/>
      <c r="AB1177" s="290"/>
      <c r="AC1177" s="291"/>
      <c r="AD1177" s="280"/>
      <c r="AE1177" s="330"/>
    </row>
    <row r="1178" spans="3:31" ht="15.9" customHeight="1" thickBot="1" x14ac:dyDescent="0.35">
      <c r="C1178" s="292"/>
      <c r="D1178" s="295">
        <f>C1169</f>
        <v>3.5</v>
      </c>
      <c r="E1178" s="296"/>
      <c r="F1178" s="296"/>
      <c r="G1178" s="296"/>
      <c r="H1178" s="296"/>
      <c r="I1178" s="296"/>
      <c r="J1178" s="297"/>
      <c r="K1178" s="293"/>
      <c r="M1178" s="724"/>
      <c r="N1178" s="726" t="s">
        <v>105</v>
      </c>
      <c r="O1178" s="726"/>
      <c r="P1178" s="726"/>
      <c r="Q1178" s="726"/>
      <c r="R1178" s="726"/>
      <c r="S1178" s="726"/>
      <c r="T1178" s="726"/>
      <c r="U1178" s="726"/>
      <c r="V1178" s="344">
        <f>+ROUND(V1177,$AA$2)</f>
        <v>35607</v>
      </c>
      <c r="Y1178" s="332" t="s">
        <v>140</v>
      </c>
      <c r="Z1178" s="333">
        <f>+ROUND(Z1177,$AA$2)</f>
        <v>3175775</v>
      </c>
      <c r="AA1178" s="279"/>
      <c r="AB1178" s="324">
        <f>+V1178*Y1169</f>
        <v>3175788.3299999996</v>
      </c>
      <c r="AC1178" s="325">
        <f>+AB1178-Z1178</f>
        <v>13.329999999608845</v>
      </c>
      <c r="AD1178" s="280"/>
      <c r="AE1178" s="334"/>
    </row>
    <row r="1179" spans="3:31" ht="15.9" customHeight="1" x14ac:dyDescent="0.3">
      <c r="C1179" s="292"/>
      <c r="D1179" s="304"/>
      <c r="E1179" s="305"/>
      <c r="F1179" s="305"/>
      <c r="G1179" s="305"/>
      <c r="H1179" s="305"/>
      <c r="I1179" s="305"/>
      <c r="J1179" s="306"/>
      <c r="K1179" s="293"/>
      <c r="M1179" s="730" t="s">
        <v>106</v>
      </c>
      <c r="N1179" s="730"/>
      <c r="O1179" s="730"/>
      <c r="P1179" s="730"/>
      <c r="Q1179" s="730"/>
      <c r="R1179" s="730"/>
      <c r="S1179" s="730"/>
      <c r="T1179" s="730"/>
      <c r="U1179" s="730"/>
      <c r="V1179" s="730"/>
      <c r="Y1179" s="298"/>
      <c r="Z1179" s="299"/>
      <c r="AA1179" s="279"/>
      <c r="AB1179" s="731"/>
      <c r="AC1179" s="732"/>
      <c r="AD1179" s="280"/>
      <c r="AE1179" s="335"/>
    </row>
    <row r="1180" spans="3:31" ht="15.9" customHeight="1" x14ac:dyDescent="0.3">
      <c r="C1180" s="292"/>
      <c r="D1180" s="311"/>
      <c r="E1180" s="279"/>
      <c r="F1180" s="279"/>
      <c r="G1180" s="279"/>
      <c r="H1180" s="279"/>
      <c r="I1180" s="279"/>
      <c r="J1180" s="312"/>
      <c r="K1180" s="293"/>
      <c r="M1180" s="307" t="s">
        <v>97</v>
      </c>
      <c r="N1180" s="706" t="s">
        <v>98</v>
      </c>
      <c r="O1180" s="706"/>
      <c r="P1180" s="706"/>
      <c r="Q1180" s="706"/>
      <c r="R1180" s="307" t="s">
        <v>99</v>
      </c>
      <c r="S1180" s="307" t="s">
        <v>107</v>
      </c>
      <c r="T1180" s="336" t="s">
        <v>108</v>
      </c>
      <c r="U1180" s="336" t="s">
        <v>8</v>
      </c>
      <c r="V1180" s="307" t="s">
        <v>101</v>
      </c>
      <c r="Y1180" s="308" t="s">
        <v>107</v>
      </c>
      <c r="Z1180" s="309" t="s">
        <v>9</v>
      </c>
      <c r="AA1180" s="279"/>
      <c r="AB1180" s="290"/>
      <c r="AC1180" s="291"/>
      <c r="AD1180" s="280"/>
      <c r="AE1180" s="337"/>
    </row>
    <row r="1181" spans="3:31" ht="15.9" customHeight="1" x14ac:dyDescent="0.3">
      <c r="C1181" s="292"/>
      <c r="D1181" s="311"/>
      <c r="E1181" s="279"/>
      <c r="F1181" s="279"/>
      <c r="G1181" s="279"/>
      <c r="H1181" s="279"/>
      <c r="I1181" s="279"/>
      <c r="J1181" s="312"/>
      <c r="K1181" s="293"/>
      <c r="M1181" s="313">
        <v>401</v>
      </c>
      <c r="N1181" s="718" t="str">
        <f>IFERROR(VLOOKUP(M1181,INSUMOS!$C$8:$K$934,2,0),"-----")</f>
        <v>Agua</v>
      </c>
      <c r="O1181" s="718"/>
      <c r="P1181" s="718"/>
      <c r="Q1181" s="718"/>
      <c r="R1181" s="314" t="str">
        <f>IFERROR(VLOOKUP(M1181,INSUMOS!$C$8:$K$934,6,0),"-----")</f>
        <v>lt</v>
      </c>
      <c r="S1181" s="322">
        <v>45</v>
      </c>
      <c r="T1181" s="315">
        <v>0</v>
      </c>
      <c r="U1181" s="338">
        <f>IFERROR(VLOOKUP(M1181,INSUMOS!$C$8:$K$934,7,0),"0")</f>
        <v>5</v>
      </c>
      <c r="V1181" s="316">
        <f>+IFERROR(U1181*(S1181*(1+T1181)),0)</f>
        <v>225</v>
      </c>
      <c r="Y1181" s="321">
        <f>+IFERROR(Y1169*(S1181*(1+T1181)),0)</f>
        <v>4013.5499999999993</v>
      </c>
      <c r="Z1181" s="318">
        <f>Y1169*V1181</f>
        <v>20067.749999999996</v>
      </c>
      <c r="AA1181" s="300"/>
      <c r="AB1181" s="301">
        <f>+Y1181*U1181</f>
        <v>20067.749999999996</v>
      </c>
      <c r="AC1181" s="302">
        <f>+AB1181-Z1181</f>
        <v>0</v>
      </c>
      <c r="AD1181" s="280"/>
      <c r="AE1181" s="337" t="str">
        <f t="shared" ref="AE1181:AE1183" si="158">+IF(V1181=0,"CERO","NO")</f>
        <v>NO</v>
      </c>
    </row>
    <row r="1182" spans="3:31" ht="15.9" customHeight="1" x14ac:dyDescent="0.3">
      <c r="C1182" s="292"/>
      <c r="D1182" s="311"/>
      <c r="E1182" s="279"/>
      <c r="F1182" s="279"/>
      <c r="G1182" s="279"/>
      <c r="H1182" s="279"/>
      <c r="I1182" s="279"/>
      <c r="J1182" s="312"/>
      <c r="K1182" s="293"/>
      <c r="M1182" s="313">
        <v>417</v>
      </c>
      <c r="N1182" s="718" t="str">
        <f>IFERROR(VLOOKUP(M1182,INSUMOS!$C$8:$K$934,2,0),"-----")</f>
        <v>Material de Base</v>
      </c>
      <c r="O1182" s="718"/>
      <c r="P1182" s="718"/>
      <c r="Q1182" s="718"/>
      <c r="R1182" s="314" t="str">
        <f>IFERROR(VLOOKUP(M1182,INSUMOS!$C$8:$K$934,6,0),"-----")</f>
        <v>m3</v>
      </c>
      <c r="S1182" s="322">
        <v>1</v>
      </c>
      <c r="T1182" s="315">
        <v>0.3</v>
      </c>
      <c r="U1182" s="338">
        <f>IFERROR(VLOOKUP(M1182,INSUMOS!$C$8:$K$934,7,0),"0")</f>
        <v>105000</v>
      </c>
      <c r="V1182" s="316">
        <f>+IFERROR(U1182*(S1182*(1+T1182)),0)</f>
        <v>136500</v>
      </c>
      <c r="Y1182" s="321">
        <f>+IFERROR(Y1169*(S1182*(1+T1182)),0)</f>
        <v>115.94699999999999</v>
      </c>
      <c r="Z1182" s="318">
        <f>Y1169*V1182</f>
        <v>12174434.999999998</v>
      </c>
      <c r="AA1182" s="300"/>
      <c r="AB1182" s="301">
        <f t="shared" ref="AB1182:AB1183" si="159">+Y1182*U1182</f>
        <v>12174434.999999998</v>
      </c>
      <c r="AC1182" s="302">
        <f t="shared" ref="AC1182:AC1183" si="160">+AB1182-Z1182</f>
        <v>0</v>
      </c>
      <c r="AD1182" s="280"/>
      <c r="AE1182" s="337" t="str">
        <f t="shared" si="158"/>
        <v>NO</v>
      </c>
    </row>
    <row r="1183" spans="3:31" ht="15.9" customHeight="1" thickBot="1" x14ac:dyDescent="0.35">
      <c r="C1183" s="292"/>
      <c r="D1183" s="311"/>
      <c r="E1183" s="279"/>
      <c r="F1183" s="279"/>
      <c r="G1183" s="279"/>
      <c r="H1183" s="279"/>
      <c r="I1183" s="279"/>
      <c r="J1183" s="312"/>
      <c r="K1183" s="293"/>
      <c r="M1183" s="313">
        <v>0</v>
      </c>
      <c r="N1183" s="718" t="str">
        <f>IFERROR(VLOOKUP(M1183,INSUMOS!$C$8:$K$934,2,0),"-----")</f>
        <v>-----</v>
      </c>
      <c r="O1183" s="718"/>
      <c r="P1183" s="718"/>
      <c r="Q1183" s="718"/>
      <c r="R1183" s="314" t="str">
        <f>IFERROR(VLOOKUP(M1183,INSUMOS!$C$8:$K$934,6,0),"-----")</f>
        <v>-----</v>
      </c>
      <c r="S1183" s="322"/>
      <c r="T1183" s="315">
        <v>0</v>
      </c>
      <c r="U1183" s="338" t="str">
        <f>IFERROR(VLOOKUP(M1183,INSUMOS!$C$8:$K$934,7,0),"0")</f>
        <v>0</v>
      </c>
      <c r="V1183" s="316">
        <f>+IFERROR(U1183*(S1183*(1+T1183)),0)</f>
        <v>0</v>
      </c>
      <c r="Y1183" s="321">
        <f>+IFERROR(Y1169*(S1183*(1+T1183)),0)</f>
        <v>0</v>
      </c>
      <c r="Z1183" s="318">
        <f>Y1169*V1183</f>
        <v>0</v>
      </c>
      <c r="AA1183" s="300"/>
      <c r="AB1183" s="301">
        <f t="shared" si="159"/>
        <v>0</v>
      </c>
      <c r="AC1183" s="302">
        <f t="shared" si="160"/>
        <v>0</v>
      </c>
      <c r="AD1183" s="280"/>
      <c r="AE1183" s="337" t="str">
        <f t="shared" si="158"/>
        <v>CERO</v>
      </c>
    </row>
    <row r="1184" spans="3:31" ht="15.9" customHeight="1" thickBot="1" x14ac:dyDescent="0.35">
      <c r="C1184" s="292"/>
      <c r="D1184" s="295" t="s">
        <v>132</v>
      </c>
      <c r="E1184" s="296" t="s">
        <v>133</v>
      </c>
      <c r="F1184" s="296" t="s">
        <v>134</v>
      </c>
      <c r="G1184" s="296" t="s">
        <v>135</v>
      </c>
      <c r="H1184" s="296" t="s">
        <v>136</v>
      </c>
      <c r="I1184" s="296" t="s">
        <v>137</v>
      </c>
      <c r="J1184" s="297" t="s">
        <v>138</v>
      </c>
      <c r="K1184" s="293"/>
      <c r="M1184" s="724"/>
      <c r="N1184" s="725" t="s">
        <v>109</v>
      </c>
      <c r="O1184" s="725"/>
      <c r="P1184" s="725"/>
      <c r="Q1184" s="725"/>
      <c r="R1184" s="725"/>
      <c r="S1184" s="725"/>
      <c r="T1184" s="725"/>
      <c r="U1184" s="725"/>
      <c r="V1184" s="316">
        <f>+SUM(V1181:V1183)</f>
        <v>136725</v>
      </c>
      <c r="Y1184" s="328" t="s">
        <v>139</v>
      </c>
      <c r="Z1184" s="329">
        <f>+SUM(Z1181:Z1183)</f>
        <v>12194502.749999998</v>
      </c>
      <c r="AA1184" s="279"/>
      <c r="AB1184" s="290"/>
      <c r="AC1184" s="291"/>
      <c r="AD1184" s="280"/>
      <c r="AE1184" s="330"/>
    </row>
    <row r="1185" spans="3:31" ht="15.9" customHeight="1" thickBot="1" x14ac:dyDescent="0.35">
      <c r="C1185" s="292"/>
      <c r="D1185" s="295"/>
      <c r="E1185" s="343">
        <f>+D1178</f>
        <v>3.5</v>
      </c>
      <c r="F1185" s="296"/>
      <c r="G1185" s="296"/>
      <c r="H1185" s="296"/>
      <c r="I1185" s="296"/>
      <c r="J1185" s="297"/>
      <c r="K1185" s="293"/>
      <c r="M1185" s="724"/>
      <c r="N1185" s="726" t="s">
        <v>110</v>
      </c>
      <c r="O1185" s="726"/>
      <c r="P1185" s="726"/>
      <c r="Q1185" s="726"/>
      <c r="R1185" s="726"/>
      <c r="S1185" s="726"/>
      <c r="T1185" s="726"/>
      <c r="U1185" s="726"/>
      <c r="V1185" s="344">
        <f>+ROUND(V1184,$AA$2)</f>
        <v>136725</v>
      </c>
      <c r="Y1185" s="332" t="s">
        <v>140</v>
      </c>
      <c r="Z1185" s="333">
        <f>+ROUND(Z1184,$AA$2)</f>
        <v>12194503</v>
      </c>
      <c r="AA1185" s="279"/>
      <c r="AB1185" s="324">
        <f>+V1185*Y1169</f>
        <v>12194502.749999998</v>
      </c>
      <c r="AC1185" s="325">
        <f>+AB1185-Z1185</f>
        <v>-0.25000000186264515</v>
      </c>
      <c r="AD1185" s="280"/>
      <c r="AE1185" s="334"/>
    </row>
    <row r="1186" spans="3:31" ht="15.9" customHeight="1" x14ac:dyDescent="0.3">
      <c r="C1186" s="292"/>
      <c r="D1186" s="304"/>
      <c r="E1186" s="305"/>
      <c r="F1186" s="305"/>
      <c r="G1186" s="305"/>
      <c r="H1186" s="305"/>
      <c r="I1186" s="305"/>
      <c r="J1186" s="306"/>
      <c r="K1186" s="293"/>
      <c r="M1186" s="733" t="s">
        <v>111</v>
      </c>
      <c r="N1186" s="733"/>
      <c r="O1186" s="733"/>
      <c r="P1186" s="733"/>
      <c r="Q1186" s="733"/>
      <c r="R1186" s="733"/>
      <c r="S1186" s="733"/>
      <c r="T1186" s="733"/>
      <c r="U1186" s="733"/>
      <c r="V1186" s="733"/>
      <c r="Y1186" s="298"/>
      <c r="Z1186" s="299"/>
      <c r="AA1186" s="279"/>
      <c r="AB1186" s="342"/>
      <c r="AC1186" s="299"/>
      <c r="AD1186" s="280"/>
      <c r="AE1186" s="335"/>
    </row>
    <row r="1187" spans="3:31" ht="27.6" x14ac:dyDescent="0.3">
      <c r="C1187" s="292"/>
      <c r="D1187" s="311"/>
      <c r="E1187" s="279"/>
      <c r="F1187" s="279"/>
      <c r="G1187" s="279"/>
      <c r="H1187" s="279"/>
      <c r="I1187" s="279"/>
      <c r="J1187" s="312"/>
      <c r="K1187" s="293"/>
      <c r="M1187" s="307" t="s">
        <v>97</v>
      </c>
      <c r="N1187" s="706" t="s">
        <v>98</v>
      </c>
      <c r="O1187" s="706"/>
      <c r="P1187" s="706"/>
      <c r="Q1187" s="307" t="s">
        <v>112</v>
      </c>
      <c r="R1187" s="307" t="s">
        <v>113</v>
      </c>
      <c r="S1187" s="307" t="s">
        <v>114</v>
      </c>
      <c r="T1187" s="734" t="s">
        <v>115</v>
      </c>
      <c r="U1187" s="734"/>
      <c r="V1187" s="307" t="s">
        <v>101</v>
      </c>
      <c r="Y1187" s="308" t="s">
        <v>107</v>
      </c>
      <c r="Z1187" s="309" t="s">
        <v>9</v>
      </c>
      <c r="AA1187" s="279"/>
      <c r="AB1187" s="290"/>
      <c r="AC1187" s="291"/>
      <c r="AD1187" s="280"/>
      <c r="AE1187" s="349"/>
    </row>
    <row r="1188" spans="3:31" ht="14.4" x14ac:dyDescent="0.3">
      <c r="C1188" s="350"/>
      <c r="D1188" s="351"/>
      <c r="E1188" s="345"/>
      <c r="F1188" s="345"/>
      <c r="G1188" s="345"/>
      <c r="H1188" s="345"/>
      <c r="I1188" s="345"/>
      <c r="J1188" s="352"/>
      <c r="K1188" s="353"/>
      <c r="M1188" s="354">
        <v>103</v>
      </c>
      <c r="N1188" s="718" t="str">
        <f>IFERROR(VLOOKUP(M1188,INSUMOS!$C$8:$K$934,2,0),"-----")</f>
        <v>Transporte Base granular - Pinchote</v>
      </c>
      <c r="O1188" s="718"/>
      <c r="P1188" s="718"/>
      <c r="Q1188" s="314" t="str">
        <f>IFERROR(VLOOKUP(M1188,INSUMOS!$C$8:$K$934,5,0),"-----")</f>
        <v>m3/km</v>
      </c>
      <c r="R1188" s="355">
        <v>1.5</v>
      </c>
      <c r="S1188" s="355">
        <f>IFERROR(VLOOKUP(M1188,INSUMOS!$C$8:$K$934,6,0),"0")</f>
        <v>4.3099999999999996</v>
      </c>
      <c r="T1188" s="719">
        <f>IFERROR(VLOOKUP(M1188,INSUMOS!$C$8:$K$934,7,0),"0")</f>
        <v>1800</v>
      </c>
      <c r="U1188" s="719"/>
      <c r="V1188" s="515">
        <f>+T1188*S1188*R1188</f>
        <v>11636.999999999998</v>
      </c>
      <c r="Y1188" s="321">
        <f>+IFERROR((R1188*S1188)*Y1169,0)</f>
        <v>576.61334999999985</v>
      </c>
      <c r="Z1188" s="318">
        <f>Y1169*V1188</f>
        <v>1037904.0299999997</v>
      </c>
      <c r="AA1188" s="345"/>
      <c r="AB1188" s="346">
        <f>+Y1188*T1188</f>
        <v>1037904.0299999998</v>
      </c>
      <c r="AC1188" s="347">
        <f>+AB1188-Z1188</f>
        <v>0</v>
      </c>
      <c r="AD1188" s="348"/>
      <c r="AE1188" s="337" t="str">
        <f t="shared" ref="AE1188:AE1191" si="161">+IF(V1188=0,"CERO","NO")</f>
        <v>NO</v>
      </c>
    </row>
    <row r="1189" spans="3:31" ht="15.9" customHeight="1" x14ac:dyDescent="0.3">
      <c r="C1189" s="350"/>
      <c r="D1189" s="351"/>
      <c r="E1189" s="345"/>
      <c r="F1189" s="345"/>
      <c r="G1189" s="345"/>
      <c r="H1189" s="345"/>
      <c r="I1189" s="345"/>
      <c r="J1189" s="352"/>
      <c r="K1189" s="353"/>
      <c r="M1189" s="354">
        <v>0</v>
      </c>
      <c r="N1189" s="718" t="str">
        <f>IFERROR(VLOOKUP(M1189,INSUMOS!$C$8:$K$934,2,0),"-----")</f>
        <v>-----</v>
      </c>
      <c r="O1189" s="718"/>
      <c r="P1189" s="718"/>
      <c r="Q1189" s="314" t="str">
        <f>IFERROR(VLOOKUP(M1189,INSUMOS!$C$8:$K$934,5,0),"-----")</f>
        <v>-----</v>
      </c>
      <c r="R1189" s="355"/>
      <c r="S1189" s="355" t="str">
        <f>IFERROR(VLOOKUP(M1189,INSUMOS!$C$8:$K$934,6,0),"0")</f>
        <v>0</v>
      </c>
      <c r="T1189" s="719" t="str">
        <f>IFERROR(VLOOKUP(M1189,INSUMOS!$C$8:$K$934,7,0),"0")</f>
        <v>0</v>
      </c>
      <c r="U1189" s="719"/>
      <c r="V1189" s="515">
        <f>+T1189*S1189*R1189</f>
        <v>0</v>
      </c>
      <c r="Y1189" s="321">
        <f>+IFERROR((R1189*S1189)*Y1169,0)</f>
        <v>0</v>
      </c>
      <c r="Z1189" s="318">
        <f>Y1169*V1189</f>
        <v>0</v>
      </c>
      <c r="AA1189" s="345"/>
      <c r="AB1189" s="346">
        <f>+Y1189*T1189</f>
        <v>0</v>
      </c>
      <c r="AC1189" s="347">
        <f>+AB1189-Z1189</f>
        <v>0</v>
      </c>
      <c r="AD1189" s="348"/>
      <c r="AE1189" s="337" t="str">
        <f t="shared" si="161"/>
        <v>CERO</v>
      </c>
    </row>
    <row r="1190" spans="3:31" ht="15.9" customHeight="1" x14ac:dyDescent="0.3">
      <c r="C1190" s="350"/>
      <c r="D1190" s="351"/>
      <c r="E1190" s="345"/>
      <c r="F1190" s="345"/>
      <c r="G1190" s="345"/>
      <c r="H1190" s="345"/>
      <c r="I1190" s="345"/>
      <c r="J1190" s="352"/>
      <c r="K1190" s="353"/>
      <c r="M1190" s="354">
        <v>0</v>
      </c>
      <c r="N1190" s="718" t="str">
        <f>IFERROR(VLOOKUP(M1190,INSUMOS!$C$8:$K$934,2,0),"-----")</f>
        <v>-----</v>
      </c>
      <c r="O1190" s="718"/>
      <c r="P1190" s="718"/>
      <c r="Q1190" s="314" t="str">
        <f>IFERROR(VLOOKUP(M1190,INSUMOS!$C$8:$K$934,5,0),"-----")</f>
        <v>-----</v>
      </c>
      <c r="R1190" s="355"/>
      <c r="S1190" s="355" t="str">
        <f>IFERROR(VLOOKUP(M1190,INSUMOS!$C$8:$K$934,6,0),"0")</f>
        <v>0</v>
      </c>
      <c r="T1190" s="719" t="str">
        <f>IFERROR(VLOOKUP(M1190,INSUMOS!$C$8:$K$934,7,0),"0")</f>
        <v>0</v>
      </c>
      <c r="U1190" s="719"/>
      <c r="V1190" s="515">
        <f>+T1190*S1190*R1190</f>
        <v>0</v>
      </c>
      <c r="Y1190" s="321">
        <f>+IFERROR((R1190*S1190)*Y1169,0)</f>
        <v>0</v>
      </c>
      <c r="Z1190" s="318">
        <f>Y1169*V1190</f>
        <v>0</v>
      </c>
      <c r="AA1190" s="345"/>
      <c r="AB1190" s="346">
        <f t="shared" ref="AB1190" si="162">+Y1190*T1190</f>
        <v>0</v>
      </c>
      <c r="AC1190" s="347">
        <f t="shared" ref="AC1190" si="163">+AB1190-Z1190</f>
        <v>0</v>
      </c>
      <c r="AD1190" s="348"/>
      <c r="AE1190" s="337" t="str">
        <f t="shared" si="161"/>
        <v>CERO</v>
      </c>
    </row>
    <row r="1191" spans="3:31" ht="15.9" customHeight="1" thickBot="1" x14ac:dyDescent="0.35">
      <c r="C1191" s="350"/>
      <c r="D1191" s="360"/>
      <c r="E1191" s="361"/>
      <c r="F1191" s="361"/>
      <c r="G1191" s="361"/>
      <c r="H1191" s="361"/>
      <c r="I1191" s="361"/>
      <c r="J1191" s="362"/>
      <c r="K1191" s="353"/>
      <c r="M1191" s="354">
        <v>0</v>
      </c>
      <c r="N1191" s="718"/>
      <c r="O1191" s="718"/>
      <c r="P1191" s="718"/>
      <c r="Q1191" s="357"/>
      <c r="R1191" s="314"/>
      <c r="S1191" s="358"/>
      <c r="T1191" s="719"/>
      <c r="U1191" s="719"/>
      <c r="V1191" s="515"/>
      <c r="Y1191" s="321">
        <f>+IFERROR((R1191*S1191)*Y1169,0)</f>
        <v>0</v>
      </c>
      <c r="Z1191" s="318">
        <f>Y1169*V1191</f>
        <v>0</v>
      </c>
      <c r="AA1191" s="345"/>
      <c r="AB1191" s="346">
        <f>+Y1191*T1191</f>
        <v>0</v>
      </c>
      <c r="AC1191" s="347">
        <f>+AB1191-Z1191</f>
        <v>0</v>
      </c>
      <c r="AD1191" s="348"/>
      <c r="AE1191" s="337" t="str">
        <f t="shared" si="161"/>
        <v>CERO</v>
      </c>
    </row>
    <row r="1192" spans="3:31" ht="15.9" customHeight="1" thickBot="1" x14ac:dyDescent="0.35">
      <c r="C1192" s="292"/>
      <c r="D1192" s="295" t="s">
        <v>132</v>
      </c>
      <c r="E1192" s="296" t="s">
        <v>133</v>
      </c>
      <c r="F1192" s="296" t="s">
        <v>134</v>
      </c>
      <c r="G1192" s="296" t="s">
        <v>135</v>
      </c>
      <c r="H1192" s="296" t="s">
        <v>136</v>
      </c>
      <c r="I1192" s="296" t="s">
        <v>137</v>
      </c>
      <c r="J1192" s="297" t="s">
        <v>138</v>
      </c>
      <c r="K1192" s="293"/>
      <c r="M1192" s="720"/>
      <c r="N1192" s="721" t="s">
        <v>116</v>
      </c>
      <c r="O1192" s="721"/>
      <c r="P1192" s="721"/>
      <c r="Q1192" s="721"/>
      <c r="R1192" s="721"/>
      <c r="S1192" s="721"/>
      <c r="T1192" s="721"/>
      <c r="U1192" s="721"/>
      <c r="V1192" s="499">
        <f>+SUM(V1188:V1191)</f>
        <v>11636.999999999998</v>
      </c>
      <c r="Y1192" s="328" t="s">
        <v>139</v>
      </c>
      <c r="Z1192" s="329">
        <f>+SUM(Z1188:Z1191)</f>
        <v>1037904.0299999997</v>
      </c>
      <c r="AA1192" s="279"/>
      <c r="AB1192" s="290"/>
      <c r="AC1192" s="291"/>
      <c r="AD1192" s="280"/>
      <c r="AE1192" s="330"/>
    </row>
    <row r="1193" spans="3:31" ht="15.9" customHeight="1" thickBot="1" x14ac:dyDescent="0.35">
      <c r="C1193" s="292"/>
      <c r="D1193" s="363"/>
      <c r="E1193" s="364"/>
      <c r="F1193" s="365">
        <f>+E1185</f>
        <v>3.5</v>
      </c>
      <c r="G1193" s="364"/>
      <c r="H1193" s="364"/>
      <c r="I1193" s="364"/>
      <c r="J1193" s="366"/>
      <c r="K1193" s="293"/>
      <c r="M1193" s="720"/>
      <c r="N1193" s="722" t="s">
        <v>117</v>
      </c>
      <c r="O1193" s="722"/>
      <c r="P1193" s="722"/>
      <c r="Q1193" s="722"/>
      <c r="R1193" s="722"/>
      <c r="S1193" s="722"/>
      <c r="T1193" s="722"/>
      <c r="U1193" s="722"/>
      <c r="V1193" s="344">
        <f>+ROUND(V1192,$AA$2)</f>
        <v>11637</v>
      </c>
      <c r="Y1193" s="332" t="s">
        <v>140</v>
      </c>
      <c r="Z1193" s="333">
        <f>+ROUND(Z1192,$AA$2)</f>
        <v>1037904</v>
      </c>
      <c r="AA1193" s="279"/>
      <c r="AB1193" s="324">
        <f>+V1193*Y1169</f>
        <v>1037904.0299999998</v>
      </c>
      <c r="AC1193" s="359"/>
      <c r="AD1193" s="280"/>
      <c r="AE1193" s="334"/>
    </row>
    <row r="1194" spans="3:31" ht="15.9" customHeight="1" thickBot="1" x14ac:dyDescent="0.35">
      <c r="C1194" s="292"/>
      <c r="D1194" s="369"/>
      <c r="E1194" s="370"/>
      <c r="F1194" s="370"/>
      <c r="G1194" s="370"/>
      <c r="H1194" s="370"/>
      <c r="I1194" s="370"/>
      <c r="J1194" s="371"/>
      <c r="K1194" s="293"/>
      <c r="M1194" s="723" t="s">
        <v>118</v>
      </c>
      <c r="N1194" s="723"/>
      <c r="O1194" s="723"/>
      <c r="P1194" s="723"/>
      <c r="Q1194" s="723"/>
      <c r="R1194" s="723"/>
      <c r="S1194" s="723"/>
      <c r="T1194" s="723"/>
      <c r="U1194" s="723"/>
      <c r="V1194" s="723"/>
      <c r="Y1194" s="298"/>
      <c r="Z1194" s="299"/>
      <c r="AA1194" s="279"/>
      <c r="AB1194" s="342"/>
      <c r="AC1194" s="299"/>
      <c r="AD1194" s="280"/>
      <c r="AE1194" s="335"/>
    </row>
    <row r="1195" spans="3:31" ht="15.9" customHeight="1" thickBot="1" x14ac:dyDescent="0.35">
      <c r="C1195" s="292"/>
      <c r="D1195" s="295" t="s">
        <v>132</v>
      </c>
      <c r="E1195" s="296" t="s">
        <v>133</v>
      </c>
      <c r="F1195" s="296" t="s">
        <v>134</v>
      </c>
      <c r="G1195" s="296" t="s">
        <v>135</v>
      </c>
      <c r="H1195" s="296" t="s">
        <v>136</v>
      </c>
      <c r="I1195" s="296" t="s">
        <v>137</v>
      </c>
      <c r="J1195" s="297" t="s">
        <v>138</v>
      </c>
      <c r="K1195" s="293"/>
      <c r="M1195" s="307" t="s">
        <v>97</v>
      </c>
      <c r="N1195" s="372" t="s">
        <v>98</v>
      </c>
      <c r="O1195" s="307" t="s">
        <v>99</v>
      </c>
      <c r="P1195" s="396" t="s">
        <v>107</v>
      </c>
      <c r="Q1195" s="307" t="s">
        <v>119</v>
      </c>
      <c r="R1195" s="373" t="s">
        <v>120</v>
      </c>
      <c r="S1195" s="307" t="s">
        <v>363</v>
      </c>
      <c r="T1195" s="374" t="s">
        <v>121</v>
      </c>
      <c r="U1195" s="375" t="s">
        <v>122</v>
      </c>
      <c r="V1195" s="307" t="s">
        <v>101</v>
      </c>
      <c r="Y1195" s="308" t="s">
        <v>107</v>
      </c>
      <c r="Z1195" s="309" t="s">
        <v>9</v>
      </c>
      <c r="AA1195" s="279"/>
      <c r="AB1195" s="290"/>
      <c r="AC1195" s="291"/>
      <c r="AD1195" s="280"/>
      <c r="AE1195" s="349"/>
    </row>
    <row r="1196" spans="3:31" ht="14.4" x14ac:dyDescent="0.3">
      <c r="C1196" s="292"/>
      <c r="D1196" s="376"/>
      <c r="E1196" s="377"/>
      <c r="F1196" s="377"/>
      <c r="G1196" s="377"/>
      <c r="H1196" s="377"/>
      <c r="I1196" s="377"/>
      <c r="J1196" s="378">
        <f>+F1193</f>
        <v>3.5</v>
      </c>
      <c r="K1196" s="293"/>
      <c r="M1196" s="313">
        <v>202</v>
      </c>
      <c r="N1196" s="379" t="str">
        <f>IFERROR(VLOOKUP(M1196,INSUMOS!$C$8:$K$934,2,0),"-----")</f>
        <v>Ayudante Albañileria</v>
      </c>
      <c r="O1196" s="314" t="str">
        <f>IFERROR(VLOOKUP(M1196,INSUMOS!$C$8:$K$934,3,0),"-----")</f>
        <v>JORNAL+PS</v>
      </c>
      <c r="P1196" s="355">
        <v>1</v>
      </c>
      <c r="Q1196" s="339">
        <v>80</v>
      </c>
      <c r="R1196" s="380">
        <f>IFERROR(VLOOKUP(M1196,INSUMOS!$C$8:$K$934,4,0),"-----")</f>
        <v>94970</v>
      </c>
      <c r="S1196" s="380">
        <f>IFERROR(VLOOKUP(M1196,INSUMOS!$C$8:$K$934,6,0),"-----")</f>
        <v>75976</v>
      </c>
      <c r="T1196" s="380">
        <f>IFERROR(VLOOKUP(M1196,INSUMOS!$C$8:$K$934,5,0),"-----")</f>
        <v>0</v>
      </c>
      <c r="U1196" s="338">
        <f>SUM(R1196:T1196)</f>
        <v>170946</v>
      </c>
      <c r="V1196" s="316">
        <f>+IFERROR((P1196/Q1196)*U1196,0)</f>
        <v>2136.8250000000003</v>
      </c>
      <c r="Y1196" s="321">
        <f>+IFERROR((Y1169/Q1196*P1196),0)</f>
        <v>1.1148749999999998</v>
      </c>
      <c r="Z1196" s="318">
        <f>Y1169*V1196</f>
        <v>190583.42174999998</v>
      </c>
      <c r="AA1196" s="279"/>
      <c r="AB1196" s="367">
        <f>+(U1196)*Y1196</f>
        <v>190583.42174999998</v>
      </c>
      <c r="AC1196" s="302">
        <f>+AB1196-Z1196</f>
        <v>0</v>
      </c>
      <c r="AD1196" s="368"/>
      <c r="AE1196" s="349" t="str">
        <f>+IF(V1196=0,"CERO","NO")</f>
        <v>NO</v>
      </c>
    </row>
    <row r="1197" spans="3:31" ht="15.9" customHeight="1" thickBot="1" x14ac:dyDescent="0.35">
      <c r="C1197" s="292"/>
      <c r="D1197" s="363"/>
      <c r="E1197" s="364"/>
      <c r="F1197" s="364"/>
      <c r="G1197" s="364"/>
      <c r="H1197" s="364"/>
      <c r="I1197" s="364"/>
      <c r="J1197" s="381">
        <f>+J1196</f>
        <v>3.5</v>
      </c>
      <c r="K1197" s="293"/>
      <c r="M1197" s="313">
        <v>0</v>
      </c>
      <c r="N1197" s="379" t="str">
        <f>IFERROR(VLOOKUP(M1197,INSUMOS!$C$8:$K$934,2,0),"-----")</f>
        <v>-----</v>
      </c>
      <c r="O1197" s="314" t="str">
        <f>IFERROR(VLOOKUP(M1197,INSUMOS!$C$8:$K$934,3,0),"-----")</f>
        <v>-----</v>
      </c>
      <c r="P1197" s="355"/>
      <c r="Q1197" s="339"/>
      <c r="R1197" s="380" t="str">
        <f>IFERROR(VLOOKUP(M1197,INSUMOS!$C$8:$K$934,4,0),"-----")</f>
        <v>-----</v>
      </c>
      <c r="S1197" s="380" t="str">
        <f>IFERROR(VLOOKUP(M1197,INSUMOS!$C$8:$K$934,6,0),"-----")</f>
        <v>-----</v>
      </c>
      <c r="T1197" s="380" t="str">
        <f>IFERROR(VLOOKUP(M1197,INSUMOS!$C$8:$K$934,5,0),"-----")</f>
        <v>-----</v>
      </c>
      <c r="U1197" s="338">
        <f>SUM(R1197:T1197)</f>
        <v>0</v>
      </c>
      <c r="V1197" s="316">
        <f>+IFERROR((P1197/Q1197)*U1197,0)</f>
        <v>0</v>
      </c>
      <c r="Y1197" s="321">
        <f>+IFERROR((Y1169/Q1197*P1197),0)</f>
        <v>0</v>
      </c>
      <c r="Z1197" s="318">
        <f>Y1169*V1197</f>
        <v>0</v>
      </c>
      <c r="AA1197" s="279"/>
      <c r="AB1197" s="367">
        <f>+U1197*Y1197</f>
        <v>0</v>
      </c>
      <c r="AC1197" s="302">
        <f>+AB1197-Z1197</f>
        <v>0</v>
      </c>
      <c r="AD1197" s="280"/>
      <c r="AE1197" s="349" t="str">
        <f t="shared" ref="AE1197:AE1198" si="164">+IF(V1197=0,"CERO","NO")</f>
        <v>CERO</v>
      </c>
    </row>
    <row r="1198" spans="3:31" ht="15.9" customHeight="1" thickBot="1" x14ac:dyDescent="0.35">
      <c r="C1198" s="292"/>
      <c r="D1198" s="304"/>
      <c r="E1198" s="305"/>
      <c r="F1198" s="305"/>
      <c r="G1198" s="305"/>
      <c r="H1198" s="305"/>
      <c r="I1198" s="305"/>
      <c r="J1198" s="306"/>
      <c r="K1198" s="293"/>
      <c r="M1198" s="313">
        <v>0</v>
      </c>
      <c r="N1198" s="379"/>
      <c r="O1198" s="339"/>
      <c r="P1198" s="382"/>
      <c r="Q1198" s="319"/>
      <c r="R1198" s="383"/>
      <c r="S1198" s="384"/>
      <c r="T1198" s="383"/>
      <c r="U1198" s="338"/>
      <c r="V1198" s="323"/>
      <c r="Y1198" s="321">
        <f>+IFERROR((Y1169/Q1198*P1198),0)</f>
        <v>0</v>
      </c>
      <c r="Z1198" s="318">
        <f>Y1169*V1198</f>
        <v>0</v>
      </c>
      <c r="AA1198" s="279"/>
      <c r="AB1198" s="367">
        <f>+(U1198)*Y1198*P1198</f>
        <v>0</v>
      </c>
      <c r="AC1198" s="302">
        <f>+AB1198-Z1198</f>
        <v>0</v>
      </c>
      <c r="AD1198" s="280"/>
      <c r="AE1198" s="349" t="str">
        <f t="shared" si="164"/>
        <v>CERO</v>
      </c>
    </row>
    <row r="1199" spans="3:31" ht="15.9" customHeight="1" thickBot="1" x14ac:dyDescent="0.35">
      <c r="C1199" s="292"/>
      <c r="D1199" s="295" t="s">
        <v>132</v>
      </c>
      <c r="E1199" s="296" t="s">
        <v>133</v>
      </c>
      <c r="F1199" s="296" t="s">
        <v>134</v>
      </c>
      <c r="G1199" s="296" t="s">
        <v>135</v>
      </c>
      <c r="H1199" s="296" t="s">
        <v>136</v>
      </c>
      <c r="I1199" s="296" t="s">
        <v>137</v>
      </c>
      <c r="J1199" s="297" t="s">
        <v>138</v>
      </c>
      <c r="K1199" s="293"/>
      <c r="M1199" s="724"/>
      <c r="N1199" s="725" t="s">
        <v>123</v>
      </c>
      <c r="O1199" s="725"/>
      <c r="P1199" s="725"/>
      <c r="Q1199" s="725"/>
      <c r="R1199" s="725"/>
      <c r="S1199" s="725"/>
      <c r="T1199" s="725"/>
      <c r="U1199" s="725"/>
      <c r="V1199" s="316">
        <f>+SUM(V1196:V1198)</f>
        <v>2136.8250000000003</v>
      </c>
      <c r="Y1199" s="328" t="s">
        <v>139</v>
      </c>
      <c r="Z1199" s="329">
        <f>+SUM(Z1196:Z1198)</f>
        <v>190583.42174999998</v>
      </c>
      <c r="AA1199" s="279"/>
      <c r="AB1199" s="290"/>
      <c r="AC1199" s="291"/>
      <c r="AD1199" s="280"/>
      <c r="AE1199" s="330"/>
    </row>
    <row r="1200" spans="3:31" ht="15.9" customHeight="1" thickBot="1" x14ac:dyDescent="0.35">
      <c r="C1200" s="292"/>
      <c r="D1200" s="376"/>
      <c r="E1200" s="377"/>
      <c r="F1200" s="377"/>
      <c r="G1200" s="386">
        <f>+F1193</f>
        <v>3.5</v>
      </c>
      <c r="H1200" s="377"/>
      <c r="I1200" s="377"/>
      <c r="J1200" s="387"/>
      <c r="K1200" s="293"/>
      <c r="M1200" s="724"/>
      <c r="N1200" s="726" t="s">
        <v>124</v>
      </c>
      <c r="O1200" s="726"/>
      <c r="P1200" s="726"/>
      <c r="Q1200" s="726"/>
      <c r="R1200" s="726"/>
      <c r="S1200" s="726"/>
      <c r="T1200" s="726"/>
      <c r="U1200" s="726"/>
      <c r="V1200" s="344">
        <f>+ROUND(V1199,$AA$2)</f>
        <v>2137</v>
      </c>
      <c r="Y1200" s="332" t="s">
        <v>140</v>
      </c>
      <c r="Z1200" s="333">
        <f>+ROUND(Z1199,$AA$2)</f>
        <v>190583</v>
      </c>
      <c r="AA1200" s="279"/>
      <c r="AB1200" s="324">
        <f>+V1200*Y1169</f>
        <v>190599.02999999997</v>
      </c>
      <c r="AC1200" s="325">
        <f>+AB1200-Z1200</f>
        <v>16.029999999969732</v>
      </c>
      <c r="AD1200" s="280"/>
      <c r="AE1200" s="334"/>
    </row>
    <row r="1201" spans="3:31" ht="15.9" customHeight="1" thickBot="1" x14ac:dyDescent="0.35">
      <c r="C1201" s="292"/>
      <c r="D1201" s="295" t="s">
        <v>132</v>
      </c>
      <c r="E1201" s="296" t="s">
        <v>133</v>
      </c>
      <c r="F1201" s="296" t="s">
        <v>134</v>
      </c>
      <c r="G1201" s="296" t="s">
        <v>135</v>
      </c>
      <c r="H1201" s="296" t="s">
        <v>136</v>
      </c>
      <c r="I1201" s="296" t="s">
        <v>137</v>
      </c>
      <c r="J1201" s="297" t="s">
        <v>138</v>
      </c>
      <c r="K1201" s="293"/>
      <c r="M1201" s="727"/>
      <c r="N1201" s="727"/>
      <c r="O1201" s="727"/>
      <c r="P1201" s="727"/>
      <c r="Q1201" s="727"/>
      <c r="R1201" s="727"/>
      <c r="S1201" s="727"/>
      <c r="T1201" s="727"/>
      <c r="U1201" s="727"/>
      <c r="V1201" s="727"/>
      <c r="Y1201" s="298"/>
      <c r="Z1201" s="299"/>
      <c r="AA1201" s="279"/>
      <c r="AB1201" s="342"/>
      <c r="AC1201" s="299"/>
      <c r="AD1201" s="280"/>
      <c r="AE1201" s="388"/>
    </row>
    <row r="1202" spans="3:31" ht="15.9" customHeight="1" thickBot="1" x14ac:dyDescent="0.35">
      <c r="C1202" s="292"/>
      <c r="D1202" s="363"/>
      <c r="E1202" s="364"/>
      <c r="F1202" s="364"/>
      <c r="G1202" s="364"/>
      <c r="H1202" s="365">
        <f>G1200</f>
        <v>3.5</v>
      </c>
      <c r="I1202" s="365"/>
      <c r="J1202" s="381"/>
      <c r="K1202" s="293"/>
      <c r="M1202" s="726" t="s">
        <v>125</v>
      </c>
      <c r="N1202" s="726"/>
      <c r="O1202" s="726"/>
      <c r="P1202" s="726"/>
      <c r="Q1202" s="726"/>
      <c r="R1202" s="726"/>
      <c r="S1202" s="726"/>
      <c r="T1202" s="726"/>
      <c r="U1202" s="728">
        <f>+V1200+V1193+V1185+V1178</f>
        <v>186106</v>
      </c>
      <c r="V1202" s="728"/>
      <c r="Y1202" s="389"/>
      <c r="Z1202" s="390">
        <f>+Z1200+Z1193+Z1185+Z1178</f>
        <v>16598765</v>
      </c>
      <c r="AA1202" s="279"/>
      <c r="AB1202" s="385">
        <f>+AB1200+AB1193+AB1185+AB1178</f>
        <v>16598794.139999999</v>
      </c>
      <c r="AC1202" s="325">
        <f>+AB1202-Z1202</f>
        <v>29.139999998733401</v>
      </c>
      <c r="AD1202" s="280"/>
      <c r="AE1202" s="391"/>
    </row>
    <row r="1203" spans="3:31" ht="15.9" customHeight="1" thickBot="1" x14ac:dyDescent="0.3">
      <c r="M1203" s="412"/>
      <c r="N1203" s="412"/>
      <c r="O1203" s="412"/>
      <c r="P1203" s="412"/>
      <c r="Q1203" s="412"/>
      <c r="R1203" s="412"/>
      <c r="S1203" s="412"/>
      <c r="T1203" s="412"/>
      <c r="U1203" s="412"/>
      <c r="V1203" s="412"/>
    </row>
    <row r="1204" spans="3:31" ht="15.9" customHeight="1" x14ac:dyDescent="0.25">
      <c r="M1204" s="729" t="s">
        <v>364</v>
      </c>
      <c r="N1204" s="729"/>
      <c r="O1204" s="729"/>
      <c r="P1204" s="729"/>
      <c r="Q1204" s="729"/>
      <c r="R1204" s="729"/>
      <c r="S1204" s="729"/>
      <c r="T1204" s="729"/>
      <c r="U1204" s="729"/>
      <c r="V1204" s="729"/>
      <c r="Y1204" s="298"/>
      <c r="Z1204" s="299"/>
      <c r="AA1204" s="279"/>
      <c r="AB1204" s="280"/>
      <c r="AC1204" s="280"/>
      <c r="AD1204" s="280"/>
      <c r="AE1204" s="335" t="s">
        <v>137</v>
      </c>
    </row>
    <row r="1205" spans="3:31" ht="15.9" customHeight="1" x14ac:dyDescent="0.25">
      <c r="M1205" s="700" t="s">
        <v>142</v>
      </c>
      <c r="N1205" s="700"/>
      <c r="O1205" s="700"/>
      <c r="P1205" s="700"/>
      <c r="Q1205" s="700"/>
      <c r="R1205" s="700"/>
      <c r="S1205" s="700"/>
      <c r="T1205" s="413">
        <f>$AA$3</f>
        <v>0.25</v>
      </c>
      <c r="U1205" s="701">
        <f>+ROUND(U1202*T1205,$AA$2)</f>
        <v>46527</v>
      </c>
      <c r="V1205" s="701"/>
      <c r="Y1205" s="317"/>
      <c r="Z1205" s="414">
        <f>+Z1202*T1205</f>
        <v>4149691.25</v>
      </c>
      <c r="AA1205" s="279"/>
      <c r="AB1205" s="280"/>
      <c r="AC1205" s="280"/>
      <c r="AD1205" s="280"/>
      <c r="AE1205" s="310" t="s">
        <v>137</v>
      </c>
    </row>
    <row r="1206" spans="3:31" ht="15.9" customHeight="1" x14ac:dyDescent="0.25">
      <c r="M1206" s="700" t="s">
        <v>19</v>
      </c>
      <c r="N1206" s="700"/>
      <c r="O1206" s="700"/>
      <c r="P1206" s="700"/>
      <c r="Q1206" s="700"/>
      <c r="R1206" s="700"/>
      <c r="S1206" s="700"/>
      <c r="T1206" s="413">
        <f>$AA$4</f>
        <v>0.03</v>
      </c>
      <c r="U1206" s="701">
        <f>+ROUND(U1202*T1206,$AA$2)</f>
        <v>5583</v>
      </c>
      <c r="V1206" s="701"/>
      <c r="Y1206" s="317"/>
      <c r="Z1206" s="414">
        <f>+Z1202*T1206</f>
        <v>497962.94999999995</v>
      </c>
      <c r="AA1206" s="279"/>
      <c r="AB1206" s="280"/>
      <c r="AC1206" s="280"/>
      <c r="AD1206" s="280"/>
      <c r="AE1206" s="310" t="s">
        <v>137</v>
      </c>
    </row>
    <row r="1207" spans="3:31" ht="15.9" customHeight="1" x14ac:dyDescent="0.25">
      <c r="M1207" s="700" t="s">
        <v>20</v>
      </c>
      <c r="N1207" s="700"/>
      <c r="O1207" s="700"/>
      <c r="P1207" s="700"/>
      <c r="Q1207" s="700"/>
      <c r="R1207" s="700"/>
      <c r="S1207" s="700"/>
      <c r="T1207" s="413">
        <f>$AA$5</f>
        <v>0.05</v>
      </c>
      <c r="U1207" s="701">
        <f>+ROUND(U1202*T1207,$AA$2)</f>
        <v>9305</v>
      </c>
      <c r="V1207" s="701"/>
      <c r="Y1207" s="317"/>
      <c r="Z1207" s="414">
        <f>+Z1202*T1207</f>
        <v>829938.25</v>
      </c>
      <c r="AA1207" s="279"/>
      <c r="AB1207" s="280"/>
      <c r="AC1207" s="280"/>
      <c r="AD1207" s="280"/>
      <c r="AE1207" s="310" t="s">
        <v>137</v>
      </c>
    </row>
    <row r="1208" spans="3:31" ht="15.9" customHeight="1" x14ac:dyDescent="0.25">
      <c r="M1208" s="700" t="s">
        <v>21</v>
      </c>
      <c r="N1208" s="700"/>
      <c r="O1208" s="700"/>
      <c r="P1208" s="700"/>
      <c r="Q1208" s="700"/>
      <c r="R1208" s="700"/>
      <c r="S1208" s="700"/>
      <c r="T1208" s="413">
        <f>$AA$6</f>
        <v>0</v>
      </c>
      <c r="U1208" s="701">
        <f>+ROUND(U1202*T1208,$AA$2)</f>
        <v>0</v>
      </c>
      <c r="V1208" s="701"/>
      <c r="Y1208" s="317"/>
      <c r="Z1208" s="414">
        <f>+Z1207*T1208</f>
        <v>0</v>
      </c>
      <c r="AA1208" s="279"/>
      <c r="AB1208" s="280"/>
      <c r="AC1208" s="280"/>
      <c r="AD1208" s="280"/>
      <c r="AE1208" s="310" t="s">
        <v>137</v>
      </c>
    </row>
    <row r="1209" spans="3:31" ht="15.9" customHeight="1" thickBot="1" x14ac:dyDescent="0.3">
      <c r="M1209" s="702" t="s">
        <v>365</v>
      </c>
      <c r="N1209" s="702"/>
      <c r="O1209" s="702"/>
      <c r="P1209" s="702"/>
      <c r="Q1209" s="702"/>
      <c r="R1209" s="702"/>
      <c r="S1209" s="702"/>
      <c r="T1209" s="702"/>
      <c r="U1209" s="703">
        <f>+SUM(U1205:V1208)</f>
        <v>61415</v>
      </c>
      <c r="V1209" s="703"/>
      <c r="Y1209" s="317"/>
      <c r="Z1209" s="415">
        <f>+SUM(Z1205:Z1208)</f>
        <v>5477592.4500000002</v>
      </c>
      <c r="AA1209" s="279"/>
      <c r="AB1209" s="280"/>
      <c r="AC1209" s="280"/>
      <c r="AD1209" s="280"/>
      <c r="AE1209" s="310" t="s">
        <v>137</v>
      </c>
    </row>
    <row r="1210" spans="3:31" ht="15.9" customHeight="1" thickBot="1" x14ac:dyDescent="0.3">
      <c r="D1210" s="295" t="s">
        <v>132</v>
      </c>
      <c r="E1210" s="296" t="s">
        <v>133</v>
      </c>
      <c r="F1210" s="296" t="s">
        <v>134</v>
      </c>
      <c r="G1210" s="296" t="s">
        <v>135</v>
      </c>
      <c r="H1210" s="296" t="s">
        <v>136</v>
      </c>
      <c r="I1210" s="296" t="s">
        <v>137</v>
      </c>
      <c r="J1210" s="297" t="s">
        <v>138</v>
      </c>
      <c r="M1210" s="377"/>
      <c r="N1210" s="416"/>
      <c r="O1210" s="416"/>
      <c r="P1210" s="416"/>
      <c r="Q1210" s="377"/>
      <c r="R1210" s="377"/>
      <c r="S1210" s="377"/>
      <c r="T1210" s="417"/>
      <c r="U1210" s="701"/>
      <c r="V1210" s="701"/>
      <c r="Y1210" s="317"/>
      <c r="Z1210" s="291"/>
      <c r="AA1210" s="279"/>
      <c r="AB1210" s="280"/>
      <c r="AC1210" s="280"/>
      <c r="AD1210" s="280"/>
      <c r="AE1210" s="310" t="s">
        <v>137</v>
      </c>
    </row>
    <row r="1211" spans="3:31" ht="15.9" customHeight="1" thickBot="1" x14ac:dyDescent="0.3">
      <c r="D1211" s="363"/>
      <c r="E1211" s="364"/>
      <c r="F1211" s="364"/>
      <c r="G1211" s="364"/>
      <c r="H1211" s="365"/>
      <c r="I1211" s="365">
        <f>H1202</f>
        <v>3.5</v>
      </c>
      <c r="J1211" s="381"/>
      <c r="M1211" s="702" t="s">
        <v>11</v>
      </c>
      <c r="N1211" s="702"/>
      <c r="O1211" s="702"/>
      <c r="P1211" s="702"/>
      <c r="Q1211" s="702"/>
      <c r="R1211" s="702"/>
      <c r="S1211" s="702"/>
      <c r="T1211" s="702"/>
      <c r="U1211" s="704">
        <f>+U1209+U1202</f>
        <v>247521</v>
      </c>
      <c r="V1211" s="704"/>
      <c r="Y1211" s="389"/>
      <c r="Z1211" s="418">
        <f>+Z1209+Z1202</f>
        <v>22076357.449999999</v>
      </c>
      <c r="AA1211" s="279"/>
      <c r="AB1211" s="280"/>
      <c r="AC1211" s="280"/>
      <c r="AD1211" s="280"/>
      <c r="AE1211" s="334" t="s">
        <v>137</v>
      </c>
    </row>
    <row r="1212" spans="3:31" ht="15.9" customHeight="1" x14ac:dyDescent="0.25">
      <c r="M1212" s="705"/>
      <c r="N1212" s="705"/>
      <c r="O1212" s="705"/>
      <c r="P1212" s="705"/>
      <c r="Q1212" s="705"/>
      <c r="R1212" s="706"/>
      <c r="S1212" s="706"/>
      <c r="T1212" s="706"/>
      <c r="U1212" s="706"/>
      <c r="V1212" s="706"/>
    </row>
    <row r="1213" spans="3:31" ht="15.9" customHeight="1" x14ac:dyDescent="0.25">
      <c r="M1213" s="705"/>
      <c r="N1213" s="705"/>
      <c r="O1213" s="705"/>
      <c r="P1213" s="705"/>
      <c r="Q1213" s="705"/>
      <c r="R1213" s="706"/>
      <c r="S1213" s="706"/>
      <c r="T1213" s="706"/>
      <c r="U1213" s="706"/>
      <c r="V1213" s="706"/>
    </row>
    <row r="1214" spans="3:31" ht="15.9" customHeight="1" x14ac:dyDescent="0.25">
      <c r="M1214" s="705"/>
      <c r="N1214" s="705"/>
      <c r="O1214" s="705"/>
      <c r="P1214" s="705"/>
      <c r="Q1214" s="705"/>
      <c r="R1214" s="706"/>
      <c r="S1214" s="706"/>
      <c r="T1214" s="706"/>
      <c r="U1214" s="706"/>
      <c r="V1214" s="706"/>
    </row>
    <row r="1215" spans="3:31" ht="15.9" customHeight="1" x14ac:dyDescent="0.25">
      <c r="M1215" s="705"/>
      <c r="N1215" s="705"/>
      <c r="O1215" s="705"/>
      <c r="P1215" s="705"/>
      <c r="Q1215" s="705"/>
      <c r="R1215" s="706"/>
      <c r="S1215" s="706"/>
      <c r="T1215" s="706"/>
      <c r="U1215" s="706"/>
      <c r="V1215" s="706"/>
    </row>
    <row r="1216" spans="3:31" ht="15.9" customHeight="1" x14ac:dyDescent="0.25">
      <c r="M1216" s="707" t="s">
        <v>128</v>
      </c>
      <c r="N1216" s="708" t="str">
        <f>$N$6</f>
        <v>ING. JEYSON JULIAN LEON RUEDA</v>
      </c>
      <c r="O1216" s="709"/>
      <c r="P1216" s="709"/>
      <c r="Q1216" s="710"/>
      <c r="R1216" s="711" t="s">
        <v>129</v>
      </c>
      <c r="S1216" s="708" t="str">
        <f>$S$6</f>
        <v>ARQ. YASMID ROCÍO CARRILLO MORA</v>
      </c>
      <c r="T1216" s="709"/>
      <c r="U1216" s="709"/>
      <c r="V1216" s="710"/>
    </row>
    <row r="1217" spans="3:31" ht="15.9" customHeight="1" x14ac:dyDescent="0.25">
      <c r="M1217" s="707"/>
      <c r="N1217" s="712" t="str">
        <f>$N$7</f>
        <v>MP. 68202-416348 STD</v>
      </c>
      <c r="O1217" s="713"/>
      <c r="P1217" s="713"/>
      <c r="Q1217" s="714"/>
      <c r="R1217" s="711"/>
      <c r="S1217" s="712" t="str">
        <f>$S$7</f>
        <v>SECRETARIA DE PLANEACIÓN Y OBRAS PÚBLICAS</v>
      </c>
      <c r="T1217" s="713"/>
      <c r="U1217" s="713"/>
      <c r="V1217" s="714"/>
    </row>
    <row r="1218" spans="3:31" ht="15.9" customHeight="1" x14ac:dyDescent="0.25">
      <c r="M1218" s="707"/>
      <c r="N1218" s="715"/>
      <c r="O1218" s="716"/>
      <c r="P1218" s="716"/>
      <c r="Q1218" s="717"/>
      <c r="R1218" s="711"/>
      <c r="S1218" s="712" t="str">
        <f>$S$8</f>
        <v>MUNICIPIO DE PINCHOTE</v>
      </c>
      <c r="T1218" s="713"/>
      <c r="U1218" s="713"/>
      <c r="V1218" s="714"/>
    </row>
    <row r="1219" spans="3:31" ht="15.9" customHeight="1" x14ac:dyDescent="0.25"/>
    <row r="1220" spans="3:31" ht="15.9" customHeight="1" thickBot="1" x14ac:dyDescent="0.3"/>
    <row r="1221" spans="3:31" ht="15.9" customHeight="1" thickBot="1" x14ac:dyDescent="0.3">
      <c r="M1221" s="281" t="s">
        <v>90</v>
      </c>
      <c r="N1221" s="410" t="s">
        <v>30</v>
      </c>
      <c r="O1221" s="741" t="str">
        <f>IFERROR(VLOOKUP(N1221,PPTO!$C$9:$H$64,2,0),"----")</f>
        <v>ESTRUCTURA VIAL EN PIEDRA LABOR</v>
      </c>
      <c r="P1221" s="742"/>
      <c r="Q1221" s="742"/>
      <c r="R1221" s="742"/>
      <c r="S1221" s="742"/>
      <c r="T1221" s="742"/>
      <c r="U1221" s="743"/>
      <c r="V1221" s="283" t="s">
        <v>93</v>
      </c>
      <c r="Y1221" s="284" t="s">
        <v>107</v>
      </c>
      <c r="Z1221" s="280"/>
      <c r="AA1221" s="274"/>
      <c r="AB1221" s="735"/>
      <c r="AC1221" s="735"/>
      <c r="AD1221" s="735"/>
      <c r="AE1221" s="280"/>
    </row>
    <row r="1222" spans="3:31" ht="15.9" customHeight="1" thickBot="1" x14ac:dyDescent="0.35">
      <c r="C1222" s="285">
        <f>+N1222</f>
        <v>3.6</v>
      </c>
      <c r="D1222" s="279"/>
      <c r="E1222" s="279"/>
      <c r="F1222" s="279"/>
      <c r="G1222" s="279"/>
      <c r="H1222" s="279"/>
      <c r="I1222" s="279"/>
      <c r="J1222" s="279"/>
      <c r="K1222" s="286"/>
      <c r="M1222" s="283" t="s">
        <v>94</v>
      </c>
      <c r="N1222" s="287">
        <v>3.6</v>
      </c>
      <c r="O1222" s="744" t="str">
        <f>IFERROR(VLOOKUP(N1222,PPTO!$C$9:$H$64,2,0),"----")</f>
        <v>Suministro e instalación de Pavimento en piedra labor e minimo = 0,15 m</v>
      </c>
      <c r="P1222" s="745"/>
      <c r="Q1222" s="745"/>
      <c r="R1222" s="745"/>
      <c r="S1222" s="745"/>
      <c r="T1222" s="745"/>
      <c r="U1222" s="746"/>
      <c r="V1222" s="288" t="str">
        <f>IFERROR(VLOOKUP(N1222,PPTO!$C$9:$H$64,3,0),"----")</f>
        <v>m2</v>
      </c>
      <c r="Y1222" s="289">
        <f>SUMIFS(PPTO!$F$7:$F$63,PPTO!$C$7:$C$63,APUS!N1222)</f>
        <v>594.59999999999991</v>
      </c>
      <c r="Z1222" s="280"/>
      <c r="AA1222" s="279"/>
      <c r="AB1222" s="280"/>
      <c r="AC1222" s="280"/>
      <c r="AD1222" s="280"/>
      <c r="AE1222" s="280"/>
    </row>
    <row r="1223" spans="3:31" ht="15.9" customHeight="1" thickBot="1" x14ac:dyDescent="0.35">
      <c r="C1223" s="292"/>
      <c r="D1223" s="279"/>
      <c r="E1223" s="279"/>
      <c r="F1223" s="279"/>
      <c r="G1223" s="279"/>
      <c r="H1223" s="279"/>
      <c r="I1223" s="279"/>
      <c r="J1223" s="279"/>
      <c r="K1223" s="293"/>
      <c r="M1223" s="747"/>
      <c r="N1223" s="747"/>
      <c r="O1223" s="747"/>
      <c r="P1223" s="747"/>
      <c r="Q1223" s="747"/>
      <c r="R1223" s="747"/>
      <c r="S1223" s="747"/>
      <c r="T1223" s="747"/>
      <c r="U1223" s="747"/>
      <c r="V1223" s="747"/>
      <c r="Y1223" s="294"/>
      <c r="Z1223" s="280"/>
      <c r="AA1223" s="279"/>
      <c r="AB1223" s="280"/>
      <c r="AC1223" s="280"/>
      <c r="AD1223" s="280"/>
      <c r="AE1223" s="280"/>
    </row>
    <row r="1224" spans="3:31" ht="15.9" customHeight="1" thickBot="1" x14ac:dyDescent="0.35">
      <c r="C1224" s="292"/>
      <c r="D1224" s="295" t="s">
        <v>132</v>
      </c>
      <c r="E1224" s="296" t="s">
        <v>133</v>
      </c>
      <c r="F1224" s="296" t="s">
        <v>134</v>
      </c>
      <c r="G1224" s="296" t="s">
        <v>135</v>
      </c>
      <c r="H1224" s="296" t="s">
        <v>136</v>
      </c>
      <c r="I1224" s="296" t="s">
        <v>137</v>
      </c>
      <c r="J1224" s="297" t="s">
        <v>138</v>
      </c>
      <c r="K1224" s="293"/>
      <c r="M1224" s="748" t="s">
        <v>96</v>
      </c>
      <c r="N1224" s="749"/>
      <c r="O1224" s="749"/>
      <c r="P1224" s="749"/>
      <c r="Q1224" s="749"/>
      <c r="R1224" s="749"/>
      <c r="S1224" s="749"/>
      <c r="T1224" s="749"/>
      <c r="U1224" s="749"/>
      <c r="V1224" s="750"/>
      <c r="Y1224" s="298"/>
      <c r="Z1224" s="299"/>
      <c r="AA1224" s="279"/>
      <c r="AB1224" s="751"/>
      <c r="AC1224" s="752"/>
      <c r="AD1224" s="280"/>
      <c r="AE1224" s="303"/>
    </row>
    <row r="1225" spans="3:31" ht="15.9" customHeight="1" x14ac:dyDescent="0.3">
      <c r="C1225" s="292"/>
      <c r="D1225" s="304"/>
      <c r="E1225" s="305"/>
      <c r="F1225" s="305"/>
      <c r="G1225" s="305"/>
      <c r="H1225" s="305"/>
      <c r="I1225" s="305"/>
      <c r="J1225" s="306"/>
      <c r="K1225" s="293"/>
      <c r="M1225" s="307" t="s">
        <v>97</v>
      </c>
      <c r="N1225" s="741" t="s">
        <v>98</v>
      </c>
      <c r="O1225" s="742"/>
      <c r="P1225" s="742"/>
      <c r="Q1225" s="743"/>
      <c r="R1225" s="307" t="s">
        <v>99</v>
      </c>
      <c r="S1225" s="307" t="s">
        <v>100</v>
      </c>
      <c r="T1225" s="753" t="s">
        <v>8</v>
      </c>
      <c r="U1225" s="754"/>
      <c r="V1225" s="307" t="s">
        <v>101</v>
      </c>
      <c r="Y1225" s="308" t="s">
        <v>107</v>
      </c>
      <c r="Z1225" s="309" t="s">
        <v>9</v>
      </c>
      <c r="AA1225" s="279"/>
      <c r="AB1225" s="290"/>
      <c r="AC1225" s="291"/>
      <c r="AD1225" s="280"/>
      <c r="AE1225" s="310"/>
    </row>
    <row r="1226" spans="3:31" ht="15.9" customHeight="1" x14ac:dyDescent="0.3">
      <c r="C1226" s="292"/>
      <c r="D1226" s="311"/>
      <c r="E1226" s="279"/>
      <c r="F1226" s="279"/>
      <c r="G1226" s="279"/>
      <c r="H1226" s="279"/>
      <c r="I1226" s="279"/>
      <c r="J1226" s="312"/>
      <c r="K1226" s="293"/>
      <c r="M1226" s="313"/>
      <c r="N1226" s="755" t="s">
        <v>102</v>
      </c>
      <c r="O1226" s="756"/>
      <c r="P1226" s="756"/>
      <c r="Q1226" s="757"/>
      <c r="R1226" s="314" t="s">
        <v>103</v>
      </c>
      <c r="S1226" s="315">
        <f>$AA$9</f>
        <v>0.05</v>
      </c>
      <c r="T1226" s="758">
        <f>V1253</f>
        <v>65435</v>
      </c>
      <c r="U1226" s="759"/>
      <c r="V1226" s="316">
        <f>+IFERROR(T1226*S1226,0)</f>
        <v>3271.75</v>
      </c>
      <c r="Y1226" s="317"/>
      <c r="Z1226" s="318">
        <f>Y1222*V1226</f>
        <v>1945382.5499999998</v>
      </c>
      <c r="AA1226" s="279"/>
      <c r="AB1226" s="290"/>
      <c r="AC1226" s="291"/>
      <c r="AD1226" s="280"/>
      <c r="AE1226" s="310" t="str">
        <f>+IF(V1226=0,"CERO","NO")</f>
        <v>NO</v>
      </c>
    </row>
    <row r="1227" spans="3:31" ht="15.9" customHeight="1" x14ac:dyDescent="0.3">
      <c r="C1227" s="292"/>
      <c r="D1227" s="311"/>
      <c r="E1227" s="279"/>
      <c r="F1227" s="279"/>
      <c r="G1227" s="279"/>
      <c r="H1227" s="279"/>
      <c r="I1227" s="279"/>
      <c r="J1227" s="312"/>
      <c r="K1227" s="293"/>
      <c r="M1227" s="319">
        <v>0</v>
      </c>
      <c r="N1227" s="755" t="str">
        <f>IFERROR(VLOOKUP(M1227,INSUMOS!$C$8:$K$934,2,0),"-----")</f>
        <v>-----</v>
      </c>
      <c r="O1227" s="756"/>
      <c r="P1227" s="756"/>
      <c r="Q1227" s="757"/>
      <c r="R1227" s="314" t="str">
        <f>IFERROR(VLOOKUP(M1227,INSUMOS!$C$8:$K$934,6,0),"-----")</f>
        <v>-----</v>
      </c>
      <c r="S1227" s="320"/>
      <c r="T1227" s="760" t="str">
        <f>IFERROR(VLOOKUP(M1227,INSUMOS!$C$8:$K$934,7,0),"0")</f>
        <v>0</v>
      </c>
      <c r="U1227" s="761"/>
      <c r="V1227" s="316">
        <f>+IFERROR(T1227*S1227,0)</f>
        <v>0</v>
      </c>
      <c r="Y1227" s="321">
        <f>+IFERROR(Y1222*S1227,0)</f>
        <v>0</v>
      </c>
      <c r="Z1227" s="318">
        <f>Y1222*V1227</f>
        <v>0</v>
      </c>
      <c r="AA1227" s="300"/>
      <c r="AB1227" s="301">
        <f>+Y1227*T1227</f>
        <v>0</v>
      </c>
      <c r="AC1227" s="302">
        <f>+AB1227-Z1227</f>
        <v>0</v>
      </c>
      <c r="AD1227" s="280"/>
      <c r="AE1227" s="310" t="str">
        <f>+IF(V1227=0,"CERO","NO")</f>
        <v>CERO</v>
      </c>
    </row>
    <row r="1228" spans="3:31" ht="15.9" customHeight="1" x14ac:dyDescent="0.3">
      <c r="C1228" s="292"/>
      <c r="D1228" s="311"/>
      <c r="E1228" s="279"/>
      <c r="F1228" s="279"/>
      <c r="G1228" s="279"/>
      <c r="H1228" s="279"/>
      <c r="I1228" s="279"/>
      <c r="J1228" s="312"/>
      <c r="K1228" s="293"/>
      <c r="M1228" s="313">
        <v>0</v>
      </c>
      <c r="N1228" s="755" t="str">
        <f>IFERROR(VLOOKUP(M1228,INSUMOS!$C$8:$K$934,2,0),"-----")</f>
        <v>-----</v>
      </c>
      <c r="O1228" s="756"/>
      <c r="P1228" s="756"/>
      <c r="Q1228" s="757"/>
      <c r="R1228" s="314" t="str">
        <f>IFERROR(VLOOKUP(M1228,INSUMOS!$C$8:$K$934,6,0),"-----")</f>
        <v>-----</v>
      </c>
      <c r="S1228" s="320"/>
      <c r="T1228" s="760" t="str">
        <f>IFERROR(VLOOKUP(M1228,INSUMOS!$C$8:$K$934,7,0),"0")</f>
        <v>0</v>
      </c>
      <c r="U1228" s="761"/>
      <c r="V1228" s="316">
        <f>+IFERROR(T1228*S1228,0)</f>
        <v>0</v>
      </c>
      <c r="Y1228" s="321">
        <f>+IFERROR(Y1222*S1228,0)</f>
        <v>0</v>
      </c>
      <c r="Z1228" s="318">
        <f>Y1222*V1228</f>
        <v>0</v>
      </c>
      <c r="AA1228" s="300"/>
      <c r="AB1228" s="301">
        <f>+Y1228*T1228</f>
        <v>0</v>
      </c>
      <c r="AC1228" s="302">
        <f>+AB1228-Z1228</f>
        <v>0</v>
      </c>
      <c r="AD1228" s="280"/>
      <c r="AE1228" s="310" t="str">
        <f>+IF(V1228=0,"CERO","NO")</f>
        <v>CERO</v>
      </c>
    </row>
    <row r="1229" spans="3:31" ht="15.9" customHeight="1" thickBot="1" x14ac:dyDescent="0.35">
      <c r="C1229" s="292"/>
      <c r="D1229" s="311"/>
      <c r="E1229" s="279"/>
      <c r="F1229" s="279"/>
      <c r="G1229" s="279"/>
      <c r="H1229" s="279"/>
      <c r="I1229" s="279"/>
      <c r="J1229" s="312"/>
      <c r="K1229" s="293"/>
      <c r="M1229" s="313">
        <v>0</v>
      </c>
      <c r="N1229" s="762"/>
      <c r="O1229" s="747"/>
      <c r="P1229" s="747"/>
      <c r="Q1229" s="763"/>
      <c r="R1229" s="326"/>
      <c r="S1229" s="326"/>
      <c r="T1229" s="764"/>
      <c r="U1229" s="765"/>
      <c r="V1229" s="327"/>
      <c r="Y1229" s="321">
        <f>+IFERROR(Y1222*S1229,0)</f>
        <v>0</v>
      </c>
      <c r="Z1229" s="318">
        <f>Y1222*V1229</f>
        <v>0</v>
      </c>
      <c r="AA1229" s="300"/>
      <c r="AB1229" s="301">
        <f>+Y1229*T1229</f>
        <v>0</v>
      </c>
      <c r="AC1229" s="302">
        <f>+AB1229-Z1229</f>
        <v>0</v>
      </c>
      <c r="AD1229" s="280"/>
      <c r="AE1229" s="310" t="str">
        <f>+IF(V1229=0,"CERO","NO")</f>
        <v>CERO</v>
      </c>
    </row>
    <row r="1230" spans="3:31" ht="15.9" customHeight="1" thickBot="1" x14ac:dyDescent="0.35">
      <c r="C1230" s="292"/>
      <c r="D1230" s="295" t="s">
        <v>132</v>
      </c>
      <c r="E1230" s="296" t="s">
        <v>133</v>
      </c>
      <c r="F1230" s="296" t="s">
        <v>134</v>
      </c>
      <c r="G1230" s="296" t="s">
        <v>135</v>
      </c>
      <c r="H1230" s="296" t="s">
        <v>136</v>
      </c>
      <c r="I1230" s="296" t="s">
        <v>137</v>
      </c>
      <c r="J1230" s="297" t="s">
        <v>138</v>
      </c>
      <c r="K1230" s="293"/>
      <c r="M1230" s="724"/>
      <c r="N1230" s="725" t="s">
        <v>104</v>
      </c>
      <c r="O1230" s="725"/>
      <c r="P1230" s="725"/>
      <c r="Q1230" s="725"/>
      <c r="R1230" s="725"/>
      <c r="S1230" s="725"/>
      <c r="T1230" s="725"/>
      <c r="U1230" s="725"/>
      <c r="V1230" s="316">
        <f>+SUM(V1226:V1229)</f>
        <v>3271.75</v>
      </c>
      <c r="Y1230" s="328" t="s">
        <v>139</v>
      </c>
      <c r="Z1230" s="329">
        <f>+SUM(Z1226:Z1229)</f>
        <v>1945382.5499999998</v>
      </c>
      <c r="AA1230" s="279"/>
      <c r="AB1230" s="290"/>
      <c r="AC1230" s="291"/>
      <c r="AD1230" s="280"/>
      <c r="AE1230" s="330"/>
    </row>
    <row r="1231" spans="3:31" ht="15.9" customHeight="1" thickBot="1" x14ac:dyDescent="0.35">
      <c r="C1231" s="292"/>
      <c r="D1231" s="295">
        <f>C1222</f>
        <v>3.6</v>
      </c>
      <c r="E1231" s="296"/>
      <c r="F1231" s="296"/>
      <c r="G1231" s="296"/>
      <c r="H1231" s="296"/>
      <c r="I1231" s="296"/>
      <c r="J1231" s="297"/>
      <c r="K1231" s="293"/>
      <c r="M1231" s="724"/>
      <c r="N1231" s="726" t="s">
        <v>105</v>
      </c>
      <c r="O1231" s="726"/>
      <c r="P1231" s="726"/>
      <c r="Q1231" s="726"/>
      <c r="R1231" s="726"/>
      <c r="S1231" s="726"/>
      <c r="T1231" s="726"/>
      <c r="U1231" s="726"/>
      <c r="V1231" s="344">
        <f>+ROUND(V1230,$AA$2)</f>
        <v>3272</v>
      </c>
      <c r="Y1231" s="332" t="s">
        <v>140</v>
      </c>
      <c r="Z1231" s="333">
        <f>+ROUND(Z1230,$AA$2)</f>
        <v>1945383</v>
      </c>
      <c r="AA1231" s="279"/>
      <c r="AB1231" s="324">
        <f>+V1231*Y1222</f>
        <v>1945531.1999999997</v>
      </c>
      <c r="AC1231" s="325">
        <f>+AB1231-Z1231</f>
        <v>148.1999999997206</v>
      </c>
      <c r="AD1231" s="280"/>
      <c r="AE1231" s="334"/>
    </row>
    <row r="1232" spans="3:31" ht="15.9" customHeight="1" x14ac:dyDescent="0.3">
      <c r="C1232" s="292"/>
      <c r="D1232" s="304"/>
      <c r="E1232" s="305"/>
      <c r="F1232" s="305"/>
      <c r="G1232" s="305"/>
      <c r="H1232" s="305"/>
      <c r="I1232" s="305"/>
      <c r="J1232" s="306"/>
      <c r="K1232" s="293"/>
      <c r="M1232" s="730" t="s">
        <v>106</v>
      </c>
      <c r="N1232" s="730"/>
      <c r="O1232" s="730"/>
      <c r="P1232" s="730"/>
      <c r="Q1232" s="730"/>
      <c r="R1232" s="730"/>
      <c r="S1232" s="730"/>
      <c r="T1232" s="730"/>
      <c r="U1232" s="730"/>
      <c r="V1232" s="730"/>
      <c r="Y1232" s="298"/>
      <c r="Z1232" s="299"/>
      <c r="AA1232" s="279"/>
      <c r="AB1232" s="731"/>
      <c r="AC1232" s="732"/>
      <c r="AD1232" s="280"/>
      <c r="AE1232" s="335"/>
    </row>
    <row r="1233" spans="3:31" ht="15.9" customHeight="1" x14ac:dyDescent="0.3">
      <c r="C1233" s="292"/>
      <c r="D1233" s="311"/>
      <c r="E1233" s="279"/>
      <c r="F1233" s="279"/>
      <c r="G1233" s="279"/>
      <c r="H1233" s="279"/>
      <c r="I1233" s="279"/>
      <c r="J1233" s="312"/>
      <c r="K1233" s="293"/>
      <c r="M1233" s="307" t="s">
        <v>97</v>
      </c>
      <c r="N1233" s="706" t="s">
        <v>98</v>
      </c>
      <c r="O1233" s="706"/>
      <c r="P1233" s="706"/>
      <c r="Q1233" s="706"/>
      <c r="R1233" s="307" t="s">
        <v>99</v>
      </c>
      <c r="S1233" s="307" t="s">
        <v>107</v>
      </c>
      <c r="T1233" s="336" t="s">
        <v>108</v>
      </c>
      <c r="U1233" s="336" t="s">
        <v>8</v>
      </c>
      <c r="V1233" s="307" t="s">
        <v>101</v>
      </c>
      <c r="Y1233" s="308" t="s">
        <v>107</v>
      </c>
      <c r="Z1233" s="309" t="s">
        <v>9</v>
      </c>
      <c r="AA1233" s="279"/>
      <c r="AB1233" s="290"/>
      <c r="AC1233" s="291"/>
      <c r="AD1233" s="280"/>
      <c r="AE1233" s="337"/>
    </row>
    <row r="1234" spans="3:31" ht="15.9" customHeight="1" x14ac:dyDescent="0.3">
      <c r="C1234" s="292"/>
      <c r="D1234" s="311"/>
      <c r="E1234" s="279"/>
      <c r="F1234" s="279"/>
      <c r="G1234" s="279"/>
      <c r="H1234" s="279"/>
      <c r="I1234" s="279"/>
      <c r="J1234" s="312"/>
      <c r="K1234" s="293"/>
      <c r="M1234" s="313">
        <v>415</v>
      </c>
      <c r="N1234" s="718" t="str">
        <f>IFERROR(VLOOKUP(M1234,INSUMOS!$C$8:$K$934,2,0),"-----")</f>
        <v>Piedra labor para Pavimento</v>
      </c>
      <c r="O1234" s="718"/>
      <c r="P1234" s="718"/>
      <c r="Q1234" s="718"/>
      <c r="R1234" s="314" t="str">
        <f>IFERROR(VLOOKUP(M1234,INSUMOS!$C$8:$K$934,6,0),"-----")</f>
        <v>m2</v>
      </c>
      <c r="S1234" s="322">
        <v>1</v>
      </c>
      <c r="T1234" s="315">
        <v>0</v>
      </c>
      <c r="U1234" s="338">
        <f>IFERROR(VLOOKUP(M1234,INSUMOS!$C$8:$K$934,7,0),"0")</f>
        <v>86000</v>
      </c>
      <c r="V1234" s="316">
        <f>+IFERROR(U1234*(S1234*(1+T1234)),0)</f>
        <v>86000</v>
      </c>
      <c r="Y1234" s="321">
        <f>+IFERROR(Y1222*(S1234*(1+T1234)),0)</f>
        <v>594.59999999999991</v>
      </c>
      <c r="Z1234" s="318">
        <f>Y1222*V1234</f>
        <v>51135599.999999993</v>
      </c>
      <c r="AA1234" s="300"/>
      <c r="AB1234" s="301">
        <f>+Y1234*U1234</f>
        <v>51135599.999999993</v>
      </c>
      <c r="AC1234" s="302">
        <f>+AB1234-Z1234</f>
        <v>0</v>
      </c>
      <c r="AD1234" s="280"/>
      <c r="AE1234" s="337" t="str">
        <f t="shared" ref="AE1234:AE1236" si="165">+IF(V1234=0,"CERO","NO")</f>
        <v>NO</v>
      </c>
    </row>
    <row r="1235" spans="3:31" ht="15.9" customHeight="1" x14ac:dyDescent="0.3">
      <c r="C1235" s="292"/>
      <c r="D1235" s="311"/>
      <c r="E1235" s="279"/>
      <c r="F1235" s="279"/>
      <c r="G1235" s="279"/>
      <c r="H1235" s="279"/>
      <c r="I1235" s="279"/>
      <c r="J1235" s="312"/>
      <c r="K1235" s="293"/>
      <c r="M1235" s="313" t="str">
        <f>INSUMOS!C320</f>
        <v>C3000</v>
      </c>
      <c r="N1235" s="718" t="str">
        <f>IFERROR(VLOOKUP(M1235,INSUMOS!$C$8:$K$934,2,0),"-----")</f>
        <v>Concreto de 3000 PSI (210 kg/cm2)</v>
      </c>
      <c r="O1235" s="718"/>
      <c r="P1235" s="718"/>
      <c r="Q1235" s="718"/>
      <c r="R1235" s="314" t="str">
        <f>IFERROR(VLOOKUP(M1235,INSUMOS!$C$8:$K$934,6,0),"-----")</f>
        <v>m3</v>
      </c>
      <c r="S1235" s="322">
        <v>0.1</v>
      </c>
      <c r="T1235" s="315">
        <v>0.05</v>
      </c>
      <c r="U1235" s="338">
        <f>IFERROR(VLOOKUP(M1235,INSUMOS!$C$8:$K$934,7,0),"0")</f>
        <v>780085</v>
      </c>
      <c r="V1235" s="316">
        <f>+IFERROR(U1235*(S1235*(1+T1235)),0)</f>
        <v>81908.925000000003</v>
      </c>
      <c r="Y1235" s="321">
        <f>+IFERROR(Y1222*(S1235*(1+T1235)),0)</f>
        <v>62.433</v>
      </c>
      <c r="Z1235" s="318">
        <f>Y1222*V1235</f>
        <v>48703046.804999992</v>
      </c>
      <c r="AA1235" s="300"/>
      <c r="AB1235" s="301">
        <f t="shared" ref="AB1235:AB1236" si="166">+Y1235*U1235</f>
        <v>48703046.805</v>
      </c>
      <c r="AC1235" s="302">
        <f t="shared" ref="AC1235:AC1236" si="167">+AB1235-Z1235</f>
        <v>0</v>
      </c>
      <c r="AD1235" s="280"/>
      <c r="AE1235" s="337" t="str">
        <f t="shared" si="165"/>
        <v>NO</v>
      </c>
    </row>
    <row r="1236" spans="3:31" ht="15.9" customHeight="1" thickBot="1" x14ac:dyDescent="0.35">
      <c r="C1236" s="292"/>
      <c r="D1236" s="311"/>
      <c r="E1236" s="279"/>
      <c r="F1236" s="279"/>
      <c r="G1236" s="279"/>
      <c r="H1236" s="279"/>
      <c r="I1236" s="279"/>
      <c r="J1236" s="312"/>
      <c r="K1236" s="293"/>
      <c r="M1236" s="313" t="str">
        <f>INSUMOS!C326</f>
        <v>M 1:3</v>
      </c>
      <c r="N1236" s="718" t="str">
        <f>IFERROR(VLOOKUP(M1236,INSUMOS!$C$8:$K$934,2,0),"-----")</f>
        <v>Mortero 1:3</v>
      </c>
      <c r="O1236" s="718"/>
      <c r="P1236" s="718"/>
      <c r="Q1236" s="718"/>
      <c r="R1236" s="314" t="str">
        <f>IFERROR(VLOOKUP(M1236,INSUMOS!$C$8:$K$934,6,0),"-----")</f>
        <v>m3</v>
      </c>
      <c r="S1236" s="322">
        <v>0.03</v>
      </c>
      <c r="T1236" s="315">
        <v>0</v>
      </c>
      <c r="U1236" s="338">
        <f>IFERROR(VLOOKUP(M1236,INSUMOS!$C$8:$K$934,7,0),"0")</f>
        <v>812745</v>
      </c>
      <c r="V1236" s="316">
        <f>+IFERROR(U1236*(S1236*(1+T1236)),0)</f>
        <v>24382.35</v>
      </c>
      <c r="Y1236" s="321">
        <f>+IFERROR(Y1222*(S1236*(1+T1236)),0)</f>
        <v>17.837999999999997</v>
      </c>
      <c r="Z1236" s="318">
        <f>Y1222*V1236</f>
        <v>14497745.309999997</v>
      </c>
      <c r="AA1236" s="300"/>
      <c r="AB1236" s="301">
        <f t="shared" si="166"/>
        <v>14497745.309999999</v>
      </c>
      <c r="AC1236" s="302">
        <f t="shared" si="167"/>
        <v>0</v>
      </c>
      <c r="AD1236" s="280"/>
      <c r="AE1236" s="337" t="str">
        <f t="shared" si="165"/>
        <v>NO</v>
      </c>
    </row>
    <row r="1237" spans="3:31" ht="15.9" customHeight="1" thickBot="1" x14ac:dyDescent="0.35">
      <c r="C1237" s="292"/>
      <c r="D1237" s="295" t="s">
        <v>132</v>
      </c>
      <c r="E1237" s="296" t="s">
        <v>133</v>
      </c>
      <c r="F1237" s="296" t="s">
        <v>134</v>
      </c>
      <c r="G1237" s="296" t="s">
        <v>135</v>
      </c>
      <c r="H1237" s="296" t="s">
        <v>136</v>
      </c>
      <c r="I1237" s="296" t="s">
        <v>137</v>
      </c>
      <c r="J1237" s="297" t="s">
        <v>138</v>
      </c>
      <c r="K1237" s="293"/>
      <c r="M1237" s="724"/>
      <c r="N1237" s="725" t="s">
        <v>109</v>
      </c>
      <c r="O1237" s="725"/>
      <c r="P1237" s="725"/>
      <c r="Q1237" s="725"/>
      <c r="R1237" s="725"/>
      <c r="S1237" s="725"/>
      <c r="T1237" s="725"/>
      <c r="U1237" s="725"/>
      <c r="V1237" s="316">
        <f>+SUM(V1234:V1236)</f>
        <v>192291.27499999999</v>
      </c>
      <c r="Y1237" s="328" t="s">
        <v>139</v>
      </c>
      <c r="Z1237" s="329">
        <f>+SUM(Z1234:Z1236)</f>
        <v>114336392.11499998</v>
      </c>
      <c r="AA1237" s="279"/>
      <c r="AB1237" s="290"/>
      <c r="AC1237" s="291"/>
      <c r="AD1237" s="280"/>
      <c r="AE1237" s="330"/>
    </row>
    <row r="1238" spans="3:31" ht="15.9" customHeight="1" thickBot="1" x14ac:dyDescent="0.35">
      <c r="C1238" s="292"/>
      <c r="D1238" s="295"/>
      <c r="E1238" s="343">
        <f>+D1231</f>
        <v>3.6</v>
      </c>
      <c r="F1238" s="296"/>
      <c r="G1238" s="296"/>
      <c r="H1238" s="296"/>
      <c r="I1238" s="296"/>
      <c r="J1238" s="297"/>
      <c r="K1238" s="293"/>
      <c r="M1238" s="724"/>
      <c r="N1238" s="726" t="s">
        <v>110</v>
      </c>
      <c r="O1238" s="726"/>
      <c r="P1238" s="726"/>
      <c r="Q1238" s="726"/>
      <c r="R1238" s="726"/>
      <c r="S1238" s="726"/>
      <c r="T1238" s="726"/>
      <c r="U1238" s="726"/>
      <c r="V1238" s="344">
        <f>+ROUND(V1237,$AA$2)</f>
        <v>192291</v>
      </c>
      <c r="Y1238" s="332" t="s">
        <v>140</v>
      </c>
      <c r="Z1238" s="333">
        <f>+ROUND(Z1237,$AA$2)</f>
        <v>114336392</v>
      </c>
      <c r="AA1238" s="279"/>
      <c r="AB1238" s="324">
        <f>+V1238*Y1222</f>
        <v>114336228.59999998</v>
      </c>
      <c r="AC1238" s="325">
        <f>+AB1238-Z1238</f>
        <v>-163.40000002086163</v>
      </c>
      <c r="AD1238" s="280"/>
      <c r="AE1238" s="334"/>
    </row>
    <row r="1239" spans="3:31" ht="15.9" customHeight="1" x14ac:dyDescent="0.3">
      <c r="C1239" s="292"/>
      <c r="D1239" s="304"/>
      <c r="E1239" s="305"/>
      <c r="F1239" s="305"/>
      <c r="G1239" s="305"/>
      <c r="H1239" s="305"/>
      <c r="I1239" s="305"/>
      <c r="J1239" s="306"/>
      <c r="K1239" s="293"/>
      <c r="M1239" s="733" t="s">
        <v>111</v>
      </c>
      <c r="N1239" s="733"/>
      <c r="O1239" s="733"/>
      <c r="P1239" s="733"/>
      <c r="Q1239" s="733"/>
      <c r="R1239" s="733"/>
      <c r="S1239" s="733"/>
      <c r="T1239" s="733"/>
      <c r="U1239" s="733"/>
      <c r="V1239" s="733"/>
      <c r="Y1239" s="298"/>
      <c r="Z1239" s="299"/>
      <c r="AA1239" s="279"/>
      <c r="AB1239" s="342"/>
      <c r="AC1239" s="299"/>
      <c r="AD1239" s="280"/>
      <c r="AE1239" s="335"/>
    </row>
    <row r="1240" spans="3:31" ht="27.6" x14ac:dyDescent="0.3">
      <c r="C1240" s="292"/>
      <c r="D1240" s="311"/>
      <c r="E1240" s="279"/>
      <c r="F1240" s="279"/>
      <c r="G1240" s="279"/>
      <c r="H1240" s="279"/>
      <c r="I1240" s="279"/>
      <c r="J1240" s="312"/>
      <c r="K1240" s="293"/>
      <c r="M1240" s="307" t="s">
        <v>97</v>
      </c>
      <c r="N1240" s="706" t="s">
        <v>98</v>
      </c>
      <c r="O1240" s="706"/>
      <c r="P1240" s="706"/>
      <c r="Q1240" s="307" t="s">
        <v>112</v>
      </c>
      <c r="R1240" s="307" t="s">
        <v>113</v>
      </c>
      <c r="S1240" s="307" t="s">
        <v>114</v>
      </c>
      <c r="T1240" s="734" t="s">
        <v>115</v>
      </c>
      <c r="U1240" s="734"/>
      <c r="V1240" s="307" t="s">
        <v>101</v>
      </c>
      <c r="Y1240" s="308" t="s">
        <v>107</v>
      </c>
      <c r="Z1240" s="309" t="s">
        <v>9</v>
      </c>
      <c r="AA1240" s="279"/>
      <c r="AB1240" s="290"/>
      <c r="AC1240" s="291"/>
      <c r="AD1240" s="280"/>
      <c r="AE1240" s="349"/>
    </row>
    <row r="1241" spans="3:31" ht="14.4" x14ac:dyDescent="0.3">
      <c r="C1241" s="350"/>
      <c r="D1241" s="351"/>
      <c r="E1241" s="345"/>
      <c r="F1241" s="345"/>
      <c r="G1241" s="345"/>
      <c r="H1241" s="345"/>
      <c r="I1241" s="345"/>
      <c r="J1241" s="352"/>
      <c r="K1241" s="353"/>
      <c r="M1241" s="354">
        <v>106</v>
      </c>
      <c r="N1241" s="718" t="str">
        <f>IFERROR(VLOOKUP(M1241,INSUMOS!$C$8:$K$934,2,0),"-----")</f>
        <v>Transporte Piedra Barichara</v>
      </c>
      <c r="O1241" s="718"/>
      <c r="P1241" s="718"/>
      <c r="Q1241" s="314" t="str">
        <f>IFERROR(VLOOKUP(M1241,INSUMOS!$C$8:$K$934,5,0),"-----")</f>
        <v>m3/km</v>
      </c>
      <c r="R1241" s="355">
        <v>0.2</v>
      </c>
      <c r="S1241" s="355">
        <f>IFERROR(VLOOKUP(M1241,INSUMOS!$C$8:$K$934,6,0),"0")</f>
        <v>35</v>
      </c>
      <c r="T1241" s="719">
        <f>IFERROR(VLOOKUP(M1241,INSUMOS!$C$8:$K$934,7,0),"0")</f>
        <v>2800</v>
      </c>
      <c r="U1241" s="719"/>
      <c r="V1241" s="515">
        <f>+T1241*S1241*R1241</f>
        <v>19600</v>
      </c>
      <c r="Y1241" s="321">
        <f>+IFERROR((R1241*S1241)*Y1222,0)</f>
        <v>4162.1999999999989</v>
      </c>
      <c r="Z1241" s="318">
        <f>Y1222*V1241</f>
        <v>11654159.999999998</v>
      </c>
      <c r="AA1241" s="345"/>
      <c r="AB1241" s="346">
        <f>+Y1241*T1241</f>
        <v>11654159.999999996</v>
      </c>
      <c r="AC1241" s="347">
        <f>+AB1241-Z1241</f>
        <v>0</v>
      </c>
      <c r="AD1241" s="348"/>
      <c r="AE1241" s="337" t="str">
        <f t="shared" ref="AE1241:AE1244" si="168">+IF(V1241=0,"CERO","NO")</f>
        <v>NO</v>
      </c>
    </row>
    <row r="1242" spans="3:31" ht="15.9" customHeight="1" x14ac:dyDescent="0.3">
      <c r="C1242" s="350"/>
      <c r="D1242" s="351"/>
      <c r="E1242" s="345"/>
      <c r="F1242" s="345"/>
      <c r="G1242" s="345"/>
      <c r="H1242" s="345"/>
      <c r="I1242" s="345"/>
      <c r="J1242" s="352"/>
      <c r="K1242" s="353"/>
      <c r="M1242" s="354">
        <v>0</v>
      </c>
      <c r="N1242" s="718" t="str">
        <f>IFERROR(VLOOKUP(M1242,INSUMOS!$C$8:$K$934,2,0),"-----")</f>
        <v>-----</v>
      </c>
      <c r="O1242" s="718"/>
      <c r="P1242" s="718"/>
      <c r="Q1242" s="314" t="str">
        <f>IFERROR(VLOOKUP(M1242,INSUMOS!$C$8:$K$934,5,0),"-----")</f>
        <v>-----</v>
      </c>
      <c r="R1242" s="355"/>
      <c r="S1242" s="355" t="str">
        <f>IFERROR(VLOOKUP(M1242,INSUMOS!$C$8:$K$934,6,0),"0")</f>
        <v>0</v>
      </c>
      <c r="T1242" s="719" t="str">
        <f>IFERROR(VLOOKUP(M1242,INSUMOS!$C$8:$K$934,7,0),"0")</f>
        <v>0</v>
      </c>
      <c r="U1242" s="719"/>
      <c r="V1242" s="515">
        <f>+T1242*S1242*R1242</f>
        <v>0</v>
      </c>
      <c r="Y1242" s="321">
        <f>+IFERROR((R1242*S1242)*Y1222,0)</f>
        <v>0</v>
      </c>
      <c r="Z1242" s="318">
        <f>Y1222*V1242</f>
        <v>0</v>
      </c>
      <c r="AA1242" s="345"/>
      <c r="AB1242" s="346">
        <f>+Y1242*T1242</f>
        <v>0</v>
      </c>
      <c r="AC1242" s="347">
        <f>+AB1242-Z1242</f>
        <v>0</v>
      </c>
      <c r="AD1242" s="348"/>
      <c r="AE1242" s="337" t="str">
        <f t="shared" si="168"/>
        <v>CERO</v>
      </c>
    </row>
    <row r="1243" spans="3:31" ht="15.9" customHeight="1" x14ac:dyDescent="0.3">
      <c r="C1243" s="350"/>
      <c r="D1243" s="351"/>
      <c r="E1243" s="345"/>
      <c r="F1243" s="345"/>
      <c r="G1243" s="345"/>
      <c r="H1243" s="345"/>
      <c r="I1243" s="345"/>
      <c r="J1243" s="352"/>
      <c r="K1243" s="353"/>
      <c r="M1243" s="354">
        <v>0</v>
      </c>
      <c r="N1243" s="718" t="str">
        <f>IFERROR(VLOOKUP(M1243,INSUMOS!$C$8:$K$934,2,0),"-----")</f>
        <v>-----</v>
      </c>
      <c r="O1243" s="718"/>
      <c r="P1243" s="718"/>
      <c r="Q1243" s="314" t="str">
        <f>IFERROR(VLOOKUP(M1243,INSUMOS!$C$8:$K$934,5,0),"-----")</f>
        <v>-----</v>
      </c>
      <c r="R1243" s="355"/>
      <c r="S1243" s="355" t="str">
        <f>IFERROR(VLOOKUP(M1243,INSUMOS!$C$8:$K$934,6,0),"0")</f>
        <v>0</v>
      </c>
      <c r="T1243" s="719" t="str">
        <f>IFERROR(VLOOKUP(M1243,INSUMOS!$C$8:$K$934,7,0),"0")</f>
        <v>0</v>
      </c>
      <c r="U1243" s="719"/>
      <c r="V1243" s="515">
        <f>+T1243*S1243*R1243</f>
        <v>0</v>
      </c>
      <c r="Y1243" s="321">
        <f>+IFERROR((R1243*S1243)*Y1222,0)</f>
        <v>0</v>
      </c>
      <c r="Z1243" s="318">
        <f>Y1222*V1243</f>
        <v>0</v>
      </c>
      <c r="AA1243" s="345"/>
      <c r="AB1243" s="346">
        <f t="shared" ref="AB1243" si="169">+Y1243*T1243</f>
        <v>0</v>
      </c>
      <c r="AC1243" s="347">
        <f t="shared" ref="AC1243" si="170">+AB1243-Z1243</f>
        <v>0</v>
      </c>
      <c r="AD1243" s="348"/>
      <c r="AE1243" s="337" t="str">
        <f t="shared" si="168"/>
        <v>CERO</v>
      </c>
    </row>
    <row r="1244" spans="3:31" ht="15.9" customHeight="1" thickBot="1" x14ac:dyDescent="0.35">
      <c r="C1244" s="350"/>
      <c r="D1244" s="360"/>
      <c r="E1244" s="361"/>
      <c r="F1244" s="361"/>
      <c r="G1244" s="361"/>
      <c r="H1244" s="361"/>
      <c r="I1244" s="361"/>
      <c r="J1244" s="362"/>
      <c r="K1244" s="353"/>
      <c r="M1244" s="354">
        <v>0</v>
      </c>
      <c r="N1244" s="718"/>
      <c r="O1244" s="718"/>
      <c r="P1244" s="718"/>
      <c r="Q1244" s="357"/>
      <c r="R1244" s="314"/>
      <c r="S1244" s="358"/>
      <c r="T1244" s="719"/>
      <c r="U1244" s="719"/>
      <c r="V1244" s="515"/>
      <c r="Y1244" s="321">
        <f>+IFERROR((R1244*S1244)*Y1222,0)</f>
        <v>0</v>
      </c>
      <c r="Z1244" s="318">
        <f>Y1222*V1244</f>
        <v>0</v>
      </c>
      <c r="AA1244" s="345"/>
      <c r="AB1244" s="346">
        <f>+Y1244*T1244</f>
        <v>0</v>
      </c>
      <c r="AC1244" s="347">
        <f>+AB1244-Z1244</f>
        <v>0</v>
      </c>
      <c r="AD1244" s="348"/>
      <c r="AE1244" s="337" t="str">
        <f t="shared" si="168"/>
        <v>CERO</v>
      </c>
    </row>
    <row r="1245" spans="3:31" ht="15.9" customHeight="1" thickBot="1" x14ac:dyDescent="0.35">
      <c r="C1245" s="292"/>
      <c r="D1245" s="295" t="s">
        <v>132</v>
      </c>
      <c r="E1245" s="296" t="s">
        <v>133</v>
      </c>
      <c r="F1245" s="296" t="s">
        <v>134</v>
      </c>
      <c r="G1245" s="296" t="s">
        <v>135</v>
      </c>
      <c r="H1245" s="296" t="s">
        <v>136</v>
      </c>
      <c r="I1245" s="296" t="s">
        <v>137</v>
      </c>
      <c r="J1245" s="297" t="s">
        <v>138</v>
      </c>
      <c r="K1245" s="293"/>
      <c r="M1245" s="720"/>
      <c r="N1245" s="721" t="s">
        <v>116</v>
      </c>
      <c r="O1245" s="721"/>
      <c r="P1245" s="721"/>
      <c r="Q1245" s="721"/>
      <c r="R1245" s="721"/>
      <c r="S1245" s="721"/>
      <c r="T1245" s="721"/>
      <c r="U1245" s="721"/>
      <c r="V1245" s="499">
        <f>+SUM(V1241:V1244)</f>
        <v>19600</v>
      </c>
      <c r="Y1245" s="328" t="s">
        <v>139</v>
      </c>
      <c r="Z1245" s="329">
        <f>+SUM(Z1241:Z1244)</f>
        <v>11654159.999999998</v>
      </c>
      <c r="AA1245" s="279"/>
      <c r="AB1245" s="290"/>
      <c r="AC1245" s="291"/>
      <c r="AD1245" s="280"/>
      <c r="AE1245" s="330"/>
    </row>
    <row r="1246" spans="3:31" ht="15.9" customHeight="1" thickBot="1" x14ac:dyDescent="0.35">
      <c r="C1246" s="292"/>
      <c r="D1246" s="363"/>
      <c r="E1246" s="364"/>
      <c r="F1246" s="365">
        <f>+E1238</f>
        <v>3.6</v>
      </c>
      <c r="G1246" s="364"/>
      <c r="H1246" s="364"/>
      <c r="I1246" s="364"/>
      <c r="J1246" s="366"/>
      <c r="K1246" s="293"/>
      <c r="M1246" s="720"/>
      <c r="N1246" s="722" t="s">
        <v>117</v>
      </c>
      <c r="O1246" s="722"/>
      <c r="P1246" s="722"/>
      <c r="Q1246" s="722"/>
      <c r="R1246" s="722"/>
      <c r="S1246" s="722"/>
      <c r="T1246" s="722"/>
      <c r="U1246" s="722"/>
      <c r="V1246" s="344">
        <f>+ROUND(V1245,$AA$2)</f>
        <v>19600</v>
      </c>
      <c r="Y1246" s="332" t="s">
        <v>140</v>
      </c>
      <c r="Z1246" s="333">
        <f>+ROUND(Z1245,$AA$2)</f>
        <v>11654160</v>
      </c>
      <c r="AA1246" s="279"/>
      <c r="AB1246" s="324">
        <f>+V1246*Y1222</f>
        <v>11654159.999999998</v>
      </c>
      <c r="AC1246" s="359"/>
      <c r="AD1246" s="280"/>
      <c r="AE1246" s="334"/>
    </row>
    <row r="1247" spans="3:31" ht="15.9" customHeight="1" thickBot="1" x14ac:dyDescent="0.35">
      <c r="C1247" s="292"/>
      <c r="D1247" s="369"/>
      <c r="E1247" s="370"/>
      <c r="F1247" s="370"/>
      <c r="G1247" s="370"/>
      <c r="H1247" s="370"/>
      <c r="I1247" s="370"/>
      <c r="J1247" s="371"/>
      <c r="K1247" s="293"/>
      <c r="M1247" s="723" t="s">
        <v>118</v>
      </c>
      <c r="N1247" s="723"/>
      <c r="O1247" s="723"/>
      <c r="P1247" s="723"/>
      <c r="Q1247" s="723"/>
      <c r="R1247" s="723"/>
      <c r="S1247" s="723"/>
      <c r="T1247" s="723"/>
      <c r="U1247" s="723"/>
      <c r="V1247" s="723"/>
      <c r="Y1247" s="298"/>
      <c r="Z1247" s="299"/>
      <c r="AA1247" s="279"/>
      <c r="AB1247" s="342"/>
      <c r="AC1247" s="299"/>
      <c r="AD1247" s="280"/>
      <c r="AE1247" s="335"/>
    </row>
    <row r="1248" spans="3:31" ht="15.9" customHeight="1" thickBot="1" x14ac:dyDescent="0.35">
      <c r="C1248" s="292"/>
      <c r="D1248" s="295" t="s">
        <v>132</v>
      </c>
      <c r="E1248" s="296" t="s">
        <v>133</v>
      </c>
      <c r="F1248" s="296" t="s">
        <v>134</v>
      </c>
      <c r="G1248" s="296" t="s">
        <v>135</v>
      </c>
      <c r="H1248" s="296" t="s">
        <v>136</v>
      </c>
      <c r="I1248" s="296" t="s">
        <v>137</v>
      </c>
      <c r="J1248" s="297" t="s">
        <v>138</v>
      </c>
      <c r="K1248" s="293"/>
      <c r="M1248" s="307" t="s">
        <v>97</v>
      </c>
      <c r="N1248" s="372" t="s">
        <v>98</v>
      </c>
      <c r="O1248" s="307" t="s">
        <v>99</v>
      </c>
      <c r="P1248" s="396" t="s">
        <v>107</v>
      </c>
      <c r="Q1248" s="307" t="s">
        <v>119</v>
      </c>
      <c r="R1248" s="373" t="s">
        <v>120</v>
      </c>
      <c r="S1248" s="307" t="s">
        <v>363</v>
      </c>
      <c r="T1248" s="374" t="s">
        <v>121</v>
      </c>
      <c r="U1248" s="375" t="s">
        <v>122</v>
      </c>
      <c r="V1248" s="307" t="s">
        <v>101</v>
      </c>
      <c r="Y1248" s="308" t="s">
        <v>107</v>
      </c>
      <c r="Z1248" s="309" t="s">
        <v>9</v>
      </c>
      <c r="AA1248" s="279"/>
      <c r="AB1248" s="290"/>
      <c r="AC1248" s="291"/>
      <c r="AD1248" s="280"/>
      <c r="AE1248" s="349"/>
    </row>
    <row r="1249" spans="3:31" ht="14.4" x14ac:dyDescent="0.3">
      <c r="C1249" s="292"/>
      <c r="D1249" s="376"/>
      <c r="E1249" s="377"/>
      <c r="F1249" s="377"/>
      <c r="G1249" s="377"/>
      <c r="H1249" s="377"/>
      <c r="I1249" s="377"/>
      <c r="J1249" s="378">
        <f>+F1246</f>
        <v>3.6</v>
      </c>
      <c r="K1249" s="293"/>
      <c r="M1249" s="313">
        <v>201</v>
      </c>
      <c r="N1249" s="379" t="str">
        <f>IFERROR(VLOOKUP(M1249,INSUMOS!$C$8:$K$934,2,0),"-----")</f>
        <v>Oficial Albañileria</v>
      </c>
      <c r="O1249" s="314" t="str">
        <f>IFERROR(VLOOKUP(M1249,INSUMOS!$C$8:$K$934,3,0),"-----")</f>
        <v>JORNAL+PS</v>
      </c>
      <c r="P1249" s="355">
        <v>1</v>
      </c>
      <c r="Q1249" s="339">
        <v>11</v>
      </c>
      <c r="R1249" s="380">
        <f>IFERROR(VLOOKUP(M1249,INSUMOS!$C$8:$K$934,4,0),"-----")</f>
        <v>114970</v>
      </c>
      <c r="S1249" s="380">
        <f>IFERROR(VLOOKUP(M1249,INSUMOS!$C$8:$K$934,6,0),"-----")</f>
        <v>91976</v>
      </c>
      <c r="T1249" s="380">
        <f>IFERROR(VLOOKUP(M1249,INSUMOS!$C$8:$K$934,5,0),"-----")</f>
        <v>0</v>
      </c>
      <c r="U1249" s="338">
        <f>SUM(R1249:T1249)</f>
        <v>206946</v>
      </c>
      <c r="V1249" s="316">
        <f>+IFERROR((P1249/Q1249)*U1249,0)</f>
        <v>18813.272727272728</v>
      </c>
      <c r="Y1249" s="321">
        <f>+IFERROR((Y1222/Q1249*P1249),0)</f>
        <v>54.054545454545448</v>
      </c>
      <c r="Z1249" s="318">
        <f>Y1222*V1249</f>
        <v>11186371.963636363</v>
      </c>
      <c r="AA1249" s="279"/>
      <c r="AB1249" s="367">
        <f>+(U1249)*Y1249</f>
        <v>11186371.963636363</v>
      </c>
      <c r="AC1249" s="302">
        <f>+AB1249-Z1249</f>
        <v>0</v>
      </c>
      <c r="AD1249" s="368"/>
      <c r="AE1249" s="349" t="str">
        <f>+IF(V1249=0,"CERO","NO")</f>
        <v>NO</v>
      </c>
    </row>
    <row r="1250" spans="3:31" ht="15.9" customHeight="1" thickBot="1" x14ac:dyDescent="0.35">
      <c r="C1250" s="292"/>
      <c r="D1250" s="363"/>
      <c r="E1250" s="364"/>
      <c r="F1250" s="364"/>
      <c r="G1250" s="364"/>
      <c r="H1250" s="364"/>
      <c r="I1250" s="364"/>
      <c r="J1250" s="381">
        <f>+J1249</f>
        <v>3.6</v>
      </c>
      <c r="K1250" s="293"/>
      <c r="M1250" s="313">
        <v>202</v>
      </c>
      <c r="N1250" s="379" t="str">
        <f>IFERROR(VLOOKUP(M1250,INSUMOS!$C$8:$K$934,2,0),"-----")</f>
        <v>Ayudante Albañileria</v>
      </c>
      <c r="O1250" s="314" t="str">
        <f>IFERROR(VLOOKUP(M1250,INSUMOS!$C$8:$K$934,3,0),"-----")</f>
        <v>JORNAL+PS</v>
      </c>
      <c r="P1250" s="355">
        <v>3</v>
      </c>
      <c r="Q1250" s="339">
        <v>11</v>
      </c>
      <c r="R1250" s="380">
        <f>IFERROR(VLOOKUP(M1250,INSUMOS!$C$8:$K$934,4,0),"-----")</f>
        <v>94970</v>
      </c>
      <c r="S1250" s="380">
        <f>IFERROR(VLOOKUP(M1250,INSUMOS!$C$8:$K$934,6,0),"-----")</f>
        <v>75976</v>
      </c>
      <c r="T1250" s="380">
        <f>IFERROR(VLOOKUP(M1250,INSUMOS!$C$8:$K$934,5,0),"-----")</f>
        <v>0</v>
      </c>
      <c r="U1250" s="338">
        <f>SUM(R1250:T1250)</f>
        <v>170946</v>
      </c>
      <c r="V1250" s="316">
        <f>+IFERROR((P1250/Q1250)*U1250,0)</f>
        <v>46621.63636363636</v>
      </c>
      <c r="Y1250" s="321">
        <f>+IFERROR((Y1222/Q1250*P1250),0)</f>
        <v>162.16363636363633</v>
      </c>
      <c r="Z1250" s="318">
        <f>Y1222*V1250</f>
        <v>27721224.981818177</v>
      </c>
      <c r="AA1250" s="279"/>
      <c r="AB1250" s="367">
        <f>+U1250*Y1250</f>
        <v>27721224.981818177</v>
      </c>
      <c r="AC1250" s="302">
        <f>+AB1250-Z1250</f>
        <v>0</v>
      </c>
      <c r="AD1250" s="280"/>
      <c r="AE1250" s="349" t="str">
        <f t="shared" ref="AE1250:AE1251" si="171">+IF(V1250=0,"CERO","NO")</f>
        <v>NO</v>
      </c>
    </row>
    <row r="1251" spans="3:31" ht="15.9" customHeight="1" thickBot="1" x14ac:dyDescent="0.35">
      <c r="C1251" s="292"/>
      <c r="D1251" s="304"/>
      <c r="E1251" s="305"/>
      <c r="F1251" s="305"/>
      <c r="G1251" s="305"/>
      <c r="H1251" s="305"/>
      <c r="I1251" s="305"/>
      <c r="J1251" s="306"/>
      <c r="K1251" s="293"/>
      <c r="M1251" s="313">
        <v>0</v>
      </c>
      <c r="N1251" s="379"/>
      <c r="O1251" s="339"/>
      <c r="P1251" s="382"/>
      <c r="Q1251" s="319"/>
      <c r="R1251" s="383"/>
      <c r="S1251" s="384"/>
      <c r="T1251" s="383"/>
      <c r="U1251" s="338"/>
      <c r="V1251" s="323"/>
      <c r="Y1251" s="321">
        <f>+IFERROR((Y1222/Q1251*P1251),0)</f>
        <v>0</v>
      </c>
      <c r="Z1251" s="318">
        <f>Y1222*V1251</f>
        <v>0</v>
      </c>
      <c r="AA1251" s="279"/>
      <c r="AB1251" s="367">
        <f>+(U1251)*Y1251*P1251</f>
        <v>0</v>
      </c>
      <c r="AC1251" s="302">
        <f>+AB1251-Z1251</f>
        <v>0</v>
      </c>
      <c r="AD1251" s="280"/>
      <c r="AE1251" s="349" t="str">
        <f t="shared" si="171"/>
        <v>CERO</v>
      </c>
    </row>
    <row r="1252" spans="3:31" ht="15.9" customHeight="1" thickBot="1" x14ac:dyDescent="0.35">
      <c r="C1252" s="292"/>
      <c r="D1252" s="295" t="s">
        <v>132</v>
      </c>
      <c r="E1252" s="296" t="s">
        <v>133</v>
      </c>
      <c r="F1252" s="296" t="s">
        <v>134</v>
      </c>
      <c r="G1252" s="296" t="s">
        <v>135</v>
      </c>
      <c r="H1252" s="296" t="s">
        <v>136</v>
      </c>
      <c r="I1252" s="296" t="s">
        <v>137</v>
      </c>
      <c r="J1252" s="297" t="s">
        <v>138</v>
      </c>
      <c r="K1252" s="293"/>
      <c r="M1252" s="724"/>
      <c r="N1252" s="725" t="s">
        <v>123</v>
      </c>
      <c r="O1252" s="725"/>
      <c r="P1252" s="725"/>
      <c r="Q1252" s="725"/>
      <c r="R1252" s="725"/>
      <c r="S1252" s="725"/>
      <c r="T1252" s="725"/>
      <c r="U1252" s="725"/>
      <c r="V1252" s="316">
        <f>+SUM(V1249:V1251)</f>
        <v>65434.909090909088</v>
      </c>
      <c r="Y1252" s="328" t="s">
        <v>139</v>
      </c>
      <c r="Z1252" s="329">
        <f>+SUM(Z1249:Z1251)</f>
        <v>38907596.945454538</v>
      </c>
      <c r="AA1252" s="279"/>
      <c r="AB1252" s="290"/>
      <c r="AC1252" s="291"/>
      <c r="AD1252" s="280"/>
      <c r="AE1252" s="330"/>
    </row>
    <row r="1253" spans="3:31" ht="15.9" customHeight="1" thickBot="1" x14ac:dyDescent="0.35">
      <c r="C1253" s="292"/>
      <c r="D1253" s="376"/>
      <c r="E1253" s="377"/>
      <c r="F1253" s="377"/>
      <c r="G1253" s="386">
        <f>+F1246</f>
        <v>3.6</v>
      </c>
      <c r="H1253" s="377"/>
      <c r="I1253" s="377"/>
      <c r="J1253" s="387"/>
      <c r="K1253" s="293"/>
      <c r="M1253" s="724"/>
      <c r="N1253" s="726" t="s">
        <v>124</v>
      </c>
      <c r="O1253" s="726"/>
      <c r="P1253" s="726"/>
      <c r="Q1253" s="726"/>
      <c r="R1253" s="726"/>
      <c r="S1253" s="726"/>
      <c r="T1253" s="726"/>
      <c r="U1253" s="726"/>
      <c r="V1253" s="344">
        <f>+ROUND(V1252,$AA$2)</f>
        <v>65435</v>
      </c>
      <c r="Y1253" s="332" t="s">
        <v>140</v>
      </c>
      <c r="Z1253" s="333">
        <f>+ROUND(Z1252,$AA$2)</f>
        <v>38907597</v>
      </c>
      <c r="AA1253" s="279"/>
      <c r="AB1253" s="324">
        <f>+V1253*Y1222</f>
        <v>38907650.999999993</v>
      </c>
      <c r="AC1253" s="325">
        <f>+AB1253-Z1253</f>
        <v>53.999999992549419</v>
      </c>
      <c r="AD1253" s="280"/>
      <c r="AE1253" s="334"/>
    </row>
    <row r="1254" spans="3:31" ht="15.9" customHeight="1" thickBot="1" x14ac:dyDescent="0.35">
      <c r="C1254" s="292"/>
      <c r="D1254" s="295" t="s">
        <v>132</v>
      </c>
      <c r="E1254" s="296" t="s">
        <v>133</v>
      </c>
      <c r="F1254" s="296" t="s">
        <v>134</v>
      </c>
      <c r="G1254" s="296" t="s">
        <v>135</v>
      </c>
      <c r="H1254" s="296" t="s">
        <v>136</v>
      </c>
      <c r="I1254" s="296" t="s">
        <v>137</v>
      </c>
      <c r="J1254" s="297" t="s">
        <v>138</v>
      </c>
      <c r="K1254" s="293"/>
      <c r="M1254" s="727"/>
      <c r="N1254" s="727"/>
      <c r="O1254" s="727"/>
      <c r="P1254" s="727"/>
      <c r="Q1254" s="727"/>
      <c r="R1254" s="727"/>
      <c r="S1254" s="727"/>
      <c r="T1254" s="727"/>
      <c r="U1254" s="727"/>
      <c r="V1254" s="727"/>
      <c r="Y1254" s="298"/>
      <c r="Z1254" s="299"/>
      <c r="AA1254" s="279"/>
      <c r="AB1254" s="342"/>
      <c r="AC1254" s="299"/>
      <c r="AD1254" s="280"/>
      <c r="AE1254" s="388"/>
    </row>
    <row r="1255" spans="3:31" ht="15.9" customHeight="1" thickBot="1" x14ac:dyDescent="0.35">
      <c r="C1255" s="292"/>
      <c r="D1255" s="363"/>
      <c r="E1255" s="364"/>
      <c r="F1255" s="364"/>
      <c r="G1255" s="364"/>
      <c r="H1255" s="365">
        <f>G1253</f>
        <v>3.6</v>
      </c>
      <c r="I1255" s="365"/>
      <c r="J1255" s="381"/>
      <c r="K1255" s="293"/>
      <c r="M1255" s="726" t="s">
        <v>125</v>
      </c>
      <c r="N1255" s="726"/>
      <c r="O1255" s="726"/>
      <c r="P1255" s="726"/>
      <c r="Q1255" s="726"/>
      <c r="R1255" s="726"/>
      <c r="S1255" s="726"/>
      <c r="T1255" s="726"/>
      <c r="U1255" s="728">
        <f>+V1253+V1246+V1238+V1231</f>
        <v>280598</v>
      </c>
      <c r="V1255" s="728"/>
      <c r="Y1255" s="389"/>
      <c r="Z1255" s="390">
        <f>+Z1253+Z1246+Z1238+Z1231</f>
        <v>166843532</v>
      </c>
      <c r="AA1255" s="279"/>
      <c r="AB1255" s="385">
        <f>+AB1253+AB1246+AB1238+AB1231</f>
        <v>166843570.79999995</v>
      </c>
      <c r="AC1255" s="325">
        <f>+AB1255-Z1255</f>
        <v>38.799999952316284</v>
      </c>
      <c r="AD1255" s="280"/>
      <c r="AE1255" s="391"/>
    </row>
    <row r="1256" spans="3:31" ht="15.9" customHeight="1" thickBot="1" x14ac:dyDescent="0.3">
      <c r="M1256" s="412"/>
      <c r="N1256" s="412"/>
      <c r="O1256" s="412"/>
      <c r="P1256" s="412"/>
      <c r="Q1256" s="412"/>
      <c r="R1256" s="412"/>
      <c r="S1256" s="412"/>
      <c r="T1256" s="412"/>
      <c r="U1256" s="412"/>
      <c r="V1256" s="412"/>
    </row>
    <row r="1257" spans="3:31" ht="15.9" customHeight="1" x14ac:dyDescent="0.25">
      <c r="M1257" s="729" t="s">
        <v>364</v>
      </c>
      <c r="N1257" s="729"/>
      <c r="O1257" s="729"/>
      <c r="P1257" s="729"/>
      <c r="Q1257" s="729"/>
      <c r="R1257" s="729"/>
      <c r="S1257" s="729"/>
      <c r="T1257" s="729"/>
      <c r="U1257" s="729"/>
      <c r="V1257" s="729"/>
      <c r="Y1257" s="298"/>
      <c r="Z1257" s="299"/>
      <c r="AA1257" s="279"/>
      <c r="AB1257" s="280"/>
      <c r="AC1257" s="280"/>
      <c r="AD1257" s="280"/>
      <c r="AE1257" s="335" t="s">
        <v>137</v>
      </c>
    </row>
    <row r="1258" spans="3:31" ht="15.9" customHeight="1" x14ac:dyDescent="0.25">
      <c r="M1258" s="700" t="s">
        <v>142</v>
      </c>
      <c r="N1258" s="700"/>
      <c r="O1258" s="700"/>
      <c r="P1258" s="700"/>
      <c r="Q1258" s="700"/>
      <c r="R1258" s="700"/>
      <c r="S1258" s="700"/>
      <c r="T1258" s="413">
        <f>$AA$3</f>
        <v>0.25</v>
      </c>
      <c r="U1258" s="701">
        <f>+ROUND(U1255*T1258,$AA$2)</f>
        <v>70150</v>
      </c>
      <c r="V1258" s="701"/>
      <c r="Y1258" s="317"/>
      <c r="Z1258" s="414">
        <f>+Z1255*T1258</f>
        <v>41710883</v>
      </c>
      <c r="AA1258" s="279"/>
      <c r="AB1258" s="280"/>
      <c r="AC1258" s="280"/>
      <c r="AD1258" s="280"/>
      <c r="AE1258" s="310" t="s">
        <v>137</v>
      </c>
    </row>
    <row r="1259" spans="3:31" ht="15.9" customHeight="1" x14ac:dyDescent="0.25">
      <c r="M1259" s="700" t="s">
        <v>19</v>
      </c>
      <c r="N1259" s="700"/>
      <c r="O1259" s="700"/>
      <c r="P1259" s="700"/>
      <c r="Q1259" s="700"/>
      <c r="R1259" s="700"/>
      <c r="S1259" s="700"/>
      <c r="T1259" s="413">
        <f>$AA$4</f>
        <v>0.03</v>
      </c>
      <c r="U1259" s="701">
        <f>+ROUND(U1255*T1259,$AA$2)</f>
        <v>8418</v>
      </c>
      <c r="V1259" s="701"/>
      <c r="Y1259" s="317"/>
      <c r="Z1259" s="414">
        <f>+Z1255*T1259</f>
        <v>5005305.96</v>
      </c>
      <c r="AA1259" s="279"/>
      <c r="AB1259" s="280"/>
      <c r="AC1259" s="280"/>
      <c r="AD1259" s="280"/>
      <c r="AE1259" s="310" t="s">
        <v>137</v>
      </c>
    </row>
    <row r="1260" spans="3:31" ht="15.9" customHeight="1" x14ac:dyDescent="0.25">
      <c r="M1260" s="700" t="s">
        <v>20</v>
      </c>
      <c r="N1260" s="700"/>
      <c r="O1260" s="700"/>
      <c r="P1260" s="700"/>
      <c r="Q1260" s="700"/>
      <c r="R1260" s="700"/>
      <c r="S1260" s="700"/>
      <c r="T1260" s="413">
        <f>$AA$5</f>
        <v>0.05</v>
      </c>
      <c r="U1260" s="701">
        <f>+ROUND(U1255*T1260,$AA$2)</f>
        <v>14030</v>
      </c>
      <c r="V1260" s="701"/>
      <c r="Y1260" s="317"/>
      <c r="Z1260" s="414">
        <f>+Z1255*T1260</f>
        <v>8342176.6000000006</v>
      </c>
      <c r="AA1260" s="279"/>
      <c r="AB1260" s="280"/>
      <c r="AC1260" s="280"/>
      <c r="AD1260" s="280"/>
      <c r="AE1260" s="310" t="s">
        <v>137</v>
      </c>
    </row>
    <row r="1261" spans="3:31" ht="15.9" customHeight="1" x14ac:dyDescent="0.25">
      <c r="M1261" s="700" t="s">
        <v>21</v>
      </c>
      <c r="N1261" s="700"/>
      <c r="O1261" s="700"/>
      <c r="P1261" s="700"/>
      <c r="Q1261" s="700"/>
      <c r="R1261" s="700"/>
      <c r="S1261" s="700"/>
      <c r="T1261" s="413">
        <f>$AA$6</f>
        <v>0</v>
      </c>
      <c r="U1261" s="701">
        <f>+ROUND(U1255*T1261,$AA$2)</f>
        <v>0</v>
      </c>
      <c r="V1261" s="701"/>
      <c r="Y1261" s="317"/>
      <c r="Z1261" s="414">
        <f>+Z1260*T1261</f>
        <v>0</v>
      </c>
      <c r="AA1261" s="279"/>
      <c r="AB1261" s="280"/>
      <c r="AC1261" s="280"/>
      <c r="AD1261" s="280"/>
      <c r="AE1261" s="310" t="s">
        <v>137</v>
      </c>
    </row>
    <row r="1262" spans="3:31" ht="15.9" customHeight="1" thickBot="1" x14ac:dyDescent="0.3">
      <c r="M1262" s="702" t="s">
        <v>365</v>
      </c>
      <c r="N1262" s="702"/>
      <c r="O1262" s="702"/>
      <c r="P1262" s="702"/>
      <c r="Q1262" s="702"/>
      <c r="R1262" s="702"/>
      <c r="S1262" s="702"/>
      <c r="T1262" s="702"/>
      <c r="U1262" s="703">
        <f>+SUM(U1258:V1261)</f>
        <v>92598</v>
      </c>
      <c r="V1262" s="703"/>
      <c r="Y1262" s="317"/>
      <c r="Z1262" s="415">
        <f>+SUM(Z1258:Z1261)</f>
        <v>55058365.560000002</v>
      </c>
      <c r="AA1262" s="279"/>
      <c r="AB1262" s="280"/>
      <c r="AC1262" s="280"/>
      <c r="AD1262" s="280"/>
      <c r="AE1262" s="310" t="s">
        <v>137</v>
      </c>
    </row>
    <row r="1263" spans="3:31" ht="15.9" customHeight="1" thickBot="1" x14ac:dyDescent="0.3">
      <c r="D1263" s="295" t="s">
        <v>132</v>
      </c>
      <c r="E1263" s="296" t="s">
        <v>133</v>
      </c>
      <c r="F1263" s="296" t="s">
        <v>134</v>
      </c>
      <c r="G1263" s="296" t="s">
        <v>135</v>
      </c>
      <c r="H1263" s="296" t="s">
        <v>136</v>
      </c>
      <c r="I1263" s="296" t="s">
        <v>137</v>
      </c>
      <c r="J1263" s="297" t="s">
        <v>138</v>
      </c>
      <c r="M1263" s="377"/>
      <c r="N1263" s="416"/>
      <c r="O1263" s="416"/>
      <c r="P1263" s="416"/>
      <c r="Q1263" s="377"/>
      <c r="R1263" s="377"/>
      <c r="S1263" s="377"/>
      <c r="T1263" s="417"/>
      <c r="U1263" s="701"/>
      <c r="V1263" s="701"/>
      <c r="Y1263" s="317"/>
      <c r="Z1263" s="291"/>
      <c r="AA1263" s="279"/>
      <c r="AB1263" s="280"/>
      <c r="AC1263" s="280"/>
      <c r="AD1263" s="280"/>
      <c r="AE1263" s="310" t="s">
        <v>137</v>
      </c>
    </row>
    <row r="1264" spans="3:31" ht="15.9" customHeight="1" thickBot="1" x14ac:dyDescent="0.3">
      <c r="D1264" s="363"/>
      <c r="E1264" s="364"/>
      <c r="F1264" s="364"/>
      <c r="G1264" s="364"/>
      <c r="H1264" s="365"/>
      <c r="I1264" s="365">
        <f>H1255</f>
        <v>3.6</v>
      </c>
      <c r="J1264" s="381"/>
      <c r="M1264" s="702" t="s">
        <v>11</v>
      </c>
      <c r="N1264" s="702"/>
      <c r="O1264" s="702"/>
      <c r="P1264" s="702"/>
      <c r="Q1264" s="702"/>
      <c r="R1264" s="702"/>
      <c r="S1264" s="702"/>
      <c r="T1264" s="702"/>
      <c r="U1264" s="704">
        <f>+U1262+U1255</f>
        <v>373196</v>
      </c>
      <c r="V1264" s="704"/>
      <c r="Y1264" s="389"/>
      <c r="Z1264" s="418">
        <f>+Z1262+Z1255</f>
        <v>221901897.56</v>
      </c>
      <c r="AA1264" s="279"/>
      <c r="AB1264" s="280"/>
      <c r="AC1264" s="280"/>
      <c r="AD1264" s="280"/>
      <c r="AE1264" s="334" t="s">
        <v>137</v>
      </c>
    </row>
    <row r="1265" spans="3:31" ht="15.9" customHeight="1" x14ac:dyDescent="0.25">
      <c r="M1265" s="705"/>
      <c r="N1265" s="705"/>
      <c r="O1265" s="705"/>
      <c r="P1265" s="705"/>
      <c r="Q1265" s="705"/>
      <c r="R1265" s="706"/>
      <c r="S1265" s="706"/>
      <c r="T1265" s="706"/>
      <c r="U1265" s="706"/>
      <c r="V1265" s="706"/>
    </row>
    <row r="1266" spans="3:31" ht="15.9" customHeight="1" x14ac:dyDescent="0.25">
      <c r="M1266" s="705"/>
      <c r="N1266" s="705"/>
      <c r="O1266" s="705"/>
      <c r="P1266" s="705"/>
      <c r="Q1266" s="705"/>
      <c r="R1266" s="706"/>
      <c r="S1266" s="706"/>
      <c r="T1266" s="706"/>
      <c r="U1266" s="706"/>
      <c r="V1266" s="706"/>
    </row>
    <row r="1267" spans="3:31" ht="15.9" customHeight="1" x14ac:dyDescent="0.25">
      <c r="M1267" s="705"/>
      <c r="N1267" s="705"/>
      <c r="O1267" s="705"/>
      <c r="P1267" s="705"/>
      <c r="Q1267" s="705"/>
      <c r="R1267" s="706"/>
      <c r="S1267" s="706"/>
      <c r="T1267" s="706"/>
      <c r="U1267" s="706"/>
      <c r="V1267" s="706"/>
    </row>
    <row r="1268" spans="3:31" ht="15.9" customHeight="1" x14ac:dyDescent="0.25">
      <c r="M1268" s="705"/>
      <c r="N1268" s="705"/>
      <c r="O1268" s="705"/>
      <c r="P1268" s="705"/>
      <c r="Q1268" s="705"/>
      <c r="R1268" s="706"/>
      <c r="S1268" s="706"/>
      <c r="T1268" s="706"/>
      <c r="U1268" s="706"/>
      <c r="V1268" s="706"/>
    </row>
    <row r="1269" spans="3:31" ht="15.9" customHeight="1" x14ac:dyDescent="0.25">
      <c r="M1269" s="707" t="s">
        <v>128</v>
      </c>
      <c r="N1269" s="708" t="str">
        <f>$N$6</f>
        <v>ING. JEYSON JULIAN LEON RUEDA</v>
      </c>
      <c r="O1269" s="709"/>
      <c r="P1269" s="709"/>
      <c r="Q1269" s="710"/>
      <c r="R1269" s="711" t="s">
        <v>129</v>
      </c>
      <c r="S1269" s="708" t="str">
        <f>$S$6</f>
        <v>ARQ. YASMID ROCÍO CARRILLO MORA</v>
      </c>
      <c r="T1269" s="709"/>
      <c r="U1269" s="709"/>
      <c r="V1269" s="710"/>
    </row>
    <row r="1270" spans="3:31" ht="15.9" customHeight="1" x14ac:dyDescent="0.25">
      <c r="M1270" s="707"/>
      <c r="N1270" s="712" t="str">
        <f>$N$7</f>
        <v>MP. 68202-416348 STD</v>
      </c>
      <c r="O1270" s="713"/>
      <c r="P1270" s="713"/>
      <c r="Q1270" s="714"/>
      <c r="R1270" s="711"/>
      <c r="S1270" s="712" t="str">
        <f>$S$7</f>
        <v>SECRETARIA DE PLANEACIÓN Y OBRAS PÚBLICAS</v>
      </c>
      <c r="T1270" s="713"/>
      <c r="U1270" s="713"/>
      <c r="V1270" s="714"/>
    </row>
    <row r="1271" spans="3:31" ht="15.9" customHeight="1" x14ac:dyDescent="0.25">
      <c r="M1271" s="707"/>
      <c r="N1271" s="715"/>
      <c r="O1271" s="716"/>
      <c r="P1271" s="716"/>
      <c r="Q1271" s="717"/>
      <c r="R1271" s="711"/>
      <c r="S1271" s="712" t="str">
        <f>$S$8</f>
        <v>MUNICIPIO DE PINCHOTE</v>
      </c>
      <c r="T1271" s="713"/>
      <c r="U1271" s="713"/>
      <c r="V1271" s="714"/>
    </row>
    <row r="1272" spans="3:31" ht="15.9" customHeight="1" x14ac:dyDescent="0.25"/>
    <row r="1273" spans="3:31" ht="15.9" customHeight="1" thickBot="1" x14ac:dyDescent="0.3"/>
    <row r="1274" spans="3:31" ht="15.9" customHeight="1" thickBot="1" x14ac:dyDescent="0.3">
      <c r="M1274" s="281" t="s">
        <v>90</v>
      </c>
      <c r="N1274" s="410" t="s">
        <v>30</v>
      </c>
      <c r="O1274" s="741" t="str">
        <f>IFERROR(VLOOKUP(N1274,PPTO!$C$9:$H$64,2,0),"----")</f>
        <v>ESTRUCTURA VIAL EN PIEDRA LABOR</v>
      </c>
      <c r="P1274" s="742"/>
      <c r="Q1274" s="742"/>
      <c r="R1274" s="742"/>
      <c r="S1274" s="742"/>
      <c r="T1274" s="742"/>
      <c r="U1274" s="743"/>
      <c r="V1274" s="283" t="s">
        <v>93</v>
      </c>
      <c r="Y1274" s="284" t="s">
        <v>107</v>
      </c>
      <c r="Z1274" s="280"/>
      <c r="AA1274" s="274"/>
      <c r="AB1274" s="735"/>
      <c r="AC1274" s="735"/>
      <c r="AD1274" s="735"/>
      <c r="AE1274" s="280"/>
    </row>
    <row r="1275" spans="3:31" ht="15.9" customHeight="1" thickBot="1" x14ac:dyDescent="0.35">
      <c r="C1275" s="285" t="str">
        <f>+N1275</f>
        <v>3.5</v>
      </c>
      <c r="D1275" s="279"/>
      <c r="E1275" s="279"/>
      <c r="F1275" s="279"/>
      <c r="G1275" s="279"/>
      <c r="H1275" s="279"/>
      <c r="I1275" s="279"/>
      <c r="J1275" s="279"/>
      <c r="K1275" s="286"/>
      <c r="M1275" s="283" t="s">
        <v>94</v>
      </c>
      <c r="N1275" s="287" t="s">
        <v>66</v>
      </c>
      <c r="O1275" s="744" t="str">
        <f>IFERROR(VLOOKUP(N1275,PPTO!$C$9:$H$64,2,0),"----")</f>
        <v>----</v>
      </c>
      <c r="P1275" s="745"/>
      <c r="Q1275" s="745"/>
      <c r="R1275" s="745"/>
      <c r="S1275" s="745"/>
      <c r="T1275" s="745"/>
      <c r="U1275" s="746"/>
      <c r="V1275" s="288" t="str">
        <f>IFERROR(VLOOKUP(N1275,PPTO!$C$9:$H$64,3,0),"----")</f>
        <v>----</v>
      </c>
      <c r="Y1275" s="289">
        <f>SUMIFS(PPTO!$F$7:$F$63,PPTO!$C$7:$C$63,APUS!N1275)</f>
        <v>0</v>
      </c>
      <c r="Z1275" s="280"/>
      <c r="AA1275" s="279"/>
      <c r="AB1275" s="280"/>
      <c r="AC1275" s="280"/>
      <c r="AD1275" s="280"/>
      <c r="AE1275" s="280"/>
    </row>
    <row r="1276" spans="3:31" ht="15.9" customHeight="1" thickBot="1" x14ac:dyDescent="0.35">
      <c r="C1276" s="292"/>
      <c r="D1276" s="279"/>
      <c r="E1276" s="279"/>
      <c r="F1276" s="279"/>
      <c r="G1276" s="279"/>
      <c r="H1276" s="279"/>
      <c r="I1276" s="279"/>
      <c r="J1276" s="279"/>
      <c r="K1276" s="293"/>
      <c r="M1276" s="747"/>
      <c r="N1276" s="747"/>
      <c r="O1276" s="747"/>
      <c r="P1276" s="747"/>
      <c r="Q1276" s="747"/>
      <c r="R1276" s="747"/>
      <c r="S1276" s="747"/>
      <c r="T1276" s="747"/>
      <c r="U1276" s="747"/>
      <c r="V1276" s="747"/>
      <c r="Y1276" s="294"/>
      <c r="Z1276" s="280"/>
      <c r="AA1276" s="279"/>
      <c r="AB1276" s="280"/>
      <c r="AC1276" s="280"/>
      <c r="AD1276" s="280"/>
      <c r="AE1276" s="280"/>
    </row>
    <row r="1277" spans="3:31" ht="15.9" customHeight="1" thickBot="1" x14ac:dyDescent="0.35">
      <c r="C1277" s="292"/>
      <c r="D1277" s="295" t="s">
        <v>132</v>
      </c>
      <c r="E1277" s="296" t="s">
        <v>133</v>
      </c>
      <c r="F1277" s="296" t="s">
        <v>134</v>
      </c>
      <c r="G1277" s="296" t="s">
        <v>135</v>
      </c>
      <c r="H1277" s="296" t="s">
        <v>136</v>
      </c>
      <c r="I1277" s="296" t="s">
        <v>137</v>
      </c>
      <c r="J1277" s="297" t="s">
        <v>138</v>
      </c>
      <c r="K1277" s="293"/>
      <c r="M1277" s="748" t="s">
        <v>96</v>
      </c>
      <c r="N1277" s="749"/>
      <c r="O1277" s="749"/>
      <c r="P1277" s="749"/>
      <c r="Q1277" s="749"/>
      <c r="R1277" s="749"/>
      <c r="S1277" s="749"/>
      <c r="T1277" s="749"/>
      <c r="U1277" s="749"/>
      <c r="V1277" s="750"/>
      <c r="Y1277" s="298"/>
      <c r="Z1277" s="299"/>
      <c r="AA1277" s="279"/>
      <c r="AB1277" s="751"/>
      <c r="AC1277" s="752"/>
      <c r="AD1277" s="280"/>
      <c r="AE1277" s="303"/>
    </row>
    <row r="1278" spans="3:31" ht="15.9" customHeight="1" x14ac:dyDescent="0.3">
      <c r="C1278" s="292"/>
      <c r="D1278" s="304"/>
      <c r="E1278" s="305"/>
      <c r="F1278" s="305"/>
      <c r="G1278" s="305"/>
      <c r="H1278" s="305"/>
      <c r="I1278" s="305"/>
      <c r="J1278" s="306"/>
      <c r="K1278" s="293"/>
      <c r="M1278" s="307" t="s">
        <v>97</v>
      </c>
      <c r="N1278" s="741" t="s">
        <v>98</v>
      </c>
      <c r="O1278" s="742"/>
      <c r="P1278" s="742"/>
      <c r="Q1278" s="743"/>
      <c r="R1278" s="307" t="s">
        <v>99</v>
      </c>
      <c r="S1278" s="307" t="s">
        <v>100</v>
      </c>
      <c r="T1278" s="753" t="s">
        <v>8</v>
      </c>
      <c r="U1278" s="754"/>
      <c r="V1278" s="307" t="s">
        <v>101</v>
      </c>
      <c r="Y1278" s="308" t="s">
        <v>107</v>
      </c>
      <c r="Z1278" s="309" t="s">
        <v>9</v>
      </c>
      <c r="AA1278" s="279"/>
      <c r="AB1278" s="290"/>
      <c r="AC1278" s="291"/>
      <c r="AD1278" s="280"/>
      <c r="AE1278" s="310"/>
    </row>
    <row r="1279" spans="3:31" ht="15.9" customHeight="1" x14ac:dyDescent="0.3">
      <c r="C1279" s="292"/>
      <c r="D1279" s="311"/>
      <c r="E1279" s="279"/>
      <c r="F1279" s="279"/>
      <c r="G1279" s="279"/>
      <c r="H1279" s="279"/>
      <c r="I1279" s="279"/>
      <c r="J1279" s="312"/>
      <c r="K1279" s="293"/>
      <c r="M1279" s="313"/>
      <c r="N1279" s="755" t="s">
        <v>102</v>
      </c>
      <c r="O1279" s="756"/>
      <c r="P1279" s="756"/>
      <c r="Q1279" s="757"/>
      <c r="R1279" s="314" t="s">
        <v>103</v>
      </c>
      <c r="S1279" s="315">
        <f>$AA$9</f>
        <v>0.05</v>
      </c>
      <c r="T1279" s="758">
        <f>V1306</f>
        <v>21234</v>
      </c>
      <c r="U1279" s="759"/>
      <c r="V1279" s="316">
        <f>+IFERROR(T1279*S1279,0)</f>
        <v>1061.7</v>
      </c>
      <c r="Y1279" s="317"/>
      <c r="Z1279" s="318">
        <f>Y1275*V1279</f>
        <v>0</v>
      </c>
      <c r="AA1279" s="279"/>
      <c r="AB1279" s="290"/>
      <c r="AC1279" s="291"/>
      <c r="AD1279" s="280"/>
      <c r="AE1279" s="310" t="str">
        <f>+IF(V1279=0,"CERO","NO")</f>
        <v>NO</v>
      </c>
    </row>
    <row r="1280" spans="3:31" ht="15.9" customHeight="1" x14ac:dyDescent="0.3">
      <c r="C1280" s="292"/>
      <c r="D1280" s="311"/>
      <c r="E1280" s="279"/>
      <c r="F1280" s="279"/>
      <c r="G1280" s="279"/>
      <c r="H1280" s="279"/>
      <c r="I1280" s="279"/>
      <c r="J1280" s="312"/>
      <c r="K1280" s="293"/>
      <c r="M1280" s="319">
        <v>0</v>
      </c>
      <c r="N1280" s="755" t="str">
        <f>IFERROR(VLOOKUP(M1280,INSUMOS!$C$8:$K$934,2,0),"-----")</f>
        <v>-----</v>
      </c>
      <c r="O1280" s="756"/>
      <c r="P1280" s="756"/>
      <c r="Q1280" s="757"/>
      <c r="R1280" s="314" t="str">
        <f>IFERROR(VLOOKUP(M1280,INSUMOS!$C$8:$K$934,6,0),"-----")</f>
        <v>-----</v>
      </c>
      <c r="S1280" s="320"/>
      <c r="T1280" s="760" t="str">
        <f>IFERROR(VLOOKUP(M1280,INSUMOS!$C$8:$K$934,7,0),"0")</f>
        <v>0</v>
      </c>
      <c r="U1280" s="761"/>
      <c r="V1280" s="316">
        <f>+IFERROR(T1280*S1280,0)</f>
        <v>0</v>
      </c>
      <c r="Y1280" s="321">
        <f>+IFERROR(Y1275*S1280,0)</f>
        <v>0</v>
      </c>
      <c r="Z1280" s="318">
        <f>Y1275*V1280</f>
        <v>0</v>
      </c>
      <c r="AA1280" s="300"/>
      <c r="AB1280" s="301">
        <f>+Y1280*T1280</f>
        <v>0</v>
      </c>
      <c r="AC1280" s="302">
        <f>+AB1280-Z1280</f>
        <v>0</v>
      </c>
      <c r="AD1280" s="280"/>
      <c r="AE1280" s="310" t="str">
        <f>+IF(V1280=0,"CERO","NO")</f>
        <v>CERO</v>
      </c>
    </row>
    <row r="1281" spans="3:31" ht="15.9" customHeight="1" x14ac:dyDescent="0.3">
      <c r="C1281" s="292"/>
      <c r="D1281" s="311"/>
      <c r="E1281" s="279"/>
      <c r="F1281" s="279"/>
      <c r="G1281" s="279"/>
      <c r="H1281" s="279"/>
      <c r="I1281" s="279"/>
      <c r="J1281" s="312"/>
      <c r="K1281" s="293"/>
      <c r="M1281" s="313">
        <v>0</v>
      </c>
      <c r="N1281" s="755" t="str">
        <f>IFERROR(VLOOKUP(M1281,INSUMOS!$C$8:$K$934,2,0),"-----")</f>
        <v>-----</v>
      </c>
      <c r="O1281" s="756"/>
      <c r="P1281" s="756"/>
      <c r="Q1281" s="757"/>
      <c r="R1281" s="314" t="str">
        <f>IFERROR(VLOOKUP(M1281,INSUMOS!$C$8:$K$934,6,0),"-----")</f>
        <v>-----</v>
      </c>
      <c r="S1281" s="320"/>
      <c r="T1281" s="760" t="str">
        <f>IFERROR(VLOOKUP(M1281,INSUMOS!$C$8:$K$934,7,0),"0")</f>
        <v>0</v>
      </c>
      <c r="U1281" s="761"/>
      <c r="V1281" s="316">
        <f>+IFERROR(T1281*S1281,0)</f>
        <v>0</v>
      </c>
      <c r="Y1281" s="321">
        <f>+IFERROR(Y1275*S1281,0)</f>
        <v>0</v>
      </c>
      <c r="Z1281" s="318">
        <f>Y1275*V1281</f>
        <v>0</v>
      </c>
      <c r="AA1281" s="300"/>
      <c r="AB1281" s="301">
        <f>+Y1281*T1281</f>
        <v>0</v>
      </c>
      <c r="AC1281" s="302">
        <f>+AB1281-Z1281</f>
        <v>0</v>
      </c>
      <c r="AD1281" s="280"/>
      <c r="AE1281" s="310" t="str">
        <f>+IF(V1281=0,"CERO","NO")</f>
        <v>CERO</v>
      </c>
    </row>
    <row r="1282" spans="3:31" ht="15.9" customHeight="1" thickBot="1" x14ac:dyDescent="0.35">
      <c r="C1282" s="292"/>
      <c r="D1282" s="311"/>
      <c r="E1282" s="279"/>
      <c r="F1282" s="279"/>
      <c r="G1282" s="279"/>
      <c r="H1282" s="279"/>
      <c r="I1282" s="279"/>
      <c r="J1282" s="312"/>
      <c r="K1282" s="293"/>
      <c r="M1282" s="313">
        <v>0</v>
      </c>
      <c r="N1282" s="762"/>
      <c r="O1282" s="747"/>
      <c r="P1282" s="747"/>
      <c r="Q1282" s="763"/>
      <c r="R1282" s="326"/>
      <c r="S1282" s="326"/>
      <c r="T1282" s="764"/>
      <c r="U1282" s="765"/>
      <c r="V1282" s="327"/>
      <c r="Y1282" s="321">
        <f>+IFERROR(Y1275*S1282,0)</f>
        <v>0</v>
      </c>
      <c r="Z1282" s="318">
        <f>Y1275*V1282</f>
        <v>0</v>
      </c>
      <c r="AA1282" s="300"/>
      <c r="AB1282" s="301">
        <f>+Y1282*T1282</f>
        <v>0</v>
      </c>
      <c r="AC1282" s="302">
        <f>+AB1282-Z1282</f>
        <v>0</v>
      </c>
      <c r="AD1282" s="280"/>
      <c r="AE1282" s="310" t="str">
        <f>+IF(V1282=0,"CERO","NO")</f>
        <v>CERO</v>
      </c>
    </row>
    <row r="1283" spans="3:31" ht="15.9" customHeight="1" thickBot="1" x14ac:dyDescent="0.35">
      <c r="C1283" s="292"/>
      <c r="D1283" s="295" t="s">
        <v>132</v>
      </c>
      <c r="E1283" s="296" t="s">
        <v>133</v>
      </c>
      <c r="F1283" s="296" t="s">
        <v>134</v>
      </c>
      <c r="G1283" s="296" t="s">
        <v>135</v>
      </c>
      <c r="H1283" s="296" t="s">
        <v>136</v>
      </c>
      <c r="I1283" s="296" t="s">
        <v>137</v>
      </c>
      <c r="J1283" s="297" t="s">
        <v>138</v>
      </c>
      <c r="K1283" s="293"/>
      <c r="M1283" s="724"/>
      <c r="N1283" s="725" t="s">
        <v>104</v>
      </c>
      <c r="O1283" s="725"/>
      <c r="P1283" s="725"/>
      <c r="Q1283" s="725"/>
      <c r="R1283" s="725"/>
      <c r="S1283" s="725"/>
      <c r="T1283" s="725"/>
      <c r="U1283" s="725"/>
      <c r="V1283" s="316">
        <f>+SUM(V1279:V1282)</f>
        <v>1061.7</v>
      </c>
      <c r="Y1283" s="328" t="s">
        <v>139</v>
      </c>
      <c r="Z1283" s="329">
        <f>+SUM(Z1279:Z1282)</f>
        <v>0</v>
      </c>
      <c r="AA1283" s="279"/>
      <c r="AB1283" s="290"/>
      <c r="AC1283" s="291"/>
      <c r="AD1283" s="280"/>
      <c r="AE1283" s="330"/>
    </row>
    <row r="1284" spans="3:31" ht="15.9" customHeight="1" thickBot="1" x14ac:dyDescent="0.35">
      <c r="C1284" s="292"/>
      <c r="D1284" s="295" t="str">
        <f>C1275</f>
        <v>3.5</v>
      </c>
      <c r="E1284" s="296"/>
      <c r="F1284" s="296"/>
      <c r="G1284" s="296"/>
      <c r="H1284" s="296"/>
      <c r="I1284" s="296"/>
      <c r="J1284" s="297"/>
      <c r="K1284" s="293"/>
      <c r="M1284" s="724"/>
      <c r="N1284" s="726" t="s">
        <v>105</v>
      </c>
      <c r="O1284" s="726"/>
      <c r="P1284" s="726"/>
      <c r="Q1284" s="726"/>
      <c r="R1284" s="726"/>
      <c r="S1284" s="726"/>
      <c r="T1284" s="726"/>
      <c r="U1284" s="726"/>
      <c r="V1284" s="344">
        <f>+ROUND(V1283,$AA$2)</f>
        <v>1062</v>
      </c>
      <c r="Y1284" s="332" t="s">
        <v>140</v>
      </c>
      <c r="Z1284" s="333">
        <f>+ROUND(Z1283,$AA$2)</f>
        <v>0</v>
      </c>
      <c r="AA1284" s="279"/>
      <c r="AB1284" s="324">
        <f>+V1284*Y1275</f>
        <v>0</v>
      </c>
      <c r="AC1284" s="325">
        <f>+AB1284-Z1284</f>
        <v>0</v>
      </c>
      <c r="AD1284" s="280"/>
      <c r="AE1284" s="334"/>
    </row>
    <row r="1285" spans="3:31" ht="15.9" customHeight="1" x14ac:dyDescent="0.3">
      <c r="C1285" s="292"/>
      <c r="D1285" s="304"/>
      <c r="E1285" s="305"/>
      <c r="F1285" s="305"/>
      <c r="G1285" s="305"/>
      <c r="H1285" s="305"/>
      <c r="I1285" s="305"/>
      <c r="J1285" s="306"/>
      <c r="K1285" s="293"/>
      <c r="M1285" s="730" t="s">
        <v>106</v>
      </c>
      <c r="N1285" s="730"/>
      <c r="O1285" s="730"/>
      <c r="P1285" s="730"/>
      <c r="Q1285" s="730"/>
      <c r="R1285" s="730"/>
      <c r="S1285" s="730"/>
      <c r="T1285" s="730"/>
      <c r="U1285" s="730"/>
      <c r="V1285" s="730"/>
      <c r="Y1285" s="298"/>
      <c r="Z1285" s="299"/>
      <c r="AA1285" s="279"/>
      <c r="AB1285" s="731"/>
      <c r="AC1285" s="732"/>
      <c r="AD1285" s="280"/>
      <c r="AE1285" s="335"/>
    </row>
    <row r="1286" spans="3:31" ht="15.9" customHeight="1" x14ac:dyDescent="0.3">
      <c r="C1286" s="292"/>
      <c r="D1286" s="311"/>
      <c r="E1286" s="279"/>
      <c r="F1286" s="279"/>
      <c r="G1286" s="279"/>
      <c r="H1286" s="279"/>
      <c r="I1286" s="279"/>
      <c r="J1286" s="312"/>
      <c r="K1286" s="293"/>
      <c r="M1286" s="307" t="s">
        <v>97</v>
      </c>
      <c r="N1286" s="706" t="s">
        <v>98</v>
      </c>
      <c r="O1286" s="706"/>
      <c r="P1286" s="706"/>
      <c r="Q1286" s="706"/>
      <c r="R1286" s="307" t="s">
        <v>99</v>
      </c>
      <c r="S1286" s="307" t="s">
        <v>107</v>
      </c>
      <c r="T1286" s="336" t="s">
        <v>108</v>
      </c>
      <c r="U1286" s="336" t="s">
        <v>8</v>
      </c>
      <c r="V1286" s="307" t="s">
        <v>101</v>
      </c>
      <c r="Y1286" s="308" t="s">
        <v>107</v>
      </c>
      <c r="Z1286" s="309" t="s">
        <v>9</v>
      </c>
      <c r="AA1286" s="279"/>
      <c r="AB1286" s="290"/>
      <c r="AC1286" s="291"/>
      <c r="AD1286" s="280"/>
      <c r="AE1286" s="337"/>
    </row>
    <row r="1287" spans="3:31" ht="15.9" customHeight="1" x14ac:dyDescent="0.3">
      <c r="C1287" s="292"/>
      <c r="D1287" s="311"/>
      <c r="E1287" s="279"/>
      <c r="F1287" s="279"/>
      <c r="G1287" s="279"/>
      <c r="H1287" s="279"/>
      <c r="I1287" s="279"/>
      <c r="J1287" s="312"/>
      <c r="K1287" s="293"/>
      <c r="M1287" s="313" t="s">
        <v>226</v>
      </c>
      <c r="N1287" s="718" t="str">
        <f>IFERROR(VLOOKUP(M1287,INSUMOS!$C$8:$K$934,2,0),"-----")</f>
        <v>Concreto de 3000 PSI (210 kg/cm2)</v>
      </c>
      <c r="O1287" s="718"/>
      <c r="P1287" s="718"/>
      <c r="Q1287" s="718"/>
      <c r="R1287" s="314" t="str">
        <f>IFERROR(VLOOKUP(M1287,INSUMOS!$C$8:$K$934,6,0),"-----")</f>
        <v>m3</v>
      </c>
      <c r="S1287" s="322">
        <v>1</v>
      </c>
      <c r="T1287" s="315">
        <v>0.03</v>
      </c>
      <c r="U1287" s="338">
        <f>IFERROR(VLOOKUP(M1287,INSUMOS!$C$8:$K$934,7,0),"0")</f>
        <v>780085</v>
      </c>
      <c r="V1287" s="316">
        <f>+IFERROR(U1287*(S1287*(1+T1287)),0)</f>
        <v>803487.55</v>
      </c>
      <c r="Y1287" s="321">
        <f>+IFERROR(Y1275*(S1287*(1+T1287)),0)</f>
        <v>0</v>
      </c>
      <c r="Z1287" s="318">
        <f>Y1275*V1287</f>
        <v>0</v>
      </c>
      <c r="AA1287" s="300"/>
      <c r="AB1287" s="301">
        <f>+Y1287*U1287</f>
        <v>0</v>
      </c>
      <c r="AC1287" s="302">
        <f>+AB1287-Z1287</f>
        <v>0</v>
      </c>
      <c r="AD1287" s="280"/>
      <c r="AE1287" s="337" t="str">
        <f t="shared" ref="AE1287:AE1289" si="172">+IF(V1287=0,"CERO","NO")</f>
        <v>NO</v>
      </c>
    </row>
    <row r="1288" spans="3:31" ht="15.9" customHeight="1" x14ac:dyDescent="0.3">
      <c r="C1288" s="292"/>
      <c r="D1288" s="311"/>
      <c r="E1288" s="279"/>
      <c r="F1288" s="279"/>
      <c r="G1288" s="279"/>
      <c r="H1288" s="279"/>
      <c r="I1288" s="279"/>
      <c r="J1288" s="312"/>
      <c r="K1288" s="293"/>
      <c r="M1288" s="313">
        <v>0</v>
      </c>
      <c r="N1288" s="718" t="str">
        <f>IFERROR(VLOOKUP(M1288,INSUMOS!$C$8:$K$934,2,0),"-----")</f>
        <v>-----</v>
      </c>
      <c r="O1288" s="718"/>
      <c r="P1288" s="718"/>
      <c r="Q1288" s="718"/>
      <c r="R1288" s="314" t="str">
        <f>IFERROR(VLOOKUP(M1288,INSUMOS!$C$8:$K$934,6,0),"-----")</f>
        <v>-----</v>
      </c>
      <c r="S1288" s="322"/>
      <c r="T1288" s="315">
        <v>0</v>
      </c>
      <c r="U1288" s="338" t="str">
        <f>IFERROR(VLOOKUP(M1288,INSUMOS!$C$8:$K$934,7,0),"0")</f>
        <v>0</v>
      </c>
      <c r="V1288" s="316">
        <f>+IFERROR(U1288*(S1288*(1+T1288)),0)</f>
        <v>0</v>
      </c>
      <c r="Y1288" s="321">
        <f>+IFERROR(Y1275*(S1288*(1+T1288)),0)</f>
        <v>0</v>
      </c>
      <c r="Z1288" s="318">
        <f>Y1275*V1288</f>
        <v>0</v>
      </c>
      <c r="AA1288" s="300"/>
      <c r="AB1288" s="301">
        <f t="shared" ref="AB1288:AB1289" si="173">+Y1288*U1288</f>
        <v>0</v>
      </c>
      <c r="AC1288" s="302">
        <f t="shared" ref="AC1288:AC1289" si="174">+AB1288-Z1288</f>
        <v>0</v>
      </c>
      <c r="AD1288" s="280"/>
      <c r="AE1288" s="337" t="str">
        <f t="shared" si="172"/>
        <v>CERO</v>
      </c>
    </row>
    <row r="1289" spans="3:31" ht="15.9" customHeight="1" thickBot="1" x14ac:dyDescent="0.35">
      <c r="C1289" s="292"/>
      <c r="D1289" s="311"/>
      <c r="E1289" s="279"/>
      <c r="F1289" s="279"/>
      <c r="G1289" s="279"/>
      <c r="H1289" s="279"/>
      <c r="I1289" s="279"/>
      <c r="J1289" s="312"/>
      <c r="K1289" s="293"/>
      <c r="M1289" s="313">
        <v>0</v>
      </c>
      <c r="N1289" s="718" t="str">
        <f>IFERROR(VLOOKUP(M1289,INSUMOS!$C$8:$K$934,2,0),"-----")</f>
        <v>-----</v>
      </c>
      <c r="O1289" s="718"/>
      <c r="P1289" s="718"/>
      <c r="Q1289" s="718"/>
      <c r="R1289" s="314" t="str">
        <f>IFERROR(VLOOKUP(M1289,INSUMOS!$C$8:$K$934,6,0),"-----")</f>
        <v>-----</v>
      </c>
      <c r="S1289" s="322"/>
      <c r="T1289" s="315">
        <v>0</v>
      </c>
      <c r="U1289" s="338" t="str">
        <f>IFERROR(VLOOKUP(M1289,INSUMOS!$C$8:$K$934,7,0),"0")</f>
        <v>0</v>
      </c>
      <c r="V1289" s="316">
        <f>+IFERROR(U1289*(S1289*(1+T1289)),0)</f>
        <v>0</v>
      </c>
      <c r="Y1289" s="321">
        <f>+IFERROR(Y1275*(S1289*(1+T1289)),0)</f>
        <v>0</v>
      </c>
      <c r="Z1289" s="318">
        <f>Y1275*V1289</f>
        <v>0</v>
      </c>
      <c r="AA1289" s="300"/>
      <c r="AB1289" s="301">
        <f t="shared" si="173"/>
        <v>0</v>
      </c>
      <c r="AC1289" s="302">
        <f t="shared" si="174"/>
        <v>0</v>
      </c>
      <c r="AD1289" s="280"/>
      <c r="AE1289" s="337" t="str">
        <f t="shared" si="172"/>
        <v>CERO</v>
      </c>
    </row>
    <row r="1290" spans="3:31" ht="15.9" customHeight="1" thickBot="1" x14ac:dyDescent="0.35">
      <c r="C1290" s="292"/>
      <c r="D1290" s="295" t="s">
        <v>132</v>
      </c>
      <c r="E1290" s="296" t="s">
        <v>133</v>
      </c>
      <c r="F1290" s="296" t="s">
        <v>134</v>
      </c>
      <c r="G1290" s="296" t="s">
        <v>135</v>
      </c>
      <c r="H1290" s="296" t="s">
        <v>136</v>
      </c>
      <c r="I1290" s="296" t="s">
        <v>137</v>
      </c>
      <c r="J1290" s="297" t="s">
        <v>138</v>
      </c>
      <c r="K1290" s="293"/>
      <c r="M1290" s="724"/>
      <c r="N1290" s="725" t="s">
        <v>109</v>
      </c>
      <c r="O1290" s="725"/>
      <c r="P1290" s="725"/>
      <c r="Q1290" s="725"/>
      <c r="R1290" s="725"/>
      <c r="S1290" s="725"/>
      <c r="T1290" s="725"/>
      <c r="U1290" s="725"/>
      <c r="V1290" s="316">
        <f>+SUM(V1287:V1289)</f>
        <v>803487.55</v>
      </c>
      <c r="Y1290" s="328" t="s">
        <v>139</v>
      </c>
      <c r="Z1290" s="329">
        <f>+SUM(Z1287:Z1289)</f>
        <v>0</v>
      </c>
      <c r="AA1290" s="279"/>
      <c r="AB1290" s="290"/>
      <c r="AC1290" s="291"/>
      <c r="AD1290" s="280"/>
      <c r="AE1290" s="330"/>
    </row>
    <row r="1291" spans="3:31" ht="15.9" customHeight="1" thickBot="1" x14ac:dyDescent="0.35">
      <c r="C1291" s="292"/>
      <c r="D1291" s="295"/>
      <c r="E1291" s="343" t="str">
        <f>+D1284</f>
        <v>3.5</v>
      </c>
      <c r="F1291" s="296"/>
      <c r="G1291" s="296"/>
      <c r="H1291" s="296"/>
      <c r="I1291" s="296"/>
      <c r="J1291" s="297"/>
      <c r="K1291" s="293"/>
      <c r="M1291" s="724"/>
      <c r="N1291" s="726" t="s">
        <v>110</v>
      </c>
      <c r="O1291" s="726"/>
      <c r="P1291" s="726"/>
      <c r="Q1291" s="726"/>
      <c r="R1291" s="726"/>
      <c r="S1291" s="726"/>
      <c r="T1291" s="726"/>
      <c r="U1291" s="726"/>
      <c r="V1291" s="344">
        <f>+ROUND(V1290,$AA$2)</f>
        <v>803488</v>
      </c>
      <c r="Y1291" s="332" t="s">
        <v>140</v>
      </c>
      <c r="Z1291" s="333">
        <f>+ROUND(Z1290,$AA$2)</f>
        <v>0</v>
      </c>
      <c r="AA1291" s="279"/>
      <c r="AB1291" s="324">
        <f>+V1291*Y1275</f>
        <v>0</v>
      </c>
      <c r="AC1291" s="325">
        <f>+AB1291-Z1291</f>
        <v>0</v>
      </c>
      <c r="AD1291" s="280"/>
      <c r="AE1291" s="334"/>
    </row>
    <row r="1292" spans="3:31" ht="15.9" customHeight="1" x14ac:dyDescent="0.3">
      <c r="C1292" s="292"/>
      <c r="D1292" s="304"/>
      <c r="E1292" s="305"/>
      <c r="F1292" s="305"/>
      <c r="G1292" s="305"/>
      <c r="H1292" s="305"/>
      <c r="I1292" s="305"/>
      <c r="J1292" s="306"/>
      <c r="K1292" s="293"/>
      <c r="M1292" s="733" t="s">
        <v>111</v>
      </c>
      <c r="N1292" s="733"/>
      <c r="O1292" s="733"/>
      <c r="P1292" s="733"/>
      <c r="Q1292" s="733"/>
      <c r="R1292" s="733"/>
      <c r="S1292" s="733"/>
      <c r="T1292" s="733"/>
      <c r="U1292" s="733"/>
      <c r="V1292" s="733"/>
      <c r="Y1292" s="298"/>
      <c r="Z1292" s="299"/>
      <c r="AA1292" s="279"/>
      <c r="AB1292" s="342"/>
      <c r="AC1292" s="299"/>
      <c r="AD1292" s="280"/>
      <c r="AE1292" s="335"/>
    </row>
    <row r="1293" spans="3:31" ht="27.6" x14ac:dyDescent="0.3">
      <c r="C1293" s="292"/>
      <c r="D1293" s="311"/>
      <c r="E1293" s="279"/>
      <c r="F1293" s="279"/>
      <c r="G1293" s="279"/>
      <c r="H1293" s="279"/>
      <c r="I1293" s="279"/>
      <c r="J1293" s="312"/>
      <c r="K1293" s="293"/>
      <c r="M1293" s="307" t="s">
        <v>97</v>
      </c>
      <c r="N1293" s="706" t="s">
        <v>98</v>
      </c>
      <c r="O1293" s="706"/>
      <c r="P1293" s="706"/>
      <c r="Q1293" s="307" t="s">
        <v>112</v>
      </c>
      <c r="R1293" s="307" t="s">
        <v>113</v>
      </c>
      <c r="S1293" s="307" t="s">
        <v>114</v>
      </c>
      <c r="T1293" s="734" t="s">
        <v>115</v>
      </c>
      <c r="U1293" s="734"/>
      <c r="V1293" s="307" t="s">
        <v>101</v>
      </c>
      <c r="Y1293" s="308" t="s">
        <v>107</v>
      </c>
      <c r="Z1293" s="309" t="s">
        <v>9</v>
      </c>
      <c r="AA1293" s="279"/>
      <c r="AB1293" s="290"/>
      <c r="AC1293" s="291"/>
      <c r="AD1293" s="280"/>
      <c r="AE1293" s="349"/>
    </row>
    <row r="1294" spans="3:31" ht="14.4" x14ac:dyDescent="0.3">
      <c r="C1294" s="350"/>
      <c r="D1294" s="351"/>
      <c r="E1294" s="345"/>
      <c r="F1294" s="345"/>
      <c r="G1294" s="345"/>
      <c r="H1294" s="345"/>
      <c r="I1294" s="345"/>
      <c r="J1294" s="352"/>
      <c r="K1294" s="353"/>
      <c r="M1294" s="354">
        <v>0</v>
      </c>
      <c r="N1294" s="718" t="str">
        <f>IFERROR(VLOOKUP(M1294,INSUMOS!$C$8:$K$934,2,0),"-----")</f>
        <v>-----</v>
      </c>
      <c r="O1294" s="718"/>
      <c r="P1294" s="718"/>
      <c r="Q1294" s="314" t="str">
        <f>IFERROR(VLOOKUP(M1294,INSUMOS!$C$8:$K$934,5,0),"-----")</f>
        <v>-----</v>
      </c>
      <c r="R1294" s="355"/>
      <c r="S1294" s="355" t="str">
        <f>IFERROR(VLOOKUP(M1294,INSUMOS!$C$8:$K$934,6,0),"0")</f>
        <v>0</v>
      </c>
      <c r="T1294" s="719" t="str">
        <f>IFERROR(VLOOKUP(M1294,INSUMOS!$C$8:$K$934,7,0),"0")</f>
        <v>0</v>
      </c>
      <c r="U1294" s="719"/>
      <c r="V1294" s="515">
        <f>+T1294*S1294*R1294</f>
        <v>0</v>
      </c>
      <c r="Y1294" s="321">
        <f>+IFERROR((R1294*S1294)*Y1275,0)</f>
        <v>0</v>
      </c>
      <c r="Z1294" s="318">
        <f>Y1275*V1294</f>
        <v>0</v>
      </c>
      <c r="AA1294" s="345"/>
      <c r="AB1294" s="346">
        <f>+Y1294*T1294</f>
        <v>0</v>
      </c>
      <c r="AC1294" s="347">
        <f>+AB1294-Z1294</f>
        <v>0</v>
      </c>
      <c r="AD1294" s="348"/>
      <c r="AE1294" s="337" t="str">
        <f t="shared" ref="AE1294:AE1297" si="175">+IF(V1294=0,"CERO","NO")</f>
        <v>CERO</v>
      </c>
    </row>
    <row r="1295" spans="3:31" ht="15.9" customHeight="1" x14ac:dyDescent="0.3">
      <c r="C1295" s="350"/>
      <c r="D1295" s="351"/>
      <c r="E1295" s="345"/>
      <c r="F1295" s="345"/>
      <c r="G1295" s="345"/>
      <c r="H1295" s="345"/>
      <c r="I1295" s="345"/>
      <c r="J1295" s="352"/>
      <c r="K1295" s="353"/>
      <c r="M1295" s="354">
        <v>0</v>
      </c>
      <c r="N1295" s="718" t="str">
        <f>IFERROR(VLOOKUP(M1295,INSUMOS!$C$8:$K$934,2,0),"-----")</f>
        <v>-----</v>
      </c>
      <c r="O1295" s="718"/>
      <c r="P1295" s="718"/>
      <c r="Q1295" s="314" t="str">
        <f>IFERROR(VLOOKUP(M1295,INSUMOS!$C$8:$K$934,5,0),"-----")</f>
        <v>-----</v>
      </c>
      <c r="R1295" s="355"/>
      <c r="S1295" s="355" t="str">
        <f>IFERROR(VLOOKUP(M1295,INSUMOS!$C$8:$K$934,6,0),"0")</f>
        <v>0</v>
      </c>
      <c r="T1295" s="719" t="str">
        <f>IFERROR(VLOOKUP(M1295,INSUMOS!$C$8:$K$934,7,0),"0")</f>
        <v>0</v>
      </c>
      <c r="U1295" s="719"/>
      <c r="V1295" s="515">
        <f>+T1295*S1295*R1295</f>
        <v>0</v>
      </c>
      <c r="Y1295" s="321">
        <f>+IFERROR((R1295*S1295)*Y1275,0)</f>
        <v>0</v>
      </c>
      <c r="Z1295" s="318">
        <f>Y1275*V1295</f>
        <v>0</v>
      </c>
      <c r="AA1295" s="345"/>
      <c r="AB1295" s="346">
        <f>+Y1295*T1295</f>
        <v>0</v>
      </c>
      <c r="AC1295" s="347">
        <f>+AB1295-Z1295</f>
        <v>0</v>
      </c>
      <c r="AD1295" s="348"/>
      <c r="AE1295" s="337" t="str">
        <f t="shared" si="175"/>
        <v>CERO</v>
      </c>
    </row>
    <row r="1296" spans="3:31" ht="15.9" customHeight="1" x14ac:dyDescent="0.3">
      <c r="C1296" s="350"/>
      <c r="D1296" s="351"/>
      <c r="E1296" s="345"/>
      <c r="F1296" s="345"/>
      <c r="G1296" s="345"/>
      <c r="H1296" s="345"/>
      <c r="I1296" s="345"/>
      <c r="J1296" s="352"/>
      <c r="K1296" s="353"/>
      <c r="M1296" s="354">
        <v>0</v>
      </c>
      <c r="N1296" s="718" t="str">
        <f>IFERROR(VLOOKUP(M1296,INSUMOS!$C$8:$K$934,2,0),"-----")</f>
        <v>-----</v>
      </c>
      <c r="O1296" s="718"/>
      <c r="P1296" s="718"/>
      <c r="Q1296" s="314" t="str">
        <f>IFERROR(VLOOKUP(M1296,INSUMOS!$C$8:$K$934,5,0),"-----")</f>
        <v>-----</v>
      </c>
      <c r="R1296" s="355"/>
      <c r="S1296" s="355" t="str">
        <f>IFERROR(VLOOKUP(M1296,INSUMOS!$C$8:$K$934,6,0),"0")</f>
        <v>0</v>
      </c>
      <c r="T1296" s="719" t="str">
        <f>IFERROR(VLOOKUP(M1296,INSUMOS!$C$8:$K$934,7,0),"0")</f>
        <v>0</v>
      </c>
      <c r="U1296" s="719"/>
      <c r="V1296" s="515">
        <f>+T1296*S1296*R1296</f>
        <v>0</v>
      </c>
      <c r="Y1296" s="321">
        <f>+IFERROR((R1296*S1296)*Y1275,0)</f>
        <v>0</v>
      </c>
      <c r="Z1296" s="318">
        <f>Y1275*V1296</f>
        <v>0</v>
      </c>
      <c r="AA1296" s="345"/>
      <c r="AB1296" s="346">
        <f t="shared" ref="AB1296" si="176">+Y1296*T1296</f>
        <v>0</v>
      </c>
      <c r="AC1296" s="347">
        <f t="shared" ref="AC1296" si="177">+AB1296-Z1296</f>
        <v>0</v>
      </c>
      <c r="AD1296" s="348"/>
      <c r="AE1296" s="337" t="str">
        <f t="shared" si="175"/>
        <v>CERO</v>
      </c>
    </row>
    <row r="1297" spans="3:31" ht="15.9" customHeight="1" thickBot="1" x14ac:dyDescent="0.35">
      <c r="C1297" s="350"/>
      <c r="D1297" s="360"/>
      <c r="E1297" s="361"/>
      <c r="F1297" s="361"/>
      <c r="G1297" s="361"/>
      <c r="H1297" s="361"/>
      <c r="I1297" s="361"/>
      <c r="J1297" s="362"/>
      <c r="K1297" s="353"/>
      <c r="M1297" s="354">
        <v>0</v>
      </c>
      <c r="N1297" s="718"/>
      <c r="O1297" s="718"/>
      <c r="P1297" s="718"/>
      <c r="Q1297" s="357"/>
      <c r="R1297" s="314"/>
      <c r="S1297" s="358"/>
      <c r="T1297" s="719"/>
      <c r="U1297" s="719"/>
      <c r="V1297" s="515"/>
      <c r="Y1297" s="321">
        <f>+IFERROR((R1297*S1297)*Y1275,0)</f>
        <v>0</v>
      </c>
      <c r="Z1297" s="318">
        <f>Y1275*V1297</f>
        <v>0</v>
      </c>
      <c r="AA1297" s="345"/>
      <c r="AB1297" s="346">
        <f>+Y1297*T1297</f>
        <v>0</v>
      </c>
      <c r="AC1297" s="347">
        <f>+AB1297-Z1297</f>
        <v>0</v>
      </c>
      <c r="AD1297" s="348"/>
      <c r="AE1297" s="337" t="str">
        <f t="shared" si="175"/>
        <v>CERO</v>
      </c>
    </row>
    <row r="1298" spans="3:31" ht="15.9" customHeight="1" thickBot="1" x14ac:dyDescent="0.35">
      <c r="C1298" s="292"/>
      <c r="D1298" s="295" t="s">
        <v>132</v>
      </c>
      <c r="E1298" s="296" t="s">
        <v>133</v>
      </c>
      <c r="F1298" s="296" t="s">
        <v>134</v>
      </c>
      <c r="G1298" s="296" t="s">
        <v>135</v>
      </c>
      <c r="H1298" s="296" t="s">
        <v>136</v>
      </c>
      <c r="I1298" s="296" t="s">
        <v>137</v>
      </c>
      <c r="J1298" s="297" t="s">
        <v>138</v>
      </c>
      <c r="K1298" s="293"/>
      <c r="M1298" s="720"/>
      <c r="N1298" s="721" t="s">
        <v>116</v>
      </c>
      <c r="O1298" s="721"/>
      <c r="P1298" s="721"/>
      <c r="Q1298" s="721"/>
      <c r="R1298" s="721"/>
      <c r="S1298" s="721"/>
      <c r="T1298" s="721"/>
      <c r="U1298" s="721"/>
      <c r="V1298" s="499">
        <f>+SUM(V1294:V1297)</f>
        <v>0</v>
      </c>
      <c r="Y1298" s="328" t="s">
        <v>139</v>
      </c>
      <c r="Z1298" s="329">
        <f>+SUM(Z1294:Z1297)</f>
        <v>0</v>
      </c>
      <c r="AA1298" s="279"/>
      <c r="AB1298" s="290"/>
      <c r="AC1298" s="291"/>
      <c r="AD1298" s="280"/>
      <c r="AE1298" s="330"/>
    </row>
    <row r="1299" spans="3:31" ht="15.9" customHeight="1" thickBot="1" x14ac:dyDescent="0.35">
      <c r="C1299" s="292"/>
      <c r="D1299" s="363"/>
      <c r="E1299" s="364"/>
      <c r="F1299" s="365" t="str">
        <f>+E1291</f>
        <v>3.5</v>
      </c>
      <c r="G1299" s="364"/>
      <c r="H1299" s="364"/>
      <c r="I1299" s="364"/>
      <c r="J1299" s="366"/>
      <c r="K1299" s="293"/>
      <c r="M1299" s="720"/>
      <c r="N1299" s="722" t="s">
        <v>117</v>
      </c>
      <c r="O1299" s="722"/>
      <c r="P1299" s="722"/>
      <c r="Q1299" s="722"/>
      <c r="R1299" s="722"/>
      <c r="S1299" s="722"/>
      <c r="T1299" s="722"/>
      <c r="U1299" s="722"/>
      <c r="V1299" s="344">
        <f>+ROUND(V1298,$AA$2)</f>
        <v>0</v>
      </c>
      <c r="Y1299" s="332" t="s">
        <v>140</v>
      </c>
      <c r="Z1299" s="333">
        <f>+ROUND(Z1298,$AA$2)</f>
        <v>0</v>
      </c>
      <c r="AA1299" s="279"/>
      <c r="AB1299" s="324">
        <f>+V1299*Y1275</f>
        <v>0</v>
      </c>
      <c r="AC1299" s="359"/>
      <c r="AD1299" s="280"/>
      <c r="AE1299" s="334"/>
    </row>
    <row r="1300" spans="3:31" ht="15.9" customHeight="1" thickBot="1" x14ac:dyDescent="0.35">
      <c r="C1300" s="292"/>
      <c r="D1300" s="369"/>
      <c r="E1300" s="370"/>
      <c r="F1300" s="370"/>
      <c r="G1300" s="370"/>
      <c r="H1300" s="370"/>
      <c r="I1300" s="370"/>
      <c r="J1300" s="371"/>
      <c r="K1300" s="293"/>
      <c r="M1300" s="723" t="s">
        <v>118</v>
      </c>
      <c r="N1300" s="723"/>
      <c r="O1300" s="723"/>
      <c r="P1300" s="723"/>
      <c r="Q1300" s="723"/>
      <c r="R1300" s="723"/>
      <c r="S1300" s="723"/>
      <c r="T1300" s="723"/>
      <c r="U1300" s="723"/>
      <c r="V1300" s="723"/>
      <c r="Y1300" s="298"/>
      <c r="Z1300" s="299"/>
      <c r="AA1300" s="279"/>
      <c r="AB1300" s="342"/>
      <c r="AC1300" s="299"/>
      <c r="AD1300" s="280"/>
      <c r="AE1300" s="335"/>
    </row>
    <row r="1301" spans="3:31" ht="15.9" customHeight="1" thickBot="1" x14ac:dyDescent="0.35">
      <c r="C1301" s="292"/>
      <c r="D1301" s="295" t="s">
        <v>132</v>
      </c>
      <c r="E1301" s="296" t="s">
        <v>133</v>
      </c>
      <c r="F1301" s="296" t="s">
        <v>134</v>
      </c>
      <c r="G1301" s="296" t="s">
        <v>135</v>
      </c>
      <c r="H1301" s="296" t="s">
        <v>136</v>
      </c>
      <c r="I1301" s="296" t="s">
        <v>137</v>
      </c>
      <c r="J1301" s="297" t="s">
        <v>138</v>
      </c>
      <c r="K1301" s="293"/>
      <c r="M1301" s="307" t="s">
        <v>97</v>
      </c>
      <c r="N1301" s="372" t="s">
        <v>98</v>
      </c>
      <c r="O1301" s="307" t="s">
        <v>99</v>
      </c>
      <c r="P1301" s="396" t="s">
        <v>107</v>
      </c>
      <c r="Q1301" s="307" t="s">
        <v>119</v>
      </c>
      <c r="R1301" s="373" t="s">
        <v>120</v>
      </c>
      <c r="S1301" s="307" t="s">
        <v>363</v>
      </c>
      <c r="T1301" s="374" t="s">
        <v>121</v>
      </c>
      <c r="U1301" s="375" t="s">
        <v>122</v>
      </c>
      <c r="V1301" s="307" t="s">
        <v>101</v>
      </c>
      <c r="Y1301" s="308" t="s">
        <v>107</v>
      </c>
      <c r="Z1301" s="309" t="s">
        <v>9</v>
      </c>
      <c r="AA1301" s="279"/>
      <c r="AB1301" s="290"/>
      <c r="AC1301" s="291"/>
      <c r="AD1301" s="280"/>
      <c r="AE1301" s="349"/>
    </row>
    <row r="1302" spans="3:31" ht="14.4" x14ac:dyDescent="0.3">
      <c r="C1302" s="292"/>
      <c r="D1302" s="376"/>
      <c r="E1302" s="377"/>
      <c r="F1302" s="377"/>
      <c r="G1302" s="377"/>
      <c r="H1302" s="377"/>
      <c r="I1302" s="377"/>
      <c r="J1302" s="378" t="str">
        <f>+F1299</f>
        <v>3.5</v>
      </c>
      <c r="K1302" s="293"/>
      <c r="M1302" s="313">
        <v>201</v>
      </c>
      <c r="N1302" s="379" t="str">
        <f>IFERROR(VLOOKUP(M1302,INSUMOS!$C$8:$K$934,2,0),"-----")</f>
        <v>Oficial Albañileria</v>
      </c>
      <c r="O1302" s="314" t="str">
        <f>IFERROR(VLOOKUP(M1302,INSUMOS!$C$8:$K$934,3,0),"-----")</f>
        <v>JORNAL+PS</v>
      </c>
      <c r="P1302" s="355">
        <v>1</v>
      </c>
      <c r="Q1302" s="339">
        <v>50</v>
      </c>
      <c r="R1302" s="380">
        <f>IFERROR(VLOOKUP(M1302,INSUMOS!$C$8:$K$934,4,0),"-----")</f>
        <v>114970</v>
      </c>
      <c r="S1302" s="380">
        <f>IFERROR(VLOOKUP(M1302,INSUMOS!$C$8:$K$934,6,0),"-----")</f>
        <v>91976</v>
      </c>
      <c r="T1302" s="380">
        <f>IFERROR(VLOOKUP(M1302,INSUMOS!$C$8:$K$934,5,0),"-----")</f>
        <v>0</v>
      </c>
      <c r="U1302" s="338">
        <f>SUM(R1302:T1302)</f>
        <v>206946</v>
      </c>
      <c r="V1302" s="316">
        <f>+IFERROR((P1302/Q1302)*U1302,0)</f>
        <v>4138.92</v>
      </c>
      <c r="Y1302" s="321">
        <f>+IFERROR((Y1275/Q1302*P1302),0)</f>
        <v>0</v>
      </c>
      <c r="Z1302" s="318">
        <f>Y1275*V1302</f>
        <v>0</v>
      </c>
      <c r="AA1302" s="279"/>
      <c r="AB1302" s="367">
        <f>+(U1302)*Y1302</f>
        <v>0</v>
      </c>
      <c r="AC1302" s="302">
        <f>+AB1302-Z1302</f>
        <v>0</v>
      </c>
      <c r="AD1302" s="368"/>
      <c r="AE1302" s="349" t="str">
        <f>+IF(V1302=0,"CERO","NO")</f>
        <v>NO</v>
      </c>
    </row>
    <row r="1303" spans="3:31" ht="15.9" customHeight="1" thickBot="1" x14ac:dyDescent="0.35">
      <c r="C1303" s="292"/>
      <c r="D1303" s="363"/>
      <c r="E1303" s="364"/>
      <c r="F1303" s="364"/>
      <c r="G1303" s="364"/>
      <c r="H1303" s="364"/>
      <c r="I1303" s="364"/>
      <c r="J1303" s="381" t="str">
        <f>+J1302</f>
        <v>3.5</v>
      </c>
      <c r="K1303" s="293"/>
      <c r="M1303" s="313">
        <v>202</v>
      </c>
      <c r="N1303" s="379" t="str">
        <f>IFERROR(VLOOKUP(M1303,INSUMOS!$C$8:$K$934,2,0),"-----")</f>
        <v>Ayudante Albañileria</v>
      </c>
      <c r="O1303" s="314" t="str">
        <f>IFERROR(VLOOKUP(M1303,INSUMOS!$C$8:$K$934,3,0),"-----")</f>
        <v>JORNAL+PS</v>
      </c>
      <c r="P1303" s="355">
        <v>5</v>
      </c>
      <c r="Q1303" s="339">
        <v>50</v>
      </c>
      <c r="R1303" s="380">
        <f>IFERROR(VLOOKUP(M1303,INSUMOS!$C$8:$K$934,4,0),"-----")</f>
        <v>94970</v>
      </c>
      <c r="S1303" s="380">
        <f>IFERROR(VLOOKUP(M1303,INSUMOS!$C$8:$K$934,6,0),"-----")</f>
        <v>75976</v>
      </c>
      <c r="T1303" s="380">
        <f>IFERROR(VLOOKUP(M1303,INSUMOS!$C$8:$K$934,5,0),"-----")</f>
        <v>0</v>
      </c>
      <c r="U1303" s="338">
        <f>SUM(R1303:T1303)</f>
        <v>170946</v>
      </c>
      <c r="V1303" s="316">
        <f>+IFERROR((P1303/Q1303)*U1303,0)</f>
        <v>17094.600000000002</v>
      </c>
      <c r="Y1303" s="321">
        <f>+IFERROR((Y1275/Q1303*P1303),0)</f>
        <v>0</v>
      </c>
      <c r="Z1303" s="318">
        <f>Y1275*V1303</f>
        <v>0</v>
      </c>
      <c r="AA1303" s="279"/>
      <c r="AB1303" s="367">
        <f>+U1303*Y1303</f>
        <v>0</v>
      </c>
      <c r="AC1303" s="302">
        <f>+AB1303-Z1303</f>
        <v>0</v>
      </c>
      <c r="AD1303" s="280"/>
      <c r="AE1303" s="349" t="str">
        <f t="shared" ref="AE1303:AE1304" si="178">+IF(V1303=0,"CERO","NO")</f>
        <v>NO</v>
      </c>
    </row>
    <row r="1304" spans="3:31" ht="15.9" customHeight="1" thickBot="1" x14ac:dyDescent="0.35">
      <c r="C1304" s="292"/>
      <c r="D1304" s="304"/>
      <c r="E1304" s="305"/>
      <c r="F1304" s="305"/>
      <c r="G1304" s="305"/>
      <c r="H1304" s="305"/>
      <c r="I1304" s="305"/>
      <c r="J1304" s="306"/>
      <c r="K1304" s="293"/>
      <c r="M1304" s="313">
        <v>0</v>
      </c>
      <c r="N1304" s="379"/>
      <c r="O1304" s="339"/>
      <c r="P1304" s="382"/>
      <c r="Q1304" s="319"/>
      <c r="R1304" s="383"/>
      <c r="S1304" s="384"/>
      <c r="T1304" s="383"/>
      <c r="U1304" s="338"/>
      <c r="V1304" s="323"/>
      <c r="Y1304" s="321">
        <f>+IFERROR((Y1275/Q1304*P1304),0)</f>
        <v>0</v>
      </c>
      <c r="Z1304" s="318">
        <f>Y1275*V1304</f>
        <v>0</v>
      </c>
      <c r="AA1304" s="279"/>
      <c r="AB1304" s="367">
        <f>+(U1304)*Y1304*P1304</f>
        <v>0</v>
      </c>
      <c r="AC1304" s="302">
        <f>+AB1304-Z1304</f>
        <v>0</v>
      </c>
      <c r="AD1304" s="280"/>
      <c r="AE1304" s="349" t="str">
        <f t="shared" si="178"/>
        <v>CERO</v>
      </c>
    </row>
    <row r="1305" spans="3:31" ht="15.9" customHeight="1" thickBot="1" x14ac:dyDescent="0.35">
      <c r="C1305" s="292"/>
      <c r="D1305" s="295" t="s">
        <v>132</v>
      </c>
      <c r="E1305" s="296" t="s">
        <v>133</v>
      </c>
      <c r="F1305" s="296" t="s">
        <v>134</v>
      </c>
      <c r="G1305" s="296" t="s">
        <v>135</v>
      </c>
      <c r="H1305" s="296" t="s">
        <v>136</v>
      </c>
      <c r="I1305" s="296" t="s">
        <v>137</v>
      </c>
      <c r="J1305" s="297" t="s">
        <v>138</v>
      </c>
      <c r="K1305" s="293"/>
      <c r="M1305" s="724"/>
      <c r="N1305" s="725" t="s">
        <v>123</v>
      </c>
      <c r="O1305" s="725"/>
      <c r="P1305" s="725"/>
      <c r="Q1305" s="725"/>
      <c r="R1305" s="725"/>
      <c r="S1305" s="725"/>
      <c r="T1305" s="725"/>
      <c r="U1305" s="725"/>
      <c r="V1305" s="316">
        <f>+SUM(V1302:V1304)</f>
        <v>21233.520000000004</v>
      </c>
      <c r="Y1305" s="328" t="s">
        <v>139</v>
      </c>
      <c r="Z1305" s="329">
        <f>+SUM(Z1302:Z1304)</f>
        <v>0</v>
      </c>
      <c r="AA1305" s="279"/>
      <c r="AB1305" s="290"/>
      <c r="AC1305" s="291"/>
      <c r="AD1305" s="280"/>
      <c r="AE1305" s="330"/>
    </row>
    <row r="1306" spans="3:31" ht="15.9" customHeight="1" thickBot="1" x14ac:dyDescent="0.35">
      <c r="C1306" s="292"/>
      <c r="D1306" s="376"/>
      <c r="E1306" s="377"/>
      <c r="F1306" s="377"/>
      <c r="G1306" s="386" t="str">
        <f>+F1299</f>
        <v>3.5</v>
      </c>
      <c r="H1306" s="377"/>
      <c r="I1306" s="377"/>
      <c r="J1306" s="387"/>
      <c r="K1306" s="293"/>
      <c r="M1306" s="724"/>
      <c r="N1306" s="726" t="s">
        <v>124</v>
      </c>
      <c r="O1306" s="726"/>
      <c r="P1306" s="726"/>
      <c r="Q1306" s="726"/>
      <c r="R1306" s="726"/>
      <c r="S1306" s="726"/>
      <c r="T1306" s="726"/>
      <c r="U1306" s="726"/>
      <c r="V1306" s="344">
        <f>+ROUND(V1305,$AA$2)</f>
        <v>21234</v>
      </c>
      <c r="Y1306" s="332" t="s">
        <v>140</v>
      </c>
      <c r="Z1306" s="333">
        <f>+ROUND(Z1305,$AA$2)</f>
        <v>0</v>
      </c>
      <c r="AA1306" s="279"/>
      <c r="AB1306" s="324">
        <f>+V1306*Y1275</f>
        <v>0</v>
      </c>
      <c r="AC1306" s="325">
        <f>+AB1306-Z1306</f>
        <v>0</v>
      </c>
      <c r="AD1306" s="280"/>
      <c r="AE1306" s="334"/>
    </row>
    <row r="1307" spans="3:31" ht="15.9" customHeight="1" thickBot="1" x14ac:dyDescent="0.35">
      <c r="C1307" s="292"/>
      <c r="D1307" s="295" t="s">
        <v>132</v>
      </c>
      <c r="E1307" s="296" t="s">
        <v>133</v>
      </c>
      <c r="F1307" s="296" t="s">
        <v>134</v>
      </c>
      <c r="G1307" s="296" t="s">
        <v>135</v>
      </c>
      <c r="H1307" s="296" t="s">
        <v>136</v>
      </c>
      <c r="I1307" s="296" t="s">
        <v>137</v>
      </c>
      <c r="J1307" s="297" t="s">
        <v>138</v>
      </c>
      <c r="K1307" s="293"/>
      <c r="M1307" s="727"/>
      <c r="N1307" s="727"/>
      <c r="O1307" s="727"/>
      <c r="P1307" s="727"/>
      <c r="Q1307" s="727"/>
      <c r="R1307" s="727"/>
      <c r="S1307" s="727"/>
      <c r="T1307" s="727"/>
      <c r="U1307" s="727"/>
      <c r="V1307" s="727"/>
      <c r="Y1307" s="298"/>
      <c r="Z1307" s="299"/>
      <c r="AA1307" s="279"/>
      <c r="AB1307" s="342"/>
      <c r="AC1307" s="299"/>
      <c r="AD1307" s="280"/>
      <c r="AE1307" s="388"/>
    </row>
    <row r="1308" spans="3:31" ht="15.9" customHeight="1" thickBot="1" x14ac:dyDescent="0.35">
      <c r="C1308" s="292"/>
      <c r="D1308" s="363"/>
      <c r="E1308" s="364"/>
      <c r="F1308" s="364"/>
      <c r="G1308" s="364"/>
      <c r="H1308" s="365" t="str">
        <f>G1306</f>
        <v>3.5</v>
      </c>
      <c r="I1308" s="365"/>
      <c r="J1308" s="381"/>
      <c r="K1308" s="293"/>
      <c r="M1308" s="726" t="s">
        <v>125</v>
      </c>
      <c r="N1308" s="726"/>
      <c r="O1308" s="726"/>
      <c r="P1308" s="726"/>
      <c r="Q1308" s="726"/>
      <c r="R1308" s="726"/>
      <c r="S1308" s="726"/>
      <c r="T1308" s="726"/>
      <c r="U1308" s="728">
        <f>+V1306+V1299+V1291+V1284</f>
        <v>825784</v>
      </c>
      <c r="V1308" s="728"/>
      <c r="Y1308" s="389"/>
      <c r="Z1308" s="390">
        <f>+Z1306+Z1299+Z1291+Z1284</f>
        <v>0</v>
      </c>
      <c r="AA1308" s="279"/>
      <c r="AB1308" s="385">
        <f>+AB1306+AB1299+AB1291+AB1284</f>
        <v>0</v>
      </c>
      <c r="AC1308" s="325">
        <f>+AB1308-Z1308</f>
        <v>0</v>
      </c>
      <c r="AD1308" s="280"/>
      <c r="AE1308" s="391"/>
    </row>
    <row r="1309" spans="3:31" ht="15.9" customHeight="1" thickBot="1" x14ac:dyDescent="0.3">
      <c r="M1309" s="412"/>
      <c r="N1309" s="412"/>
      <c r="O1309" s="412"/>
      <c r="P1309" s="412"/>
      <c r="Q1309" s="412"/>
      <c r="R1309" s="412"/>
      <c r="S1309" s="412"/>
      <c r="T1309" s="412"/>
      <c r="U1309" s="412"/>
      <c r="V1309" s="412"/>
    </row>
    <row r="1310" spans="3:31" ht="15.9" customHeight="1" x14ac:dyDescent="0.25">
      <c r="M1310" s="729" t="s">
        <v>364</v>
      </c>
      <c r="N1310" s="729"/>
      <c r="O1310" s="729"/>
      <c r="P1310" s="729"/>
      <c r="Q1310" s="729"/>
      <c r="R1310" s="729"/>
      <c r="S1310" s="729"/>
      <c r="T1310" s="729"/>
      <c r="U1310" s="729"/>
      <c r="V1310" s="729"/>
      <c r="Y1310" s="298"/>
      <c r="Z1310" s="299"/>
      <c r="AA1310" s="279"/>
      <c r="AB1310" s="280"/>
      <c r="AC1310" s="280"/>
      <c r="AD1310" s="280"/>
      <c r="AE1310" s="335" t="s">
        <v>137</v>
      </c>
    </row>
    <row r="1311" spans="3:31" ht="15.9" customHeight="1" x14ac:dyDescent="0.25">
      <c r="M1311" s="700" t="s">
        <v>142</v>
      </c>
      <c r="N1311" s="700"/>
      <c r="O1311" s="700"/>
      <c r="P1311" s="700"/>
      <c r="Q1311" s="700"/>
      <c r="R1311" s="700"/>
      <c r="S1311" s="700"/>
      <c r="T1311" s="413">
        <f>$AA$3</f>
        <v>0.25</v>
      </c>
      <c r="U1311" s="701">
        <f>+ROUND(U1308*T1311,$AA$2)</f>
        <v>206446</v>
      </c>
      <c r="V1311" s="701"/>
      <c r="Y1311" s="317"/>
      <c r="Z1311" s="414">
        <f>+Z1308*T1311</f>
        <v>0</v>
      </c>
      <c r="AA1311" s="279"/>
      <c r="AB1311" s="280"/>
      <c r="AC1311" s="280"/>
      <c r="AD1311" s="280"/>
      <c r="AE1311" s="310" t="s">
        <v>137</v>
      </c>
    </row>
    <row r="1312" spans="3:31" ht="15.9" customHeight="1" x14ac:dyDescent="0.25">
      <c r="M1312" s="700" t="s">
        <v>19</v>
      </c>
      <c r="N1312" s="700"/>
      <c r="O1312" s="700"/>
      <c r="P1312" s="700"/>
      <c r="Q1312" s="700"/>
      <c r="R1312" s="700"/>
      <c r="S1312" s="700"/>
      <c r="T1312" s="413">
        <f>$AA$4</f>
        <v>0.03</v>
      </c>
      <c r="U1312" s="701">
        <f>+ROUND(U1308*T1312,$AA$2)</f>
        <v>24774</v>
      </c>
      <c r="V1312" s="701"/>
      <c r="Y1312" s="317"/>
      <c r="Z1312" s="414">
        <f>+Z1308*T1312</f>
        <v>0</v>
      </c>
      <c r="AA1312" s="279"/>
      <c r="AB1312" s="280"/>
      <c r="AC1312" s="280"/>
      <c r="AD1312" s="280"/>
      <c r="AE1312" s="310" t="s">
        <v>137</v>
      </c>
    </row>
    <row r="1313" spans="3:31" ht="15.9" customHeight="1" x14ac:dyDescent="0.25">
      <c r="M1313" s="700" t="s">
        <v>20</v>
      </c>
      <c r="N1313" s="700"/>
      <c r="O1313" s="700"/>
      <c r="P1313" s="700"/>
      <c r="Q1313" s="700"/>
      <c r="R1313" s="700"/>
      <c r="S1313" s="700"/>
      <c r="T1313" s="413">
        <f>$AA$5</f>
        <v>0.05</v>
      </c>
      <c r="U1313" s="701">
        <f>+ROUND(U1308*T1313,$AA$2)</f>
        <v>41289</v>
      </c>
      <c r="V1313" s="701"/>
      <c r="Y1313" s="317"/>
      <c r="Z1313" s="414">
        <f>+Z1308*T1313</f>
        <v>0</v>
      </c>
      <c r="AA1313" s="279"/>
      <c r="AB1313" s="280"/>
      <c r="AC1313" s="280"/>
      <c r="AD1313" s="280"/>
      <c r="AE1313" s="310" t="s">
        <v>137</v>
      </c>
    </row>
    <row r="1314" spans="3:31" ht="15.9" customHeight="1" x14ac:dyDescent="0.25">
      <c r="M1314" s="700" t="s">
        <v>21</v>
      </c>
      <c r="N1314" s="700"/>
      <c r="O1314" s="700"/>
      <c r="P1314" s="700"/>
      <c r="Q1314" s="700"/>
      <c r="R1314" s="700"/>
      <c r="S1314" s="700"/>
      <c r="T1314" s="413">
        <f>$AA$6</f>
        <v>0</v>
      </c>
      <c r="U1314" s="701">
        <f>+ROUND(U1308*T1314,$AA$2)</f>
        <v>0</v>
      </c>
      <c r="V1314" s="701"/>
      <c r="Y1314" s="317"/>
      <c r="Z1314" s="414">
        <f>+Z1313*T1314</f>
        <v>0</v>
      </c>
      <c r="AA1314" s="279"/>
      <c r="AB1314" s="280"/>
      <c r="AC1314" s="280"/>
      <c r="AD1314" s="280"/>
      <c r="AE1314" s="310" t="s">
        <v>137</v>
      </c>
    </row>
    <row r="1315" spans="3:31" ht="15.9" customHeight="1" thickBot="1" x14ac:dyDescent="0.3">
      <c r="M1315" s="702" t="s">
        <v>365</v>
      </c>
      <c r="N1315" s="702"/>
      <c r="O1315" s="702"/>
      <c r="P1315" s="702"/>
      <c r="Q1315" s="702"/>
      <c r="R1315" s="702"/>
      <c r="S1315" s="702"/>
      <c r="T1315" s="702"/>
      <c r="U1315" s="703">
        <f>+SUM(U1311:V1314)</f>
        <v>272509</v>
      </c>
      <c r="V1315" s="703"/>
      <c r="Y1315" s="317"/>
      <c r="Z1315" s="415">
        <f>+SUM(Z1311:Z1314)</f>
        <v>0</v>
      </c>
      <c r="AA1315" s="279"/>
      <c r="AB1315" s="280"/>
      <c r="AC1315" s="280"/>
      <c r="AD1315" s="280"/>
      <c r="AE1315" s="310" t="s">
        <v>137</v>
      </c>
    </row>
    <row r="1316" spans="3:31" ht="15.9" customHeight="1" thickBot="1" x14ac:dyDescent="0.3">
      <c r="D1316" s="295" t="s">
        <v>132</v>
      </c>
      <c r="E1316" s="296" t="s">
        <v>133</v>
      </c>
      <c r="F1316" s="296" t="s">
        <v>134</v>
      </c>
      <c r="G1316" s="296" t="s">
        <v>135</v>
      </c>
      <c r="H1316" s="296" t="s">
        <v>136</v>
      </c>
      <c r="I1316" s="296" t="s">
        <v>137</v>
      </c>
      <c r="J1316" s="297" t="s">
        <v>138</v>
      </c>
      <c r="M1316" s="377"/>
      <c r="N1316" s="416"/>
      <c r="O1316" s="416"/>
      <c r="P1316" s="416"/>
      <c r="Q1316" s="377"/>
      <c r="R1316" s="377"/>
      <c r="S1316" s="377"/>
      <c r="T1316" s="417"/>
      <c r="U1316" s="701"/>
      <c r="V1316" s="701"/>
      <c r="Y1316" s="317"/>
      <c r="Z1316" s="291"/>
      <c r="AA1316" s="279"/>
      <c r="AB1316" s="280"/>
      <c r="AC1316" s="280"/>
      <c r="AD1316" s="280"/>
      <c r="AE1316" s="310" t="s">
        <v>137</v>
      </c>
    </row>
    <row r="1317" spans="3:31" ht="15.9" customHeight="1" thickBot="1" x14ac:dyDescent="0.3">
      <c r="D1317" s="363"/>
      <c r="E1317" s="364"/>
      <c r="F1317" s="364"/>
      <c r="G1317" s="364"/>
      <c r="H1317" s="365"/>
      <c r="I1317" s="365" t="str">
        <f>H1308</f>
        <v>3.5</v>
      </c>
      <c r="J1317" s="381"/>
      <c r="M1317" s="702" t="s">
        <v>11</v>
      </c>
      <c r="N1317" s="702"/>
      <c r="O1317" s="702"/>
      <c r="P1317" s="702"/>
      <c r="Q1317" s="702"/>
      <c r="R1317" s="702"/>
      <c r="S1317" s="702"/>
      <c r="T1317" s="702"/>
      <c r="U1317" s="704">
        <f>+U1315+U1308</f>
        <v>1098293</v>
      </c>
      <c r="V1317" s="704"/>
      <c r="Y1317" s="389"/>
      <c r="Z1317" s="418">
        <f>+Z1315+Z1308</f>
        <v>0</v>
      </c>
      <c r="AA1317" s="279"/>
      <c r="AB1317" s="280"/>
      <c r="AC1317" s="280"/>
      <c r="AD1317" s="280"/>
      <c r="AE1317" s="334" t="s">
        <v>137</v>
      </c>
    </row>
    <row r="1318" spans="3:31" ht="15.9" customHeight="1" x14ac:dyDescent="0.25">
      <c r="M1318" s="705"/>
      <c r="N1318" s="705"/>
      <c r="O1318" s="705"/>
      <c r="P1318" s="705"/>
      <c r="Q1318" s="705"/>
      <c r="R1318" s="706"/>
      <c r="S1318" s="706"/>
      <c r="T1318" s="706"/>
      <c r="U1318" s="706"/>
      <c r="V1318" s="706"/>
    </row>
    <row r="1319" spans="3:31" ht="15.9" customHeight="1" x14ac:dyDescent="0.25">
      <c r="M1319" s="705"/>
      <c r="N1319" s="705"/>
      <c r="O1319" s="705"/>
      <c r="P1319" s="705"/>
      <c r="Q1319" s="705"/>
      <c r="R1319" s="706"/>
      <c r="S1319" s="706"/>
      <c r="T1319" s="706"/>
      <c r="U1319" s="706"/>
      <c r="V1319" s="706"/>
    </row>
    <row r="1320" spans="3:31" ht="15.9" customHeight="1" x14ac:dyDescent="0.25">
      <c r="M1320" s="705"/>
      <c r="N1320" s="705"/>
      <c r="O1320" s="705"/>
      <c r="P1320" s="705"/>
      <c r="Q1320" s="705"/>
      <c r="R1320" s="706"/>
      <c r="S1320" s="706"/>
      <c r="T1320" s="706"/>
      <c r="U1320" s="706"/>
      <c r="V1320" s="706"/>
    </row>
    <row r="1321" spans="3:31" ht="15.9" customHeight="1" x14ac:dyDescent="0.25">
      <c r="M1321" s="705"/>
      <c r="N1321" s="705"/>
      <c r="O1321" s="705"/>
      <c r="P1321" s="705"/>
      <c r="Q1321" s="705"/>
      <c r="R1321" s="706"/>
      <c r="S1321" s="706"/>
      <c r="T1321" s="706"/>
      <c r="U1321" s="706"/>
      <c r="V1321" s="706"/>
    </row>
    <row r="1322" spans="3:31" ht="15.9" customHeight="1" x14ac:dyDescent="0.25">
      <c r="M1322" s="707" t="s">
        <v>128</v>
      </c>
      <c r="N1322" s="708" t="str">
        <f>$N$6</f>
        <v>ING. JEYSON JULIAN LEON RUEDA</v>
      </c>
      <c r="O1322" s="709"/>
      <c r="P1322" s="709"/>
      <c r="Q1322" s="710"/>
      <c r="R1322" s="711" t="s">
        <v>129</v>
      </c>
      <c r="S1322" s="708" t="str">
        <f>$S$6</f>
        <v>ARQ. YASMID ROCÍO CARRILLO MORA</v>
      </c>
      <c r="T1322" s="709"/>
      <c r="U1322" s="709"/>
      <c r="V1322" s="710"/>
    </row>
    <row r="1323" spans="3:31" ht="15.9" customHeight="1" x14ac:dyDescent="0.25">
      <c r="M1323" s="707"/>
      <c r="N1323" s="712" t="str">
        <f>$N$7</f>
        <v>MP. 68202-416348 STD</v>
      </c>
      <c r="O1323" s="713"/>
      <c r="P1323" s="713"/>
      <c r="Q1323" s="714"/>
      <c r="R1323" s="711"/>
      <c r="S1323" s="712" t="str">
        <f>$S$7</f>
        <v>SECRETARIA DE PLANEACIÓN Y OBRAS PÚBLICAS</v>
      </c>
      <c r="T1323" s="713"/>
      <c r="U1323" s="713"/>
      <c r="V1323" s="714"/>
    </row>
    <row r="1324" spans="3:31" ht="15.9" customHeight="1" x14ac:dyDescent="0.25">
      <c r="M1324" s="707"/>
      <c r="N1324" s="715"/>
      <c r="O1324" s="716"/>
      <c r="P1324" s="716"/>
      <c r="Q1324" s="717"/>
      <c r="R1324" s="711"/>
      <c r="S1324" s="712" t="str">
        <f>$S$8</f>
        <v>MUNICIPIO DE PINCHOTE</v>
      </c>
      <c r="T1324" s="713"/>
      <c r="U1324" s="713"/>
      <c r="V1324" s="714"/>
    </row>
    <row r="1325" spans="3:31" ht="15.9" customHeight="1" x14ac:dyDescent="0.25"/>
    <row r="1326" spans="3:31" ht="15.9" customHeight="1" thickBot="1" x14ac:dyDescent="0.3"/>
    <row r="1327" spans="3:31" ht="15.9" customHeight="1" thickBot="1" x14ac:dyDescent="0.3">
      <c r="M1327" s="281" t="s">
        <v>90</v>
      </c>
      <c r="N1327" s="410" t="s">
        <v>30</v>
      </c>
      <c r="O1327" s="741" t="str">
        <f>IFERROR(VLOOKUP(N1327,PPTO!$C$9:$H$64,2,0),"----")</f>
        <v>ESTRUCTURA VIAL EN PIEDRA LABOR</v>
      </c>
      <c r="P1327" s="742"/>
      <c r="Q1327" s="742"/>
      <c r="R1327" s="742"/>
      <c r="S1327" s="742"/>
      <c r="T1327" s="742"/>
      <c r="U1327" s="743"/>
      <c r="V1327" s="283" t="s">
        <v>93</v>
      </c>
      <c r="Y1327" s="284" t="s">
        <v>107</v>
      </c>
      <c r="Z1327" s="280"/>
      <c r="AA1327" s="274"/>
      <c r="AB1327" s="735"/>
      <c r="AC1327" s="735"/>
      <c r="AD1327" s="735"/>
      <c r="AE1327" s="280"/>
    </row>
    <row r="1328" spans="3:31" ht="15.9" customHeight="1" thickBot="1" x14ac:dyDescent="0.35">
      <c r="C1328" s="285" t="str">
        <f>+N1328</f>
        <v>3.6</v>
      </c>
      <c r="D1328" s="279"/>
      <c r="E1328" s="279"/>
      <c r="F1328" s="279"/>
      <c r="G1328" s="279"/>
      <c r="H1328" s="279"/>
      <c r="I1328" s="279"/>
      <c r="J1328" s="279"/>
      <c r="K1328" s="286"/>
      <c r="M1328" s="283" t="s">
        <v>94</v>
      </c>
      <c r="N1328" s="287" t="s">
        <v>67</v>
      </c>
      <c r="O1328" s="744" t="str">
        <f>IFERROR(VLOOKUP(N1328,PPTO!$C$9:$H$64,2,0),"----")</f>
        <v>----</v>
      </c>
      <c r="P1328" s="745"/>
      <c r="Q1328" s="745"/>
      <c r="R1328" s="745"/>
      <c r="S1328" s="745"/>
      <c r="T1328" s="745"/>
      <c r="U1328" s="746"/>
      <c r="V1328" s="288" t="str">
        <f>IFERROR(VLOOKUP(N1328,PPTO!$C$9:$H$64,3,0),"----")</f>
        <v>----</v>
      </c>
      <c r="Y1328" s="289">
        <f>SUMIFS(PPTO!$F$7:$F$63,PPTO!$C$7:$C$63,APUS!N1328)</f>
        <v>0</v>
      </c>
      <c r="Z1328" s="280"/>
      <c r="AA1328" s="279"/>
      <c r="AB1328" s="280"/>
      <c r="AC1328" s="280"/>
      <c r="AD1328" s="280"/>
      <c r="AE1328" s="280"/>
    </row>
    <row r="1329" spans="3:31" ht="15.9" customHeight="1" thickBot="1" x14ac:dyDescent="0.35">
      <c r="C1329" s="292"/>
      <c r="D1329" s="279"/>
      <c r="E1329" s="279"/>
      <c r="F1329" s="279"/>
      <c r="G1329" s="279"/>
      <c r="H1329" s="279"/>
      <c r="I1329" s="279"/>
      <c r="J1329" s="279"/>
      <c r="K1329" s="293"/>
      <c r="M1329" s="747"/>
      <c r="N1329" s="747"/>
      <c r="O1329" s="747"/>
      <c r="P1329" s="747"/>
      <c r="Q1329" s="747"/>
      <c r="R1329" s="747"/>
      <c r="S1329" s="747"/>
      <c r="T1329" s="747"/>
      <c r="U1329" s="747"/>
      <c r="V1329" s="747"/>
      <c r="Y1329" s="294"/>
      <c r="Z1329" s="280"/>
      <c r="AA1329" s="279"/>
      <c r="AB1329" s="280"/>
      <c r="AC1329" s="280"/>
      <c r="AD1329" s="280"/>
      <c r="AE1329" s="280"/>
    </row>
    <row r="1330" spans="3:31" ht="15.9" customHeight="1" thickBot="1" x14ac:dyDescent="0.35">
      <c r="C1330" s="292"/>
      <c r="D1330" s="295" t="s">
        <v>132</v>
      </c>
      <c r="E1330" s="296" t="s">
        <v>133</v>
      </c>
      <c r="F1330" s="296" t="s">
        <v>134</v>
      </c>
      <c r="G1330" s="296" t="s">
        <v>135</v>
      </c>
      <c r="H1330" s="296" t="s">
        <v>136</v>
      </c>
      <c r="I1330" s="296" t="s">
        <v>137</v>
      </c>
      <c r="J1330" s="297" t="s">
        <v>138</v>
      </c>
      <c r="K1330" s="293"/>
      <c r="M1330" s="748" t="s">
        <v>96</v>
      </c>
      <c r="N1330" s="749"/>
      <c r="O1330" s="749"/>
      <c r="P1330" s="749"/>
      <c r="Q1330" s="749"/>
      <c r="R1330" s="749"/>
      <c r="S1330" s="749"/>
      <c r="T1330" s="749"/>
      <c r="U1330" s="749"/>
      <c r="V1330" s="750"/>
      <c r="Y1330" s="298"/>
      <c r="Z1330" s="299"/>
      <c r="AA1330" s="279"/>
      <c r="AB1330" s="751"/>
      <c r="AC1330" s="752"/>
      <c r="AD1330" s="280"/>
      <c r="AE1330" s="303"/>
    </row>
    <row r="1331" spans="3:31" ht="15.9" customHeight="1" x14ac:dyDescent="0.3">
      <c r="C1331" s="292"/>
      <c r="D1331" s="304"/>
      <c r="E1331" s="305"/>
      <c r="F1331" s="305"/>
      <c r="G1331" s="305"/>
      <c r="H1331" s="305"/>
      <c r="I1331" s="305"/>
      <c r="J1331" s="306"/>
      <c r="K1331" s="293"/>
      <c r="M1331" s="307" t="s">
        <v>97</v>
      </c>
      <c r="N1331" s="741" t="s">
        <v>98</v>
      </c>
      <c r="O1331" s="742"/>
      <c r="P1331" s="742"/>
      <c r="Q1331" s="743"/>
      <c r="R1331" s="307" t="s">
        <v>99</v>
      </c>
      <c r="S1331" s="307" t="s">
        <v>100</v>
      </c>
      <c r="T1331" s="753" t="s">
        <v>8</v>
      </c>
      <c r="U1331" s="754"/>
      <c r="V1331" s="307" t="s">
        <v>101</v>
      </c>
      <c r="Y1331" s="308" t="s">
        <v>107</v>
      </c>
      <c r="Z1331" s="309" t="s">
        <v>9</v>
      </c>
      <c r="AA1331" s="279"/>
      <c r="AB1331" s="290"/>
      <c r="AC1331" s="291"/>
      <c r="AD1331" s="280"/>
      <c r="AE1331" s="310"/>
    </row>
    <row r="1332" spans="3:31" ht="15.9" customHeight="1" x14ac:dyDescent="0.3">
      <c r="C1332" s="292"/>
      <c r="D1332" s="311"/>
      <c r="E1332" s="279"/>
      <c r="F1332" s="279"/>
      <c r="G1332" s="279"/>
      <c r="H1332" s="279"/>
      <c r="I1332" s="279"/>
      <c r="J1332" s="312"/>
      <c r="K1332" s="293"/>
      <c r="M1332" s="313"/>
      <c r="N1332" s="755" t="s">
        <v>102</v>
      </c>
      <c r="O1332" s="756"/>
      <c r="P1332" s="756"/>
      <c r="Q1332" s="757"/>
      <c r="R1332" s="314" t="s">
        <v>103</v>
      </c>
      <c r="S1332" s="315">
        <f>$AA$9</f>
        <v>0.05</v>
      </c>
      <c r="T1332" s="758">
        <f>V1359</f>
        <v>27442</v>
      </c>
      <c r="U1332" s="759"/>
      <c r="V1332" s="316">
        <f>+IFERROR(T1332*S1332,0)</f>
        <v>1372.1000000000001</v>
      </c>
      <c r="Y1332" s="317"/>
      <c r="Z1332" s="318">
        <f>Y1328*V1332</f>
        <v>0</v>
      </c>
      <c r="AA1332" s="279"/>
      <c r="AB1332" s="290"/>
      <c r="AC1332" s="291"/>
      <c r="AD1332" s="280"/>
      <c r="AE1332" s="310" t="str">
        <f>+IF(V1332=0,"CERO","NO")</f>
        <v>NO</v>
      </c>
    </row>
    <row r="1333" spans="3:31" ht="15.9" customHeight="1" x14ac:dyDescent="0.3">
      <c r="C1333" s="292"/>
      <c r="D1333" s="311"/>
      <c r="E1333" s="279"/>
      <c r="F1333" s="279"/>
      <c r="G1333" s="279"/>
      <c r="H1333" s="279"/>
      <c r="I1333" s="279"/>
      <c r="J1333" s="312"/>
      <c r="K1333" s="293"/>
      <c r="M1333" s="319">
        <v>0</v>
      </c>
      <c r="N1333" s="755" t="str">
        <f>IFERROR(VLOOKUP(M1333,INSUMOS!$C$8:$K$934,2,0),"-----")</f>
        <v>-----</v>
      </c>
      <c r="O1333" s="756"/>
      <c r="P1333" s="756"/>
      <c r="Q1333" s="757"/>
      <c r="R1333" s="314" t="str">
        <f>IFERROR(VLOOKUP(M1333,INSUMOS!$C$8:$K$934,6,0),"-----")</f>
        <v>-----</v>
      </c>
      <c r="S1333" s="320"/>
      <c r="T1333" s="760" t="str">
        <f>IFERROR(VLOOKUP(M1333,INSUMOS!$C$8:$K$934,7,0),"0")</f>
        <v>0</v>
      </c>
      <c r="U1333" s="761"/>
      <c r="V1333" s="316">
        <f>+IFERROR(T1333*S1333,0)</f>
        <v>0</v>
      </c>
      <c r="Y1333" s="321">
        <f>+IFERROR(Y1328*S1333,0)</f>
        <v>0</v>
      </c>
      <c r="Z1333" s="318">
        <f>Y1328*V1333</f>
        <v>0</v>
      </c>
      <c r="AA1333" s="300"/>
      <c r="AB1333" s="301">
        <f>+Y1333*T1333</f>
        <v>0</v>
      </c>
      <c r="AC1333" s="302">
        <f>+AB1333-Z1333</f>
        <v>0</v>
      </c>
      <c r="AD1333" s="280"/>
      <c r="AE1333" s="310" t="str">
        <f>+IF(V1333=0,"CERO","NO")</f>
        <v>CERO</v>
      </c>
    </row>
    <row r="1334" spans="3:31" ht="15.9" customHeight="1" x14ac:dyDescent="0.3">
      <c r="C1334" s="292"/>
      <c r="D1334" s="311"/>
      <c r="E1334" s="279"/>
      <c r="F1334" s="279"/>
      <c r="G1334" s="279"/>
      <c r="H1334" s="279"/>
      <c r="I1334" s="279"/>
      <c r="J1334" s="312"/>
      <c r="K1334" s="293"/>
      <c r="M1334" s="313">
        <v>0</v>
      </c>
      <c r="N1334" s="755" t="str">
        <f>IFERROR(VLOOKUP(M1334,INSUMOS!$C$8:$K$934,2,0),"-----")</f>
        <v>-----</v>
      </c>
      <c r="O1334" s="756"/>
      <c r="P1334" s="756"/>
      <c r="Q1334" s="757"/>
      <c r="R1334" s="314" t="str">
        <f>IFERROR(VLOOKUP(M1334,INSUMOS!$C$8:$K$934,6,0),"-----")</f>
        <v>-----</v>
      </c>
      <c r="S1334" s="320"/>
      <c r="T1334" s="760" t="str">
        <f>IFERROR(VLOOKUP(M1334,INSUMOS!$C$8:$K$934,7,0),"0")</f>
        <v>0</v>
      </c>
      <c r="U1334" s="761"/>
      <c r="V1334" s="316">
        <f>+IFERROR(T1334*S1334,0)</f>
        <v>0</v>
      </c>
      <c r="Y1334" s="321">
        <f>+IFERROR(Y1328*S1334,0)</f>
        <v>0</v>
      </c>
      <c r="Z1334" s="318">
        <f>Y1328*V1334</f>
        <v>0</v>
      </c>
      <c r="AA1334" s="300"/>
      <c r="AB1334" s="301">
        <f>+Y1334*T1334</f>
        <v>0</v>
      </c>
      <c r="AC1334" s="302">
        <f>+AB1334-Z1334</f>
        <v>0</v>
      </c>
      <c r="AD1334" s="280"/>
      <c r="AE1334" s="310" t="str">
        <f>+IF(V1334=0,"CERO","NO")</f>
        <v>CERO</v>
      </c>
    </row>
    <row r="1335" spans="3:31" ht="15.9" customHeight="1" thickBot="1" x14ac:dyDescent="0.35">
      <c r="C1335" s="292"/>
      <c r="D1335" s="311"/>
      <c r="E1335" s="279"/>
      <c r="F1335" s="279"/>
      <c r="G1335" s="279"/>
      <c r="H1335" s="279"/>
      <c r="I1335" s="279"/>
      <c r="J1335" s="312"/>
      <c r="K1335" s="293"/>
      <c r="M1335" s="313">
        <v>0</v>
      </c>
      <c r="N1335" s="762"/>
      <c r="O1335" s="747"/>
      <c r="P1335" s="747"/>
      <c r="Q1335" s="763"/>
      <c r="R1335" s="326"/>
      <c r="S1335" s="326"/>
      <c r="T1335" s="764"/>
      <c r="U1335" s="765"/>
      <c r="V1335" s="327"/>
      <c r="Y1335" s="321">
        <f>+IFERROR(Y1328*S1335,0)</f>
        <v>0</v>
      </c>
      <c r="Z1335" s="318">
        <f>Y1328*V1335</f>
        <v>0</v>
      </c>
      <c r="AA1335" s="300"/>
      <c r="AB1335" s="301">
        <f>+Y1335*T1335</f>
        <v>0</v>
      </c>
      <c r="AC1335" s="302">
        <f>+AB1335-Z1335</f>
        <v>0</v>
      </c>
      <c r="AD1335" s="280"/>
      <c r="AE1335" s="310" t="str">
        <f>+IF(V1335=0,"CERO","NO")</f>
        <v>CERO</v>
      </c>
    </row>
    <row r="1336" spans="3:31" ht="15.9" customHeight="1" thickBot="1" x14ac:dyDescent="0.35">
      <c r="C1336" s="292"/>
      <c r="D1336" s="295" t="s">
        <v>132</v>
      </c>
      <c r="E1336" s="296" t="s">
        <v>133</v>
      </c>
      <c r="F1336" s="296" t="s">
        <v>134</v>
      </c>
      <c r="G1336" s="296" t="s">
        <v>135</v>
      </c>
      <c r="H1336" s="296" t="s">
        <v>136</v>
      </c>
      <c r="I1336" s="296" t="s">
        <v>137</v>
      </c>
      <c r="J1336" s="297" t="s">
        <v>138</v>
      </c>
      <c r="K1336" s="293"/>
      <c r="M1336" s="724"/>
      <c r="N1336" s="725" t="s">
        <v>104</v>
      </c>
      <c r="O1336" s="725"/>
      <c r="P1336" s="725"/>
      <c r="Q1336" s="725"/>
      <c r="R1336" s="725"/>
      <c r="S1336" s="725"/>
      <c r="T1336" s="725"/>
      <c r="U1336" s="725"/>
      <c r="V1336" s="316">
        <f>+SUM(V1332:V1335)</f>
        <v>1372.1000000000001</v>
      </c>
      <c r="Y1336" s="328" t="s">
        <v>139</v>
      </c>
      <c r="Z1336" s="329">
        <f>+SUM(Z1332:Z1335)</f>
        <v>0</v>
      </c>
      <c r="AA1336" s="279"/>
      <c r="AB1336" s="290"/>
      <c r="AC1336" s="291"/>
      <c r="AD1336" s="280"/>
      <c r="AE1336" s="330"/>
    </row>
    <row r="1337" spans="3:31" ht="15.9" customHeight="1" thickBot="1" x14ac:dyDescent="0.35">
      <c r="C1337" s="292"/>
      <c r="D1337" s="295" t="str">
        <f>C1328</f>
        <v>3.6</v>
      </c>
      <c r="E1337" s="296"/>
      <c r="F1337" s="296"/>
      <c r="G1337" s="296"/>
      <c r="H1337" s="296"/>
      <c r="I1337" s="296"/>
      <c r="J1337" s="297"/>
      <c r="K1337" s="293"/>
      <c r="M1337" s="724"/>
      <c r="N1337" s="726" t="s">
        <v>105</v>
      </c>
      <c r="O1337" s="726"/>
      <c r="P1337" s="726"/>
      <c r="Q1337" s="726"/>
      <c r="R1337" s="726"/>
      <c r="S1337" s="726"/>
      <c r="T1337" s="726"/>
      <c r="U1337" s="726"/>
      <c r="V1337" s="344">
        <f>+ROUND(V1336,$AA$2)</f>
        <v>1372</v>
      </c>
      <c r="Y1337" s="332" t="s">
        <v>140</v>
      </c>
      <c r="Z1337" s="333">
        <f>+ROUND(Z1336,$AA$2)</f>
        <v>0</v>
      </c>
      <c r="AA1337" s="279"/>
      <c r="AB1337" s="324">
        <f>+V1337*Y1328</f>
        <v>0</v>
      </c>
      <c r="AC1337" s="325">
        <f>+AB1337-Z1337</f>
        <v>0</v>
      </c>
      <c r="AD1337" s="280"/>
      <c r="AE1337" s="334"/>
    </row>
    <row r="1338" spans="3:31" ht="15.9" customHeight="1" x14ac:dyDescent="0.3">
      <c r="C1338" s="292"/>
      <c r="D1338" s="304"/>
      <c r="E1338" s="305"/>
      <c r="F1338" s="305"/>
      <c r="G1338" s="305"/>
      <c r="H1338" s="305"/>
      <c r="I1338" s="305"/>
      <c r="J1338" s="306"/>
      <c r="K1338" s="293"/>
      <c r="M1338" s="730" t="s">
        <v>106</v>
      </c>
      <c r="N1338" s="730"/>
      <c r="O1338" s="730"/>
      <c r="P1338" s="730"/>
      <c r="Q1338" s="730"/>
      <c r="R1338" s="730"/>
      <c r="S1338" s="730"/>
      <c r="T1338" s="730"/>
      <c r="U1338" s="730"/>
      <c r="V1338" s="730"/>
      <c r="Y1338" s="298"/>
      <c r="Z1338" s="299"/>
      <c r="AA1338" s="279"/>
      <c r="AB1338" s="731"/>
      <c r="AC1338" s="732"/>
      <c r="AD1338" s="280"/>
      <c r="AE1338" s="335"/>
    </row>
    <row r="1339" spans="3:31" ht="15.9" customHeight="1" x14ac:dyDescent="0.3">
      <c r="C1339" s="292"/>
      <c r="D1339" s="311"/>
      <c r="E1339" s="279"/>
      <c r="F1339" s="279"/>
      <c r="G1339" s="279"/>
      <c r="H1339" s="279"/>
      <c r="I1339" s="279"/>
      <c r="J1339" s="312"/>
      <c r="K1339" s="293"/>
      <c r="M1339" s="307" t="s">
        <v>97</v>
      </c>
      <c r="N1339" s="706" t="s">
        <v>98</v>
      </c>
      <c r="O1339" s="706"/>
      <c r="P1339" s="706"/>
      <c r="Q1339" s="706"/>
      <c r="R1339" s="307" t="s">
        <v>99</v>
      </c>
      <c r="S1339" s="307" t="s">
        <v>107</v>
      </c>
      <c r="T1339" s="336" t="s">
        <v>108</v>
      </c>
      <c r="U1339" s="336" t="s">
        <v>8</v>
      </c>
      <c r="V1339" s="307" t="s">
        <v>101</v>
      </c>
      <c r="Y1339" s="308" t="s">
        <v>107</v>
      </c>
      <c r="Z1339" s="309" t="s">
        <v>9</v>
      </c>
      <c r="AA1339" s="279"/>
      <c r="AB1339" s="290"/>
      <c r="AC1339" s="291"/>
      <c r="AD1339" s="280"/>
      <c r="AE1339" s="337"/>
    </row>
    <row r="1340" spans="3:31" ht="15.9" customHeight="1" x14ac:dyDescent="0.3">
      <c r="C1340" s="292"/>
      <c r="D1340" s="311"/>
      <c r="E1340" s="279"/>
      <c r="F1340" s="279"/>
      <c r="G1340" s="279"/>
      <c r="H1340" s="279"/>
      <c r="I1340" s="279"/>
      <c r="J1340" s="312"/>
      <c r="K1340" s="293"/>
      <c r="M1340" s="313">
        <v>0</v>
      </c>
      <c r="N1340" s="718" t="str">
        <f>IFERROR(VLOOKUP(M1340,INSUMOS!$C$8:$K$934,2,0),"-----")</f>
        <v>-----</v>
      </c>
      <c r="O1340" s="718"/>
      <c r="P1340" s="718"/>
      <c r="Q1340" s="718"/>
      <c r="R1340" s="314" t="str">
        <f>IFERROR(VLOOKUP(M1340,INSUMOS!$C$8:$K$934,6,0),"-----")</f>
        <v>-----</v>
      </c>
      <c r="S1340" s="322"/>
      <c r="T1340" s="315">
        <v>0</v>
      </c>
      <c r="U1340" s="338" t="str">
        <f>IFERROR(VLOOKUP(M1340,INSUMOS!$C$8:$K$934,7,0),"0")</f>
        <v>0</v>
      </c>
      <c r="V1340" s="316">
        <f>+IFERROR(U1340*(S1340*(1+T1340)),0)</f>
        <v>0</v>
      </c>
      <c r="Y1340" s="321">
        <f>+IFERROR(Y1328*(S1340*(1+T1340)),0)</f>
        <v>0</v>
      </c>
      <c r="Z1340" s="318">
        <f>Y1328*V1340</f>
        <v>0</v>
      </c>
      <c r="AA1340" s="300"/>
      <c r="AB1340" s="301">
        <f>+Y1340*U1340</f>
        <v>0</v>
      </c>
      <c r="AC1340" s="302">
        <f>+AB1340-Z1340</f>
        <v>0</v>
      </c>
      <c r="AD1340" s="280"/>
      <c r="AE1340" s="337" t="str">
        <f t="shared" ref="AE1340:AE1342" si="179">+IF(V1340=0,"CERO","NO")</f>
        <v>CERO</v>
      </c>
    </row>
    <row r="1341" spans="3:31" ht="15.9" customHeight="1" x14ac:dyDescent="0.3">
      <c r="C1341" s="292"/>
      <c r="D1341" s="311"/>
      <c r="E1341" s="279"/>
      <c r="F1341" s="279"/>
      <c r="G1341" s="279"/>
      <c r="H1341" s="279"/>
      <c r="I1341" s="279"/>
      <c r="J1341" s="312"/>
      <c r="K1341" s="293"/>
      <c r="M1341" s="313">
        <v>0</v>
      </c>
      <c r="N1341" s="718" t="str">
        <f>IFERROR(VLOOKUP(M1341,INSUMOS!$C$8:$K$934,2,0),"-----")</f>
        <v>-----</v>
      </c>
      <c r="O1341" s="718"/>
      <c r="P1341" s="718"/>
      <c r="Q1341" s="718"/>
      <c r="R1341" s="314" t="str">
        <f>IFERROR(VLOOKUP(M1341,INSUMOS!$C$8:$K$934,6,0),"-----")</f>
        <v>-----</v>
      </c>
      <c r="S1341" s="322"/>
      <c r="T1341" s="315">
        <v>0</v>
      </c>
      <c r="U1341" s="338" t="str">
        <f>IFERROR(VLOOKUP(M1341,INSUMOS!$C$8:$K$934,7,0),"0")</f>
        <v>0</v>
      </c>
      <c r="V1341" s="316">
        <f>+IFERROR(U1341*(S1341*(1+T1341)),0)</f>
        <v>0</v>
      </c>
      <c r="Y1341" s="321">
        <f>+IFERROR(Y1328*(S1341*(1+T1341)),0)</f>
        <v>0</v>
      </c>
      <c r="Z1341" s="318">
        <f>Y1328*V1341</f>
        <v>0</v>
      </c>
      <c r="AA1341" s="300"/>
      <c r="AB1341" s="301">
        <f t="shared" ref="AB1341:AB1342" si="180">+Y1341*U1341</f>
        <v>0</v>
      </c>
      <c r="AC1341" s="302">
        <f t="shared" ref="AC1341:AC1342" si="181">+AB1341-Z1341</f>
        <v>0</v>
      </c>
      <c r="AD1341" s="280"/>
      <c r="AE1341" s="337" t="str">
        <f t="shared" si="179"/>
        <v>CERO</v>
      </c>
    </row>
    <row r="1342" spans="3:31" ht="15.9" customHeight="1" thickBot="1" x14ac:dyDescent="0.35">
      <c r="C1342" s="292"/>
      <c r="D1342" s="311"/>
      <c r="E1342" s="279"/>
      <c r="F1342" s="279"/>
      <c r="G1342" s="279"/>
      <c r="H1342" s="279"/>
      <c r="I1342" s="279"/>
      <c r="J1342" s="312"/>
      <c r="K1342" s="293"/>
      <c r="M1342" s="313">
        <v>0</v>
      </c>
      <c r="N1342" s="718" t="str">
        <f>IFERROR(VLOOKUP(M1342,INSUMOS!$C$8:$K$934,2,0),"-----")</f>
        <v>-----</v>
      </c>
      <c r="O1342" s="718"/>
      <c r="P1342" s="718"/>
      <c r="Q1342" s="718"/>
      <c r="R1342" s="314" t="str">
        <f>IFERROR(VLOOKUP(M1342,INSUMOS!$C$8:$K$934,6,0),"-----")</f>
        <v>-----</v>
      </c>
      <c r="S1342" s="322"/>
      <c r="T1342" s="315">
        <v>0</v>
      </c>
      <c r="U1342" s="338" t="str">
        <f>IFERROR(VLOOKUP(M1342,INSUMOS!$C$8:$K$934,7,0),"0")</f>
        <v>0</v>
      </c>
      <c r="V1342" s="316">
        <f>+IFERROR(U1342*(S1342*(1+T1342)),0)</f>
        <v>0</v>
      </c>
      <c r="Y1342" s="321">
        <f>+IFERROR(Y1328*(S1342*(1+T1342)),0)</f>
        <v>0</v>
      </c>
      <c r="Z1342" s="318">
        <f>Y1328*V1342</f>
        <v>0</v>
      </c>
      <c r="AA1342" s="300"/>
      <c r="AB1342" s="301">
        <f t="shared" si="180"/>
        <v>0</v>
      </c>
      <c r="AC1342" s="302">
        <f t="shared" si="181"/>
        <v>0</v>
      </c>
      <c r="AD1342" s="280"/>
      <c r="AE1342" s="337" t="str">
        <f t="shared" si="179"/>
        <v>CERO</v>
      </c>
    </row>
    <row r="1343" spans="3:31" ht="15.9" customHeight="1" thickBot="1" x14ac:dyDescent="0.35">
      <c r="C1343" s="292"/>
      <c r="D1343" s="295" t="s">
        <v>132</v>
      </c>
      <c r="E1343" s="296" t="s">
        <v>133</v>
      </c>
      <c r="F1343" s="296" t="s">
        <v>134</v>
      </c>
      <c r="G1343" s="296" t="s">
        <v>135</v>
      </c>
      <c r="H1343" s="296" t="s">
        <v>136</v>
      </c>
      <c r="I1343" s="296" t="s">
        <v>137</v>
      </c>
      <c r="J1343" s="297" t="s">
        <v>138</v>
      </c>
      <c r="K1343" s="293"/>
      <c r="M1343" s="724"/>
      <c r="N1343" s="725" t="s">
        <v>109</v>
      </c>
      <c r="O1343" s="725"/>
      <c r="P1343" s="725"/>
      <c r="Q1343" s="725"/>
      <c r="R1343" s="725"/>
      <c r="S1343" s="725"/>
      <c r="T1343" s="725"/>
      <c r="U1343" s="725"/>
      <c r="V1343" s="316">
        <f>+SUM(V1340:V1342)</f>
        <v>0</v>
      </c>
      <c r="Y1343" s="328" t="s">
        <v>139</v>
      </c>
      <c r="Z1343" s="329">
        <f>+SUM(Z1340:Z1342)</f>
        <v>0</v>
      </c>
      <c r="AA1343" s="279"/>
      <c r="AB1343" s="290"/>
      <c r="AC1343" s="291"/>
      <c r="AD1343" s="280"/>
      <c r="AE1343" s="330"/>
    </row>
    <row r="1344" spans="3:31" ht="15.9" customHeight="1" thickBot="1" x14ac:dyDescent="0.35">
      <c r="C1344" s="292"/>
      <c r="D1344" s="295"/>
      <c r="E1344" s="343" t="str">
        <f>+D1337</f>
        <v>3.6</v>
      </c>
      <c r="F1344" s="296"/>
      <c r="G1344" s="296"/>
      <c r="H1344" s="296"/>
      <c r="I1344" s="296"/>
      <c r="J1344" s="297"/>
      <c r="K1344" s="293"/>
      <c r="M1344" s="724"/>
      <c r="N1344" s="726" t="s">
        <v>110</v>
      </c>
      <c r="O1344" s="726"/>
      <c r="P1344" s="726"/>
      <c r="Q1344" s="726"/>
      <c r="R1344" s="726"/>
      <c r="S1344" s="726"/>
      <c r="T1344" s="726"/>
      <c r="U1344" s="726"/>
      <c r="V1344" s="344">
        <f>+ROUND(V1343,$AA$2)</f>
        <v>0</v>
      </c>
      <c r="Y1344" s="332" t="s">
        <v>140</v>
      </c>
      <c r="Z1344" s="333">
        <f>+ROUND(Z1343,$AA$2)</f>
        <v>0</v>
      </c>
      <c r="AA1344" s="279"/>
      <c r="AB1344" s="324">
        <f>+V1344*Y1328</f>
        <v>0</v>
      </c>
      <c r="AC1344" s="325">
        <f>+AB1344-Z1344</f>
        <v>0</v>
      </c>
      <c r="AD1344" s="280"/>
      <c r="AE1344" s="334"/>
    </row>
    <row r="1345" spans="3:31" ht="15.9" customHeight="1" x14ac:dyDescent="0.3">
      <c r="C1345" s="292"/>
      <c r="D1345" s="304"/>
      <c r="E1345" s="305"/>
      <c r="F1345" s="305"/>
      <c r="G1345" s="305"/>
      <c r="H1345" s="305"/>
      <c r="I1345" s="305"/>
      <c r="J1345" s="306"/>
      <c r="K1345" s="293"/>
      <c r="M1345" s="733" t="s">
        <v>111</v>
      </c>
      <c r="N1345" s="733"/>
      <c r="O1345" s="733"/>
      <c r="P1345" s="733"/>
      <c r="Q1345" s="733"/>
      <c r="R1345" s="733"/>
      <c r="S1345" s="733"/>
      <c r="T1345" s="733"/>
      <c r="U1345" s="733"/>
      <c r="V1345" s="733"/>
      <c r="Y1345" s="298"/>
      <c r="Z1345" s="299"/>
      <c r="AA1345" s="279"/>
      <c r="AB1345" s="342"/>
      <c r="AC1345" s="299"/>
      <c r="AD1345" s="280"/>
      <c r="AE1345" s="335"/>
    </row>
    <row r="1346" spans="3:31" ht="27.6" x14ac:dyDescent="0.3">
      <c r="C1346" s="292"/>
      <c r="D1346" s="311"/>
      <c r="E1346" s="279"/>
      <c r="F1346" s="279"/>
      <c r="G1346" s="279"/>
      <c r="H1346" s="279"/>
      <c r="I1346" s="279"/>
      <c r="J1346" s="312"/>
      <c r="K1346" s="293"/>
      <c r="M1346" s="307" t="s">
        <v>97</v>
      </c>
      <c r="N1346" s="706" t="s">
        <v>98</v>
      </c>
      <c r="O1346" s="706"/>
      <c r="P1346" s="706"/>
      <c r="Q1346" s="307" t="s">
        <v>112</v>
      </c>
      <c r="R1346" s="307" t="s">
        <v>113</v>
      </c>
      <c r="S1346" s="307" t="s">
        <v>114</v>
      </c>
      <c r="T1346" s="734" t="s">
        <v>115</v>
      </c>
      <c r="U1346" s="734"/>
      <c r="V1346" s="307" t="s">
        <v>101</v>
      </c>
      <c r="Y1346" s="308" t="s">
        <v>107</v>
      </c>
      <c r="Z1346" s="309" t="s">
        <v>9</v>
      </c>
      <c r="AA1346" s="279"/>
      <c r="AB1346" s="290"/>
      <c r="AC1346" s="291"/>
      <c r="AD1346" s="280"/>
      <c r="AE1346" s="349"/>
    </row>
    <row r="1347" spans="3:31" ht="14.4" x14ac:dyDescent="0.3">
      <c r="C1347" s="350"/>
      <c r="D1347" s="351"/>
      <c r="E1347" s="345"/>
      <c r="F1347" s="345"/>
      <c r="G1347" s="345"/>
      <c r="H1347" s="345"/>
      <c r="I1347" s="345"/>
      <c r="J1347" s="352"/>
      <c r="K1347" s="353"/>
      <c r="M1347" s="354">
        <v>0</v>
      </c>
      <c r="N1347" s="718" t="str">
        <f>IFERROR(VLOOKUP(M1347,INSUMOS!$C$8:$K$934,2,0),"-----")</f>
        <v>-----</v>
      </c>
      <c r="O1347" s="718"/>
      <c r="P1347" s="718"/>
      <c r="Q1347" s="314" t="str">
        <f>IFERROR(VLOOKUP(M1347,INSUMOS!$C$8:$K$934,5,0),"-----")</f>
        <v>-----</v>
      </c>
      <c r="R1347" s="355"/>
      <c r="S1347" s="355" t="str">
        <f>IFERROR(VLOOKUP(M1347,INSUMOS!$C$8:$K$934,6,0),"0")</f>
        <v>0</v>
      </c>
      <c r="T1347" s="719" t="str">
        <f>IFERROR(VLOOKUP(M1347,INSUMOS!$C$8:$K$934,7,0),"0")</f>
        <v>0</v>
      </c>
      <c r="U1347" s="719"/>
      <c r="V1347" s="515">
        <f>+T1347*S1347*R1347</f>
        <v>0</v>
      </c>
      <c r="Y1347" s="321">
        <f>+IFERROR((R1347*S1347)*Y1328,0)</f>
        <v>0</v>
      </c>
      <c r="Z1347" s="318">
        <f>Y1328*V1347</f>
        <v>0</v>
      </c>
      <c r="AA1347" s="345"/>
      <c r="AB1347" s="346">
        <f>+Y1347*T1347</f>
        <v>0</v>
      </c>
      <c r="AC1347" s="347">
        <f>+AB1347-Z1347</f>
        <v>0</v>
      </c>
      <c r="AD1347" s="348"/>
      <c r="AE1347" s="337" t="str">
        <f t="shared" ref="AE1347:AE1350" si="182">+IF(V1347=0,"CERO","NO")</f>
        <v>CERO</v>
      </c>
    </row>
    <row r="1348" spans="3:31" ht="15.9" customHeight="1" x14ac:dyDescent="0.3">
      <c r="C1348" s="350"/>
      <c r="D1348" s="351"/>
      <c r="E1348" s="345"/>
      <c r="F1348" s="345"/>
      <c r="G1348" s="345"/>
      <c r="H1348" s="345"/>
      <c r="I1348" s="345"/>
      <c r="J1348" s="352"/>
      <c r="K1348" s="353"/>
      <c r="M1348" s="354">
        <v>0</v>
      </c>
      <c r="N1348" s="718" t="str">
        <f>IFERROR(VLOOKUP(M1348,INSUMOS!$C$8:$K$934,2,0),"-----")</f>
        <v>-----</v>
      </c>
      <c r="O1348" s="718"/>
      <c r="P1348" s="718"/>
      <c r="Q1348" s="314" t="str">
        <f>IFERROR(VLOOKUP(M1348,INSUMOS!$C$8:$K$934,5,0),"-----")</f>
        <v>-----</v>
      </c>
      <c r="R1348" s="355"/>
      <c r="S1348" s="355" t="str">
        <f>IFERROR(VLOOKUP(M1348,INSUMOS!$C$8:$K$934,6,0),"0")</f>
        <v>0</v>
      </c>
      <c r="T1348" s="719" t="str">
        <f>IFERROR(VLOOKUP(M1348,INSUMOS!$C$8:$K$934,7,0),"0")</f>
        <v>0</v>
      </c>
      <c r="U1348" s="719"/>
      <c r="V1348" s="515">
        <f>+T1348*S1348*R1348</f>
        <v>0</v>
      </c>
      <c r="Y1348" s="321">
        <f>+IFERROR((R1348*S1348)*Y1328,0)</f>
        <v>0</v>
      </c>
      <c r="Z1348" s="318">
        <f>Y1328*V1348</f>
        <v>0</v>
      </c>
      <c r="AA1348" s="345"/>
      <c r="AB1348" s="346">
        <f>+Y1348*T1348</f>
        <v>0</v>
      </c>
      <c r="AC1348" s="347">
        <f>+AB1348-Z1348</f>
        <v>0</v>
      </c>
      <c r="AD1348" s="348"/>
      <c r="AE1348" s="337" t="str">
        <f t="shared" si="182"/>
        <v>CERO</v>
      </c>
    </row>
    <row r="1349" spans="3:31" ht="15.9" customHeight="1" x14ac:dyDescent="0.3">
      <c r="C1349" s="350"/>
      <c r="D1349" s="351"/>
      <c r="E1349" s="345"/>
      <c r="F1349" s="345"/>
      <c r="G1349" s="345"/>
      <c r="H1349" s="345"/>
      <c r="I1349" s="345"/>
      <c r="J1349" s="352"/>
      <c r="K1349" s="353"/>
      <c r="M1349" s="354">
        <v>0</v>
      </c>
      <c r="N1349" s="718" t="str">
        <f>IFERROR(VLOOKUP(M1349,INSUMOS!$C$8:$K$934,2,0),"-----")</f>
        <v>-----</v>
      </c>
      <c r="O1349" s="718"/>
      <c r="P1349" s="718"/>
      <c r="Q1349" s="314" t="str">
        <f>IFERROR(VLOOKUP(M1349,INSUMOS!$C$8:$K$934,5,0),"-----")</f>
        <v>-----</v>
      </c>
      <c r="R1349" s="355"/>
      <c r="S1349" s="355" t="str">
        <f>IFERROR(VLOOKUP(M1349,INSUMOS!$C$8:$K$934,6,0),"0")</f>
        <v>0</v>
      </c>
      <c r="T1349" s="719" t="str">
        <f>IFERROR(VLOOKUP(M1349,INSUMOS!$C$8:$K$934,7,0),"0")</f>
        <v>0</v>
      </c>
      <c r="U1349" s="719"/>
      <c r="V1349" s="515">
        <f>+T1349*S1349*R1349</f>
        <v>0</v>
      </c>
      <c r="Y1349" s="321">
        <f>+IFERROR((R1349*S1349)*Y1328,0)</f>
        <v>0</v>
      </c>
      <c r="Z1349" s="318">
        <f>Y1328*V1349</f>
        <v>0</v>
      </c>
      <c r="AA1349" s="345"/>
      <c r="AB1349" s="346">
        <f t="shared" ref="AB1349" si="183">+Y1349*T1349</f>
        <v>0</v>
      </c>
      <c r="AC1349" s="347">
        <f t="shared" ref="AC1349" si="184">+AB1349-Z1349</f>
        <v>0</v>
      </c>
      <c r="AD1349" s="348"/>
      <c r="AE1349" s="337" t="str">
        <f t="shared" si="182"/>
        <v>CERO</v>
      </c>
    </row>
    <row r="1350" spans="3:31" ht="15.9" customHeight="1" thickBot="1" x14ac:dyDescent="0.35">
      <c r="C1350" s="350"/>
      <c r="D1350" s="360"/>
      <c r="E1350" s="361"/>
      <c r="F1350" s="361"/>
      <c r="G1350" s="361"/>
      <c r="H1350" s="361"/>
      <c r="I1350" s="361"/>
      <c r="J1350" s="362"/>
      <c r="K1350" s="353"/>
      <c r="M1350" s="354">
        <v>0</v>
      </c>
      <c r="N1350" s="718"/>
      <c r="O1350" s="718"/>
      <c r="P1350" s="718"/>
      <c r="Q1350" s="357"/>
      <c r="R1350" s="314"/>
      <c r="S1350" s="358"/>
      <c r="T1350" s="719"/>
      <c r="U1350" s="719"/>
      <c r="V1350" s="515"/>
      <c r="Y1350" s="321">
        <f>+IFERROR((R1350*S1350)*Y1328,0)</f>
        <v>0</v>
      </c>
      <c r="Z1350" s="318">
        <f>Y1328*V1350</f>
        <v>0</v>
      </c>
      <c r="AA1350" s="345"/>
      <c r="AB1350" s="346">
        <f>+Y1350*T1350</f>
        <v>0</v>
      </c>
      <c r="AC1350" s="347">
        <f>+AB1350-Z1350</f>
        <v>0</v>
      </c>
      <c r="AD1350" s="348"/>
      <c r="AE1350" s="337" t="str">
        <f t="shared" si="182"/>
        <v>CERO</v>
      </c>
    </row>
    <row r="1351" spans="3:31" ht="15.9" customHeight="1" thickBot="1" x14ac:dyDescent="0.35">
      <c r="C1351" s="292"/>
      <c r="D1351" s="295" t="s">
        <v>132</v>
      </c>
      <c r="E1351" s="296" t="s">
        <v>133</v>
      </c>
      <c r="F1351" s="296" t="s">
        <v>134</v>
      </c>
      <c r="G1351" s="296" t="s">
        <v>135</v>
      </c>
      <c r="H1351" s="296" t="s">
        <v>136</v>
      </c>
      <c r="I1351" s="296" t="s">
        <v>137</v>
      </c>
      <c r="J1351" s="297" t="s">
        <v>138</v>
      </c>
      <c r="K1351" s="293"/>
      <c r="M1351" s="720"/>
      <c r="N1351" s="721" t="s">
        <v>116</v>
      </c>
      <c r="O1351" s="721"/>
      <c r="P1351" s="721"/>
      <c r="Q1351" s="721"/>
      <c r="R1351" s="721"/>
      <c r="S1351" s="721"/>
      <c r="T1351" s="721"/>
      <c r="U1351" s="721"/>
      <c r="V1351" s="499">
        <f>+SUM(V1347:V1350)</f>
        <v>0</v>
      </c>
      <c r="Y1351" s="328" t="s">
        <v>139</v>
      </c>
      <c r="Z1351" s="329">
        <f>+SUM(Z1347:Z1350)</f>
        <v>0</v>
      </c>
      <c r="AA1351" s="279"/>
      <c r="AB1351" s="290"/>
      <c r="AC1351" s="291"/>
      <c r="AD1351" s="280"/>
      <c r="AE1351" s="330"/>
    </row>
    <row r="1352" spans="3:31" ht="15.9" customHeight="1" thickBot="1" x14ac:dyDescent="0.35">
      <c r="C1352" s="292"/>
      <c r="D1352" s="363"/>
      <c r="E1352" s="364"/>
      <c r="F1352" s="365" t="str">
        <f>+E1344</f>
        <v>3.6</v>
      </c>
      <c r="G1352" s="364"/>
      <c r="H1352" s="364"/>
      <c r="I1352" s="364"/>
      <c r="J1352" s="366"/>
      <c r="K1352" s="293"/>
      <c r="M1352" s="720"/>
      <c r="N1352" s="722" t="s">
        <v>117</v>
      </c>
      <c r="O1352" s="722"/>
      <c r="P1352" s="722"/>
      <c r="Q1352" s="722"/>
      <c r="R1352" s="722"/>
      <c r="S1352" s="722"/>
      <c r="T1352" s="722"/>
      <c r="U1352" s="722"/>
      <c r="V1352" s="344">
        <f>+ROUND(V1351,$AA$2)</f>
        <v>0</v>
      </c>
      <c r="Y1352" s="332" t="s">
        <v>140</v>
      </c>
      <c r="Z1352" s="333">
        <f>+ROUND(Z1351,$AA$2)</f>
        <v>0</v>
      </c>
      <c r="AA1352" s="279"/>
      <c r="AB1352" s="324">
        <f>+V1352*Y1328</f>
        <v>0</v>
      </c>
      <c r="AC1352" s="359"/>
      <c r="AD1352" s="280"/>
      <c r="AE1352" s="334"/>
    </row>
    <row r="1353" spans="3:31" ht="15.9" customHeight="1" thickBot="1" x14ac:dyDescent="0.35">
      <c r="C1353" s="292"/>
      <c r="D1353" s="369"/>
      <c r="E1353" s="370"/>
      <c r="F1353" s="370"/>
      <c r="G1353" s="370"/>
      <c r="H1353" s="370"/>
      <c r="I1353" s="370"/>
      <c r="J1353" s="371"/>
      <c r="K1353" s="293"/>
      <c r="M1353" s="723" t="s">
        <v>118</v>
      </c>
      <c r="N1353" s="723"/>
      <c r="O1353" s="723"/>
      <c r="P1353" s="723"/>
      <c r="Q1353" s="723"/>
      <c r="R1353" s="723"/>
      <c r="S1353" s="723"/>
      <c r="T1353" s="723"/>
      <c r="U1353" s="723"/>
      <c r="V1353" s="723"/>
      <c r="Y1353" s="298"/>
      <c r="Z1353" s="299"/>
      <c r="AA1353" s="279"/>
      <c r="AB1353" s="342"/>
      <c r="AC1353" s="299"/>
      <c r="AD1353" s="280"/>
      <c r="AE1353" s="335"/>
    </row>
    <row r="1354" spans="3:31" ht="15.9" customHeight="1" thickBot="1" x14ac:dyDescent="0.35">
      <c r="C1354" s="292"/>
      <c r="D1354" s="295" t="s">
        <v>132</v>
      </c>
      <c r="E1354" s="296" t="s">
        <v>133</v>
      </c>
      <c r="F1354" s="296" t="s">
        <v>134</v>
      </c>
      <c r="G1354" s="296" t="s">
        <v>135</v>
      </c>
      <c r="H1354" s="296" t="s">
        <v>136</v>
      </c>
      <c r="I1354" s="296" t="s">
        <v>137</v>
      </c>
      <c r="J1354" s="297" t="s">
        <v>138</v>
      </c>
      <c r="K1354" s="293"/>
      <c r="M1354" s="307" t="s">
        <v>97</v>
      </c>
      <c r="N1354" s="372" t="s">
        <v>98</v>
      </c>
      <c r="O1354" s="307" t="s">
        <v>99</v>
      </c>
      <c r="P1354" s="396" t="s">
        <v>107</v>
      </c>
      <c r="Q1354" s="307" t="s">
        <v>119</v>
      </c>
      <c r="R1354" s="373" t="s">
        <v>120</v>
      </c>
      <c r="S1354" s="307" t="s">
        <v>363</v>
      </c>
      <c r="T1354" s="374" t="s">
        <v>121</v>
      </c>
      <c r="U1354" s="375" t="s">
        <v>122</v>
      </c>
      <c r="V1354" s="307" t="s">
        <v>101</v>
      </c>
      <c r="Y1354" s="308" t="s">
        <v>107</v>
      </c>
      <c r="Z1354" s="309" t="s">
        <v>9</v>
      </c>
      <c r="AA1354" s="279"/>
      <c r="AB1354" s="290"/>
      <c r="AC1354" s="291"/>
      <c r="AD1354" s="280"/>
      <c r="AE1354" s="349"/>
    </row>
    <row r="1355" spans="3:31" ht="14.4" x14ac:dyDescent="0.3">
      <c r="C1355" s="292"/>
      <c r="D1355" s="376"/>
      <c r="E1355" s="377"/>
      <c r="F1355" s="377"/>
      <c r="G1355" s="377"/>
      <c r="H1355" s="377"/>
      <c r="I1355" s="377"/>
      <c r="J1355" s="378" t="str">
        <f>+F1352</f>
        <v>3.6</v>
      </c>
      <c r="K1355" s="293"/>
      <c r="M1355" s="313">
        <v>201</v>
      </c>
      <c r="N1355" s="379" t="str">
        <f>IFERROR(VLOOKUP(M1355,INSUMOS!$C$8:$K$934,2,0),"-----")</f>
        <v>Oficial Albañileria</v>
      </c>
      <c r="O1355" s="314" t="str">
        <f>IFERROR(VLOOKUP(M1355,INSUMOS!$C$8:$K$934,3,0),"-----")</f>
        <v>JORNAL+PS</v>
      </c>
      <c r="P1355" s="355">
        <v>1</v>
      </c>
      <c r="Q1355" s="339">
        <v>20</v>
      </c>
      <c r="R1355" s="380">
        <f>IFERROR(VLOOKUP(M1355,INSUMOS!$C$8:$K$934,4,0),"-----")</f>
        <v>114970</v>
      </c>
      <c r="S1355" s="380">
        <f>IFERROR(VLOOKUP(M1355,INSUMOS!$C$8:$K$934,6,0),"-----")</f>
        <v>91976</v>
      </c>
      <c r="T1355" s="380">
        <f>IFERROR(VLOOKUP(M1355,INSUMOS!$C$8:$K$934,5,0),"-----")</f>
        <v>0</v>
      </c>
      <c r="U1355" s="338">
        <f>SUM(R1355:T1355)</f>
        <v>206946</v>
      </c>
      <c r="V1355" s="316">
        <f>+IFERROR((P1355/Q1355)*U1355,0)</f>
        <v>10347.300000000001</v>
      </c>
      <c r="Y1355" s="321">
        <f>+IFERROR((Y1328/Q1355*P1355),0)</f>
        <v>0</v>
      </c>
      <c r="Z1355" s="318">
        <f>Y1328*V1355</f>
        <v>0</v>
      </c>
      <c r="AA1355" s="279"/>
      <c r="AB1355" s="367">
        <f>+(U1355)*Y1355</f>
        <v>0</v>
      </c>
      <c r="AC1355" s="302">
        <f>+AB1355-Z1355</f>
        <v>0</v>
      </c>
      <c r="AD1355" s="368"/>
      <c r="AE1355" s="349" t="str">
        <f>+IF(V1355=0,"CERO","NO")</f>
        <v>NO</v>
      </c>
    </row>
    <row r="1356" spans="3:31" ht="15.9" customHeight="1" thickBot="1" x14ac:dyDescent="0.35">
      <c r="C1356" s="292"/>
      <c r="D1356" s="363"/>
      <c r="E1356" s="364"/>
      <c r="F1356" s="364"/>
      <c r="G1356" s="364"/>
      <c r="H1356" s="364"/>
      <c r="I1356" s="364"/>
      <c r="J1356" s="381" t="str">
        <f>+J1355</f>
        <v>3.6</v>
      </c>
      <c r="K1356" s="293"/>
      <c r="M1356" s="313">
        <v>202</v>
      </c>
      <c r="N1356" s="379" t="str">
        <f>IFERROR(VLOOKUP(M1356,INSUMOS!$C$8:$K$934,2,0),"-----")</f>
        <v>Ayudante Albañileria</v>
      </c>
      <c r="O1356" s="314" t="str">
        <f>IFERROR(VLOOKUP(M1356,INSUMOS!$C$8:$K$934,3,0),"-----")</f>
        <v>JORNAL+PS</v>
      </c>
      <c r="P1356" s="355">
        <v>2</v>
      </c>
      <c r="Q1356" s="339">
        <v>20</v>
      </c>
      <c r="R1356" s="380">
        <f>IFERROR(VLOOKUP(M1356,INSUMOS!$C$8:$K$934,4,0),"-----")</f>
        <v>94970</v>
      </c>
      <c r="S1356" s="380">
        <f>IFERROR(VLOOKUP(M1356,INSUMOS!$C$8:$K$934,6,0),"-----")</f>
        <v>75976</v>
      </c>
      <c r="T1356" s="380">
        <f>IFERROR(VLOOKUP(M1356,INSUMOS!$C$8:$K$934,5,0),"-----")</f>
        <v>0</v>
      </c>
      <c r="U1356" s="338">
        <f>SUM(R1356:T1356)</f>
        <v>170946</v>
      </c>
      <c r="V1356" s="316">
        <f>+IFERROR((P1356/Q1356)*U1356,0)</f>
        <v>17094.600000000002</v>
      </c>
      <c r="Y1356" s="321">
        <f>+IFERROR((Y1328/Q1356*P1356),0)</f>
        <v>0</v>
      </c>
      <c r="Z1356" s="318">
        <f>Y1328*V1356</f>
        <v>0</v>
      </c>
      <c r="AA1356" s="279"/>
      <c r="AB1356" s="367">
        <f>+U1356*Y1356</f>
        <v>0</v>
      </c>
      <c r="AC1356" s="302">
        <f>+AB1356-Z1356</f>
        <v>0</v>
      </c>
      <c r="AD1356" s="280"/>
      <c r="AE1356" s="349" t="str">
        <f t="shared" ref="AE1356:AE1357" si="185">+IF(V1356=0,"CERO","NO")</f>
        <v>NO</v>
      </c>
    </row>
    <row r="1357" spans="3:31" ht="15.9" customHeight="1" thickBot="1" x14ac:dyDescent="0.35">
      <c r="C1357" s="292"/>
      <c r="D1357" s="304"/>
      <c r="E1357" s="305"/>
      <c r="F1357" s="305"/>
      <c r="G1357" s="305"/>
      <c r="H1357" s="305"/>
      <c r="I1357" s="305"/>
      <c r="J1357" s="306"/>
      <c r="K1357" s="293"/>
      <c r="M1357" s="313">
        <v>0</v>
      </c>
      <c r="N1357" s="379"/>
      <c r="O1357" s="339"/>
      <c r="P1357" s="382"/>
      <c r="Q1357" s="319"/>
      <c r="R1357" s="383"/>
      <c r="S1357" s="384"/>
      <c r="T1357" s="383"/>
      <c r="U1357" s="338"/>
      <c r="V1357" s="323"/>
      <c r="Y1357" s="321">
        <f>+IFERROR((Y1328/Q1357*P1357),0)</f>
        <v>0</v>
      </c>
      <c r="Z1357" s="318">
        <f>Y1328*V1357</f>
        <v>0</v>
      </c>
      <c r="AA1357" s="279"/>
      <c r="AB1357" s="367">
        <f>+(U1357)*Y1357*P1357</f>
        <v>0</v>
      </c>
      <c r="AC1357" s="302">
        <f>+AB1357-Z1357</f>
        <v>0</v>
      </c>
      <c r="AD1357" s="280"/>
      <c r="AE1357" s="349" t="str">
        <f t="shared" si="185"/>
        <v>CERO</v>
      </c>
    </row>
    <row r="1358" spans="3:31" ht="15.9" customHeight="1" thickBot="1" x14ac:dyDescent="0.35">
      <c r="C1358" s="292"/>
      <c r="D1358" s="295" t="s">
        <v>132</v>
      </c>
      <c r="E1358" s="296" t="s">
        <v>133</v>
      </c>
      <c r="F1358" s="296" t="s">
        <v>134</v>
      </c>
      <c r="G1358" s="296" t="s">
        <v>135</v>
      </c>
      <c r="H1358" s="296" t="s">
        <v>136</v>
      </c>
      <c r="I1358" s="296" t="s">
        <v>137</v>
      </c>
      <c r="J1358" s="297" t="s">
        <v>138</v>
      </c>
      <c r="K1358" s="293"/>
      <c r="M1358" s="724"/>
      <c r="N1358" s="725" t="s">
        <v>123</v>
      </c>
      <c r="O1358" s="725"/>
      <c r="P1358" s="725"/>
      <c r="Q1358" s="725"/>
      <c r="R1358" s="725"/>
      <c r="S1358" s="725"/>
      <c r="T1358" s="725"/>
      <c r="U1358" s="725"/>
      <c r="V1358" s="316">
        <f>+SUM(V1355:V1357)</f>
        <v>27441.9</v>
      </c>
      <c r="Y1358" s="328" t="s">
        <v>139</v>
      </c>
      <c r="Z1358" s="329">
        <f>+SUM(Z1355:Z1357)</f>
        <v>0</v>
      </c>
      <c r="AA1358" s="279"/>
      <c r="AB1358" s="290"/>
      <c r="AC1358" s="291"/>
      <c r="AD1358" s="280"/>
      <c r="AE1358" s="330"/>
    </row>
    <row r="1359" spans="3:31" ht="15.9" customHeight="1" thickBot="1" x14ac:dyDescent="0.35">
      <c r="C1359" s="292"/>
      <c r="D1359" s="376"/>
      <c r="E1359" s="377"/>
      <c r="F1359" s="377"/>
      <c r="G1359" s="386" t="str">
        <f>+F1352</f>
        <v>3.6</v>
      </c>
      <c r="H1359" s="377"/>
      <c r="I1359" s="377"/>
      <c r="J1359" s="387"/>
      <c r="K1359" s="293"/>
      <c r="M1359" s="724"/>
      <c r="N1359" s="726" t="s">
        <v>124</v>
      </c>
      <c r="O1359" s="726"/>
      <c r="P1359" s="726"/>
      <c r="Q1359" s="726"/>
      <c r="R1359" s="726"/>
      <c r="S1359" s="726"/>
      <c r="T1359" s="726"/>
      <c r="U1359" s="726"/>
      <c r="V1359" s="344">
        <f>+ROUND(V1358,$AA$2)</f>
        <v>27442</v>
      </c>
      <c r="Y1359" s="332" t="s">
        <v>140</v>
      </c>
      <c r="Z1359" s="333">
        <f>+ROUND(Z1358,$AA$2)</f>
        <v>0</v>
      </c>
      <c r="AA1359" s="279"/>
      <c r="AB1359" s="324">
        <f>+V1359*Y1328</f>
        <v>0</v>
      </c>
      <c r="AC1359" s="325">
        <f>+AB1359-Z1359</f>
        <v>0</v>
      </c>
      <c r="AD1359" s="280"/>
      <c r="AE1359" s="334"/>
    </row>
    <row r="1360" spans="3:31" ht="15.9" customHeight="1" thickBot="1" x14ac:dyDescent="0.35">
      <c r="C1360" s="292"/>
      <c r="D1360" s="295" t="s">
        <v>132</v>
      </c>
      <c r="E1360" s="296" t="s">
        <v>133</v>
      </c>
      <c r="F1360" s="296" t="s">
        <v>134</v>
      </c>
      <c r="G1360" s="296" t="s">
        <v>135</v>
      </c>
      <c r="H1360" s="296" t="s">
        <v>136</v>
      </c>
      <c r="I1360" s="296" t="s">
        <v>137</v>
      </c>
      <c r="J1360" s="297" t="s">
        <v>138</v>
      </c>
      <c r="K1360" s="293"/>
      <c r="M1360" s="727"/>
      <c r="N1360" s="727"/>
      <c r="O1360" s="727"/>
      <c r="P1360" s="727"/>
      <c r="Q1360" s="727"/>
      <c r="R1360" s="727"/>
      <c r="S1360" s="727"/>
      <c r="T1360" s="727"/>
      <c r="U1360" s="727"/>
      <c r="V1360" s="727"/>
      <c r="Y1360" s="298"/>
      <c r="Z1360" s="299"/>
      <c r="AA1360" s="279"/>
      <c r="AB1360" s="342"/>
      <c r="AC1360" s="299"/>
      <c r="AD1360" s="280"/>
      <c r="AE1360" s="388"/>
    </row>
    <row r="1361" spans="3:31" ht="15.9" customHeight="1" thickBot="1" x14ac:dyDescent="0.35">
      <c r="C1361" s="292"/>
      <c r="D1361" s="363"/>
      <c r="E1361" s="364"/>
      <c r="F1361" s="364"/>
      <c r="G1361" s="364"/>
      <c r="H1361" s="365" t="str">
        <f>G1359</f>
        <v>3.6</v>
      </c>
      <c r="I1361" s="365"/>
      <c r="J1361" s="381"/>
      <c r="K1361" s="293"/>
      <c r="M1361" s="726" t="s">
        <v>125</v>
      </c>
      <c r="N1361" s="726"/>
      <c r="O1361" s="726"/>
      <c r="P1361" s="726"/>
      <c r="Q1361" s="726"/>
      <c r="R1361" s="726"/>
      <c r="S1361" s="726"/>
      <c r="T1361" s="726"/>
      <c r="U1361" s="728">
        <f>+V1359+V1352+V1344+V1337</f>
        <v>28814</v>
      </c>
      <c r="V1361" s="728"/>
      <c r="Y1361" s="389"/>
      <c r="Z1361" s="390">
        <f>+Z1359+Z1352+Z1344+Z1337</f>
        <v>0</v>
      </c>
      <c r="AA1361" s="279"/>
      <c r="AB1361" s="385">
        <f>+AB1359+AB1352+AB1344+AB1337</f>
        <v>0</v>
      </c>
      <c r="AC1361" s="325">
        <f>+AB1361-Z1361</f>
        <v>0</v>
      </c>
      <c r="AD1361" s="280"/>
      <c r="AE1361" s="391"/>
    </row>
    <row r="1362" spans="3:31" ht="15.9" customHeight="1" thickBot="1" x14ac:dyDescent="0.3">
      <c r="M1362" s="412"/>
      <c r="N1362" s="412"/>
      <c r="O1362" s="412"/>
      <c r="P1362" s="412"/>
      <c r="Q1362" s="412"/>
      <c r="R1362" s="412"/>
      <c r="S1362" s="412"/>
      <c r="T1362" s="412"/>
      <c r="U1362" s="412"/>
      <c r="V1362" s="412"/>
    </row>
    <row r="1363" spans="3:31" ht="15.9" customHeight="1" x14ac:dyDescent="0.25">
      <c r="M1363" s="729" t="s">
        <v>364</v>
      </c>
      <c r="N1363" s="729"/>
      <c r="O1363" s="729"/>
      <c r="P1363" s="729"/>
      <c r="Q1363" s="729"/>
      <c r="R1363" s="729"/>
      <c r="S1363" s="729"/>
      <c r="T1363" s="729"/>
      <c r="U1363" s="729"/>
      <c r="V1363" s="729"/>
      <c r="Y1363" s="298"/>
      <c r="Z1363" s="299"/>
      <c r="AA1363" s="279"/>
      <c r="AB1363" s="280"/>
      <c r="AC1363" s="280"/>
      <c r="AD1363" s="280"/>
      <c r="AE1363" s="335" t="s">
        <v>137</v>
      </c>
    </row>
    <row r="1364" spans="3:31" ht="15.9" customHeight="1" x14ac:dyDescent="0.25">
      <c r="M1364" s="700" t="s">
        <v>142</v>
      </c>
      <c r="N1364" s="700"/>
      <c r="O1364" s="700"/>
      <c r="P1364" s="700"/>
      <c r="Q1364" s="700"/>
      <c r="R1364" s="700"/>
      <c r="S1364" s="700"/>
      <c r="T1364" s="413">
        <f>$AA$3</f>
        <v>0.25</v>
      </c>
      <c r="U1364" s="701">
        <f>+ROUND(U1361*T1364,$AA$2)</f>
        <v>7204</v>
      </c>
      <c r="V1364" s="701"/>
      <c r="Y1364" s="317"/>
      <c r="Z1364" s="414">
        <f>+Z1361*T1364</f>
        <v>0</v>
      </c>
      <c r="AA1364" s="279"/>
      <c r="AB1364" s="280"/>
      <c r="AC1364" s="280"/>
      <c r="AD1364" s="280"/>
      <c r="AE1364" s="310" t="s">
        <v>137</v>
      </c>
    </row>
    <row r="1365" spans="3:31" ht="15.9" customHeight="1" x14ac:dyDescent="0.25">
      <c r="M1365" s="700" t="s">
        <v>19</v>
      </c>
      <c r="N1365" s="700"/>
      <c r="O1365" s="700"/>
      <c r="P1365" s="700"/>
      <c r="Q1365" s="700"/>
      <c r="R1365" s="700"/>
      <c r="S1365" s="700"/>
      <c r="T1365" s="413">
        <f>$AA$4</f>
        <v>0.03</v>
      </c>
      <c r="U1365" s="701">
        <f>+ROUND(U1361*T1365,$AA$2)</f>
        <v>864</v>
      </c>
      <c r="V1365" s="701"/>
      <c r="Y1365" s="317"/>
      <c r="Z1365" s="414">
        <f>+Z1361*T1365</f>
        <v>0</v>
      </c>
      <c r="AA1365" s="279"/>
      <c r="AB1365" s="280"/>
      <c r="AC1365" s="280"/>
      <c r="AD1365" s="280"/>
      <c r="AE1365" s="310" t="s">
        <v>137</v>
      </c>
    </row>
    <row r="1366" spans="3:31" ht="15.9" customHeight="1" x14ac:dyDescent="0.25">
      <c r="M1366" s="700" t="s">
        <v>20</v>
      </c>
      <c r="N1366" s="700"/>
      <c r="O1366" s="700"/>
      <c r="P1366" s="700"/>
      <c r="Q1366" s="700"/>
      <c r="R1366" s="700"/>
      <c r="S1366" s="700"/>
      <c r="T1366" s="413">
        <f>$AA$5</f>
        <v>0.05</v>
      </c>
      <c r="U1366" s="701">
        <f>+ROUND(U1361*T1366,$AA$2)</f>
        <v>1441</v>
      </c>
      <c r="V1366" s="701"/>
      <c r="Y1366" s="317"/>
      <c r="Z1366" s="414">
        <f>+Z1361*T1366</f>
        <v>0</v>
      </c>
      <c r="AA1366" s="279"/>
      <c r="AB1366" s="280"/>
      <c r="AC1366" s="280"/>
      <c r="AD1366" s="280"/>
      <c r="AE1366" s="310" t="s">
        <v>137</v>
      </c>
    </row>
    <row r="1367" spans="3:31" ht="15.9" customHeight="1" x14ac:dyDescent="0.25">
      <c r="M1367" s="700" t="s">
        <v>21</v>
      </c>
      <c r="N1367" s="700"/>
      <c r="O1367" s="700"/>
      <c r="P1367" s="700"/>
      <c r="Q1367" s="700"/>
      <c r="R1367" s="700"/>
      <c r="S1367" s="700"/>
      <c r="T1367" s="413">
        <f>$AA$6</f>
        <v>0</v>
      </c>
      <c r="U1367" s="701">
        <f>+ROUND(U1361*T1367,$AA$2)</f>
        <v>0</v>
      </c>
      <c r="V1367" s="701"/>
      <c r="Y1367" s="317"/>
      <c r="Z1367" s="414">
        <f>+Z1366*T1367</f>
        <v>0</v>
      </c>
      <c r="AA1367" s="279"/>
      <c r="AB1367" s="280"/>
      <c r="AC1367" s="280"/>
      <c r="AD1367" s="280"/>
      <c r="AE1367" s="310" t="s">
        <v>137</v>
      </c>
    </row>
    <row r="1368" spans="3:31" ht="15.9" customHeight="1" thickBot="1" x14ac:dyDescent="0.3">
      <c r="M1368" s="702" t="s">
        <v>365</v>
      </c>
      <c r="N1368" s="702"/>
      <c r="O1368" s="702"/>
      <c r="P1368" s="702"/>
      <c r="Q1368" s="702"/>
      <c r="R1368" s="702"/>
      <c r="S1368" s="702"/>
      <c r="T1368" s="702"/>
      <c r="U1368" s="703">
        <f>+SUM(U1364:V1367)</f>
        <v>9509</v>
      </c>
      <c r="V1368" s="703"/>
      <c r="Y1368" s="317"/>
      <c r="Z1368" s="415">
        <f>+SUM(Z1364:Z1367)</f>
        <v>0</v>
      </c>
      <c r="AA1368" s="279"/>
      <c r="AB1368" s="280"/>
      <c r="AC1368" s="280"/>
      <c r="AD1368" s="280"/>
      <c r="AE1368" s="310" t="s">
        <v>137</v>
      </c>
    </row>
    <row r="1369" spans="3:31" ht="15.9" customHeight="1" thickBot="1" x14ac:dyDescent="0.3">
      <c r="D1369" s="295" t="s">
        <v>132</v>
      </c>
      <c r="E1369" s="296" t="s">
        <v>133</v>
      </c>
      <c r="F1369" s="296" t="s">
        <v>134</v>
      </c>
      <c r="G1369" s="296" t="s">
        <v>135</v>
      </c>
      <c r="H1369" s="296" t="s">
        <v>136</v>
      </c>
      <c r="I1369" s="296" t="s">
        <v>137</v>
      </c>
      <c r="J1369" s="297" t="s">
        <v>138</v>
      </c>
      <c r="M1369" s="377"/>
      <c r="N1369" s="416"/>
      <c r="O1369" s="416"/>
      <c r="P1369" s="416"/>
      <c r="Q1369" s="377"/>
      <c r="R1369" s="377"/>
      <c r="S1369" s="377"/>
      <c r="T1369" s="417"/>
      <c r="U1369" s="701"/>
      <c r="V1369" s="701"/>
      <c r="Y1369" s="317"/>
      <c r="Z1369" s="291"/>
      <c r="AA1369" s="279"/>
      <c r="AB1369" s="280"/>
      <c r="AC1369" s="280"/>
      <c r="AD1369" s="280"/>
      <c r="AE1369" s="310" t="s">
        <v>137</v>
      </c>
    </row>
    <row r="1370" spans="3:31" ht="15.9" customHeight="1" thickBot="1" x14ac:dyDescent="0.3">
      <c r="D1370" s="363"/>
      <c r="E1370" s="364"/>
      <c r="F1370" s="364"/>
      <c r="G1370" s="364"/>
      <c r="H1370" s="365"/>
      <c r="I1370" s="365" t="str">
        <f>H1361</f>
        <v>3.6</v>
      </c>
      <c r="J1370" s="381"/>
      <c r="M1370" s="702" t="s">
        <v>11</v>
      </c>
      <c r="N1370" s="702"/>
      <c r="O1370" s="702"/>
      <c r="P1370" s="702"/>
      <c r="Q1370" s="702"/>
      <c r="R1370" s="702"/>
      <c r="S1370" s="702"/>
      <c r="T1370" s="702"/>
      <c r="U1370" s="704">
        <f>+U1368+U1361</f>
        <v>38323</v>
      </c>
      <c r="V1370" s="704"/>
      <c r="Y1370" s="389"/>
      <c r="Z1370" s="418">
        <f>+Z1368+Z1361</f>
        <v>0</v>
      </c>
      <c r="AA1370" s="279"/>
      <c r="AB1370" s="280"/>
      <c r="AC1370" s="280"/>
      <c r="AD1370" s="280"/>
      <c r="AE1370" s="334" t="s">
        <v>137</v>
      </c>
    </row>
    <row r="1371" spans="3:31" ht="15.9" customHeight="1" x14ac:dyDescent="0.25">
      <c r="M1371" s="705"/>
      <c r="N1371" s="705"/>
      <c r="O1371" s="705"/>
      <c r="P1371" s="705"/>
      <c r="Q1371" s="705"/>
      <c r="R1371" s="706"/>
      <c r="S1371" s="706"/>
      <c r="T1371" s="706"/>
      <c r="U1371" s="706"/>
      <c r="V1371" s="706"/>
    </row>
    <row r="1372" spans="3:31" ht="15.9" customHeight="1" x14ac:dyDescent="0.25">
      <c r="M1372" s="705"/>
      <c r="N1372" s="705"/>
      <c r="O1372" s="705"/>
      <c r="P1372" s="705"/>
      <c r="Q1372" s="705"/>
      <c r="R1372" s="706"/>
      <c r="S1372" s="706"/>
      <c r="T1372" s="706"/>
      <c r="U1372" s="706"/>
      <c r="V1372" s="706"/>
    </row>
    <row r="1373" spans="3:31" ht="15.9" customHeight="1" x14ac:dyDescent="0.25">
      <c r="M1373" s="705"/>
      <c r="N1373" s="705"/>
      <c r="O1373" s="705"/>
      <c r="P1373" s="705"/>
      <c r="Q1373" s="705"/>
      <c r="R1373" s="706"/>
      <c r="S1373" s="706"/>
      <c r="T1373" s="706"/>
      <c r="U1373" s="706"/>
      <c r="V1373" s="706"/>
    </row>
    <row r="1374" spans="3:31" ht="15.9" customHeight="1" x14ac:dyDescent="0.25">
      <c r="M1374" s="705"/>
      <c r="N1374" s="705"/>
      <c r="O1374" s="705"/>
      <c r="P1374" s="705"/>
      <c r="Q1374" s="705"/>
      <c r="R1374" s="706"/>
      <c r="S1374" s="706"/>
      <c r="T1374" s="706"/>
      <c r="U1374" s="706"/>
      <c r="V1374" s="706"/>
    </row>
    <row r="1375" spans="3:31" ht="15.9" customHeight="1" x14ac:dyDescent="0.25">
      <c r="M1375" s="707" t="s">
        <v>128</v>
      </c>
      <c r="N1375" s="708" t="str">
        <f>$N$6</f>
        <v>ING. JEYSON JULIAN LEON RUEDA</v>
      </c>
      <c r="O1375" s="709"/>
      <c r="P1375" s="709"/>
      <c r="Q1375" s="710"/>
      <c r="R1375" s="711" t="s">
        <v>129</v>
      </c>
      <c r="S1375" s="708" t="str">
        <f>$S$6</f>
        <v>ARQ. YASMID ROCÍO CARRILLO MORA</v>
      </c>
      <c r="T1375" s="709"/>
      <c r="U1375" s="709"/>
      <c r="V1375" s="710"/>
    </row>
    <row r="1376" spans="3:31" ht="15.9" customHeight="1" x14ac:dyDescent="0.25">
      <c r="M1376" s="707"/>
      <c r="N1376" s="712" t="str">
        <f>$N$7</f>
        <v>MP. 68202-416348 STD</v>
      </c>
      <c r="O1376" s="713"/>
      <c r="P1376" s="713"/>
      <c r="Q1376" s="714"/>
      <c r="R1376" s="711"/>
      <c r="S1376" s="712" t="str">
        <f>$S$7</f>
        <v>SECRETARIA DE PLANEACIÓN Y OBRAS PÚBLICAS</v>
      </c>
      <c r="T1376" s="713"/>
      <c r="U1376" s="713"/>
      <c r="V1376" s="714"/>
    </row>
    <row r="1377" spans="3:31" ht="15.9" customHeight="1" x14ac:dyDescent="0.25">
      <c r="M1377" s="707"/>
      <c r="N1377" s="715"/>
      <c r="O1377" s="716"/>
      <c r="P1377" s="716"/>
      <c r="Q1377" s="717"/>
      <c r="R1377" s="711"/>
      <c r="S1377" s="712" t="str">
        <f>$S$8</f>
        <v>MUNICIPIO DE PINCHOTE</v>
      </c>
      <c r="T1377" s="713"/>
      <c r="U1377" s="713"/>
      <c r="V1377" s="714"/>
    </row>
    <row r="1378" spans="3:31" ht="15.9" customHeight="1" x14ac:dyDescent="0.25"/>
    <row r="1379" spans="3:31" ht="15.9" customHeight="1" thickBot="1" x14ac:dyDescent="0.3"/>
    <row r="1380" spans="3:31" ht="15.9" customHeight="1" thickBot="1" x14ac:dyDescent="0.3">
      <c r="M1380" s="281" t="s">
        <v>90</v>
      </c>
      <c r="N1380" s="410" t="s">
        <v>30</v>
      </c>
      <c r="O1380" s="741" t="str">
        <f>IFERROR(VLOOKUP(N1380,PPTO!$C$9:$H$64,2,0),"----")</f>
        <v>ESTRUCTURA VIAL EN PIEDRA LABOR</v>
      </c>
      <c r="P1380" s="742"/>
      <c r="Q1380" s="742"/>
      <c r="R1380" s="742"/>
      <c r="S1380" s="742"/>
      <c r="T1380" s="742"/>
      <c r="U1380" s="743"/>
      <c r="V1380" s="283" t="s">
        <v>93</v>
      </c>
      <c r="Y1380" s="284" t="s">
        <v>107</v>
      </c>
      <c r="Z1380" s="280"/>
      <c r="AA1380" s="274"/>
      <c r="AB1380" s="735"/>
      <c r="AC1380" s="735"/>
      <c r="AD1380" s="735"/>
      <c r="AE1380" s="280"/>
    </row>
    <row r="1381" spans="3:31" ht="15.9" customHeight="1" thickBot="1" x14ac:dyDescent="0.35">
      <c r="C1381" s="285" t="str">
        <f>+N1381</f>
        <v>3.7</v>
      </c>
      <c r="D1381" s="279"/>
      <c r="E1381" s="279"/>
      <c r="F1381" s="279"/>
      <c r="G1381" s="279"/>
      <c r="H1381" s="279"/>
      <c r="I1381" s="279"/>
      <c r="J1381" s="279"/>
      <c r="K1381" s="286"/>
      <c r="M1381" s="283" t="s">
        <v>94</v>
      </c>
      <c r="N1381" s="287" t="s">
        <v>68</v>
      </c>
      <c r="O1381" s="744" t="str">
        <f>IFERROR(VLOOKUP(N1381,PPTO!$C$9:$H$64,2,0),"----")</f>
        <v>Anden en piedra labor</v>
      </c>
      <c r="P1381" s="745"/>
      <c r="Q1381" s="745"/>
      <c r="R1381" s="745"/>
      <c r="S1381" s="745"/>
      <c r="T1381" s="745"/>
      <c r="U1381" s="746"/>
      <c r="V1381" s="288" t="str">
        <f>IFERROR(VLOOKUP(N1381,PPTO!$C$9:$H$64,3,0),"----")</f>
        <v>m2</v>
      </c>
      <c r="Y1381" s="289">
        <f>SUMIFS(PPTO!$F$7:$F$63,PPTO!$C$7:$C$63,APUS!N1381)</f>
        <v>59.15</v>
      </c>
      <c r="Z1381" s="280"/>
      <c r="AA1381" s="279"/>
      <c r="AB1381" s="280"/>
      <c r="AC1381" s="280"/>
      <c r="AD1381" s="280"/>
      <c r="AE1381" s="280"/>
    </row>
    <row r="1382" spans="3:31" ht="15.9" customHeight="1" thickBot="1" x14ac:dyDescent="0.35">
      <c r="C1382" s="292"/>
      <c r="D1382" s="279"/>
      <c r="E1382" s="279"/>
      <c r="F1382" s="279"/>
      <c r="G1382" s="279"/>
      <c r="H1382" s="279"/>
      <c r="I1382" s="279"/>
      <c r="J1382" s="279"/>
      <c r="K1382" s="293"/>
      <c r="M1382" s="747"/>
      <c r="N1382" s="747"/>
      <c r="O1382" s="747"/>
      <c r="P1382" s="747"/>
      <c r="Q1382" s="747"/>
      <c r="R1382" s="747"/>
      <c r="S1382" s="747"/>
      <c r="T1382" s="747"/>
      <c r="U1382" s="747"/>
      <c r="V1382" s="747"/>
      <c r="Y1382" s="294"/>
      <c r="Z1382" s="280"/>
      <c r="AA1382" s="279"/>
      <c r="AB1382" s="280"/>
      <c r="AC1382" s="280"/>
      <c r="AD1382" s="280"/>
      <c r="AE1382" s="280"/>
    </row>
    <row r="1383" spans="3:31" ht="15.9" customHeight="1" thickBot="1" x14ac:dyDescent="0.35">
      <c r="C1383" s="292"/>
      <c r="D1383" s="295" t="s">
        <v>132</v>
      </c>
      <c r="E1383" s="296" t="s">
        <v>133</v>
      </c>
      <c r="F1383" s="296" t="s">
        <v>134</v>
      </c>
      <c r="G1383" s="296" t="s">
        <v>135</v>
      </c>
      <c r="H1383" s="296" t="s">
        <v>136</v>
      </c>
      <c r="I1383" s="296" t="s">
        <v>137</v>
      </c>
      <c r="J1383" s="297" t="s">
        <v>138</v>
      </c>
      <c r="K1383" s="293"/>
      <c r="M1383" s="748" t="s">
        <v>96</v>
      </c>
      <c r="N1383" s="749"/>
      <c r="O1383" s="749"/>
      <c r="P1383" s="749"/>
      <c r="Q1383" s="749"/>
      <c r="R1383" s="749"/>
      <c r="S1383" s="749"/>
      <c r="T1383" s="749"/>
      <c r="U1383" s="749"/>
      <c r="V1383" s="750"/>
      <c r="Y1383" s="298"/>
      <c r="Z1383" s="299"/>
      <c r="AA1383" s="279"/>
      <c r="AB1383" s="751"/>
      <c r="AC1383" s="752"/>
      <c r="AD1383" s="280"/>
      <c r="AE1383" s="303"/>
    </row>
    <row r="1384" spans="3:31" ht="15.9" customHeight="1" x14ac:dyDescent="0.3">
      <c r="C1384" s="292"/>
      <c r="D1384" s="304"/>
      <c r="E1384" s="305"/>
      <c r="F1384" s="305"/>
      <c r="G1384" s="305"/>
      <c r="H1384" s="305"/>
      <c r="I1384" s="305"/>
      <c r="J1384" s="306"/>
      <c r="K1384" s="293"/>
      <c r="M1384" s="307" t="s">
        <v>97</v>
      </c>
      <c r="N1384" s="741" t="s">
        <v>98</v>
      </c>
      <c r="O1384" s="742"/>
      <c r="P1384" s="742"/>
      <c r="Q1384" s="743"/>
      <c r="R1384" s="307" t="s">
        <v>99</v>
      </c>
      <c r="S1384" s="307" t="s">
        <v>100</v>
      </c>
      <c r="T1384" s="753" t="s">
        <v>8</v>
      </c>
      <c r="U1384" s="754"/>
      <c r="V1384" s="307" t="s">
        <v>101</v>
      </c>
      <c r="Y1384" s="308" t="s">
        <v>107</v>
      </c>
      <c r="Z1384" s="309" t="s">
        <v>9</v>
      </c>
      <c r="AA1384" s="279"/>
      <c r="AB1384" s="290"/>
      <c r="AC1384" s="291"/>
      <c r="AD1384" s="280"/>
      <c r="AE1384" s="310"/>
    </row>
    <row r="1385" spans="3:31" ht="15.9" customHeight="1" x14ac:dyDescent="0.3">
      <c r="C1385" s="292"/>
      <c r="D1385" s="311"/>
      <c r="E1385" s="279"/>
      <c r="F1385" s="279"/>
      <c r="G1385" s="279"/>
      <c r="H1385" s="279"/>
      <c r="I1385" s="279"/>
      <c r="J1385" s="312"/>
      <c r="K1385" s="293"/>
      <c r="M1385" s="313"/>
      <c r="N1385" s="755" t="s">
        <v>102</v>
      </c>
      <c r="O1385" s="756"/>
      <c r="P1385" s="756"/>
      <c r="Q1385" s="757"/>
      <c r="R1385" s="314" t="s">
        <v>103</v>
      </c>
      <c r="S1385" s="315">
        <f>$AA$9</f>
        <v>0.05</v>
      </c>
      <c r="T1385" s="758">
        <f>V1412</f>
        <v>55368</v>
      </c>
      <c r="U1385" s="759"/>
      <c r="V1385" s="316">
        <f>+IFERROR(T1385*S1385,0)</f>
        <v>2768.4</v>
      </c>
      <c r="Y1385" s="317"/>
      <c r="Z1385" s="318">
        <f>Y1381*V1385</f>
        <v>163750.86000000002</v>
      </c>
      <c r="AA1385" s="279"/>
      <c r="AB1385" s="290"/>
      <c r="AC1385" s="291"/>
      <c r="AD1385" s="280"/>
      <c r="AE1385" s="310" t="str">
        <f>+IF(V1385=0,"CERO","NO")</f>
        <v>NO</v>
      </c>
    </row>
    <row r="1386" spans="3:31" ht="15.9" customHeight="1" x14ac:dyDescent="0.3">
      <c r="C1386" s="292"/>
      <c r="D1386" s="311"/>
      <c r="E1386" s="279"/>
      <c r="F1386" s="279"/>
      <c r="G1386" s="279"/>
      <c r="H1386" s="279"/>
      <c r="I1386" s="279"/>
      <c r="J1386" s="312"/>
      <c r="K1386" s="293"/>
      <c r="M1386" s="319">
        <v>0</v>
      </c>
      <c r="N1386" s="755" t="str">
        <f>IFERROR(VLOOKUP(M1386,INSUMOS!$C$8:$K$934,2,0),"-----")</f>
        <v>-----</v>
      </c>
      <c r="O1386" s="756"/>
      <c r="P1386" s="756"/>
      <c r="Q1386" s="757"/>
      <c r="R1386" s="314" t="str">
        <f>IFERROR(VLOOKUP(M1386,INSUMOS!$C$8:$K$934,6,0),"-----")</f>
        <v>-----</v>
      </c>
      <c r="S1386" s="320"/>
      <c r="T1386" s="760" t="str">
        <f>IFERROR(VLOOKUP(M1386,INSUMOS!$C$8:$K$934,7,0),"0")</f>
        <v>0</v>
      </c>
      <c r="U1386" s="761"/>
      <c r="V1386" s="316">
        <f>+IFERROR(T1386*S1386,0)</f>
        <v>0</v>
      </c>
      <c r="Y1386" s="321">
        <f>+IFERROR(Y1381*S1386,0)</f>
        <v>0</v>
      </c>
      <c r="Z1386" s="318">
        <f>Y1381*V1386</f>
        <v>0</v>
      </c>
      <c r="AA1386" s="300"/>
      <c r="AB1386" s="301">
        <f>+Y1386*T1386</f>
        <v>0</v>
      </c>
      <c r="AC1386" s="302">
        <f>+AB1386-Z1386</f>
        <v>0</v>
      </c>
      <c r="AD1386" s="280"/>
      <c r="AE1386" s="310" t="str">
        <f>+IF(V1386=0,"CERO","NO")</f>
        <v>CERO</v>
      </c>
    </row>
    <row r="1387" spans="3:31" ht="15.9" customHeight="1" x14ac:dyDescent="0.3">
      <c r="C1387" s="292"/>
      <c r="D1387" s="311"/>
      <c r="E1387" s="279"/>
      <c r="F1387" s="279"/>
      <c r="G1387" s="279"/>
      <c r="H1387" s="279"/>
      <c r="I1387" s="279"/>
      <c r="J1387" s="312"/>
      <c r="K1387" s="293"/>
      <c r="M1387" s="313">
        <v>0</v>
      </c>
      <c r="N1387" s="755" t="str">
        <f>IFERROR(VLOOKUP(M1387,INSUMOS!$C$8:$K$934,2,0),"-----")</f>
        <v>-----</v>
      </c>
      <c r="O1387" s="756"/>
      <c r="P1387" s="756"/>
      <c r="Q1387" s="757"/>
      <c r="R1387" s="314" t="str">
        <f>IFERROR(VLOOKUP(M1387,INSUMOS!$C$8:$K$934,6,0),"-----")</f>
        <v>-----</v>
      </c>
      <c r="S1387" s="320"/>
      <c r="T1387" s="760" t="str">
        <f>IFERROR(VLOOKUP(M1387,INSUMOS!$C$8:$K$934,7,0),"0")</f>
        <v>0</v>
      </c>
      <c r="U1387" s="761"/>
      <c r="V1387" s="316">
        <f>+IFERROR(T1387*S1387,0)</f>
        <v>0</v>
      </c>
      <c r="Y1387" s="321">
        <f>+IFERROR(Y1381*S1387,0)</f>
        <v>0</v>
      </c>
      <c r="Z1387" s="318">
        <f>Y1381*V1387</f>
        <v>0</v>
      </c>
      <c r="AA1387" s="300"/>
      <c r="AB1387" s="301">
        <f>+Y1387*T1387</f>
        <v>0</v>
      </c>
      <c r="AC1387" s="302">
        <f>+AB1387-Z1387</f>
        <v>0</v>
      </c>
      <c r="AD1387" s="280"/>
      <c r="AE1387" s="310" t="str">
        <f>+IF(V1387=0,"CERO","NO")</f>
        <v>CERO</v>
      </c>
    </row>
    <row r="1388" spans="3:31" ht="15.9" customHeight="1" thickBot="1" x14ac:dyDescent="0.35">
      <c r="C1388" s="292"/>
      <c r="D1388" s="311"/>
      <c r="E1388" s="279"/>
      <c r="F1388" s="279"/>
      <c r="G1388" s="279"/>
      <c r="H1388" s="279"/>
      <c r="I1388" s="279"/>
      <c r="J1388" s="312"/>
      <c r="K1388" s="293"/>
      <c r="M1388" s="313">
        <v>0</v>
      </c>
      <c r="N1388" s="762"/>
      <c r="O1388" s="747"/>
      <c r="P1388" s="747"/>
      <c r="Q1388" s="763"/>
      <c r="R1388" s="326"/>
      <c r="S1388" s="326"/>
      <c r="T1388" s="764"/>
      <c r="U1388" s="765"/>
      <c r="V1388" s="327"/>
      <c r="Y1388" s="321">
        <f>+IFERROR(Y1381*S1388,0)</f>
        <v>0</v>
      </c>
      <c r="Z1388" s="318">
        <f>Y1381*V1388</f>
        <v>0</v>
      </c>
      <c r="AA1388" s="300"/>
      <c r="AB1388" s="301">
        <f>+Y1388*T1388</f>
        <v>0</v>
      </c>
      <c r="AC1388" s="302">
        <f>+AB1388-Z1388</f>
        <v>0</v>
      </c>
      <c r="AD1388" s="280"/>
      <c r="AE1388" s="310" t="str">
        <f>+IF(V1388=0,"CERO","NO")</f>
        <v>CERO</v>
      </c>
    </row>
    <row r="1389" spans="3:31" ht="15.9" customHeight="1" thickBot="1" x14ac:dyDescent="0.35">
      <c r="C1389" s="292"/>
      <c r="D1389" s="295" t="s">
        <v>132</v>
      </c>
      <c r="E1389" s="296" t="s">
        <v>133</v>
      </c>
      <c r="F1389" s="296" t="s">
        <v>134</v>
      </c>
      <c r="G1389" s="296" t="s">
        <v>135</v>
      </c>
      <c r="H1389" s="296" t="s">
        <v>136</v>
      </c>
      <c r="I1389" s="296" t="s">
        <v>137</v>
      </c>
      <c r="J1389" s="297" t="s">
        <v>138</v>
      </c>
      <c r="K1389" s="293"/>
      <c r="M1389" s="724"/>
      <c r="N1389" s="725" t="s">
        <v>104</v>
      </c>
      <c r="O1389" s="725"/>
      <c r="P1389" s="725"/>
      <c r="Q1389" s="725"/>
      <c r="R1389" s="725"/>
      <c r="S1389" s="725"/>
      <c r="T1389" s="725"/>
      <c r="U1389" s="725"/>
      <c r="V1389" s="316">
        <f>+SUM(V1385:V1388)</f>
        <v>2768.4</v>
      </c>
      <c r="Y1389" s="328" t="s">
        <v>139</v>
      </c>
      <c r="Z1389" s="329">
        <f>+SUM(Z1385:Z1388)</f>
        <v>163750.86000000002</v>
      </c>
      <c r="AA1389" s="279"/>
      <c r="AB1389" s="290"/>
      <c r="AC1389" s="291"/>
      <c r="AD1389" s="280"/>
      <c r="AE1389" s="330"/>
    </row>
    <row r="1390" spans="3:31" ht="15.9" customHeight="1" thickBot="1" x14ac:dyDescent="0.35">
      <c r="C1390" s="292"/>
      <c r="D1390" s="295" t="str">
        <f>C1381</f>
        <v>3.7</v>
      </c>
      <c r="E1390" s="296"/>
      <c r="F1390" s="296"/>
      <c r="G1390" s="296"/>
      <c r="H1390" s="296"/>
      <c r="I1390" s="296"/>
      <c r="J1390" s="297"/>
      <c r="K1390" s="293"/>
      <c r="M1390" s="724"/>
      <c r="N1390" s="726" t="s">
        <v>105</v>
      </c>
      <c r="O1390" s="726"/>
      <c r="P1390" s="726"/>
      <c r="Q1390" s="726"/>
      <c r="R1390" s="726"/>
      <c r="S1390" s="726"/>
      <c r="T1390" s="726"/>
      <c r="U1390" s="726"/>
      <c r="V1390" s="344">
        <f>+ROUND(V1389,$AA$2)</f>
        <v>2768</v>
      </c>
      <c r="Y1390" s="332" t="s">
        <v>140</v>
      </c>
      <c r="Z1390" s="333">
        <f>+ROUND(Z1389,$AA$2)</f>
        <v>163751</v>
      </c>
      <c r="AA1390" s="279"/>
      <c r="AB1390" s="324">
        <f>+V1390*Y1381</f>
        <v>163727.19999999998</v>
      </c>
      <c r="AC1390" s="325">
        <f>+AB1390-Z1390</f>
        <v>-23.800000000017462</v>
      </c>
      <c r="AD1390" s="280"/>
      <c r="AE1390" s="334"/>
    </row>
    <row r="1391" spans="3:31" ht="15.9" customHeight="1" x14ac:dyDescent="0.3">
      <c r="C1391" s="292"/>
      <c r="D1391" s="304"/>
      <c r="E1391" s="305"/>
      <c r="F1391" s="305"/>
      <c r="G1391" s="305"/>
      <c r="H1391" s="305"/>
      <c r="I1391" s="305"/>
      <c r="J1391" s="306"/>
      <c r="K1391" s="293"/>
      <c r="M1391" s="730" t="s">
        <v>106</v>
      </c>
      <c r="N1391" s="730"/>
      <c r="O1391" s="730"/>
      <c r="P1391" s="730"/>
      <c r="Q1391" s="730"/>
      <c r="R1391" s="730"/>
      <c r="S1391" s="730"/>
      <c r="T1391" s="730"/>
      <c r="U1391" s="730"/>
      <c r="V1391" s="730"/>
      <c r="Y1391" s="298"/>
      <c r="Z1391" s="299"/>
      <c r="AA1391" s="279"/>
      <c r="AB1391" s="731"/>
      <c r="AC1391" s="732"/>
      <c r="AD1391" s="280"/>
      <c r="AE1391" s="335"/>
    </row>
    <row r="1392" spans="3:31" ht="15.9" customHeight="1" x14ac:dyDescent="0.3">
      <c r="C1392" s="292"/>
      <c r="D1392" s="311"/>
      <c r="E1392" s="279"/>
      <c r="F1392" s="279"/>
      <c r="G1392" s="279"/>
      <c r="H1392" s="279"/>
      <c r="I1392" s="279"/>
      <c r="J1392" s="312"/>
      <c r="K1392" s="293"/>
      <c r="M1392" s="307" t="s">
        <v>97</v>
      </c>
      <c r="N1392" s="706" t="s">
        <v>98</v>
      </c>
      <c r="O1392" s="706"/>
      <c r="P1392" s="706"/>
      <c r="Q1392" s="706"/>
      <c r="R1392" s="307" t="s">
        <v>99</v>
      </c>
      <c r="S1392" s="307" t="s">
        <v>107</v>
      </c>
      <c r="T1392" s="336" t="s">
        <v>108</v>
      </c>
      <c r="U1392" s="336" t="s">
        <v>8</v>
      </c>
      <c r="V1392" s="307" t="s">
        <v>101</v>
      </c>
      <c r="Y1392" s="308" t="s">
        <v>107</v>
      </c>
      <c r="Z1392" s="309" t="s">
        <v>9</v>
      </c>
      <c r="AA1392" s="279"/>
      <c r="AB1392" s="290"/>
      <c r="AC1392" s="291"/>
      <c r="AD1392" s="280"/>
      <c r="AE1392" s="337"/>
    </row>
    <row r="1393" spans="3:31" ht="15.9" customHeight="1" x14ac:dyDescent="0.3">
      <c r="C1393" s="292"/>
      <c r="D1393" s="311"/>
      <c r="E1393" s="279"/>
      <c r="F1393" s="279"/>
      <c r="G1393" s="279"/>
      <c r="H1393" s="279"/>
      <c r="I1393" s="279"/>
      <c r="J1393" s="312"/>
      <c r="K1393" s="293"/>
      <c r="M1393" s="313" t="s">
        <v>226</v>
      </c>
      <c r="N1393" s="718" t="str">
        <f>IFERROR(VLOOKUP(M1393,INSUMOS!$C$8:$K$934,2,0),"-----")</f>
        <v>Concreto de 3000 PSI (210 kg/cm2)</v>
      </c>
      <c r="O1393" s="718"/>
      <c r="P1393" s="718"/>
      <c r="Q1393" s="718"/>
      <c r="R1393" s="314" t="str">
        <f>IFERROR(VLOOKUP(M1393,INSUMOS!$C$8:$K$934,6,0),"-----")</f>
        <v>m3</v>
      </c>
      <c r="S1393" s="322">
        <v>7.0000000000000007E-2</v>
      </c>
      <c r="T1393" s="315">
        <v>0.05</v>
      </c>
      <c r="U1393" s="338">
        <f>IFERROR(VLOOKUP(M1393,INSUMOS!$C$8:$K$934,7,0),"0")</f>
        <v>780085</v>
      </c>
      <c r="V1393" s="316">
        <f>+IFERROR(U1393*(S1393*(1+T1393)),0)</f>
        <v>57336.247500000005</v>
      </c>
      <c r="Y1393" s="321">
        <f>+IFERROR(Y1381*(S1393*(1+T1393)),0)</f>
        <v>4.3475250000000001</v>
      </c>
      <c r="Z1393" s="318">
        <f>Y1381*V1393</f>
        <v>3391439.0396250002</v>
      </c>
      <c r="AA1393" s="300"/>
      <c r="AB1393" s="301">
        <f>+Y1393*U1393</f>
        <v>3391439.0396250002</v>
      </c>
      <c r="AC1393" s="302">
        <f>+AB1393-Z1393</f>
        <v>0</v>
      </c>
      <c r="AD1393" s="280"/>
      <c r="AE1393" s="337" t="str">
        <f t="shared" ref="AE1393:AE1395" si="186">+IF(V1393=0,"CERO","NO")</f>
        <v>NO</v>
      </c>
    </row>
    <row r="1394" spans="3:31" ht="15.9" customHeight="1" x14ac:dyDescent="0.3">
      <c r="C1394" s="292"/>
      <c r="D1394" s="311"/>
      <c r="E1394" s="279"/>
      <c r="F1394" s="279"/>
      <c r="G1394" s="279"/>
      <c r="H1394" s="279"/>
      <c r="I1394" s="279"/>
      <c r="J1394" s="312"/>
      <c r="K1394" s="293"/>
      <c r="M1394" s="313" t="s">
        <v>290</v>
      </c>
      <c r="N1394" s="718" t="str">
        <f>IFERROR(VLOOKUP(M1394,INSUMOS!$C$8:$K$934,2,0),"-----")</f>
        <v>Mortero 1:3</v>
      </c>
      <c r="O1394" s="718"/>
      <c r="P1394" s="718"/>
      <c r="Q1394" s="718"/>
      <c r="R1394" s="314" t="str">
        <f>IFERROR(VLOOKUP(M1394,INSUMOS!$C$8:$K$934,6,0),"-----")</f>
        <v>m3</v>
      </c>
      <c r="S1394" s="322">
        <v>0.03</v>
      </c>
      <c r="T1394" s="315">
        <v>0.02</v>
      </c>
      <c r="U1394" s="338">
        <f>IFERROR(VLOOKUP(M1394,INSUMOS!$C$8:$K$934,7,0),"0")</f>
        <v>812745</v>
      </c>
      <c r="V1394" s="316">
        <f>+IFERROR(U1394*(S1394*(1+T1394)),0)</f>
        <v>24869.996999999999</v>
      </c>
      <c r="Y1394" s="321">
        <f>+IFERROR(Y1381*(S1394*(1+T1394)),0)</f>
        <v>1.80999</v>
      </c>
      <c r="Z1394" s="318">
        <f>Y1381*V1394</f>
        <v>1471060.3225499999</v>
      </c>
      <c r="AA1394" s="300"/>
      <c r="AB1394" s="301">
        <f t="shared" ref="AB1394:AB1395" si="187">+Y1394*U1394</f>
        <v>1471060.3225499999</v>
      </c>
      <c r="AC1394" s="302">
        <f t="shared" ref="AC1394:AC1395" si="188">+AB1394-Z1394</f>
        <v>0</v>
      </c>
      <c r="AD1394" s="280"/>
      <c r="AE1394" s="337" t="str">
        <f t="shared" si="186"/>
        <v>NO</v>
      </c>
    </row>
    <row r="1395" spans="3:31" ht="15.9" customHeight="1" thickBot="1" x14ac:dyDescent="0.35">
      <c r="C1395" s="292"/>
      <c r="D1395" s="311"/>
      <c r="E1395" s="279"/>
      <c r="F1395" s="279"/>
      <c r="G1395" s="279"/>
      <c r="H1395" s="279"/>
      <c r="I1395" s="279"/>
      <c r="J1395" s="312"/>
      <c r="K1395" s="293"/>
      <c r="M1395" s="313">
        <v>425</v>
      </c>
      <c r="N1395" s="718" t="str">
        <f>IFERROR(VLOOKUP(M1395,INSUMOS!$C$8:$K$934,2,0),"-----")</f>
        <v>Piedra labor para andenes</v>
      </c>
      <c r="O1395" s="718"/>
      <c r="P1395" s="718"/>
      <c r="Q1395" s="718"/>
      <c r="R1395" s="314" t="str">
        <f>IFERROR(VLOOKUP(M1395,INSUMOS!$C$8:$K$934,6,0),"-----")</f>
        <v>m2</v>
      </c>
      <c r="S1395" s="322">
        <v>1</v>
      </c>
      <c r="T1395" s="315">
        <v>0.02</v>
      </c>
      <c r="U1395" s="338">
        <f>IFERROR(VLOOKUP(M1395,INSUMOS!$C$8:$K$934,7,0),"0")</f>
        <v>72500</v>
      </c>
      <c r="V1395" s="316">
        <f>+IFERROR(U1395*(S1395*(1+T1395)),0)</f>
        <v>73950</v>
      </c>
      <c r="Y1395" s="321">
        <f>+IFERROR(Y1381*(S1395*(1+T1395)),0)</f>
        <v>60.332999999999998</v>
      </c>
      <c r="Z1395" s="318">
        <f>Y1381*V1395</f>
        <v>4374142.5</v>
      </c>
      <c r="AA1395" s="300"/>
      <c r="AB1395" s="301">
        <f t="shared" si="187"/>
        <v>4374142.5</v>
      </c>
      <c r="AC1395" s="302">
        <f t="shared" si="188"/>
        <v>0</v>
      </c>
      <c r="AD1395" s="280"/>
      <c r="AE1395" s="337" t="str">
        <f t="shared" si="186"/>
        <v>NO</v>
      </c>
    </row>
    <row r="1396" spans="3:31" ht="15.9" customHeight="1" thickBot="1" x14ac:dyDescent="0.35">
      <c r="C1396" s="292"/>
      <c r="D1396" s="295" t="s">
        <v>132</v>
      </c>
      <c r="E1396" s="296" t="s">
        <v>133</v>
      </c>
      <c r="F1396" s="296" t="s">
        <v>134</v>
      </c>
      <c r="G1396" s="296" t="s">
        <v>135</v>
      </c>
      <c r="H1396" s="296" t="s">
        <v>136</v>
      </c>
      <c r="I1396" s="296" t="s">
        <v>137</v>
      </c>
      <c r="J1396" s="297" t="s">
        <v>138</v>
      </c>
      <c r="K1396" s="293"/>
      <c r="M1396" s="724"/>
      <c r="N1396" s="725" t="s">
        <v>109</v>
      </c>
      <c r="O1396" s="725"/>
      <c r="P1396" s="725"/>
      <c r="Q1396" s="725"/>
      <c r="R1396" s="725"/>
      <c r="S1396" s="725"/>
      <c r="T1396" s="725"/>
      <c r="U1396" s="725"/>
      <c r="V1396" s="316">
        <f>+SUM(V1393:V1395)</f>
        <v>156156.2445</v>
      </c>
      <c r="Y1396" s="328" t="s">
        <v>139</v>
      </c>
      <c r="Z1396" s="329">
        <f>+SUM(Z1393:Z1395)</f>
        <v>9236641.862174999</v>
      </c>
      <c r="AA1396" s="279"/>
      <c r="AB1396" s="290"/>
      <c r="AC1396" s="291"/>
      <c r="AD1396" s="280"/>
      <c r="AE1396" s="330"/>
    </row>
    <row r="1397" spans="3:31" ht="15.9" customHeight="1" thickBot="1" x14ac:dyDescent="0.35">
      <c r="C1397" s="292"/>
      <c r="D1397" s="295"/>
      <c r="E1397" s="343" t="str">
        <f>+D1390</f>
        <v>3.7</v>
      </c>
      <c r="F1397" s="296"/>
      <c r="G1397" s="296"/>
      <c r="H1397" s="296"/>
      <c r="I1397" s="296"/>
      <c r="J1397" s="297"/>
      <c r="K1397" s="293"/>
      <c r="M1397" s="724"/>
      <c r="N1397" s="726" t="s">
        <v>110</v>
      </c>
      <c r="O1397" s="726"/>
      <c r="P1397" s="726"/>
      <c r="Q1397" s="726"/>
      <c r="R1397" s="726"/>
      <c r="S1397" s="726"/>
      <c r="T1397" s="726"/>
      <c r="U1397" s="726"/>
      <c r="V1397" s="344">
        <f>+ROUND(V1396,$AA$2)</f>
        <v>156156</v>
      </c>
      <c r="Y1397" s="332" t="s">
        <v>140</v>
      </c>
      <c r="Z1397" s="333">
        <f>+ROUND(Z1396,$AA$2)</f>
        <v>9236642</v>
      </c>
      <c r="AA1397" s="279"/>
      <c r="AB1397" s="324">
        <f>+V1397*Y1381</f>
        <v>9236627.4000000004</v>
      </c>
      <c r="AC1397" s="325">
        <f>+AB1397-Z1397</f>
        <v>-14.599999999627471</v>
      </c>
      <c r="AD1397" s="280"/>
      <c r="AE1397" s="334"/>
    </row>
    <row r="1398" spans="3:31" ht="15.9" customHeight="1" x14ac:dyDescent="0.3">
      <c r="C1398" s="292"/>
      <c r="D1398" s="304"/>
      <c r="E1398" s="305"/>
      <c r="F1398" s="305"/>
      <c r="G1398" s="305"/>
      <c r="H1398" s="305"/>
      <c r="I1398" s="305"/>
      <c r="J1398" s="306"/>
      <c r="K1398" s="293"/>
      <c r="M1398" s="733" t="s">
        <v>111</v>
      </c>
      <c r="N1398" s="733"/>
      <c r="O1398" s="733"/>
      <c r="P1398" s="733"/>
      <c r="Q1398" s="733"/>
      <c r="R1398" s="733"/>
      <c r="S1398" s="733"/>
      <c r="T1398" s="733"/>
      <c r="U1398" s="733"/>
      <c r="V1398" s="733"/>
      <c r="Y1398" s="298"/>
      <c r="Z1398" s="299"/>
      <c r="AA1398" s="279"/>
      <c r="AB1398" s="342"/>
      <c r="AC1398" s="299"/>
      <c r="AD1398" s="280"/>
      <c r="AE1398" s="335"/>
    </row>
    <row r="1399" spans="3:31" ht="27.6" x14ac:dyDescent="0.3">
      <c r="C1399" s="292"/>
      <c r="D1399" s="311"/>
      <c r="E1399" s="279"/>
      <c r="F1399" s="279"/>
      <c r="G1399" s="279"/>
      <c r="H1399" s="279"/>
      <c r="I1399" s="279"/>
      <c r="J1399" s="312"/>
      <c r="K1399" s="293"/>
      <c r="M1399" s="307" t="s">
        <v>97</v>
      </c>
      <c r="N1399" s="706" t="s">
        <v>98</v>
      </c>
      <c r="O1399" s="706"/>
      <c r="P1399" s="706"/>
      <c r="Q1399" s="307" t="s">
        <v>112</v>
      </c>
      <c r="R1399" s="307" t="s">
        <v>113</v>
      </c>
      <c r="S1399" s="307" t="s">
        <v>114</v>
      </c>
      <c r="T1399" s="734" t="s">
        <v>115</v>
      </c>
      <c r="U1399" s="734"/>
      <c r="V1399" s="307" t="s">
        <v>101</v>
      </c>
      <c r="Y1399" s="308" t="s">
        <v>107</v>
      </c>
      <c r="Z1399" s="309" t="s">
        <v>9</v>
      </c>
      <c r="AA1399" s="279"/>
      <c r="AB1399" s="290"/>
      <c r="AC1399" s="291"/>
      <c r="AD1399" s="280"/>
      <c r="AE1399" s="349"/>
    </row>
    <row r="1400" spans="3:31" ht="14.4" x14ac:dyDescent="0.3">
      <c r="C1400" s="350"/>
      <c r="D1400" s="351"/>
      <c r="E1400" s="345"/>
      <c r="F1400" s="345"/>
      <c r="G1400" s="345"/>
      <c r="H1400" s="345"/>
      <c r="I1400" s="345"/>
      <c r="J1400" s="352"/>
      <c r="K1400" s="353"/>
      <c r="M1400" s="354">
        <v>106</v>
      </c>
      <c r="N1400" s="718" t="str">
        <f>IFERROR(VLOOKUP(M1400,INSUMOS!$C$8:$K$934,2,0),"-----")</f>
        <v>Transporte Piedra Barichara</v>
      </c>
      <c r="O1400" s="718"/>
      <c r="P1400" s="718"/>
      <c r="Q1400" s="314" t="str">
        <f>IFERROR(VLOOKUP(M1400,INSUMOS!$C$8:$K$934,5,0),"-----")</f>
        <v>m3/km</v>
      </c>
      <c r="R1400" s="355">
        <v>0.15</v>
      </c>
      <c r="S1400" s="355">
        <f>IFERROR(VLOOKUP(M1400,INSUMOS!$C$8:$K$934,6,0),"0")</f>
        <v>35</v>
      </c>
      <c r="T1400" s="719">
        <f>IFERROR(VLOOKUP(M1400,INSUMOS!$C$8:$K$934,7,0),"0")</f>
        <v>2800</v>
      </c>
      <c r="U1400" s="719"/>
      <c r="V1400" s="515">
        <f>+T1400*S1400*R1400</f>
        <v>14700</v>
      </c>
      <c r="Y1400" s="321">
        <f>+IFERROR((R1400*S1400)*Y1381,0)</f>
        <v>310.53749999999997</v>
      </c>
      <c r="Z1400" s="318">
        <f>Y1381*V1400</f>
        <v>869505</v>
      </c>
      <c r="AA1400" s="345"/>
      <c r="AB1400" s="346">
        <f>+Y1400*T1400</f>
        <v>869504.99999999988</v>
      </c>
      <c r="AC1400" s="347">
        <f>+AB1400-Z1400</f>
        <v>0</v>
      </c>
      <c r="AD1400" s="348"/>
      <c r="AE1400" s="337" t="str">
        <f t="shared" ref="AE1400:AE1403" si="189">+IF(V1400=0,"CERO","NO")</f>
        <v>NO</v>
      </c>
    </row>
    <row r="1401" spans="3:31" ht="15.9" customHeight="1" x14ac:dyDescent="0.3">
      <c r="C1401" s="350"/>
      <c r="D1401" s="351"/>
      <c r="E1401" s="345"/>
      <c r="F1401" s="345"/>
      <c r="G1401" s="345"/>
      <c r="H1401" s="345"/>
      <c r="I1401" s="345"/>
      <c r="J1401" s="352"/>
      <c r="K1401" s="353"/>
      <c r="M1401" s="354">
        <v>0</v>
      </c>
      <c r="N1401" s="718" t="str">
        <f>IFERROR(VLOOKUP(M1401,INSUMOS!$C$8:$K$934,2,0),"-----")</f>
        <v>-----</v>
      </c>
      <c r="O1401" s="718"/>
      <c r="P1401" s="718"/>
      <c r="Q1401" s="314" t="str">
        <f>IFERROR(VLOOKUP(M1401,INSUMOS!$C$8:$K$934,5,0),"-----")</f>
        <v>-----</v>
      </c>
      <c r="R1401" s="355"/>
      <c r="S1401" s="355" t="str">
        <f>IFERROR(VLOOKUP(M1401,INSUMOS!$C$8:$K$934,6,0),"0")</f>
        <v>0</v>
      </c>
      <c r="T1401" s="719" t="str">
        <f>IFERROR(VLOOKUP(M1401,INSUMOS!$C$8:$K$934,7,0),"0")</f>
        <v>0</v>
      </c>
      <c r="U1401" s="719"/>
      <c r="V1401" s="515">
        <f>+T1401*S1401*R1401</f>
        <v>0</v>
      </c>
      <c r="Y1401" s="321">
        <f>+IFERROR((R1401*S1401)*Y1381,0)</f>
        <v>0</v>
      </c>
      <c r="Z1401" s="318">
        <f>Y1381*V1401</f>
        <v>0</v>
      </c>
      <c r="AA1401" s="345"/>
      <c r="AB1401" s="346">
        <f>+Y1401*T1401</f>
        <v>0</v>
      </c>
      <c r="AC1401" s="347">
        <f>+AB1401-Z1401</f>
        <v>0</v>
      </c>
      <c r="AD1401" s="348"/>
      <c r="AE1401" s="337" t="str">
        <f t="shared" si="189"/>
        <v>CERO</v>
      </c>
    </row>
    <row r="1402" spans="3:31" ht="15.9" customHeight="1" x14ac:dyDescent="0.3">
      <c r="C1402" s="350"/>
      <c r="D1402" s="351"/>
      <c r="E1402" s="345"/>
      <c r="F1402" s="345"/>
      <c r="G1402" s="345"/>
      <c r="H1402" s="345"/>
      <c r="I1402" s="345"/>
      <c r="J1402" s="352"/>
      <c r="K1402" s="353"/>
      <c r="M1402" s="354">
        <v>0</v>
      </c>
      <c r="N1402" s="718" t="str">
        <f>IFERROR(VLOOKUP(M1402,INSUMOS!$C$8:$K$934,2,0),"-----")</f>
        <v>-----</v>
      </c>
      <c r="O1402" s="718"/>
      <c r="P1402" s="718"/>
      <c r="Q1402" s="314" t="str">
        <f>IFERROR(VLOOKUP(M1402,INSUMOS!$C$8:$K$934,5,0),"-----")</f>
        <v>-----</v>
      </c>
      <c r="R1402" s="355"/>
      <c r="S1402" s="355" t="str">
        <f>IFERROR(VLOOKUP(M1402,INSUMOS!$C$8:$K$934,6,0),"0")</f>
        <v>0</v>
      </c>
      <c r="T1402" s="719" t="str">
        <f>IFERROR(VLOOKUP(M1402,INSUMOS!$C$8:$K$934,7,0),"0")</f>
        <v>0</v>
      </c>
      <c r="U1402" s="719"/>
      <c r="V1402" s="515">
        <f>+T1402*S1402*R1402</f>
        <v>0</v>
      </c>
      <c r="Y1402" s="321">
        <f>+IFERROR((R1402*S1402)*Y1381,0)</f>
        <v>0</v>
      </c>
      <c r="Z1402" s="318">
        <f>Y1381*V1402</f>
        <v>0</v>
      </c>
      <c r="AA1402" s="345"/>
      <c r="AB1402" s="346">
        <f t="shared" ref="AB1402" si="190">+Y1402*T1402</f>
        <v>0</v>
      </c>
      <c r="AC1402" s="347">
        <f t="shared" ref="AC1402" si="191">+AB1402-Z1402</f>
        <v>0</v>
      </c>
      <c r="AD1402" s="348"/>
      <c r="AE1402" s="337" t="str">
        <f t="shared" si="189"/>
        <v>CERO</v>
      </c>
    </row>
    <row r="1403" spans="3:31" ht="15.9" customHeight="1" thickBot="1" x14ac:dyDescent="0.35">
      <c r="C1403" s="350"/>
      <c r="D1403" s="360"/>
      <c r="E1403" s="361"/>
      <c r="F1403" s="361"/>
      <c r="G1403" s="361"/>
      <c r="H1403" s="361"/>
      <c r="I1403" s="361"/>
      <c r="J1403" s="362"/>
      <c r="K1403" s="353"/>
      <c r="M1403" s="354">
        <v>0</v>
      </c>
      <c r="N1403" s="718"/>
      <c r="O1403" s="718"/>
      <c r="P1403" s="718"/>
      <c r="Q1403" s="357"/>
      <c r="R1403" s="314"/>
      <c r="S1403" s="358"/>
      <c r="T1403" s="719"/>
      <c r="U1403" s="719"/>
      <c r="V1403" s="515"/>
      <c r="Y1403" s="321">
        <f>+IFERROR((R1403*S1403)*Y1381,0)</f>
        <v>0</v>
      </c>
      <c r="Z1403" s="318">
        <f>Y1381*V1403</f>
        <v>0</v>
      </c>
      <c r="AA1403" s="345"/>
      <c r="AB1403" s="346">
        <f>+Y1403*T1403</f>
        <v>0</v>
      </c>
      <c r="AC1403" s="347">
        <f>+AB1403-Z1403</f>
        <v>0</v>
      </c>
      <c r="AD1403" s="348"/>
      <c r="AE1403" s="337" t="str">
        <f t="shared" si="189"/>
        <v>CERO</v>
      </c>
    </row>
    <row r="1404" spans="3:31" ht="15.9" customHeight="1" thickBot="1" x14ac:dyDescent="0.35">
      <c r="C1404" s="292"/>
      <c r="D1404" s="295" t="s">
        <v>132</v>
      </c>
      <c r="E1404" s="296" t="s">
        <v>133</v>
      </c>
      <c r="F1404" s="296" t="s">
        <v>134</v>
      </c>
      <c r="G1404" s="296" t="s">
        <v>135</v>
      </c>
      <c r="H1404" s="296" t="s">
        <v>136</v>
      </c>
      <c r="I1404" s="296" t="s">
        <v>137</v>
      </c>
      <c r="J1404" s="297" t="s">
        <v>138</v>
      </c>
      <c r="K1404" s="293"/>
      <c r="M1404" s="720"/>
      <c r="N1404" s="721" t="s">
        <v>116</v>
      </c>
      <c r="O1404" s="721"/>
      <c r="P1404" s="721"/>
      <c r="Q1404" s="721"/>
      <c r="R1404" s="721"/>
      <c r="S1404" s="721"/>
      <c r="T1404" s="721"/>
      <c r="U1404" s="721"/>
      <c r="V1404" s="499">
        <f>+SUM(V1400:V1403)</f>
        <v>14700</v>
      </c>
      <c r="Y1404" s="328" t="s">
        <v>139</v>
      </c>
      <c r="Z1404" s="329">
        <f>+SUM(Z1400:Z1403)</f>
        <v>869505</v>
      </c>
      <c r="AA1404" s="279"/>
      <c r="AB1404" s="290"/>
      <c r="AC1404" s="291"/>
      <c r="AD1404" s="280"/>
      <c r="AE1404" s="330"/>
    </row>
    <row r="1405" spans="3:31" ht="15.9" customHeight="1" thickBot="1" x14ac:dyDescent="0.35">
      <c r="C1405" s="292"/>
      <c r="D1405" s="363"/>
      <c r="E1405" s="364"/>
      <c r="F1405" s="365" t="str">
        <f>+E1397</f>
        <v>3.7</v>
      </c>
      <c r="G1405" s="364"/>
      <c r="H1405" s="364"/>
      <c r="I1405" s="364"/>
      <c r="J1405" s="366"/>
      <c r="K1405" s="293"/>
      <c r="M1405" s="720"/>
      <c r="N1405" s="722" t="s">
        <v>117</v>
      </c>
      <c r="O1405" s="722"/>
      <c r="P1405" s="722"/>
      <c r="Q1405" s="722"/>
      <c r="R1405" s="722"/>
      <c r="S1405" s="722"/>
      <c r="T1405" s="722"/>
      <c r="U1405" s="722"/>
      <c r="V1405" s="344">
        <f>+ROUND(V1404,$AA$2)</f>
        <v>14700</v>
      </c>
      <c r="Y1405" s="332" t="s">
        <v>140</v>
      </c>
      <c r="Z1405" s="333">
        <f>+ROUND(Z1404,$AA$2)</f>
        <v>869505</v>
      </c>
      <c r="AA1405" s="279"/>
      <c r="AB1405" s="324">
        <f>+V1405*Y1381</f>
        <v>869505</v>
      </c>
      <c r="AC1405" s="359"/>
      <c r="AD1405" s="280"/>
      <c r="AE1405" s="334"/>
    </row>
    <row r="1406" spans="3:31" ht="15.9" customHeight="1" thickBot="1" x14ac:dyDescent="0.35">
      <c r="C1406" s="292"/>
      <c r="D1406" s="369"/>
      <c r="E1406" s="370"/>
      <c r="F1406" s="370"/>
      <c r="G1406" s="370"/>
      <c r="H1406" s="370"/>
      <c r="I1406" s="370"/>
      <c r="J1406" s="371"/>
      <c r="K1406" s="293"/>
      <c r="M1406" s="723" t="s">
        <v>118</v>
      </c>
      <c r="N1406" s="723"/>
      <c r="O1406" s="723"/>
      <c r="P1406" s="723"/>
      <c r="Q1406" s="723"/>
      <c r="R1406" s="723"/>
      <c r="S1406" s="723"/>
      <c r="T1406" s="723"/>
      <c r="U1406" s="723"/>
      <c r="V1406" s="723"/>
      <c r="Y1406" s="298"/>
      <c r="Z1406" s="299"/>
      <c r="AA1406" s="279"/>
      <c r="AB1406" s="342"/>
      <c r="AC1406" s="299"/>
      <c r="AD1406" s="280"/>
      <c r="AE1406" s="335"/>
    </row>
    <row r="1407" spans="3:31" ht="15.9" customHeight="1" thickBot="1" x14ac:dyDescent="0.35">
      <c r="C1407" s="292"/>
      <c r="D1407" s="295" t="s">
        <v>132</v>
      </c>
      <c r="E1407" s="296" t="s">
        <v>133</v>
      </c>
      <c r="F1407" s="296" t="s">
        <v>134</v>
      </c>
      <c r="G1407" s="296" t="s">
        <v>135</v>
      </c>
      <c r="H1407" s="296" t="s">
        <v>136</v>
      </c>
      <c r="I1407" s="296" t="s">
        <v>137</v>
      </c>
      <c r="J1407" s="297" t="s">
        <v>138</v>
      </c>
      <c r="K1407" s="293"/>
      <c r="M1407" s="307" t="s">
        <v>97</v>
      </c>
      <c r="N1407" s="372" t="s">
        <v>98</v>
      </c>
      <c r="O1407" s="307" t="s">
        <v>99</v>
      </c>
      <c r="P1407" s="396" t="s">
        <v>107</v>
      </c>
      <c r="Q1407" s="307" t="s">
        <v>119</v>
      </c>
      <c r="R1407" s="373" t="s">
        <v>120</v>
      </c>
      <c r="S1407" s="307" t="s">
        <v>363</v>
      </c>
      <c r="T1407" s="374" t="s">
        <v>121</v>
      </c>
      <c r="U1407" s="375" t="s">
        <v>122</v>
      </c>
      <c r="V1407" s="307" t="s">
        <v>101</v>
      </c>
      <c r="Y1407" s="308" t="s">
        <v>107</v>
      </c>
      <c r="Z1407" s="309" t="s">
        <v>9</v>
      </c>
      <c r="AA1407" s="279"/>
      <c r="AB1407" s="290"/>
      <c r="AC1407" s="291"/>
      <c r="AD1407" s="280"/>
      <c r="AE1407" s="349"/>
    </row>
    <row r="1408" spans="3:31" ht="14.4" x14ac:dyDescent="0.3">
      <c r="C1408" s="292"/>
      <c r="D1408" s="376"/>
      <c r="E1408" s="377"/>
      <c r="F1408" s="377"/>
      <c r="G1408" s="377"/>
      <c r="H1408" s="377"/>
      <c r="I1408" s="377"/>
      <c r="J1408" s="378" t="str">
        <f>+F1405</f>
        <v>3.7</v>
      </c>
      <c r="K1408" s="293"/>
      <c r="M1408" s="313">
        <v>201</v>
      </c>
      <c r="N1408" s="379" t="str">
        <f>IFERROR(VLOOKUP(M1408,INSUMOS!$C$8:$K$934,2,0),"-----")</f>
        <v>Oficial Albañileria</v>
      </c>
      <c r="O1408" s="314" t="str">
        <f>IFERROR(VLOOKUP(M1408,INSUMOS!$C$8:$K$934,3,0),"-----")</f>
        <v>JORNAL+PS</v>
      </c>
      <c r="P1408" s="355">
        <v>1</v>
      </c>
      <c r="Q1408" s="339">
        <v>13</v>
      </c>
      <c r="R1408" s="380">
        <f>IFERROR(VLOOKUP(M1408,INSUMOS!$C$8:$K$934,4,0),"-----")</f>
        <v>114970</v>
      </c>
      <c r="S1408" s="380">
        <f>IFERROR(VLOOKUP(M1408,INSUMOS!$C$8:$K$934,6,0),"-----")</f>
        <v>91976</v>
      </c>
      <c r="T1408" s="380">
        <f>IFERROR(VLOOKUP(M1408,INSUMOS!$C$8:$K$934,5,0),"-----")</f>
        <v>0</v>
      </c>
      <c r="U1408" s="338">
        <f>SUM(R1408:T1408)</f>
        <v>206946</v>
      </c>
      <c r="V1408" s="316">
        <f>+IFERROR((P1408/Q1408)*U1408,0)</f>
        <v>15918.923076923078</v>
      </c>
      <c r="Y1408" s="321">
        <f>+IFERROR((Y1381/Q1408*P1408),0)</f>
        <v>4.55</v>
      </c>
      <c r="Z1408" s="318">
        <f>Y1381*V1408</f>
        <v>941604.3</v>
      </c>
      <c r="AA1408" s="279"/>
      <c r="AB1408" s="367">
        <f>+(U1408)*Y1408</f>
        <v>941604.29999999993</v>
      </c>
      <c r="AC1408" s="302">
        <f>+AB1408-Z1408</f>
        <v>0</v>
      </c>
      <c r="AD1408" s="368"/>
      <c r="AE1408" s="349" t="str">
        <f>+IF(V1408=0,"CERO","NO")</f>
        <v>NO</v>
      </c>
    </row>
    <row r="1409" spans="3:31" ht="15.9" customHeight="1" thickBot="1" x14ac:dyDescent="0.35">
      <c r="C1409" s="292"/>
      <c r="D1409" s="363"/>
      <c r="E1409" s="364"/>
      <c r="F1409" s="364"/>
      <c r="G1409" s="364"/>
      <c r="H1409" s="364"/>
      <c r="I1409" s="364"/>
      <c r="J1409" s="381" t="str">
        <f>+J1408</f>
        <v>3.7</v>
      </c>
      <c r="K1409" s="293"/>
      <c r="M1409" s="313">
        <v>202</v>
      </c>
      <c r="N1409" s="379" t="str">
        <f>IFERROR(VLOOKUP(M1409,INSUMOS!$C$8:$K$934,2,0),"-----")</f>
        <v>Ayudante Albañileria</v>
      </c>
      <c r="O1409" s="314" t="str">
        <f>IFERROR(VLOOKUP(M1409,INSUMOS!$C$8:$K$934,3,0),"-----")</f>
        <v>JORNAL+PS</v>
      </c>
      <c r="P1409" s="355">
        <v>3</v>
      </c>
      <c r="Q1409" s="339">
        <v>13</v>
      </c>
      <c r="R1409" s="380">
        <f>IFERROR(VLOOKUP(M1409,INSUMOS!$C$8:$K$934,4,0),"-----")</f>
        <v>94970</v>
      </c>
      <c r="S1409" s="380">
        <f>IFERROR(VLOOKUP(M1409,INSUMOS!$C$8:$K$934,6,0),"-----")</f>
        <v>75976</v>
      </c>
      <c r="T1409" s="380">
        <f>IFERROR(VLOOKUP(M1409,INSUMOS!$C$8:$K$934,5,0),"-----")</f>
        <v>0</v>
      </c>
      <c r="U1409" s="338">
        <f>SUM(R1409:T1409)</f>
        <v>170946</v>
      </c>
      <c r="V1409" s="316">
        <f>+IFERROR((P1409/Q1409)*U1409,0)</f>
        <v>39449.076923076922</v>
      </c>
      <c r="Y1409" s="321">
        <f>+IFERROR((Y1381/Q1409*P1409),0)</f>
        <v>13.649999999999999</v>
      </c>
      <c r="Z1409" s="318">
        <f>Y1381*V1409</f>
        <v>2333412.9</v>
      </c>
      <c r="AA1409" s="279"/>
      <c r="AB1409" s="367">
        <f>+U1409*Y1409</f>
        <v>2333412.9</v>
      </c>
      <c r="AC1409" s="302">
        <f>+AB1409-Z1409</f>
        <v>0</v>
      </c>
      <c r="AD1409" s="280"/>
      <c r="AE1409" s="349" t="str">
        <f t="shared" ref="AE1409:AE1410" si="192">+IF(V1409=0,"CERO","NO")</f>
        <v>NO</v>
      </c>
    </row>
    <row r="1410" spans="3:31" ht="15.9" customHeight="1" thickBot="1" x14ac:dyDescent="0.35">
      <c r="C1410" s="292"/>
      <c r="D1410" s="304"/>
      <c r="E1410" s="305"/>
      <c r="F1410" s="305"/>
      <c r="G1410" s="305"/>
      <c r="H1410" s="305"/>
      <c r="I1410" s="305"/>
      <c r="J1410" s="306"/>
      <c r="K1410" s="293"/>
      <c r="M1410" s="313">
        <v>0</v>
      </c>
      <c r="N1410" s="379"/>
      <c r="O1410" s="339"/>
      <c r="P1410" s="382"/>
      <c r="Q1410" s="319"/>
      <c r="R1410" s="383"/>
      <c r="S1410" s="384"/>
      <c r="T1410" s="383"/>
      <c r="U1410" s="338"/>
      <c r="V1410" s="323"/>
      <c r="Y1410" s="321">
        <f>+IFERROR((Y1381/Q1410*P1410),0)</f>
        <v>0</v>
      </c>
      <c r="Z1410" s="318">
        <f>Y1381*V1410</f>
        <v>0</v>
      </c>
      <c r="AA1410" s="279"/>
      <c r="AB1410" s="367">
        <f>+(U1410)*Y1410*P1410</f>
        <v>0</v>
      </c>
      <c r="AC1410" s="302">
        <f>+AB1410-Z1410</f>
        <v>0</v>
      </c>
      <c r="AD1410" s="280"/>
      <c r="AE1410" s="349" t="str">
        <f t="shared" si="192"/>
        <v>CERO</v>
      </c>
    </row>
    <row r="1411" spans="3:31" ht="15.9" customHeight="1" thickBot="1" x14ac:dyDescent="0.35">
      <c r="C1411" s="292"/>
      <c r="D1411" s="295" t="s">
        <v>132</v>
      </c>
      <c r="E1411" s="296" t="s">
        <v>133</v>
      </c>
      <c r="F1411" s="296" t="s">
        <v>134</v>
      </c>
      <c r="G1411" s="296" t="s">
        <v>135</v>
      </c>
      <c r="H1411" s="296" t="s">
        <v>136</v>
      </c>
      <c r="I1411" s="296" t="s">
        <v>137</v>
      </c>
      <c r="J1411" s="297" t="s">
        <v>138</v>
      </c>
      <c r="K1411" s="293"/>
      <c r="M1411" s="724"/>
      <c r="N1411" s="725" t="s">
        <v>123</v>
      </c>
      <c r="O1411" s="725"/>
      <c r="P1411" s="725"/>
      <c r="Q1411" s="725"/>
      <c r="R1411" s="725"/>
      <c r="S1411" s="725"/>
      <c r="T1411" s="725"/>
      <c r="U1411" s="725"/>
      <c r="V1411" s="316">
        <f>+SUM(V1408:V1410)</f>
        <v>55368</v>
      </c>
      <c r="Y1411" s="328" t="s">
        <v>139</v>
      </c>
      <c r="Z1411" s="329">
        <f>+SUM(Z1408:Z1410)</f>
        <v>3275017.2</v>
      </c>
      <c r="AA1411" s="279"/>
      <c r="AB1411" s="290"/>
      <c r="AC1411" s="291"/>
      <c r="AD1411" s="280"/>
      <c r="AE1411" s="330"/>
    </row>
    <row r="1412" spans="3:31" ht="15.9" customHeight="1" thickBot="1" x14ac:dyDescent="0.35">
      <c r="C1412" s="292"/>
      <c r="D1412" s="376"/>
      <c r="E1412" s="377"/>
      <c r="F1412" s="377"/>
      <c r="G1412" s="386" t="str">
        <f>+F1405</f>
        <v>3.7</v>
      </c>
      <c r="H1412" s="377"/>
      <c r="I1412" s="377"/>
      <c r="J1412" s="387"/>
      <c r="K1412" s="293"/>
      <c r="M1412" s="724"/>
      <c r="N1412" s="726" t="s">
        <v>124</v>
      </c>
      <c r="O1412" s="726"/>
      <c r="P1412" s="726"/>
      <c r="Q1412" s="726"/>
      <c r="R1412" s="726"/>
      <c r="S1412" s="726"/>
      <c r="T1412" s="726"/>
      <c r="U1412" s="726"/>
      <c r="V1412" s="344">
        <f>+ROUND(V1411,$AA$2)</f>
        <v>55368</v>
      </c>
      <c r="Y1412" s="332" t="s">
        <v>140</v>
      </c>
      <c r="Z1412" s="333">
        <f>+ROUND(Z1411,$AA$2)</f>
        <v>3275017</v>
      </c>
      <c r="AA1412" s="279"/>
      <c r="AB1412" s="324">
        <f>+V1412*Y1381</f>
        <v>3275017.1999999997</v>
      </c>
      <c r="AC1412" s="325">
        <f>+AB1412-Z1412</f>
        <v>0.19999999972060323</v>
      </c>
      <c r="AD1412" s="280"/>
      <c r="AE1412" s="334"/>
    </row>
    <row r="1413" spans="3:31" ht="15.9" customHeight="1" thickBot="1" x14ac:dyDescent="0.35">
      <c r="C1413" s="292"/>
      <c r="D1413" s="295" t="s">
        <v>132</v>
      </c>
      <c r="E1413" s="296" t="s">
        <v>133</v>
      </c>
      <c r="F1413" s="296" t="s">
        <v>134</v>
      </c>
      <c r="G1413" s="296" t="s">
        <v>135</v>
      </c>
      <c r="H1413" s="296" t="s">
        <v>136</v>
      </c>
      <c r="I1413" s="296" t="s">
        <v>137</v>
      </c>
      <c r="J1413" s="297" t="s">
        <v>138</v>
      </c>
      <c r="K1413" s="293"/>
      <c r="M1413" s="727"/>
      <c r="N1413" s="727"/>
      <c r="O1413" s="727"/>
      <c r="P1413" s="727"/>
      <c r="Q1413" s="727"/>
      <c r="R1413" s="727"/>
      <c r="S1413" s="727"/>
      <c r="T1413" s="727"/>
      <c r="U1413" s="727"/>
      <c r="V1413" s="727"/>
      <c r="Y1413" s="298"/>
      <c r="Z1413" s="299"/>
      <c r="AA1413" s="279"/>
      <c r="AB1413" s="342"/>
      <c r="AC1413" s="299"/>
      <c r="AD1413" s="280"/>
      <c r="AE1413" s="388"/>
    </row>
    <row r="1414" spans="3:31" ht="15.9" customHeight="1" thickBot="1" x14ac:dyDescent="0.35">
      <c r="C1414" s="292"/>
      <c r="D1414" s="363"/>
      <c r="E1414" s="364"/>
      <c r="F1414" s="364"/>
      <c r="G1414" s="364"/>
      <c r="H1414" s="365" t="str">
        <f>G1412</f>
        <v>3.7</v>
      </c>
      <c r="I1414" s="365"/>
      <c r="J1414" s="381"/>
      <c r="K1414" s="293"/>
      <c r="M1414" s="726" t="s">
        <v>125</v>
      </c>
      <c r="N1414" s="726"/>
      <c r="O1414" s="726"/>
      <c r="P1414" s="726"/>
      <c r="Q1414" s="726"/>
      <c r="R1414" s="726"/>
      <c r="S1414" s="726"/>
      <c r="T1414" s="726"/>
      <c r="U1414" s="728">
        <f>+V1412+V1405+V1397+V1390</f>
        <v>228992</v>
      </c>
      <c r="V1414" s="728"/>
      <c r="Y1414" s="389"/>
      <c r="Z1414" s="390">
        <f>+Z1412+Z1405+Z1397+Z1390</f>
        <v>13544915</v>
      </c>
      <c r="AA1414" s="279"/>
      <c r="AB1414" s="385">
        <f>+AB1412+AB1405+AB1397+AB1390</f>
        <v>13544876.799999999</v>
      </c>
      <c r="AC1414" s="325">
        <f>+AB1414-Z1414</f>
        <v>-38.200000001117587</v>
      </c>
      <c r="AD1414" s="280"/>
      <c r="AE1414" s="391"/>
    </row>
    <row r="1415" spans="3:31" ht="15.9" customHeight="1" thickBot="1" x14ac:dyDescent="0.3">
      <c r="M1415" s="412"/>
      <c r="N1415" s="412"/>
      <c r="O1415" s="412"/>
      <c r="P1415" s="412"/>
      <c r="Q1415" s="412"/>
      <c r="R1415" s="412"/>
      <c r="S1415" s="412"/>
      <c r="T1415" s="412"/>
      <c r="U1415" s="412"/>
      <c r="V1415" s="412"/>
    </row>
    <row r="1416" spans="3:31" ht="15.9" customHeight="1" x14ac:dyDescent="0.25">
      <c r="M1416" s="729" t="s">
        <v>364</v>
      </c>
      <c r="N1416" s="729"/>
      <c r="O1416" s="729"/>
      <c r="P1416" s="729"/>
      <c r="Q1416" s="729"/>
      <c r="R1416" s="729"/>
      <c r="S1416" s="729"/>
      <c r="T1416" s="729"/>
      <c r="U1416" s="729"/>
      <c r="V1416" s="729"/>
      <c r="Y1416" s="298"/>
      <c r="Z1416" s="299"/>
      <c r="AA1416" s="279"/>
      <c r="AB1416" s="280"/>
      <c r="AC1416" s="280"/>
      <c r="AD1416" s="280"/>
      <c r="AE1416" s="335" t="s">
        <v>137</v>
      </c>
    </row>
    <row r="1417" spans="3:31" ht="15.9" customHeight="1" x14ac:dyDescent="0.25">
      <c r="M1417" s="700" t="s">
        <v>142</v>
      </c>
      <c r="N1417" s="700"/>
      <c r="O1417" s="700"/>
      <c r="P1417" s="700"/>
      <c r="Q1417" s="700"/>
      <c r="R1417" s="700"/>
      <c r="S1417" s="700"/>
      <c r="T1417" s="413">
        <f>$AA$3</f>
        <v>0.25</v>
      </c>
      <c r="U1417" s="701">
        <f>+ROUND(U1414*T1417,$AA$2)</f>
        <v>57248</v>
      </c>
      <c r="V1417" s="701"/>
      <c r="Y1417" s="317"/>
      <c r="Z1417" s="414">
        <f>+Z1414*T1417</f>
        <v>3386228.75</v>
      </c>
      <c r="AA1417" s="279"/>
      <c r="AB1417" s="280"/>
      <c r="AC1417" s="280"/>
      <c r="AD1417" s="280"/>
      <c r="AE1417" s="310" t="s">
        <v>137</v>
      </c>
    </row>
    <row r="1418" spans="3:31" ht="15.9" customHeight="1" x14ac:dyDescent="0.25">
      <c r="M1418" s="700" t="s">
        <v>19</v>
      </c>
      <c r="N1418" s="700"/>
      <c r="O1418" s="700"/>
      <c r="P1418" s="700"/>
      <c r="Q1418" s="700"/>
      <c r="R1418" s="700"/>
      <c r="S1418" s="700"/>
      <c r="T1418" s="413">
        <f>$AA$4</f>
        <v>0.03</v>
      </c>
      <c r="U1418" s="701">
        <f>+ROUND(U1414*T1418,$AA$2)</f>
        <v>6870</v>
      </c>
      <c r="V1418" s="701"/>
      <c r="Y1418" s="317"/>
      <c r="Z1418" s="414">
        <f>+Z1414*T1418</f>
        <v>406347.45</v>
      </c>
      <c r="AA1418" s="279"/>
      <c r="AB1418" s="280"/>
      <c r="AC1418" s="280"/>
      <c r="AD1418" s="280"/>
      <c r="AE1418" s="310" t="s">
        <v>137</v>
      </c>
    </row>
    <row r="1419" spans="3:31" ht="15.9" customHeight="1" x14ac:dyDescent="0.25">
      <c r="M1419" s="700" t="s">
        <v>20</v>
      </c>
      <c r="N1419" s="700"/>
      <c r="O1419" s="700"/>
      <c r="P1419" s="700"/>
      <c r="Q1419" s="700"/>
      <c r="R1419" s="700"/>
      <c r="S1419" s="700"/>
      <c r="T1419" s="413">
        <f>$AA$5</f>
        <v>0.05</v>
      </c>
      <c r="U1419" s="701">
        <f>+ROUND(U1414*T1419,$AA$2)</f>
        <v>11450</v>
      </c>
      <c r="V1419" s="701"/>
      <c r="Y1419" s="317"/>
      <c r="Z1419" s="414">
        <f>+Z1414*T1419</f>
        <v>677245.75</v>
      </c>
      <c r="AA1419" s="279"/>
      <c r="AB1419" s="280"/>
      <c r="AC1419" s="280"/>
      <c r="AD1419" s="280"/>
      <c r="AE1419" s="310" t="s">
        <v>137</v>
      </c>
    </row>
    <row r="1420" spans="3:31" ht="15.9" customHeight="1" x14ac:dyDescent="0.25">
      <c r="M1420" s="700" t="s">
        <v>21</v>
      </c>
      <c r="N1420" s="700"/>
      <c r="O1420" s="700"/>
      <c r="P1420" s="700"/>
      <c r="Q1420" s="700"/>
      <c r="R1420" s="700"/>
      <c r="S1420" s="700"/>
      <c r="T1420" s="413">
        <f>$AA$6</f>
        <v>0</v>
      </c>
      <c r="U1420" s="701">
        <f>+ROUND(U1414*T1420,$AA$2)</f>
        <v>0</v>
      </c>
      <c r="V1420" s="701"/>
      <c r="Y1420" s="317"/>
      <c r="Z1420" s="414">
        <f>+Z1419*T1420</f>
        <v>0</v>
      </c>
      <c r="AA1420" s="279"/>
      <c r="AB1420" s="280"/>
      <c r="AC1420" s="280"/>
      <c r="AD1420" s="280"/>
      <c r="AE1420" s="310" t="s">
        <v>137</v>
      </c>
    </row>
    <row r="1421" spans="3:31" ht="15.9" customHeight="1" thickBot="1" x14ac:dyDescent="0.3">
      <c r="M1421" s="702" t="s">
        <v>365</v>
      </c>
      <c r="N1421" s="702"/>
      <c r="O1421" s="702"/>
      <c r="P1421" s="702"/>
      <c r="Q1421" s="702"/>
      <c r="R1421" s="702"/>
      <c r="S1421" s="702"/>
      <c r="T1421" s="702"/>
      <c r="U1421" s="703">
        <f>+SUM(U1417:V1420)</f>
        <v>75568</v>
      </c>
      <c r="V1421" s="703"/>
      <c r="Y1421" s="317"/>
      <c r="Z1421" s="415">
        <f>+SUM(Z1417:Z1420)</f>
        <v>4469821.95</v>
      </c>
      <c r="AA1421" s="279"/>
      <c r="AB1421" s="280"/>
      <c r="AC1421" s="280"/>
      <c r="AD1421" s="280"/>
      <c r="AE1421" s="310" t="s">
        <v>137</v>
      </c>
    </row>
    <row r="1422" spans="3:31" ht="15.9" customHeight="1" thickBot="1" x14ac:dyDescent="0.3">
      <c r="D1422" s="295" t="s">
        <v>132</v>
      </c>
      <c r="E1422" s="296" t="s">
        <v>133</v>
      </c>
      <c r="F1422" s="296" t="s">
        <v>134</v>
      </c>
      <c r="G1422" s="296" t="s">
        <v>135</v>
      </c>
      <c r="H1422" s="296" t="s">
        <v>136</v>
      </c>
      <c r="I1422" s="296" t="s">
        <v>137</v>
      </c>
      <c r="J1422" s="297" t="s">
        <v>138</v>
      </c>
      <c r="M1422" s="377"/>
      <c r="N1422" s="416"/>
      <c r="O1422" s="416"/>
      <c r="P1422" s="416"/>
      <c r="Q1422" s="377"/>
      <c r="R1422" s="377"/>
      <c r="S1422" s="377"/>
      <c r="T1422" s="417"/>
      <c r="U1422" s="701"/>
      <c r="V1422" s="701"/>
      <c r="Y1422" s="317"/>
      <c r="Z1422" s="291"/>
      <c r="AA1422" s="279"/>
      <c r="AB1422" s="280"/>
      <c r="AC1422" s="280"/>
      <c r="AD1422" s="280"/>
      <c r="AE1422" s="310" t="s">
        <v>137</v>
      </c>
    </row>
    <row r="1423" spans="3:31" ht="15.9" customHeight="1" thickBot="1" x14ac:dyDescent="0.3">
      <c r="D1423" s="363"/>
      <c r="E1423" s="364"/>
      <c r="F1423" s="364"/>
      <c r="G1423" s="364"/>
      <c r="H1423" s="365"/>
      <c r="I1423" s="365" t="str">
        <f>H1414</f>
        <v>3.7</v>
      </c>
      <c r="J1423" s="381"/>
      <c r="M1423" s="702" t="s">
        <v>11</v>
      </c>
      <c r="N1423" s="702"/>
      <c r="O1423" s="702"/>
      <c r="P1423" s="702"/>
      <c r="Q1423" s="702"/>
      <c r="R1423" s="702"/>
      <c r="S1423" s="702"/>
      <c r="T1423" s="702"/>
      <c r="U1423" s="704">
        <f>+U1421+U1414</f>
        <v>304560</v>
      </c>
      <c r="V1423" s="704"/>
      <c r="Y1423" s="389"/>
      <c r="Z1423" s="418">
        <f>+Z1421+Z1414</f>
        <v>18014736.949999999</v>
      </c>
      <c r="AA1423" s="279"/>
      <c r="AB1423" s="280"/>
      <c r="AC1423" s="280"/>
      <c r="AD1423" s="280"/>
      <c r="AE1423" s="334" t="s">
        <v>137</v>
      </c>
    </row>
    <row r="1424" spans="3:31" ht="15.9" customHeight="1" x14ac:dyDescent="0.25">
      <c r="M1424" s="705"/>
      <c r="N1424" s="705"/>
      <c r="O1424" s="705"/>
      <c r="P1424" s="705"/>
      <c r="Q1424" s="705"/>
      <c r="R1424" s="706"/>
      <c r="S1424" s="706"/>
      <c r="T1424" s="706"/>
      <c r="U1424" s="706"/>
      <c r="V1424" s="706"/>
    </row>
    <row r="1425" spans="3:31" ht="15.9" customHeight="1" x14ac:dyDescent="0.25">
      <c r="M1425" s="705"/>
      <c r="N1425" s="705"/>
      <c r="O1425" s="705"/>
      <c r="P1425" s="705"/>
      <c r="Q1425" s="705"/>
      <c r="R1425" s="706"/>
      <c r="S1425" s="706"/>
      <c r="T1425" s="706"/>
      <c r="U1425" s="706"/>
      <c r="V1425" s="706"/>
    </row>
    <row r="1426" spans="3:31" ht="15.9" customHeight="1" x14ac:dyDescent="0.25">
      <c r="M1426" s="705"/>
      <c r="N1426" s="705"/>
      <c r="O1426" s="705"/>
      <c r="P1426" s="705"/>
      <c r="Q1426" s="705"/>
      <c r="R1426" s="706"/>
      <c r="S1426" s="706"/>
      <c r="T1426" s="706"/>
      <c r="U1426" s="706"/>
      <c r="V1426" s="706"/>
    </row>
    <row r="1427" spans="3:31" ht="15.9" customHeight="1" x14ac:dyDescent="0.25">
      <c r="M1427" s="705"/>
      <c r="N1427" s="705"/>
      <c r="O1427" s="705"/>
      <c r="P1427" s="705"/>
      <c r="Q1427" s="705"/>
      <c r="R1427" s="706"/>
      <c r="S1427" s="706"/>
      <c r="T1427" s="706"/>
      <c r="U1427" s="706"/>
      <c r="V1427" s="706"/>
    </row>
    <row r="1428" spans="3:31" ht="15.9" customHeight="1" x14ac:dyDescent="0.25">
      <c r="M1428" s="707" t="s">
        <v>128</v>
      </c>
      <c r="N1428" s="708" t="str">
        <f>$N$6</f>
        <v>ING. JEYSON JULIAN LEON RUEDA</v>
      </c>
      <c r="O1428" s="709"/>
      <c r="P1428" s="709"/>
      <c r="Q1428" s="710"/>
      <c r="R1428" s="711" t="s">
        <v>129</v>
      </c>
      <c r="S1428" s="708" t="str">
        <f>$S$6</f>
        <v>ARQ. YASMID ROCÍO CARRILLO MORA</v>
      </c>
      <c r="T1428" s="709"/>
      <c r="U1428" s="709"/>
      <c r="V1428" s="710"/>
    </row>
    <row r="1429" spans="3:31" ht="15.9" customHeight="1" x14ac:dyDescent="0.25">
      <c r="M1429" s="707"/>
      <c r="N1429" s="712" t="str">
        <f>$N$7</f>
        <v>MP. 68202-416348 STD</v>
      </c>
      <c r="O1429" s="713"/>
      <c r="P1429" s="713"/>
      <c r="Q1429" s="714"/>
      <c r="R1429" s="711"/>
      <c r="S1429" s="712" t="str">
        <f>$S$7</f>
        <v>SECRETARIA DE PLANEACIÓN Y OBRAS PÚBLICAS</v>
      </c>
      <c r="T1429" s="713"/>
      <c r="U1429" s="713"/>
      <c r="V1429" s="714"/>
    </row>
    <row r="1430" spans="3:31" ht="15.9" customHeight="1" x14ac:dyDescent="0.25">
      <c r="M1430" s="707"/>
      <c r="N1430" s="715"/>
      <c r="O1430" s="716"/>
      <c r="P1430" s="716"/>
      <c r="Q1430" s="717"/>
      <c r="R1430" s="711"/>
      <c r="S1430" s="712" t="str">
        <f>$S$8</f>
        <v>MUNICIPIO DE PINCHOTE</v>
      </c>
      <c r="T1430" s="713"/>
      <c r="U1430" s="713"/>
      <c r="V1430" s="714"/>
    </row>
    <row r="1431" spans="3:31" ht="15.9" customHeight="1" x14ac:dyDescent="0.25"/>
    <row r="1432" spans="3:31" ht="15.9" customHeight="1" thickBot="1" x14ac:dyDescent="0.3"/>
    <row r="1433" spans="3:31" ht="15.9" customHeight="1" thickBot="1" x14ac:dyDescent="0.3">
      <c r="M1433" s="281" t="s">
        <v>90</v>
      </c>
      <c r="N1433" s="410" t="s">
        <v>30</v>
      </c>
      <c r="O1433" s="741" t="str">
        <f>IFERROR(VLOOKUP(N1433,PPTO!$C$9:$H$64,2,0),"----")</f>
        <v>ESTRUCTURA VIAL EN PIEDRA LABOR</v>
      </c>
      <c r="P1433" s="742"/>
      <c r="Q1433" s="742"/>
      <c r="R1433" s="742"/>
      <c r="S1433" s="742"/>
      <c r="T1433" s="742"/>
      <c r="U1433" s="743"/>
      <c r="V1433" s="283" t="s">
        <v>93</v>
      </c>
      <c r="Y1433" s="284" t="s">
        <v>107</v>
      </c>
      <c r="Z1433" s="280"/>
      <c r="AA1433" s="274"/>
      <c r="AB1433" s="735"/>
      <c r="AC1433" s="735"/>
      <c r="AD1433" s="735"/>
      <c r="AE1433" s="280"/>
    </row>
    <row r="1434" spans="3:31" ht="15.9" customHeight="1" thickBot="1" x14ac:dyDescent="0.35">
      <c r="C1434" s="285" t="str">
        <f>+N1434</f>
        <v>3.8</v>
      </c>
      <c r="D1434" s="279"/>
      <c r="E1434" s="279"/>
      <c r="F1434" s="279"/>
      <c r="G1434" s="279"/>
      <c r="H1434" s="279"/>
      <c r="I1434" s="279"/>
      <c r="J1434" s="279"/>
      <c r="K1434" s="286"/>
      <c r="M1434" s="283" t="s">
        <v>94</v>
      </c>
      <c r="N1434" s="287" t="s">
        <v>69</v>
      </c>
      <c r="O1434" s="744" t="str">
        <f>IFERROR(VLOOKUP(N1434,PPTO!$C$9:$H$64,2,0),"----")</f>
        <v>Bordillos en piedra labor e=0,15 m</v>
      </c>
      <c r="P1434" s="745"/>
      <c r="Q1434" s="745"/>
      <c r="R1434" s="745"/>
      <c r="S1434" s="745"/>
      <c r="T1434" s="745"/>
      <c r="U1434" s="746"/>
      <c r="V1434" s="288" t="str">
        <f>IFERROR(VLOOKUP(N1434,PPTO!$C$9:$H$64,3,0),"----")</f>
        <v>ml</v>
      </c>
      <c r="Y1434" s="289">
        <f>SUMIFS(PPTO!$F$7:$F$63,PPTO!$C$7:$C$63,APUS!N1434)</f>
        <v>91</v>
      </c>
      <c r="Z1434" s="280"/>
      <c r="AA1434" s="279"/>
      <c r="AB1434" s="280"/>
      <c r="AC1434" s="280"/>
      <c r="AD1434" s="280"/>
      <c r="AE1434" s="280"/>
    </row>
    <row r="1435" spans="3:31" ht="15.9" customHeight="1" thickBot="1" x14ac:dyDescent="0.35">
      <c r="C1435" s="292"/>
      <c r="D1435" s="279"/>
      <c r="E1435" s="279"/>
      <c r="F1435" s="279"/>
      <c r="G1435" s="279"/>
      <c r="H1435" s="279"/>
      <c r="I1435" s="279"/>
      <c r="J1435" s="279"/>
      <c r="K1435" s="293"/>
      <c r="M1435" s="747"/>
      <c r="N1435" s="747"/>
      <c r="O1435" s="747"/>
      <c r="P1435" s="747"/>
      <c r="Q1435" s="747"/>
      <c r="R1435" s="747"/>
      <c r="S1435" s="747"/>
      <c r="T1435" s="747"/>
      <c r="U1435" s="747"/>
      <c r="V1435" s="747"/>
      <c r="Y1435" s="294"/>
      <c r="Z1435" s="280"/>
      <c r="AA1435" s="279"/>
      <c r="AB1435" s="280"/>
      <c r="AC1435" s="280"/>
      <c r="AD1435" s="280"/>
      <c r="AE1435" s="280"/>
    </row>
    <row r="1436" spans="3:31" ht="15.9" customHeight="1" thickBot="1" x14ac:dyDescent="0.35">
      <c r="C1436" s="292"/>
      <c r="D1436" s="295" t="s">
        <v>132</v>
      </c>
      <c r="E1436" s="296" t="s">
        <v>133</v>
      </c>
      <c r="F1436" s="296" t="s">
        <v>134</v>
      </c>
      <c r="G1436" s="296" t="s">
        <v>135</v>
      </c>
      <c r="H1436" s="296" t="s">
        <v>136</v>
      </c>
      <c r="I1436" s="296" t="s">
        <v>137</v>
      </c>
      <c r="J1436" s="297" t="s">
        <v>138</v>
      </c>
      <c r="K1436" s="293"/>
      <c r="M1436" s="748" t="s">
        <v>96</v>
      </c>
      <c r="N1436" s="749"/>
      <c r="O1436" s="749"/>
      <c r="P1436" s="749"/>
      <c r="Q1436" s="749"/>
      <c r="R1436" s="749"/>
      <c r="S1436" s="749"/>
      <c r="T1436" s="749"/>
      <c r="U1436" s="749"/>
      <c r="V1436" s="750"/>
      <c r="Y1436" s="298"/>
      <c r="Z1436" s="299"/>
      <c r="AA1436" s="279"/>
      <c r="AB1436" s="751"/>
      <c r="AC1436" s="752"/>
      <c r="AD1436" s="280"/>
      <c r="AE1436" s="303"/>
    </row>
    <row r="1437" spans="3:31" ht="15.9" customHeight="1" x14ac:dyDescent="0.3">
      <c r="C1437" s="292"/>
      <c r="D1437" s="304"/>
      <c r="E1437" s="305"/>
      <c r="F1437" s="305"/>
      <c r="G1437" s="305"/>
      <c r="H1437" s="305"/>
      <c r="I1437" s="305"/>
      <c r="J1437" s="306"/>
      <c r="K1437" s="293"/>
      <c r="M1437" s="307" t="s">
        <v>97</v>
      </c>
      <c r="N1437" s="741" t="s">
        <v>98</v>
      </c>
      <c r="O1437" s="742"/>
      <c r="P1437" s="742"/>
      <c r="Q1437" s="743"/>
      <c r="R1437" s="307" t="s">
        <v>99</v>
      </c>
      <c r="S1437" s="307" t="s">
        <v>100</v>
      </c>
      <c r="T1437" s="753" t="s">
        <v>8</v>
      </c>
      <c r="U1437" s="754"/>
      <c r="V1437" s="307" t="s">
        <v>101</v>
      </c>
      <c r="Y1437" s="308" t="s">
        <v>107</v>
      </c>
      <c r="Z1437" s="309" t="s">
        <v>9</v>
      </c>
      <c r="AA1437" s="279"/>
      <c r="AB1437" s="290"/>
      <c r="AC1437" s="291"/>
      <c r="AD1437" s="280"/>
      <c r="AE1437" s="310"/>
    </row>
    <row r="1438" spans="3:31" ht="15.9" customHeight="1" x14ac:dyDescent="0.3">
      <c r="C1438" s="292"/>
      <c r="D1438" s="311"/>
      <c r="E1438" s="279"/>
      <c r="F1438" s="279"/>
      <c r="G1438" s="279"/>
      <c r="H1438" s="279"/>
      <c r="I1438" s="279"/>
      <c r="J1438" s="312"/>
      <c r="K1438" s="293"/>
      <c r="M1438" s="313"/>
      <c r="N1438" s="755" t="s">
        <v>102</v>
      </c>
      <c r="O1438" s="756"/>
      <c r="P1438" s="756"/>
      <c r="Q1438" s="757"/>
      <c r="R1438" s="314" t="s">
        <v>103</v>
      </c>
      <c r="S1438" s="315">
        <f>$AA$9</f>
        <v>0.05</v>
      </c>
      <c r="T1438" s="758">
        <f>V1465</f>
        <v>47986</v>
      </c>
      <c r="U1438" s="759"/>
      <c r="V1438" s="316">
        <f>+IFERROR(T1438*S1438,0)</f>
        <v>2399.3000000000002</v>
      </c>
      <c r="Y1438" s="317"/>
      <c r="Z1438" s="318">
        <f>Y1434*V1438</f>
        <v>218336.30000000002</v>
      </c>
      <c r="AA1438" s="279"/>
      <c r="AB1438" s="290"/>
      <c r="AC1438" s="291"/>
      <c r="AD1438" s="280"/>
      <c r="AE1438" s="310" t="str">
        <f>+IF(V1438=0,"CERO","NO")</f>
        <v>NO</v>
      </c>
    </row>
    <row r="1439" spans="3:31" ht="15.9" customHeight="1" x14ac:dyDescent="0.3">
      <c r="C1439" s="292"/>
      <c r="D1439" s="311"/>
      <c r="E1439" s="279"/>
      <c r="F1439" s="279"/>
      <c r="G1439" s="279"/>
      <c r="H1439" s="279"/>
      <c r="I1439" s="279"/>
      <c r="J1439" s="312"/>
      <c r="K1439" s="293"/>
      <c r="M1439" s="319">
        <v>0</v>
      </c>
      <c r="N1439" s="755" t="str">
        <f>IFERROR(VLOOKUP(M1439,INSUMOS!$C$8:$K$934,2,0),"-----")</f>
        <v>-----</v>
      </c>
      <c r="O1439" s="756"/>
      <c r="P1439" s="756"/>
      <c r="Q1439" s="757"/>
      <c r="R1439" s="314" t="str">
        <f>IFERROR(VLOOKUP(M1439,INSUMOS!$C$8:$K$934,6,0),"-----")</f>
        <v>-----</v>
      </c>
      <c r="S1439" s="320"/>
      <c r="T1439" s="760" t="str">
        <f>IFERROR(VLOOKUP(M1439,INSUMOS!$C$8:$K$934,7,0),"0")</f>
        <v>0</v>
      </c>
      <c r="U1439" s="761"/>
      <c r="V1439" s="316">
        <f>+IFERROR(T1439*S1439,0)</f>
        <v>0</v>
      </c>
      <c r="Y1439" s="321">
        <f>+IFERROR(Y1434*S1439,0)</f>
        <v>0</v>
      </c>
      <c r="Z1439" s="318">
        <f>Y1434*V1439</f>
        <v>0</v>
      </c>
      <c r="AA1439" s="300"/>
      <c r="AB1439" s="301">
        <f>+Y1439*T1439</f>
        <v>0</v>
      </c>
      <c r="AC1439" s="302">
        <f>+AB1439-Z1439</f>
        <v>0</v>
      </c>
      <c r="AD1439" s="280"/>
      <c r="AE1439" s="310" t="str">
        <f>+IF(V1439=0,"CERO","NO")</f>
        <v>CERO</v>
      </c>
    </row>
    <row r="1440" spans="3:31" ht="15.9" customHeight="1" x14ac:dyDescent="0.3">
      <c r="C1440" s="292"/>
      <c r="D1440" s="311"/>
      <c r="E1440" s="279"/>
      <c r="F1440" s="279"/>
      <c r="G1440" s="279"/>
      <c r="H1440" s="279"/>
      <c r="I1440" s="279"/>
      <c r="J1440" s="312"/>
      <c r="K1440" s="293"/>
      <c r="M1440" s="313">
        <v>0</v>
      </c>
      <c r="N1440" s="755" t="str">
        <f>IFERROR(VLOOKUP(M1440,INSUMOS!$C$8:$K$934,2,0),"-----")</f>
        <v>-----</v>
      </c>
      <c r="O1440" s="756"/>
      <c r="P1440" s="756"/>
      <c r="Q1440" s="757"/>
      <c r="R1440" s="314" t="str">
        <f>IFERROR(VLOOKUP(M1440,INSUMOS!$C$8:$K$934,6,0),"-----")</f>
        <v>-----</v>
      </c>
      <c r="S1440" s="320"/>
      <c r="T1440" s="760" t="str">
        <f>IFERROR(VLOOKUP(M1440,INSUMOS!$C$8:$K$934,7,0),"0")</f>
        <v>0</v>
      </c>
      <c r="U1440" s="761"/>
      <c r="V1440" s="316">
        <f>+IFERROR(T1440*S1440,0)</f>
        <v>0</v>
      </c>
      <c r="Y1440" s="321">
        <f>+IFERROR(Y1434*S1440,0)</f>
        <v>0</v>
      </c>
      <c r="Z1440" s="318">
        <f>Y1434*V1440</f>
        <v>0</v>
      </c>
      <c r="AA1440" s="300"/>
      <c r="AB1440" s="301">
        <f>+Y1440*T1440</f>
        <v>0</v>
      </c>
      <c r="AC1440" s="302">
        <f>+AB1440-Z1440</f>
        <v>0</v>
      </c>
      <c r="AD1440" s="280"/>
      <c r="AE1440" s="310" t="str">
        <f>+IF(V1440=0,"CERO","NO")</f>
        <v>CERO</v>
      </c>
    </row>
    <row r="1441" spans="3:31" ht="15.9" customHeight="1" thickBot="1" x14ac:dyDescent="0.35">
      <c r="C1441" s="292"/>
      <c r="D1441" s="311"/>
      <c r="E1441" s="279"/>
      <c r="F1441" s="279"/>
      <c r="G1441" s="279"/>
      <c r="H1441" s="279"/>
      <c r="I1441" s="279"/>
      <c r="J1441" s="312"/>
      <c r="K1441" s="293"/>
      <c r="M1441" s="313">
        <v>0</v>
      </c>
      <c r="N1441" s="762"/>
      <c r="O1441" s="747"/>
      <c r="P1441" s="747"/>
      <c r="Q1441" s="763"/>
      <c r="R1441" s="326"/>
      <c r="S1441" s="326"/>
      <c r="T1441" s="764"/>
      <c r="U1441" s="765"/>
      <c r="V1441" s="327"/>
      <c r="Y1441" s="321">
        <f>+IFERROR(Y1434*S1441,0)</f>
        <v>0</v>
      </c>
      <c r="Z1441" s="318">
        <f>Y1434*V1441</f>
        <v>0</v>
      </c>
      <c r="AA1441" s="300"/>
      <c r="AB1441" s="301">
        <f>+Y1441*T1441</f>
        <v>0</v>
      </c>
      <c r="AC1441" s="302">
        <f>+AB1441-Z1441</f>
        <v>0</v>
      </c>
      <c r="AD1441" s="280"/>
      <c r="AE1441" s="310" t="str">
        <f>+IF(V1441=0,"CERO","NO")</f>
        <v>CERO</v>
      </c>
    </row>
    <row r="1442" spans="3:31" ht="15.9" customHeight="1" thickBot="1" x14ac:dyDescent="0.35">
      <c r="C1442" s="292"/>
      <c r="D1442" s="295" t="s">
        <v>132</v>
      </c>
      <c r="E1442" s="296" t="s">
        <v>133</v>
      </c>
      <c r="F1442" s="296" t="s">
        <v>134</v>
      </c>
      <c r="G1442" s="296" t="s">
        <v>135</v>
      </c>
      <c r="H1442" s="296" t="s">
        <v>136</v>
      </c>
      <c r="I1442" s="296" t="s">
        <v>137</v>
      </c>
      <c r="J1442" s="297" t="s">
        <v>138</v>
      </c>
      <c r="K1442" s="293"/>
      <c r="M1442" s="724"/>
      <c r="N1442" s="725" t="s">
        <v>104</v>
      </c>
      <c r="O1442" s="725"/>
      <c r="P1442" s="725"/>
      <c r="Q1442" s="725"/>
      <c r="R1442" s="725"/>
      <c r="S1442" s="725"/>
      <c r="T1442" s="725"/>
      <c r="U1442" s="725"/>
      <c r="V1442" s="316">
        <f>+SUM(V1438:V1441)</f>
        <v>2399.3000000000002</v>
      </c>
      <c r="Y1442" s="328" t="s">
        <v>139</v>
      </c>
      <c r="Z1442" s="329">
        <f>+SUM(Z1438:Z1441)</f>
        <v>218336.30000000002</v>
      </c>
      <c r="AA1442" s="279"/>
      <c r="AB1442" s="290"/>
      <c r="AC1442" s="291"/>
      <c r="AD1442" s="280"/>
      <c r="AE1442" s="330"/>
    </row>
    <row r="1443" spans="3:31" ht="15.9" customHeight="1" thickBot="1" x14ac:dyDescent="0.35">
      <c r="C1443" s="292"/>
      <c r="D1443" s="295" t="str">
        <f>C1434</f>
        <v>3.8</v>
      </c>
      <c r="E1443" s="296"/>
      <c r="F1443" s="296"/>
      <c r="G1443" s="296"/>
      <c r="H1443" s="296"/>
      <c r="I1443" s="296"/>
      <c r="J1443" s="297"/>
      <c r="K1443" s="293"/>
      <c r="M1443" s="724"/>
      <c r="N1443" s="726" t="s">
        <v>105</v>
      </c>
      <c r="O1443" s="726"/>
      <c r="P1443" s="726"/>
      <c r="Q1443" s="726"/>
      <c r="R1443" s="726"/>
      <c r="S1443" s="726"/>
      <c r="T1443" s="726"/>
      <c r="U1443" s="726"/>
      <c r="V1443" s="344">
        <f>+ROUND(V1442,$AA$2)</f>
        <v>2399</v>
      </c>
      <c r="Y1443" s="332" t="s">
        <v>140</v>
      </c>
      <c r="Z1443" s="333">
        <f>+ROUND(Z1442,$AA$2)</f>
        <v>218336</v>
      </c>
      <c r="AA1443" s="279"/>
      <c r="AB1443" s="324">
        <f>+V1443*Y1434</f>
        <v>218309</v>
      </c>
      <c r="AC1443" s="325">
        <f>+AB1443-Z1443</f>
        <v>-27</v>
      </c>
      <c r="AD1443" s="280"/>
      <c r="AE1443" s="334"/>
    </row>
    <row r="1444" spans="3:31" ht="15.9" customHeight="1" x14ac:dyDescent="0.3">
      <c r="C1444" s="292"/>
      <c r="D1444" s="304"/>
      <c r="E1444" s="305"/>
      <c r="F1444" s="305"/>
      <c r="G1444" s="305"/>
      <c r="H1444" s="305"/>
      <c r="I1444" s="305"/>
      <c r="J1444" s="306"/>
      <c r="K1444" s="293"/>
      <c r="M1444" s="730" t="s">
        <v>106</v>
      </c>
      <c r="N1444" s="730"/>
      <c r="O1444" s="730"/>
      <c r="P1444" s="730"/>
      <c r="Q1444" s="730"/>
      <c r="R1444" s="730"/>
      <c r="S1444" s="730"/>
      <c r="T1444" s="730"/>
      <c r="U1444" s="730"/>
      <c r="V1444" s="730"/>
      <c r="Y1444" s="298"/>
      <c r="Z1444" s="299"/>
      <c r="AA1444" s="279"/>
      <c r="AB1444" s="731"/>
      <c r="AC1444" s="732"/>
      <c r="AD1444" s="280"/>
      <c r="AE1444" s="335"/>
    </row>
    <row r="1445" spans="3:31" ht="15.9" customHeight="1" x14ac:dyDescent="0.3">
      <c r="C1445" s="292"/>
      <c r="D1445" s="311"/>
      <c r="E1445" s="279"/>
      <c r="F1445" s="279"/>
      <c r="G1445" s="279"/>
      <c r="H1445" s="279"/>
      <c r="I1445" s="279"/>
      <c r="J1445" s="312"/>
      <c r="K1445" s="293"/>
      <c r="M1445" s="307" t="s">
        <v>97</v>
      </c>
      <c r="N1445" s="706" t="s">
        <v>98</v>
      </c>
      <c r="O1445" s="706"/>
      <c r="P1445" s="706"/>
      <c r="Q1445" s="706"/>
      <c r="R1445" s="307" t="s">
        <v>99</v>
      </c>
      <c r="S1445" s="307" t="s">
        <v>107</v>
      </c>
      <c r="T1445" s="336" t="s">
        <v>108</v>
      </c>
      <c r="U1445" s="336" t="s">
        <v>8</v>
      </c>
      <c r="V1445" s="307" t="s">
        <v>101</v>
      </c>
      <c r="Y1445" s="308" t="s">
        <v>107</v>
      </c>
      <c r="Z1445" s="309" t="s">
        <v>9</v>
      </c>
      <c r="AA1445" s="279"/>
      <c r="AB1445" s="290"/>
      <c r="AC1445" s="291"/>
      <c r="AD1445" s="280"/>
      <c r="AE1445" s="337"/>
    </row>
    <row r="1446" spans="3:31" ht="15.9" customHeight="1" x14ac:dyDescent="0.3">
      <c r="C1446" s="292"/>
      <c r="D1446" s="311"/>
      <c r="E1446" s="279"/>
      <c r="F1446" s="279"/>
      <c r="G1446" s="279"/>
      <c r="H1446" s="279"/>
      <c r="I1446" s="279"/>
      <c r="J1446" s="312"/>
      <c r="K1446" s="293"/>
      <c r="M1446" s="313" t="s">
        <v>226</v>
      </c>
      <c r="N1446" s="718" t="str">
        <f>IFERROR(VLOOKUP(M1446,INSUMOS!$C$8:$K$934,2,0),"-----")</f>
        <v>Concreto de 3000 PSI (210 kg/cm2)</v>
      </c>
      <c r="O1446" s="718"/>
      <c r="P1446" s="718"/>
      <c r="Q1446" s="718"/>
      <c r="R1446" s="314" t="str">
        <f>IFERROR(VLOOKUP(M1446,INSUMOS!$C$8:$K$934,6,0),"-----")</f>
        <v>m3</v>
      </c>
      <c r="S1446" s="322">
        <v>0.01</v>
      </c>
      <c r="T1446" s="315">
        <v>0.05</v>
      </c>
      <c r="U1446" s="338">
        <f>IFERROR(VLOOKUP(M1446,INSUMOS!$C$8:$K$934,7,0),"0")</f>
        <v>780085</v>
      </c>
      <c r="V1446" s="316">
        <f>+IFERROR(U1446*(S1446*(1+T1446)),0)</f>
        <v>8190.8925000000008</v>
      </c>
      <c r="Y1446" s="321">
        <f>+IFERROR(Y1434*(S1446*(1+T1446)),0)</f>
        <v>0.95550000000000002</v>
      </c>
      <c r="Z1446" s="318">
        <f>Y1434*V1446</f>
        <v>745371.21750000003</v>
      </c>
      <c r="AA1446" s="300"/>
      <c r="AB1446" s="301">
        <f>+Y1446*U1446</f>
        <v>745371.21750000003</v>
      </c>
      <c r="AC1446" s="302">
        <f>+AB1446-Z1446</f>
        <v>0</v>
      </c>
      <c r="AD1446" s="280"/>
      <c r="AE1446" s="337" t="str">
        <f t="shared" ref="AE1446:AE1448" si="193">+IF(V1446=0,"CERO","NO")</f>
        <v>NO</v>
      </c>
    </row>
    <row r="1447" spans="3:31" ht="15.9" customHeight="1" x14ac:dyDescent="0.3">
      <c r="C1447" s="292"/>
      <c r="D1447" s="311"/>
      <c r="E1447" s="279"/>
      <c r="F1447" s="279"/>
      <c r="G1447" s="279"/>
      <c r="H1447" s="279"/>
      <c r="I1447" s="279"/>
      <c r="J1447" s="312"/>
      <c r="K1447" s="293"/>
      <c r="M1447" s="313" t="s">
        <v>290</v>
      </c>
      <c r="N1447" s="718" t="str">
        <f>IFERROR(VLOOKUP(M1447,INSUMOS!$C$8:$K$934,2,0),"-----")</f>
        <v>Mortero 1:3</v>
      </c>
      <c r="O1447" s="718"/>
      <c r="P1447" s="718"/>
      <c r="Q1447" s="718"/>
      <c r="R1447" s="314" t="str">
        <f>IFERROR(VLOOKUP(M1447,INSUMOS!$C$8:$K$934,6,0),"-----")</f>
        <v>m3</v>
      </c>
      <c r="S1447" s="322">
        <v>5.0000000000000001E-3</v>
      </c>
      <c r="T1447" s="315">
        <v>0.02</v>
      </c>
      <c r="U1447" s="338">
        <f>IFERROR(VLOOKUP(M1447,INSUMOS!$C$8:$K$934,7,0),"0")</f>
        <v>812745</v>
      </c>
      <c r="V1447" s="316">
        <f>+IFERROR(U1447*(S1447*(1+T1447)),0)</f>
        <v>4144.9994999999999</v>
      </c>
      <c r="Y1447" s="321">
        <f>+IFERROR(Y1434*(S1447*(1+T1447)),0)</f>
        <v>0.46410000000000001</v>
      </c>
      <c r="Z1447" s="318">
        <f>Y1434*V1447</f>
        <v>377194.95449999999</v>
      </c>
      <c r="AA1447" s="300"/>
      <c r="AB1447" s="301">
        <f t="shared" ref="AB1447:AB1448" si="194">+Y1447*U1447</f>
        <v>377194.95449999999</v>
      </c>
      <c r="AC1447" s="302">
        <f t="shared" ref="AC1447:AC1448" si="195">+AB1447-Z1447</f>
        <v>0</v>
      </c>
      <c r="AD1447" s="280"/>
      <c r="AE1447" s="337" t="str">
        <f t="shared" si="193"/>
        <v>NO</v>
      </c>
    </row>
    <row r="1448" spans="3:31" ht="15.9" customHeight="1" thickBot="1" x14ac:dyDescent="0.35">
      <c r="C1448" s="292"/>
      <c r="D1448" s="311"/>
      <c r="E1448" s="279"/>
      <c r="F1448" s="279"/>
      <c r="G1448" s="279"/>
      <c r="H1448" s="279"/>
      <c r="I1448" s="279"/>
      <c r="J1448" s="312"/>
      <c r="K1448" s="293"/>
      <c r="M1448" s="313">
        <v>424</v>
      </c>
      <c r="N1448" s="718" t="str">
        <f>IFERROR(VLOOKUP(M1448,INSUMOS!$C$8:$K$934,2,0),"-----")</f>
        <v>Bordillo sardinel en piedra labor</v>
      </c>
      <c r="O1448" s="718"/>
      <c r="P1448" s="718"/>
      <c r="Q1448" s="718"/>
      <c r="R1448" s="314" t="str">
        <f>IFERROR(VLOOKUP(M1448,INSUMOS!$C$8:$K$934,6,0),"-----")</f>
        <v>ml</v>
      </c>
      <c r="S1448" s="322">
        <v>1</v>
      </c>
      <c r="T1448" s="315">
        <v>0.02</v>
      </c>
      <c r="U1448" s="338">
        <f>IFERROR(VLOOKUP(M1448,INSUMOS!$C$8:$K$934,7,0),"0")</f>
        <v>65000</v>
      </c>
      <c r="V1448" s="316">
        <f>+IFERROR(U1448*(S1448*(1+T1448)),0)</f>
        <v>66300</v>
      </c>
      <c r="Y1448" s="321">
        <f>+IFERROR(Y1434*(S1448*(1+T1448)),0)</f>
        <v>92.820000000000007</v>
      </c>
      <c r="Z1448" s="318">
        <f>Y1434*V1448</f>
        <v>6033300</v>
      </c>
      <c r="AA1448" s="300"/>
      <c r="AB1448" s="301">
        <f t="shared" si="194"/>
        <v>6033300.0000000009</v>
      </c>
      <c r="AC1448" s="302">
        <f t="shared" si="195"/>
        <v>0</v>
      </c>
      <c r="AD1448" s="280"/>
      <c r="AE1448" s="337" t="str">
        <f t="shared" si="193"/>
        <v>NO</v>
      </c>
    </row>
    <row r="1449" spans="3:31" ht="15.9" customHeight="1" thickBot="1" x14ac:dyDescent="0.35">
      <c r="C1449" s="292"/>
      <c r="D1449" s="295" t="s">
        <v>132</v>
      </c>
      <c r="E1449" s="296" t="s">
        <v>133</v>
      </c>
      <c r="F1449" s="296" t="s">
        <v>134</v>
      </c>
      <c r="G1449" s="296" t="s">
        <v>135</v>
      </c>
      <c r="H1449" s="296" t="s">
        <v>136</v>
      </c>
      <c r="I1449" s="296" t="s">
        <v>137</v>
      </c>
      <c r="J1449" s="297" t="s">
        <v>138</v>
      </c>
      <c r="K1449" s="293"/>
      <c r="M1449" s="724"/>
      <c r="N1449" s="725" t="s">
        <v>109</v>
      </c>
      <c r="O1449" s="725"/>
      <c r="P1449" s="725"/>
      <c r="Q1449" s="725"/>
      <c r="R1449" s="725"/>
      <c r="S1449" s="725"/>
      <c r="T1449" s="725"/>
      <c r="U1449" s="725"/>
      <c r="V1449" s="316">
        <f>+SUM(V1446:V1448)</f>
        <v>78635.891999999993</v>
      </c>
      <c r="Y1449" s="328" t="s">
        <v>139</v>
      </c>
      <c r="Z1449" s="329">
        <f>+SUM(Z1446:Z1448)</f>
        <v>7155866.1720000003</v>
      </c>
      <c r="AA1449" s="279"/>
      <c r="AB1449" s="290"/>
      <c r="AC1449" s="291"/>
      <c r="AD1449" s="280"/>
      <c r="AE1449" s="330"/>
    </row>
    <row r="1450" spans="3:31" ht="15.9" customHeight="1" thickBot="1" x14ac:dyDescent="0.35">
      <c r="C1450" s="292"/>
      <c r="D1450" s="295"/>
      <c r="E1450" s="343" t="str">
        <f>+D1443</f>
        <v>3.8</v>
      </c>
      <c r="F1450" s="296"/>
      <c r="G1450" s="296"/>
      <c r="H1450" s="296"/>
      <c r="I1450" s="296"/>
      <c r="J1450" s="297"/>
      <c r="K1450" s="293"/>
      <c r="M1450" s="724"/>
      <c r="N1450" s="726" t="s">
        <v>110</v>
      </c>
      <c r="O1450" s="726"/>
      <c r="P1450" s="726"/>
      <c r="Q1450" s="726"/>
      <c r="R1450" s="726"/>
      <c r="S1450" s="726"/>
      <c r="T1450" s="726"/>
      <c r="U1450" s="726"/>
      <c r="V1450" s="344">
        <f>+ROUND(V1449,$AA$2)</f>
        <v>78636</v>
      </c>
      <c r="Y1450" s="332" t="s">
        <v>140</v>
      </c>
      <c r="Z1450" s="333">
        <f>+ROUND(Z1449,$AA$2)</f>
        <v>7155866</v>
      </c>
      <c r="AA1450" s="279"/>
      <c r="AB1450" s="324">
        <f>+V1450*Y1434</f>
        <v>7155876</v>
      </c>
      <c r="AC1450" s="325">
        <f>+AB1450-Z1450</f>
        <v>10</v>
      </c>
      <c r="AD1450" s="280"/>
      <c r="AE1450" s="334"/>
    </row>
    <row r="1451" spans="3:31" ht="15.9" customHeight="1" x14ac:dyDescent="0.3">
      <c r="C1451" s="292"/>
      <c r="D1451" s="304"/>
      <c r="E1451" s="305"/>
      <c r="F1451" s="305"/>
      <c r="G1451" s="305"/>
      <c r="H1451" s="305"/>
      <c r="I1451" s="305"/>
      <c r="J1451" s="306"/>
      <c r="K1451" s="293"/>
      <c r="M1451" s="733" t="s">
        <v>111</v>
      </c>
      <c r="N1451" s="733"/>
      <c r="O1451" s="733"/>
      <c r="P1451" s="733"/>
      <c r="Q1451" s="733"/>
      <c r="R1451" s="733"/>
      <c r="S1451" s="733"/>
      <c r="T1451" s="733"/>
      <c r="U1451" s="733"/>
      <c r="V1451" s="733"/>
      <c r="Y1451" s="298"/>
      <c r="Z1451" s="299"/>
      <c r="AA1451" s="279"/>
      <c r="AB1451" s="342"/>
      <c r="AC1451" s="299"/>
      <c r="AD1451" s="280"/>
      <c r="AE1451" s="335"/>
    </row>
    <row r="1452" spans="3:31" ht="27.6" x14ac:dyDescent="0.3">
      <c r="C1452" s="292"/>
      <c r="D1452" s="311"/>
      <c r="E1452" s="279"/>
      <c r="F1452" s="279"/>
      <c r="G1452" s="279"/>
      <c r="H1452" s="279"/>
      <c r="I1452" s="279"/>
      <c r="J1452" s="312"/>
      <c r="K1452" s="293"/>
      <c r="M1452" s="307" t="s">
        <v>97</v>
      </c>
      <c r="N1452" s="706" t="s">
        <v>98</v>
      </c>
      <c r="O1452" s="706"/>
      <c r="P1452" s="706"/>
      <c r="Q1452" s="307" t="s">
        <v>112</v>
      </c>
      <c r="R1452" s="307" t="s">
        <v>113</v>
      </c>
      <c r="S1452" s="307" t="s">
        <v>114</v>
      </c>
      <c r="T1452" s="734" t="s">
        <v>115</v>
      </c>
      <c r="U1452" s="734"/>
      <c r="V1452" s="307" t="s">
        <v>101</v>
      </c>
      <c r="Y1452" s="308" t="s">
        <v>107</v>
      </c>
      <c r="Z1452" s="309" t="s">
        <v>9</v>
      </c>
      <c r="AA1452" s="279"/>
      <c r="AB1452" s="290"/>
      <c r="AC1452" s="291"/>
      <c r="AD1452" s="280"/>
      <c r="AE1452" s="349"/>
    </row>
    <row r="1453" spans="3:31" ht="14.4" x14ac:dyDescent="0.3">
      <c r="C1453" s="350"/>
      <c r="D1453" s="351"/>
      <c r="E1453" s="345"/>
      <c r="F1453" s="345"/>
      <c r="G1453" s="345"/>
      <c r="H1453" s="345"/>
      <c r="I1453" s="345"/>
      <c r="J1453" s="352"/>
      <c r="K1453" s="353"/>
      <c r="M1453" s="354">
        <v>106</v>
      </c>
      <c r="N1453" s="718" t="str">
        <f>IFERROR(VLOOKUP(M1453,INSUMOS!$C$8:$K$934,2,0),"-----")</f>
        <v>Transporte Piedra Barichara</v>
      </c>
      <c r="O1453" s="718"/>
      <c r="P1453" s="718"/>
      <c r="Q1453" s="314" t="str">
        <f>IFERROR(VLOOKUP(M1453,INSUMOS!$C$8:$K$934,5,0),"-----")</f>
        <v>m3/km</v>
      </c>
      <c r="R1453" s="355">
        <v>0.15</v>
      </c>
      <c r="S1453" s="355">
        <f>IFERROR(VLOOKUP(M1453,INSUMOS!$C$8:$K$934,6,0),"0")</f>
        <v>35</v>
      </c>
      <c r="T1453" s="719">
        <f>IFERROR(VLOOKUP(M1453,INSUMOS!$C$8:$K$934,7,0),"0")</f>
        <v>2800</v>
      </c>
      <c r="U1453" s="719"/>
      <c r="V1453" s="515">
        <f>+T1453*S1453*R1453</f>
        <v>14700</v>
      </c>
      <c r="Y1453" s="321">
        <f>+IFERROR((R1453*S1453)*Y1434,0)</f>
        <v>477.75</v>
      </c>
      <c r="Z1453" s="318">
        <f>Y1434*V1453</f>
        <v>1337700</v>
      </c>
      <c r="AA1453" s="345"/>
      <c r="AB1453" s="346">
        <f>+Y1453*T1453</f>
        <v>1337700</v>
      </c>
      <c r="AC1453" s="347">
        <f>+AB1453-Z1453</f>
        <v>0</v>
      </c>
      <c r="AD1453" s="348"/>
      <c r="AE1453" s="337" t="str">
        <f t="shared" ref="AE1453:AE1456" si="196">+IF(V1453=0,"CERO","NO")</f>
        <v>NO</v>
      </c>
    </row>
    <row r="1454" spans="3:31" ht="15.9" customHeight="1" x14ac:dyDescent="0.3">
      <c r="C1454" s="350"/>
      <c r="D1454" s="351"/>
      <c r="E1454" s="345"/>
      <c r="F1454" s="345"/>
      <c r="G1454" s="345"/>
      <c r="H1454" s="345"/>
      <c r="I1454" s="345"/>
      <c r="J1454" s="352"/>
      <c r="K1454" s="353"/>
      <c r="M1454" s="354">
        <v>0</v>
      </c>
      <c r="N1454" s="718" t="str">
        <f>IFERROR(VLOOKUP(M1454,INSUMOS!$C$8:$K$934,2,0),"-----")</f>
        <v>-----</v>
      </c>
      <c r="O1454" s="718"/>
      <c r="P1454" s="718"/>
      <c r="Q1454" s="314" t="str">
        <f>IFERROR(VLOOKUP(M1454,INSUMOS!$C$8:$K$934,5,0),"-----")</f>
        <v>-----</v>
      </c>
      <c r="R1454" s="355"/>
      <c r="S1454" s="355" t="str">
        <f>IFERROR(VLOOKUP(M1454,INSUMOS!$C$8:$K$934,6,0),"0")</f>
        <v>0</v>
      </c>
      <c r="T1454" s="719" t="str">
        <f>IFERROR(VLOOKUP(M1454,INSUMOS!$C$8:$K$934,7,0),"0")</f>
        <v>0</v>
      </c>
      <c r="U1454" s="719"/>
      <c r="V1454" s="515">
        <f>+T1454*S1454*R1454</f>
        <v>0</v>
      </c>
      <c r="Y1454" s="321">
        <f>+IFERROR((R1454*S1454)*Y1434,0)</f>
        <v>0</v>
      </c>
      <c r="Z1454" s="318">
        <f>Y1434*V1454</f>
        <v>0</v>
      </c>
      <c r="AA1454" s="345"/>
      <c r="AB1454" s="346">
        <f>+Y1454*T1454</f>
        <v>0</v>
      </c>
      <c r="AC1454" s="347">
        <f>+AB1454-Z1454</f>
        <v>0</v>
      </c>
      <c r="AD1454" s="348"/>
      <c r="AE1454" s="337" t="str">
        <f t="shared" si="196"/>
        <v>CERO</v>
      </c>
    </row>
    <row r="1455" spans="3:31" ht="15.9" customHeight="1" x14ac:dyDescent="0.3">
      <c r="C1455" s="350"/>
      <c r="D1455" s="351"/>
      <c r="E1455" s="345"/>
      <c r="F1455" s="345"/>
      <c r="G1455" s="345"/>
      <c r="H1455" s="345"/>
      <c r="I1455" s="345"/>
      <c r="J1455" s="352"/>
      <c r="K1455" s="353"/>
      <c r="M1455" s="354">
        <v>0</v>
      </c>
      <c r="N1455" s="718" t="str">
        <f>IFERROR(VLOOKUP(M1455,INSUMOS!$C$8:$K$934,2,0),"-----")</f>
        <v>-----</v>
      </c>
      <c r="O1455" s="718"/>
      <c r="P1455" s="718"/>
      <c r="Q1455" s="314" t="str">
        <f>IFERROR(VLOOKUP(M1455,INSUMOS!$C$8:$K$934,5,0),"-----")</f>
        <v>-----</v>
      </c>
      <c r="R1455" s="355"/>
      <c r="S1455" s="355" t="str">
        <f>IFERROR(VLOOKUP(M1455,INSUMOS!$C$8:$K$934,6,0),"0")</f>
        <v>0</v>
      </c>
      <c r="T1455" s="719" t="str">
        <f>IFERROR(VLOOKUP(M1455,INSUMOS!$C$8:$K$934,7,0),"0")</f>
        <v>0</v>
      </c>
      <c r="U1455" s="719"/>
      <c r="V1455" s="515">
        <f>+T1455*S1455*R1455</f>
        <v>0</v>
      </c>
      <c r="Y1455" s="321">
        <f>+IFERROR((R1455*S1455)*Y1434,0)</f>
        <v>0</v>
      </c>
      <c r="Z1455" s="318">
        <f>Y1434*V1455</f>
        <v>0</v>
      </c>
      <c r="AA1455" s="345"/>
      <c r="AB1455" s="346">
        <f t="shared" ref="AB1455" si="197">+Y1455*T1455</f>
        <v>0</v>
      </c>
      <c r="AC1455" s="347">
        <f t="shared" ref="AC1455" si="198">+AB1455-Z1455</f>
        <v>0</v>
      </c>
      <c r="AD1455" s="348"/>
      <c r="AE1455" s="337" t="str">
        <f t="shared" si="196"/>
        <v>CERO</v>
      </c>
    </row>
    <row r="1456" spans="3:31" ht="15.9" customHeight="1" thickBot="1" x14ac:dyDescent="0.35">
      <c r="C1456" s="350"/>
      <c r="D1456" s="360"/>
      <c r="E1456" s="361"/>
      <c r="F1456" s="361"/>
      <c r="G1456" s="361"/>
      <c r="H1456" s="361"/>
      <c r="I1456" s="361"/>
      <c r="J1456" s="362"/>
      <c r="K1456" s="353"/>
      <c r="M1456" s="354">
        <v>0</v>
      </c>
      <c r="N1456" s="718"/>
      <c r="O1456" s="718"/>
      <c r="P1456" s="718"/>
      <c r="Q1456" s="357"/>
      <c r="R1456" s="314"/>
      <c r="S1456" s="358"/>
      <c r="T1456" s="719"/>
      <c r="U1456" s="719"/>
      <c r="V1456" s="515"/>
      <c r="Y1456" s="321">
        <f>+IFERROR((R1456*S1456)*Y1434,0)</f>
        <v>0</v>
      </c>
      <c r="Z1456" s="318">
        <f>Y1434*V1456</f>
        <v>0</v>
      </c>
      <c r="AA1456" s="345"/>
      <c r="AB1456" s="346">
        <f>+Y1456*T1456</f>
        <v>0</v>
      </c>
      <c r="AC1456" s="347">
        <f>+AB1456-Z1456</f>
        <v>0</v>
      </c>
      <c r="AD1456" s="348"/>
      <c r="AE1456" s="337" t="str">
        <f t="shared" si="196"/>
        <v>CERO</v>
      </c>
    </row>
    <row r="1457" spans="3:31" ht="15.9" customHeight="1" thickBot="1" x14ac:dyDescent="0.35">
      <c r="C1457" s="292"/>
      <c r="D1457" s="295" t="s">
        <v>132</v>
      </c>
      <c r="E1457" s="296" t="s">
        <v>133</v>
      </c>
      <c r="F1457" s="296" t="s">
        <v>134</v>
      </c>
      <c r="G1457" s="296" t="s">
        <v>135</v>
      </c>
      <c r="H1457" s="296" t="s">
        <v>136</v>
      </c>
      <c r="I1457" s="296" t="s">
        <v>137</v>
      </c>
      <c r="J1457" s="297" t="s">
        <v>138</v>
      </c>
      <c r="K1457" s="293"/>
      <c r="M1457" s="720"/>
      <c r="N1457" s="721" t="s">
        <v>116</v>
      </c>
      <c r="O1457" s="721"/>
      <c r="P1457" s="721"/>
      <c r="Q1457" s="721"/>
      <c r="R1457" s="721"/>
      <c r="S1457" s="721"/>
      <c r="T1457" s="721"/>
      <c r="U1457" s="721"/>
      <c r="V1457" s="499">
        <f>+SUM(V1453:V1456)</f>
        <v>14700</v>
      </c>
      <c r="Y1457" s="328" t="s">
        <v>139</v>
      </c>
      <c r="Z1457" s="329">
        <f>+SUM(Z1453:Z1456)</f>
        <v>1337700</v>
      </c>
      <c r="AA1457" s="279"/>
      <c r="AB1457" s="290"/>
      <c r="AC1457" s="291"/>
      <c r="AD1457" s="280"/>
      <c r="AE1457" s="330"/>
    </row>
    <row r="1458" spans="3:31" ht="15.9" customHeight="1" thickBot="1" x14ac:dyDescent="0.35">
      <c r="C1458" s="292"/>
      <c r="D1458" s="363"/>
      <c r="E1458" s="364"/>
      <c r="F1458" s="365" t="str">
        <f>+E1450</f>
        <v>3.8</v>
      </c>
      <c r="G1458" s="364"/>
      <c r="H1458" s="364"/>
      <c r="I1458" s="364"/>
      <c r="J1458" s="366"/>
      <c r="K1458" s="293"/>
      <c r="M1458" s="720"/>
      <c r="N1458" s="722" t="s">
        <v>117</v>
      </c>
      <c r="O1458" s="722"/>
      <c r="P1458" s="722"/>
      <c r="Q1458" s="722"/>
      <c r="R1458" s="722"/>
      <c r="S1458" s="722"/>
      <c r="T1458" s="722"/>
      <c r="U1458" s="722"/>
      <c r="V1458" s="344">
        <f>+ROUND(V1457,$AA$2)</f>
        <v>14700</v>
      </c>
      <c r="Y1458" s="332" t="s">
        <v>140</v>
      </c>
      <c r="Z1458" s="333">
        <f>+ROUND(Z1457,$AA$2)</f>
        <v>1337700</v>
      </c>
      <c r="AA1458" s="279"/>
      <c r="AB1458" s="324">
        <f>+V1458*Y1434</f>
        <v>1337700</v>
      </c>
      <c r="AC1458" s="359"/>
      <c r="AD1458" s="280"/>
      <c r="AE1458" s="334"/>
    </row>
    <row r="1459" spans="3:31" ht="15.9" customHeight="1" thickBot="1" x14ac:dyDescent="0.35">
      <c r="C1459" s="292"/>
      <c r="D1459" s="369"/>
      <c r="E1459" s="370"/>
      <c r="F1459" s="370"/>
      <c r="G1459" s="370"/>
      <c r="H1459" s="370"/>
      <c r="I1459" s="370"/>
      <c r="J1459" s="371"/>
      <c r="K1459" s="293"/>
      <c r="M1459" s="723" t="s">
        <v>118</v>
      </c>
      <c r="N1459" s="723"/>
      <c r="O1459" s="723"/>
      <c r="P1459" s="723"/>
      <c r="Q1459" s="723"/>
      <c r="R1459" s="723"/>
      <c r="S1459" s="723"/>
      <c r="T1459" s="723"/>
      <c r="U1459" s="723"/>
      <c r="V1459" s="723"/>
      <c r="Y1459" s="298"/>
      <c r="Z1459" s="299"/>
      <c r="AA1459" s="279"/>
      <c r="AB1459" s="342"/>
      <c r="AC1459" s="299"/>
      <c r="AD1459" s="280"/>
      <c r="AE1459" s="335"/>
    </row>
    <row r="1460" spans="3:31" ht="15.9" customHeight="1" thickBot="1" x14ac:dyDescent="0.35">
      <c r="C1460" s="292"/>
      <c r="D1460" s="295" t="s">
        <v>132</v>
      </c>
      <c r="E1460" s="296" t="s">
        <v>133</v>
      </c>
      <c r="F1460" s="296" t="s">
        <v>134</v>
      </c>
      <c r="G1460" s="296" t="s">
        <v>135</v>
      </c>
      <c r="H1460" s="296" t="s">
        <v>136</v>
      </c>
      <c r="I1460" s="296" t="s">
        <v>137</v>
      </c>
      <c r="J1460" s="297" t="s">
        <v>138</v>
      </c>
      <c r="K1460" s="293"/>
      <c r="M1460" s="307" t="s">
        <v>97</v>
      </c>
      <c r="N1460" s="372" t="s">
        <v>98</v>
      </c>
      <c r="O1460" s="307" t="s">
        <v>99</v>
      </c>
      <c r="P1460" s="396" t="s">
        <v>107</v>
      </c>
      <c r="Q1460" s="307" t="s">
        <v>119</v>
      </c>
      <c r="R1460" s="373" t="s">
        <v>120</v>
      </c>
      <c r="S1460" s="307" t="s">
        <v>363</v>
      </c>
      <c r="T1460" s="374" t="s">
        <v>121</v>
      </c>
      <c r="U1460" s="375" t="s">
        <v>122</v>
      </c>
      <c r="V1460" s="307" t="s">
        <v>101</v>
      </c>
      <c r="Y1460" s="308" t="s">
        <v>107</v>
      </c>
      <c r="Z1460" s="309" t="s">
        <v>9</v>
      </c>
      <c r="AA1460" s="279"/>
      <c r="AB1460" s="290"/>
      <c r="AC1460" s="291"/>
      <c r="AD1460" s="280"/>
      <c r="AE1460" s="349"/>
    </row>
    <row r="1461" spans="3:31" ht="14.4" x14ac:dyDescent="0.3">
      <c r="C1461" s="292"/>
      <c r="D1461" s="376"/>
      <c r="E1461" s="377"/>
      <c r="F1461" s="377"/>
      <c r="G1461" s="377"/>
      <c r="H1461" s="377"/>
      <c r="I1461" s="377"/>
      <c r="J1461" s="378" t="str">
        <f>+F1458</f>
        <v>3.8</v>
      </c>
      <c r="K1461" s="293"/>
      <c r="M1461" s="313">
        <v>201</v>
      </c>
      <c r="N1461" s="379" t="str">
        <f>IFERROR(VLOOKUP(M1461,INSUMOS!$C$8:$K$934,2,0),"-----")</f>
        <v>Oficial Albañileria</v>
      </c>
      <c r="O1461" s="314" t="str">
        <f>IFERROR(VLOOKUP(M1461,INSUMOS!$C$8:$K$934,3,0),"-----")</f>
        <v>JORNAL+PS</v>
      </c>
      <c r="P1461" s="355">
        <v>1</v>
      </c>
      <c r="Q1461" s="339">
        <v>15</v>
      </c>
      <c r="R1461" s="380">
        <f>IFERROR(VLOOKUP(M1461,INSUMOS!$C$8:$K$934,4,0),"-----")</f>
        <v>114970</v>
      </c>
      <c r="S1461" s="380">
        <f>IFERROR(VLOOKUP(M1461,INSUMOS!$C$8:$K$934,6,0),"-----")</f>
        <v>91976</v>
      </c>
      <c r="T1461" s="380">
        <f>IFERROR(VLOOKUP(M1461,INSUMOS!$C$8:$K$934,5,0),"-----")</f>
        <v>0</v>
      </c>
      <c r="U1461" s="338">
        <f>SUM(R1461:T1461)</f>
        <v>206946</v>
      </c>
      <c r="V1461" s="316">
        <f>+IFERROR((P1461/Q1461)*U1461,0)</f>
        <v>13796.4</v>
      </c>
      <c r="Y1461" s="321">
        <f>+IFERROR((Y1434/Q1461*P1461),0)</f>
        <v>6.0666666666666664</v>
      </c>
      <c r="Z1461" s="318">
        <f>Y1434*V1461</f>
        <v>1255472.3999999999</v>
      </c>
      <c r="AA1461" s="279"/>
      <c r="AB1461" s="367">
        <f>+(U1461)*Y1461</f>
        <v>1255472.3999999999</v>
      </c>
      <c r="AC1461" s="302">
        <f>+AB1461-Z1461</f>
        <v>0</v>
      </c>
      <c r="AD1461" s="368"/>
      <c r="AE1461" s="349" t="str">
        <f>+IF(V1461=0,"CERO","NO")</f>
        <v>NO</v>
      </c>
    </row>
    <row r="1462" spans="3:31" ht="15.9" customHeight="1" thickBot="1" x14ac:dyDescent="0.35">
      <c r="C1462" s="292"/>
      <c r="D1462" s="363"/>
      <c r="E1462" s="364"/>
      <c r="F1462" s="364"/>
      <c r="G1462" s="364"/>
      <c r="H1462" s="364"/>
      <c r="I1462" s="364"/>
      <c r="J1462" s="381" t="str">
        <f>+J1461</f>
        <v>3.8</v>
      </c>
      <c r="K1462" s="293"/>
      <c r="M1462" s="313">
        <v>202</v>
      </c>
      <c r="N1462" s="379" t="str">
        <f>IFERROR(VLOOKUP(M1462,INSUMOS!$C$8:$K$934,2,0),"-----")</f>
        <v>Ayudante Albañileria</v>
      </c>
      <c r="O1462" s="314" t="str">
        <f>IFERROR(VLOOKUP(M1462,INSUMOS!$C$8:$K$934,3,0),"-----")</f>
        <v>JORNAL+PS</v>
      </c>
      <c r="P1462" s="355">
        <v>3</v>
      </c>
      <c r="Q1462" s="339">
        <v>15</v>
      </c>
      <c r="R1462" s="380">
        <f>IFERROR(VLOOKUP(M1462,INSUMOS!$C$8:$K$934,4,0),"-----")</f>
        <v>94970</v>
      </c>
      <c r="S1462" s="380">
        <f>IFERROR(VLOOKUP(M1462,INSUMOS!$C$8:$K$934,6,0),"-----")</f>
        <v>75976</v>
      </c>
      <c r="T1462" s="380">
        <f>IFERROR(VLOOKUP(M1462,INSUMOS!$C$8:$K$934,5,0),"-----")</f>
        <v>0</v>
      </c>
      <c r="U1462" s="338">
        <f>SUM(R1462:T1462)</f>
        <v>170946</v>
      </c>
      <c r="V1462" s="316">
        <f>+IFERROR((P1462/Q1462)*U1462,0)</f>
        <v>34189.200000000004</v>
      </c>
      <c r="Y1462" s="321">
        <f>+IFERROR((Y1434/Q1462*P1462),0)</f>
        <v>18.2</v>
      </c>
      <c r="Z1462" s="318">
        <f>Y1434*V1462</f>
        <v>3111217.2</v>
      </c>
      <c r="AA1462" s="279"/>
      <c r="AB1462" s="367">
        <f>+U1462*Y1462</f>
        <v>3111217.1999999997</v>
      </c>
      <c r="AC1462" s="302">
        <f>+AB1462-Z1462</f>
        <v>0</v>
      </c>
      <c r="AD1462" s="280"/>
      <c r="AE1462" s="349" t="str">
        <f t="shared" ref="AE1462:AE1463" si="199">+IF(V1462=0,"CERO","NO")</f>
        <v>NO</v>
      </c>
    </row>
    <row r="1463" spans="3:31" ht="15.9" customHeight="1" thickBot="1" x14ac:dyDescent="0.35">
      <c r="C1463" s="292"/>
      <c r="D1463" s="304"/>
      <c r="E1463" s="305"/>
      <c r="F1463" s="305"/>
      <c r="G1463" s="305"/>
      <c r="H1463" s="305"/>
      <c r="I1463" s="305"/>
      <c r="J1463" s="306"/>
      <c r="K1463" s="293"/>
      <c r="M1463" s="313">
        <v>0</v>
      </c>
      <c r="N1463" s="379"/>
      <c r="O1463" s="339"/>
      <c r="P1463" s="382"/>
      <c r="Q1463" s="319"/>
      <c r="R1463" s="383"/>
      <c r="S1463" s="384"/>
      <c r="T1463" s="383"/>
      <c r="U1463" s="338"/>
      <c r="V1463" s="323"/>
      <c r="Y1463" s="321">
        <f>+IFERROR((Y1434/Q1463*P1463),0)</f>
        <v>0</v>
      </c>
      <c r="Z1463" s="318">
        <f>Y1434*V1463</f>
        <v>0</v>
      </c>
      <c r="AA1463" s="279"/>
      <c r="AB1463" s="367">
        <f>+(U1463)*Y1463*P1463</f>
        <v>0</v>
      </c>
      <c r="AC1463" s="302">
        <f>+AB1463-Z1463</f>
        <v>0</v>
      </c>
      <c r="AD1463" s="280"/>
      <c r="AE1463" s="349" t="str">
        <f t="shared" si="199"/>
        <v>CERO</v>
      </c>
    </row>
    <row r="1464" spans="3:31" ht="15.9" customHeight="1" thickBot="1" x14ac:dyDescent="0.35">
      <c r="C1464" s="292"/>
      <c r="D1464" s="295" t="s">
        <v>132</v>
      </c>
      <c r="E1464" s="296" t="s">
        <v>133</v>
      </c>
      <c r="F1464" s="296" t="s">
        <v>134</v>
      </c>
      <c r="G1464" s="296" t="s">
        <v>135</v>
      </c>
      <c r="H1464" s="296" t="s">
        <v>136</v>
      </c>
      <c r="I1464" s="296" t="s">
        <v>137</v>
      </c>
      <c r="J1464" s="297" t="s">
        <v>138</v>
      </c>
      <c r="K1464" s="293"/>
      <c r="M1464" s="724"/>
      <c r="N1464" s="725" t="s">
        <v>123</v>
      </c>
      <c r="O1464" s="725"/>
      <c r="P1464" s="725"/>
      <c r="Q1464" s="725"/>
      <c r="R1464" s="725"/>
      <c r="S1464" s="725"/>
      <c r="T1464" s="725"/>
      <c r="U1464" s="725"/>
      <c r="V1464" s="316">
        <f>+SUM(V1461:V1463)</f>
        <v>47985.600000000006</v>
      </c>
      <c r="Y1464" s="328" t="s">
        <v>139</v>
      </c>
      <c r="Z1464" s="329">
        <f>+SUM(Z1461:Z1463)</f>
        <v>4366689.5999999996</v>
      </c>
      <c r="AA1464" s="279"/>
      <c r="AB1464" s="290"/>
      <c r="AC1464" s="291"/>
      <c r="AD1464" s="280"/>
      <c r="AE1464" s="330"/>
    </row>
    <row r="1465" spans="3:31" ht="15.9" customHeight="1" thickBot="1" x14ac:dyDescent="0.35">
      <c r="C1465" s="292"/>
      <c r="D1465" s="376"/>
      <c r="E1465" s="377"/>
      <c r="F1465" s="377"/>
      <c r="G1465" s="386" t="str">
        <f>+F1458</f>
        <v>3.8</v>
      </c>
      <c r="H1465" s="377"/>
      <c r="I1465" s="377"/>
      <c r="J1465" s="387"/>
      <c r="K1465" s="293"/>
      <c r="M1465" s="724"/>
      <c r="N1465" s="726" t="s">
        <v>124</v>
      </c>
      <c r="O1465" s="726"/>
      <c r="P1465" s="726"/>
      <c r="Q1465" s="726"/>
      <c r="R1465" s="726"/>
      <c r="S1465" s="726"/>
      <c r="T1465" s="726"/>
      <c r="U1465" s="726"/>
      <c r="V1465" s="344">
        <f>+ROUND(V1464,$AA$2)</f>
        <v>47986</v>
      </c>
      <c r="Y1465" s="332" t="s">
        <v>140</v>
      </c>
      <c r="Z1465" s="333">
        <f>+ROUND(Z1464,$AA$2)</f>
        <v>4366690</v>
      </c>
      <c r="AA1465" s="279"/>
      <c r="AB1465" s="324">
        <f>+V1465*Y1434</f>
        <v>4366726</v>
      </c>
      <c r="AC1465" s="325">
        <f>+AB1465-Z1465</f>
        <v>36</v>
      </c>
      <c r="AD1465" s="280"/>
      <c r="AE1465" s="334"/>
    </row>
    <row r="1466" spans="3:31" ht="15.9" customHeight="1" thickBot="1" x14ac:dyDescent="0.35">
      <c r="C1466" s="292"/>
      <c r="D1466" s="295" t="s">
        <v>132</v>
      </c>
      <c r="E1466" s="296" t="s">
        <v>133</v>
      </c>
      <c r="F1466" s="296" t="s">
        <v>134</v>
      </c>
      <c r="G1466" s="296" t="s">
        <v>135</v>
      </c>
      <c r="H1466" s="296" t="s">
        <v>136</v>
      </c>
      <c r="I1466" s="296" t="s">
        <v>137</v>
      </c>
      <c r="J1466" s="297" t="s">
        <v>138</v>
      </c>
      <c r="K1466" s="293"/>
      <c r="M1466" s="727"/>
      <c r="N1466" s="727"/>
      <c r="O1466" s="727"/>
      <c r="P1466" s="727"/>
      <c r="Q1466" s="727"/>
      <c r="R1466" s="727"/>
      <c r="S1466" s="727"/>
      <c r="T1466" s="727"/>
      <c r="U1466" s="727"/>
      <c r="V1466" s="727"/>
      <c r="Y1466" s="298"/>
      <c r="Z1466" s="299"/>
      <c r="AA1466" s="279"/>
      <c r="AB1466" s="342"/>
      <c r="AC1466" s="299"/>
      <c r="AD1466" s="280"/>
      <c r="AE1466" s="388"/>
    </row>
    <row r="1467" spans="3:31" ht="15.9" customHeight="1" thickBot="1" x14ac:dyDescent="0.35">
      <c r="C1467" s="292"/>
      <c r="D1467" s="363"/>
      <c r="E1467" s="364"/>
      <c r="F1467" s="364"/>
      <c r="G1467" s="364"/>
      <c r="H1467" s="365" t="str">
        <f>G1465</f>
        <v>3.8</v>
      </c>
      <c r="I1467" s="365"/>
      <c r="J1467" s="381"/>
      <c r="K1467" s="293"/>
      <c r="M1467" s="726" t="s">
        <v>125</v>
      </c>
      <c r="N1467" s="726"/>
      <c r="O1467" s="726"/>
      <c r="P1467" s="726"/>
      <c r="Q1467" s="726"/>
      <c r="R1467" s="726"/>
      <c r="S1467" s="726"/>
      <c r="T1467" s="726"/>
      <c r="U1467" s="728">
        <f>+V1465+V1458+V1450+V1443</f>
        <v>143721</v>
      </c>
      <c r="V1467" s="728"/>
      <c r="Y1467" s="389"/>
      <c r="Z1467" s="390">
        <f>+Z1465+Z1458+Z1450+Z1443</f>
        <v>13078592</v>
      </c>
      <c r="AA1467" s="279"/>
      <c r="AB1467" s="385">
        <f>+AB1465+AB1458+AB1450+AB1443</f>
        <v>13078611</v>
      </c>
      <c r="AC1467" s="325">
        <f>+AB1467-Z1467</f>
        <v>19</v>
      </c>
      <c r="AD1467" s="280"/>
      <c r="AE1467" s="391"/>
    </row>
    <row r="1468" spans="3:31" ht="15.9" customHeight="1" thickBot="1" x14ac:dyDescent="0.3">
      <c r="M1468" s="412"/>
      <c r="N1468" s="412"/>
      <c r="O1468" s="412"/>
      <c r="P1468" s="412"/>
      <c r="Q1468" s="412"/>
      <c r="R1468" s="412"/>
      <c r="S1468" s="412"/>
      <c r="T1468" s="412"/>
      <c r="U1468" s="412"/>
      <c r="V1468" s="412"/>
    </row>
    <row r="1469" spans="3:31" ht="15.9" customHeight="1" x14ac:dyDescent="0.25">
      <c r="M1469" s="729" t="s">
        <v>364</v>
      </c>
      <c r="N1469" s="729"/>
      <c r="O1469" s="729"/>
      <c r="P1469" s="729"/>
      <c r="Q1469" s="729"/>
      <c r="R1469" s="729"/>
      <c r="S1469" s="729"/>
      <c r="T1469" s="729"/>
      <c r="U1469" s="729"/>
      <c r="V1469" s="729"/>
      <c r="Y1469" s="298"/>
      <c r="Z1469" s="299"/>
      <c r="AA1469" s="279"/>
      <c r="AB1469" s="280"/>
      <c r="AC1469" s="280"/>
      <c r="AD1469" s="280"/>
      <c r="AE1469" s="335" t="s">
        <v>137</v>
      </c>
    </row>
    <row r="1470" spans="3:31" ht="15.9" customHeight="1" x14ac:dyDescent="0.25">
      <c r="M1470" s="700" t="s">
        <v>142</v>
      </c>
      <c r="N1470" s="700"/>
      <c r="O1470" s="700"/>
      <c r="P1470" s="700"/>
      <c r="Q1470" s="700"/>
      <c r="R1470" s="700"/>
      <c r="S1470" s="700"/>
      <c r="T1470" s="413">
        <f>$AA$3</f>
        <v>0.25</v>
      </c>
      <c r="U1470" s="701">
        <f>+ROUND(U1467*T1470,$AA$2)</f>
        <v>35930</v>
      </c>
      <c r="V1470" s="701"/>
      <c r="Y1470" s="317"/>
      <c r="Z1470" s="414">
        <f>+Z1467*T1470</f>
        <v>3269648</v>
      </c>
      <c r="AA1470" s="279"/>
      <c r="AB1470" s="280"/>
      <c r="AC1470" s="280"/>
      <c r="AD1470" s="280"/>
      <c r="AE1470" s="310" t="s">
        <v>137</v>
      </c>
    </row>
    <row r="1471" spans="3:31" ht="15.9" customHeight="1" x14ac:dyDescent="0.25">
      <c r="M1471" s="700" t="s">
        <v>19</v>
      </c>
      <c r="N1471" s="700"/>
      <c r="O1471" s="700"/>
      <c r="P1471" s="700"/>
      <c r="Q1471" s="700"/>
      <c r="R1471" s="700"/>
      <c r="S1471" s="700"/>
      <c r="T1471" s="413">
        <f>$AA$4</f>
        <v>0.03</v>
      </c>
      <c r="U1471" s="701">
        <f>+ROUND(U1467*T1471,$AA$2)</f>
        <v>4312</v>
      </c>
      <c r="V1471" s="701"/>
      <c r="Y1471" s="317"/>
      <c r="Z1471" s="414">
        <f>+Z1467*T1471</f>
        <v>392357.76</v>
      </c>
      <c r="AA1471" s="279"/>
      <c r="AB1471" s="280"/>
      <c r="AC1471" s="280"/>
      <c r="AD1471" s="280"/>
      <c r="AE1471" s="310" t="s">
        <v>137</v>
      </c>
    </row>
    <row r="1472" spans="3:31" ht="15.9" customHeight="1" x14ac:dyDescent="0.25">
      <c r="M1472" s="700" t="s">
        <v>20</v>
      </c>
      <c r="N1472" s="700"/>
      <c r="O1472" s="700"/>
      <c r="P1472" s="700"/>
      <c r="Q1472" s="700"/>
      <c r="R1472" s="700"/>
      <c r="S1472" s="700"/>
      <c r="T1472" s="413">
        <f>$AA$5</f>
        <v>0.05</v>
      </c>
      <c r="U1472" s="701">
        <f>+ROUND(U1467*T1472,$AA$2)</f>
        <v>7186</v>
      </c>
      <c r="V1472" s="701"/>
      <c r="Y1472" s="317"/>
      <c r="Z1472" s="414">
        <f>+Z1467*T1472</f>
        <v>653929.60000000009</v>
      </c>
      <c r="AA1472" s="279"/>
      <c r="AB1472" s="280"/>
      <c r="AC1472" s="280"/>
      <c r="AD1472" s="280"/>
      <c r="AE1472" s="310" t="s">
        <v>137</v>
      </c>
    </row>
    <row r="1473" spans="4:31" ht="15.9" customHeight="1" x14ac:dyDescent="0.25">
      <c r="M1473" s="700" t="s">
        <v>21</v>
      </c>
      <c r="N1473" s="700"/>
      <c r="O1473" s="700"/>
      <c r="P1473" s="700"/>
      <c r="Q1473" s="700"/>
      <c r="R1473" s="700"/>
      <c r="S1473" s="700"/>
      <c r="T1473" s="413">
        <f>$AA$6</f>
        <v>0</v>
      </c>
      <c r="U1473" s="701">
        <f>+ROUND(U1467*T1473,$AA$2)</f>
        <v>0</v>
      </c>
      <c r="V1473" s="701"/>
      <c r="Y1473" s="317"/>
      <c r="Z1473" s="414">
        <f>+Z1472*T1473</f>
        <v>0</v>
      </c>
      <c r="AA1473" s="279"/>
      <c r="AB1473" s="280"/>
      <c r="AC1473" s="280"/>
      <c r="AD1473" s="280"/>
      <c r="AE1473" s="310" t="s">
        <v>137</v>
      </c>
    </row>
    <row r="1474" spans="4:31" ht="15.9" customHeight="1" thickBot="1" x14ac:dyDescent="0.3">
      <c r="M1474" s="702" t="s">
        <v>365</v>
      </c>
      <c r="N1474" s="702"/>
      <c r="O1474" s="702"/>
      <c r="P1474" s="702"/>
      <c r="Q1474" s="702"/>
      <c r="R1474" s="702"/>
      <c r="S1474" s="702"/>
      <c r="T1474" s="702"/>
      <c r="U1474" s="703">
        <f>+SUM(U1470:V1473)</f>
        <v>47428</v>
      </c>
      <c r="V1474" s="703"/>
      <c r="Y1474" s="317"/>
      <c r="Z1474" s="415">
        <f>+SUM(Z1470:Z1473)</f>
        <v>4315935.3599999994</v>
      </c>
      <c r="AA1474" s="279"/>
      <c r="AB1474" s="280"/>
      <c r="AC1474" s="280"/>
      <c r="AD1474" s="280"/>
      <c r="AE1474" s="310" t="s">
        <v>137</v>
      </c>
    </row>
    <row r="1475" spans="4:31" ht="15.9" customHeight="1" thickBot="1" x14ac:dyDescent="0.3">
      <c r="D1475" s="295" t="s">
        <v>132</v>
      </c>
      <c r="E1475" s="296" t="s">
        <v>133</v>
      </c>
      <c r="F1475" s="296" t="s">
        <v>134</v>
      </c>
      <c r="G1475" s="296" t="s">
        <v>135</v>
      </c>
      <c r="H1475" s="296" t="s">
        <v>136</v>
      </c>
      <c r="I1475" s="296" t="s">
        <v>137</v>
      </c>
      <c r="J1475" s="297" t="s">
        <v>138</v>
      </c>
      <c r="M1475" s="377"/>
      <c r="N1475" s="416"/>
      <c r="O1475" s="416"/>
      <c r="P1475" s="416"/>
      <c r="Q1475" s="377"/>
      <c r="R1475" s="377"/>
      <c r="S1475" s="377"/>
      <c r="T1475" s="417"/>
      <c r="U1475" s="701"/>
      <c r="V1475" s="701"/>
      <c r="Y1475" s="317"/>
      <c r="Z1475" s="291"/>
      <c r="AA1475" s="279"/>
      <c r="AB1475" s="280"/>
      <c r="AC1475" s="280"/>
      <c r="AD1475" s="280"/>
      <c r="AE1475" s="310" t="s">
        <v>137</v>
      </c>
    </row>
    <row r="1476" spans="4:31" ht="15.9" customHeight="1" thickBot="1" x14ac:dyDescent="0.3">
      <c r="D1476" s="363"/>
      <c r="E1476" s="364"/>
      <c r="F1476" s="364"/>
      <c r="G1476" s="364"/>
      <c r="H1476" s="365"/>
      <c r="I1476" s="365" t="str">
        <f>H1467</f>
        <v>3.8</v>
      </c>
      <c r="J1476" s="381"/>
      <c r="M1476" s="702" t="s">
        <v>11</v>
      </c>
      <c r="N1476" s="702"/>
      <c r="O1476" s="702"/>
      <c r="P1476" s="702"/>
      <c r="Q1476" s="702"/>
      <c r="R1476" s="702"/>
      <c r="S1476" s="702"/>
      <c r="T1476" s="702"/>
      <c r="U1476" s="704">
        <f>+U1474+U1467</f>
        <v>191149</v>
      </c>
      <c r="V1476" s="704"/>
      <c r="Y1476" s="389"/>
      <c r="Z1476" s="418">
        <f>+Z1474+Z1467</f>
        <v>17394527.359999999</v>
      </c>
      <c r="AA1476" s="279"/>
      <c r="AB1476" s="280"/>
      <c r="AC1476" s="280"/>
      <c r="AD1476" s="280"/>
      <c r="AE1476" s="334" t="s">
        <v>137</v>
      </c>
    </row>
    <row r="1477" spans="4:31" ht="15.9" customHeight="1" x14ac:dyDescent="0.25">
      <c r="M1477" s="705"/>
      <c r="N1477" s="705"/>
      <c r="O1477" s="705"/>
      <c r="P1477" s="705"/>
      <c r="Q1477" s="705"/>
      <c r="R1477" s="706"/>
      <c r="S1477" s="706"/>
      <c r="T1477" s="706"/>
      <c r="U1477" s="706"/>
      <c r="V1477" s="706"/>
    </row>
    <row r="1478" spans="4:31" ht="15.9" customHeight="1" x14ac:dyDescent="0.25">
      <c r="M1478" s="705"/>
      <c r="N1478" s="705"/>
      <c r="O1478" s="705"/>
      <c r="P1478" s="705"/>
      <c r="Q1478" s="705"/>
      <c r="R1478" s="706"/>
      <c r="S1478" s="706"/>
      <c r="T1478" s="706"/>
      <c r="U1478" s="706"/>
      <c r="V1478" s="706"/>
    </row>
    <row r="1479" spans="4:31" ht="15.9" customHeight="1" x14ac:dyDescent="0.25">
      <c r="M1479" s="705"/>
      <c r="N1479" s="705"/>
      <c r="O1479" s="705"/>
      <c r="P1479" s="705"/>
      <c r="Q1479" s="705"/>
      <c r="R1479" s="706"/>
      <c r="S1479" s="706"/>
      <c r="T1479" s="706"/>
      <c r="U1479" s="706"/>
      <c r="V1479" s="706"/>
    </row>
    <row r="1480" spans="4:31" ht="15.9" customHeight="1" x14ac:dyDescent="0.25">
      <c r="M1480" s="705"/>
      <c r="N1480" s="705"/>
      <c r="O1480" s="705"/>
      <c r="P1480" s="705"/>
      <c r="Q1480" s="705"/>
      <c r="R1480" s="706"/>
      <c r="S1480" s="706"/>
      <c r="T1480" s="706"/>
      <c r="U1480" s="706"/>
      <c r="V1480" s="706"/>
    </row>
    <row r="1481" spans="4:31" ht="15.9" customHeight="1" x14ac:dyDescent="0.25">
      <c r="M1481" s="707" t="s">
        <v>128</v>
      </c>
      <c r="N1481" s="708" t="str">
        <f>$N$6</f>
        <v>ING. JEYSON JULIAN LEON RUEDA</v>
      </c>
      <c r="O1481" s="709"/>
      <c r="P1481" s="709"/>
      <c r="Q1481" s="710"/>
      <c r="R1481" s="711" t="s">
        <v>129</v>
      </c>
      <c r="S1481" s="708" t="str">
        <f>$S$6</f>
        <v>ARQ. YASMID ROCÍO CARRILLO MORA</v>
      </c>
      <c r="T1481" s="709"/>
      <c r="U1481" s="709"/>
      <c r="V1481" s="710"/>
    </row>
    <row r="1482" spans="4:31" ht="15.9" customHeight="1" x14ac:dyDescent="0.25">
      <c r="M1482" s="707"/>
      <c r="N1482" s="712" t="str">
        <f>$N$7</f>
        <v>MP. 68202-416348 STD</v>
      </c>
      <c r="O1482" s="713"/>
      <c r="P1482" s="713"/>
      <c r="Q1482" s="714"/>
      <c r="R1482" s="711"/>
      <c r="S1482" s="712" t="str">
        <f>$S$7</f>
        <v>SECRETARIA DE PLANEACIÓN Y OBRAS PÚBLICAS</v>
      </c>
      <c r="T1482" s="713"/>
      <c r="U1482" s="713"/>
      <c r="V1482" s="714"/>
    </row>
    <row r="1483" spans="4:31" ht="15.9" customHeight="1" x14ac:dyDescent="0.25">
      <c r="M1483" s="707"/>
      <c r="N1483" s="715"/>
      <c r="O1483" s="716"/>
      <c r="P1483" s="716"/>
      <c r="Q1483" s="717"/>
      <c r="R1483" s="711"/>
      <c r="S1483" s="712" t="str">
        <f>$S$8</f>
        <v>MUNICIPIO DE PINCHOTE</v>
      </c>
      <c r="T1483" s="713"/>
      <c r="U1483" s="713"/>
      <c r="V1483" s="714"/>
    </row>
    <row r="1484" spans="4:31" ht="15.9" customHeight="1" x14ac:dyDescent="0.25"/>
    <row r="1485" spans="4:31" ht="15.9" customHeight="1" x14ac:dyDescent="0.25"/>
    <row r="1486" spans="4:31" ht="15.9" customHeight="1" x14ac:dyDescent="0.25">
      <c r="M1486" s="281" t="s">
        <v>90</v>
      </c>
      <c r="N1486" s="410" t="s">
        <v>28</v>
      </c>
      <c r="O1486" s="706" t="str">
        <f>IFERROR(VLOOKUP(N1486,PPTO!$C$9:$H$64,2,0),"----")</f>
        <v>COMPONENTE  ALCANTARILLADO</v>
      </c>
      <c r="P1486" s="706"/>
      <c r="Q1486" s="706"/>
      <c r="R1486" s="706"/>
      <c r="S1486" s="706"/>
      <c r="T1486" s="706"/>
      <c r="U1486" s="706"/>
      <c r="V1486" s="283" t="s">
        <v>93</v>
      </c>
    </row>
    <row r="1487" spans="4:31" x14ac:dyDescent="0.25">
      <c r="M1487" s="283" t="s">
        <v>94</v>
      </c>
      <c r="N1487" s="287">
        <v>2.2999999999999998</v>
      </c>
      <c r="O1487" s="736" t="str">
        <f>IFERROR(VLOOKUP(N1487,PPTO!$C$9:$H$64,2,0),"----")</f>
        <v>Retiro de tubería existente de Acueducto (Incluye retiro y disposición final)</v>
      </c>
      <c r="P1487" s="736"/>
      <c r="Q1487" s="736"/>
      <c r="R1487" s="736"/>
      <c r="S1487" s="736"/>
      <c r="T1487" s="736"/>
      <c r="U1487" s="736"/>
      <c r="V1487" s="288" t="str">
        <f>IFERROR(VLOOKUP(N1487,PPTO!$C$9:$H$64,3,0),"----")</f>
        <v>ml</v>
      </c>
    </row>
    <row r="1488" spans="4:31" x14ac:dyDescent="0.25">
      <c r="M1488" s="737"/>
      <c r="N1488" s="737"/>
      <c r="O1488" s="737"/>
      <c r="P1488" s="737"/>
      <c r="Q1488" s="737"/>
      <c r="R1488" s="737"/>
      <c r="S1488" s="737"/>
      <c r="T1488" s="737"/>
      <c r="U1488" s="737"/>
      <c r="V1488" s="737"/>
    </row>
    <row r="1489" spans="13:22" x14ac:dyDescent="0.25">
      <c r="M1489" s="738" t="s">
        <v>96</v>
      </c>
      <c r="N1489" s="738"/>
      <c r="O1489" s="738"/>
      <c r="P1489" s="738"/>
      <c r="Q1489" s="738"/>
      <c r="R1489" s="738"/>
      <c r="S1489" s="738"/>
      <c r="T1489" s="738"/>
      <c r="U1489" s="738"/>
      <c r="V1489" s="738"/>
    </row>
    <row r="1490" spans="13:22" x14ac:dyDescent="0.25">
      <c r="M1490" s="307" t="s">
        <v>97</v>
      </c>
      <c r="N1490" s="706" t="s">
        <v>98</v>
      </c>
      <c r="O1490" s="706"/>
      <c r="P1490" s="706"/>
      <c r="Q1490" s="706"/>
      <c r="R1490" s="307" t="s">
        <v>99</v>
      </c>
      <c r="S1490" s="307" t="s">
        <v>100</v>
      </c>
      <c r="T1490" s="734" t="s">
        <v>8</v>
      </c>
      <c r="U1490" s="734"/>
      <c r="V1490" s="307" t="s">
        <v>101</v>
      </c>
    </row>
    <row r="1491" spans="13:22" x14ac:dyDescent="0.25">
      <c r="M1491" s="313"/>
      <c r="N1491" s="718" t="s">
        <v>102</v>
      </c>
      <c r="O1491" s="718"/>
      <c r="P1491" s="718"/>
      <c r="Q1491" s="718"/>
      <c r="R1491" s="314" t="s">
        <v>103</v>
      </c>
      <c r="S1491" s="315">
        <f>$AA$9</f>
        <v>0.05</v>
      </c>
      <c r="T1491" s="766">
        <f>V1518</f>
        <v>17095</v>
      </c>
      <c r="U1491" s="766"/>
      <c r="V1491" s="316">
        <f>+IFERROR(T1491*S1491,0)</f>
        <v>854.75</v>
      </c>
    </row>
    <row r="1492" spans="13:22" x14ac:dyDescent="0.25">
      <c r="M1492" s="319">
        <v>99</v>
      </c>
      <c r="N1492" s="718" t="str">
        <f>IFERROR(VLOOKUP(M1492,INSUMOS!$C$8:$K$934,2,0),"-----")</f>
        <v>Disposicion final de escombros</v>
      </c>
      <c r="O1492" s="718"/>
      <c r="P1492" s="718"/>
      <c r="Q1492" s="718"/>
      <c r="R1492" s="314" t="str">
        <f>IFERROR(VLOOKUP(M1492,INSUMOS!$C$8:$K$934,6,0),"-----")</f>
        <v>m3</v>
      </c>
      <c r="S1492" s="320">
        <v>0.1</v>
      </c>
      <c r="T1492" s="767">
        <f>IFERROR(VLOOKUP(M1492,INSUMOS!$C$8:$K$934,7,0),"0")</f>
        <v>9683</v>
      </c>
      <c r="U1492" s="767"/>
      <c r="V1492" s="316">
        <f>+IFERROR(T1492*S1492,0)</f>
        <v>968.30000000000007</v>
      </c>
    </row>
    <row r="1493" spans="13:22" x14ac:dyDescent="0.25">
      <c r="M1493" s="313">
        <v>30</v>
      </c>
      <c r="N1493" s="718" t="str">
        <f>IFERROR(VLOOKUP(M1493,INSUMOS!$C$8:$K$934,2,0),"-----")</f>
        <v>RetroExcavadora</v>
      </c>
      <c r="O1493" s="718"/>
      <c r="P1493" s="718"/>
      <c r="Q1493" s="718"/>
      <c r="R1493" s="314" t="str">
        <f>IFERROR(VLOOKUP(M1493,INSUMOS!$C$8:$K$934,6,0),"-----")</f>
        <v>Hora</v>
      </c>
      <c r="S1493" s="320">
        <v>1.4999999999999999E-2</v>
      </c>
      <c r="T1493" s="767">
        <f>IFERROR(VLOOKUP(M1493,INSUMOS!$C$8:$K$934,7,0),"0")</f>
        <v>190000</v>
      </c>
      <c r="U1493" s="767"/>
      <c r="V1493" s="316">
        <f>+IFERROR(T1493*S1493,0)</f>
        <v>2850</v>
      </c>
    </row>
    <row r="1494" spans="13:22" x14ac:dyDescent="0.25">
      <c r="M1494" s="313">
        <v>0</v>
      </c>
      <c r="N1494" s="727"/>
      <c r="O1494" s="727"/>
      <c r="P1494" s="727"/>
      <c r="Q1494" s="727"/>
      <c r="R1494" s="326"/>
      <c r="S1494" s="326"/>
      <c r="T1494" s="768"/>
      <c r="U1494" s="768"/>
      <c r="V1494" s="327"/>
    </row>
    <row r="1495" spans="13:22" x14ac:dyDescent="0.25">
      <c r="M1495" s="724"/>
      <c r="N1495" s="725" t="s">
        <v>104</v>
      </c>
      <c r="O1495" s="725"/>
      <c r="P1495" s="725"/>
      <c r="Q1495" s="725"/>
      <c r="R1495" s="725"/>
      <c r="S1495" s="725"/>
      <c r="T1495" s="725"/>
      <c r="U1495" s="725"/>
      <c r="V1495" s="316">
        <f>+SUM(V1491:V1494)</f>
        <v>4673.05</v>
      </c>
    </row>
    <row r="1496" spans="13:22" x14ac:dyDescent="0.25">
      <c r="M1496" s="724"/>
      <c r="N1496" s="726" t="s">
        <v>105</v>
      </c>
      <c r="O1496" s="726"/>
      <c r="P1496" s="726"/>
      <c r="Q1496" s="726"/>
      <c r="R1496" s="726"/>
      <c r="S1496" s="726"/>
      <c r="T1496" s="726"/>
      <c r="U1496" s="726"/>
      <c r="V1496" s="344">
        <f>+ROUND(V1495,$AA$2)</f>
        <v>4673</v>
      </c>
    </row>
    <row r="1497" spans="13:22" x14ac:dyDescent="0.25">
      <c r="M1497" s="730" t="s">
        <v>106</v>
      </c>
      <c r="N1497" s="730"/>
      <c r="O1497" s="730"/>
      <c r="P1497" s="730"/>
      <c r="Q1497" s="730"/>
      <c r="R1497" s="730"/>
      <c r="S1497" s="730"/>
      <c r="T1497" s="730"/>
      <c r="U1497" s="730"/>
      <c r="V1497" s="730"/>
    </row>
    <row r="1498" spans="13:22" x14ac:dyDescent="0.25">
      <c r="M1498" s="307" t="s">
        <v>97</v>
      </c>
      <c r="N1498" s="706" t="s">
        <v>98</v>
      </c>
      <c r="O1498" s="706"/>
      <c r="P1498" s="706"/>
      <c r="Q1498" s="706"/>
      <c r="R1498" s="307" t="s">
        <v>99</v>
      </c>
      <c r="S1498" s="307" t="s">
        <v>107</v>
      </c>
      <c r="T1498" s="336" t="s">
        <v>108</v>
      </c>
      <c r="U1498" s="336" t="s">
        <v>8</v>
      </c>
      <c r="V1498" s="307" t="s">
        <v>101</v>
      </c>
    </row>
    <row r="1499" spans="13:22" x14ac:dyDescent="0.25">
      <c r="M1499" s="313">
        <v>0</v>
      </c>
      <c r="N1499" s="718" t="str">
        <f>IFERROR(VLOOKUP(M1499,INSUMOS!$C$8:$K$934,2,0),"-----")</f>
        <v>-----</v>
      </c>
      <c r="O1499" s="718"/>
      <c r="P1499" s="718"/>
      <c r="Q1499" s="718"/>
      <c r="R1499" s="314" t="str">
        <f>IFERROR(VLOOKUP(M1499,INSUMOS!$C$8:$K$934,6,0),"-----")</f>
        <v>-----</v>
      </c>
      <c r="S1499" s="322"/>
      <c r="T1499" s="315">
        <v>0</v>
      </c>
      <c r="U1499" s="338" t="str">
        <f>IFERROR(VLOOKUP(M1499,INSUMOS!$C$8:$K$934,7,0),"0")</f>
        <v>0</v>
      </c>
      <c r="V1499" s="316">
        <f>+IFERROR(U1499*(S1499*(1+T1499)),0)</f>
        <v>0</v>
      </c>
    </row>
    <row r="1500" spans="13:22" x14ac:dyDescent="0.25">
      <c r="M1500" s="313">
        <v>0</v>
      </c>
      <c r="N1500" s="718" t="str">
        <f>IFERROR(VLOOKUP(M1500,INSUMOS!$C$8:$K$934,2,0),"-----")</f>
        <v>-----</v>
      </c>
      <c r="O1500" s="718"/>
      <c r="P1500" s="718"/>
      <c r="Q1500" s="718"/>
      <c r="R1500" s="314" t="str">
        <f>IFERROR(VLOOKUP(M1500,INSUMOS!$C$8:$K$934,6,0),"-----")</f>
        <v>-----</v>
      </c>
      <c r="S1500" s="322"/>
      <c r="T1500" s="315">
        <v>0</v>
      </c>
      <c r="U1500" s="338" t="str">
        <f>IFERROR(VLOOKUP(M1500,INSUMOS!$C$8:$K$934,7,0),"0")</f>
        <v>0</v>
      </c>
      <c r="V1500" s="316">
        <f>+IFERROR(U1500*(S1500*(1+T1500)),0)</f>
        <v>0</v>
      </c>
    </row>
    <row r="1501" spans="13:22" x14ac:dyDescent="0.25">
      <c r="M1501" s="313">
        <v>0</v>
      </c>
      <c r="N1501" s="718" t="str">
        <f>IFERROR(VLOOKUP(M1501,INSUMOS!$C$8:$K$934,2,0),"-----")</f>
        <v>-----</v>
      </c>
      <c r="O1501" s="718"/>
      <c r="P1501" s="718"/>
      <c r="Q1501" s="718"/>
      <c r="R1501" s="314" t="str">
        <f>IFERROR(VLOOKUP(M1501,INSUMOS!$C$8:$K$934,6,0),"-----")</f>
        <v>-----</v>
      </c>
      <c r="S1501" s="322"/>
      <c r="T1501" s="315">
        <v>0</v>
      </c>
      <c r="U1501" s="338" t="str">
        <f>IFERROR(VLOOKUP(M1501,INSUMOS!$C$8:$K$934,7,0),"0")</f>
        <v>0</v>
      </c>
      <c r="V1501" s="316">
        <f>+IFERROR(U1501*(S1501*(1+T1501)),0)</f>
        <v>0</v>
      </c>
    </row>
    <row r="1502" spans="13:22" x14ac:dyDescent="0.25">
      <c r="M1502" s="724"/>
      <c r="N1502" s="725" t="s">
        <v>109</v>
      </c>
      <c r="O1502" s="725"/>
      <c r="P1502" s="725"/>
      <c r="Q1502" s="725"/>
      <c r="R1502" s="725"/>
      <c r="S1502" s="725"/>
      <c r="T1502" s="725"/>
      <c r="U1502" s="725"/>
      <c r="V1502" s="316">
        <f>+SUM(V1499:V1501)</f>
        <v>0</v>
      </c>
    </row>
    <row r="1503" spans="13:22" x14ac:dyDescent="0.25">
      <c r="M1503" s="724"/>
      <c r="N1503" s="726" t="s">
        <v>110</v>
      </c>
      <c r="O1503" s="726"/>
      <c r="P1503" s="726"/>
      <c r="Q1503" s="726"/>
      <c r="R1503" s="726"/>
      <c r="S1503" s="726"/>
      <c r="T1503" s="726"/>
      <c r="U1503" s="726"/>
      <c r="V1503" s="344">
        <f>+ROUND(V1502,$AA$2)</f>
        <v>0</v>
      </c>
    </row>
    <row r="1504" spans="13:22" x14ac:dyDescent="0.25">
      <c r="M1504" s="733" t="s">
        <v>111</v>
      </c>
      <c r="N1504" s="733"/>
      <c r="O1504" s="733"/>
      <c r="P1504" s="733"/>
      <c r="Q1504" s="733"/>
      <c r="R1504" s="733"/>
      <c r="S1504" s="733"/>
      <c r="T1504" s="733"/>
      <c r="U1504" s="733"/>
      <c r="V1504" s="733"/>
    </row>
    <row r="1505" spans="13:22" ht="27.6" x14ac:dyDescent="0.25">
      <c r="M1505" s="307" t="s">
        <v>97</v>
      </c>
      <c r="N1505" s="706" t="s">
        <v>98</v>
      </c>
      <c r="O1505" s="706"/>
      <c r="P1505" s="706"/>
      <c r="Q1505" s="307" t="s">
        <v>112</v>
      </c>
      <c r="R1505" s="307" t="s">
        <v>113</v>
      </c>
      <c r="S1505" s="307" t="s">
        <v>114</v>
      </c>
      <c r="T1505" s="734" t="s">
        <v>115</v>
      </c>
      <c r="U1505" s="734"/>
      <c r="V1505" s="307" t="s">
        <v>101</v>
      </c>
    </row>
    <row r="1506" spans="13:22" x14ac:dyDescent="0.25">
      <c r="M1506" s="354">
        <v>105</v>
      </c>
      <c r="N1506" s="718" t="str">
        <f>IFERROR(VLOOKUP(M1506,INSUMOS!$C$8:$K$934,2,0),"-----")</f>
        <v>Transporte Retiro de material sobrante</v>
      </c>
      <c r="O1506" s="718"/>
      <c r="P1506" s="718"/>
      <c r="Q1506" s="314" t="str">
        <f>IFERROR(VLOOKUP(M1506,INSUMOS!$C$8:$K$934,5,0),"-----")</f>
        <v>m3/km</v>
      </c>
      <c r="R1506" s="355">
        <v>0.08</v>
      </c>
      <c r="S1506" s="355">
        <f>IFERROR(VLOOKUP(M1506,INSUMOS!$C$8:$K$934,6,0),"0")</f>
        <v>1.9</v>
      </c>
      <c r="T1506" s="719">
        <f>IFERROR(VLOOKUP(M1506,INSUMOS!$C$8:$K$934,7,0),"0")</f>
        <v>1800</v>
      </c>
      <c r="U1506" s="719"/>
      <c r="V1506" s="515">
        <f>+T1506*S1506*R1506</f>
        <v>273.60000000000002</v>
      </c>
    </row>
    <row r="1507" spans="13:22" x14ac:dyDescent="0.25">
      <c r="M1507" s="354">
        <v>0</v>
      </c>
      <c r="N1507" s="718" t="str">
        <f>IFERROR(VLOOKUP(M1507,INSUMOS!$C$8:$K$934,2,0),"-----")</f>
        <v>-----</v>
      </c>
      <c r="O1507" s="718"/>
      <c r="P1507" s="718"/>
      <c r="Q1507" s="314" t="str">
        <f>IFERROR(VLOOKUP(M1507,INSUMOS!$C$8:$K$934,5,0),"-----")</f>
        <v>-----</v>
      </c>
      <c r="R1507" s="355"/>
      <c r="S1507" s="355" t="str">
        <f>IFERROR(VLOOKUP(M1507,INSUMOS!$C$8:$K$934,6,0),"0")</f>
        <v>0</v>
      </c>
      <c r="T1507" s="719" t="str">
        <f>IFERROR(VLOOKUP(M1507,INSUMOS!$C$8:$K$934,7,0),"0")</f>
        <v>0</v>
      </c>
      <c r="U1507" s="719"/>
      <c r="V1507" s="515">
        <f>+T1507*S1507*R1507</f>
        <v>0</v>
      </c>
    </row>
    <row r="1508" spans="13:22" x14ac:dyDescent="0.25">
      <c r="M1508" s="354">
        <v>0</v>
      </c>
      <c r="N1508" s="718" t="str">
        <f>IFERROR(VLOOKUP(M1508,INSUMOS!$C$8:$K$934,2,0),"-----")</f>
        <v>-----</v>
      </c>
      <c r="O1508" s="718"/>
      <c r="P1508" s="718"/>
      <c r="Q1508" s="314" t="str">
        <f>IFERROR(VLOOKUP(M1508,INSUMOS!$C$8:$K$934,5,0),"-----")</f>
        <v>-----</v>
      </c>
      <c r="R1508" s="355"/>
      <c r="S1508" s="355" t="str">
        <f>IFERROR(VLOOKUP(M1508,INSUMOS!$C$8:$K$934,6,0),"0")</f>
        <v>0</v>
      </c>
      <c r="T1508" s="719" t="str">
        <f>IFERROR(VLOOKUP(M1508,INSUMOS!$C$8:$K$934,7,0),"0")</f>
        <v>0</v>
      </c>
      <c r="U1508" s="719"/>
      <c r="V1508" s="515">
        <f>+T1508*S1508*R1508</f>
        <v>0</v>
      </c>
    </row>
    <row r="1509" spans="13:22" x14ac:dyDescent="0.25">
      <c r="M1509" s="354">
        <v>0</v>
      </c>
      <c r="N1509" s="718"/>
      <c r="O1509" s="718"/>
      <c r="P1509" s="718"/>
      <c r="Q1509" s="357"/>
      <c r="R1509" s="314"/>
      <c r="S1509" s="358"/>
      <c r="T1509" s="719"/>
      <c r="U1509" s="719"/>
      <c r="V1509" s="515"/>
    </row>
    <row r="1510" spans="13:22" x14ac:dyDescent="0.25">
      <c r="M1510" s="720"/>
      <c r="N1510" s="721" t="s">
        <v>116</v>
      </c>
      <c r="O1510" s="721"/>
      <c r="P1510" s="721"/>
      <c r="Q1510" s="721"/>
      <c r="R1510" s="721"/>
      <c r="S1510" s="721"/>
      <c r="T1510" s="721"/>
      <c r="U1510" s="721"/>
      <c r="V1510" s="499">
        <f>+SUM(V1506:V1509)</f>
        <v>273.60000000000002</v>
      </c>
    </row>
    <row r="1511" spans="13:22" x14ac:dyDescent="0.25">
      <c r="M1511" s="720"/>
      <c r="N1511" s="722" t="s">
        <v>117</v>
      </c>
      <c r="O1511" s="722"/>
      <c r="P1511" s="722"/>
      <c r="Q1511" s="722"/>
      <c r="R1511" s="722"/>
      <c r="S1511" s="722"/>
      <c r="T1511" s="722"/>
      <c r="U1511" s="722"/>
      <c r="V1511" s="344">
        <f>+ROUND(V1510,$AA$2)</f>
        <v>274</v>
      </c>
    </row>
    <row r="1512" spans="13:22" x14ac:dyDescent="0.25">
      <c r="M1512" s="723" t="s">
        <v>118</v>
      </c>
      <c r="N1512" s="723"/>
      <c r="O1512" s="723"/>
      <c r="P1512" s="723"/>
      <c r="Q1512" s="723"/>
      <c r="R1512" s="723"/>
      <c r="S1512" s="723"/>
      <c r="T1512" s="723"/>
      <c r="U1512" s="723"/>
      <c r="V1512" s="723"/>
    </row>
    <row r="1513" spans="13:22" ht="14.4" x14ac:dyDescent="0.3">
      <c r="M1513" s="307" t="s">
        <v>97</v>
      </c>
      <c r="N1513" s="372" t="s">
        <v>98</v>
      </c>
      <c r="O1513" s="307" t="s">
        <v>99</v>
      </c>
      <c r="P1513" s="396" t="s">
        <v>107</v>
      </c>
      <c r="Q1513" s="307" t="s">
        <v>119</v>
      </c>
      <c r="R1513" s="373" t="s">
        <v>120</v>
      </c>
      <c r="S1513" s="307" t="s">
        <v>363</v>
      </c>
      <c r="T1513" s="374" t="s">
        <v>121</v>
      </c>
      <c r="U1513" s="375" t="s">
        <v>122</v>
      </c>
      <c r="V1513" s="307" t="s">
        <v>101</v>
      </c>
    </row>
    <row r="1514" spans="13:22" x14ac:dyDescent="0.25">
      <c r="M1514" s="313">
        <v>202</v>
      </c>
      <c r="N1514" s="379" t="str">
        <f>IFERROR(VLOOKUP(M1514,INSUMOS!$C$8:$K$934,2,0),"-----")</f>
        <v>Ayudante Albañileria</v>
      </c>
      <c r="O1514" s="314" t="str">
        <f>IFERROR(VLOOKUP(M1514,INSUMOS!$C$8:$K$934,3,0),"-----")</f>
        <v>JORNAL+PS</v>
      </c>
      <c r="P1514" s="355">
        <v>2</v>
      </c>
      <c r="Q1514" s="339">
        <v>20</v>
      </c>
      <c r="R1514" s="380">
        <f>IFERROR(VLOOKUP(M1514,INSUMOS!$C$8:$K$934,4,0),"-----")</f>
        <v>94970</v>
      </c>
      <c r="S1514" s="380">
        <f>IFERROR(VLOOKUP(M1514,INSUMOS!$C$8:$K$934,6,0),"-----")</f>
        <v>75976</v>
      </c>
      <c r="T1514" s="380">
        <f>IFERROR(VLOOKUP(M1514,INSUMOS!$C$8:$K$934,5,0),"-----")</f>
        <v>0</v>
      </c>
      <c r="U1514" s="338">
        <f>SUM(R1514:T1514)</f>
        <v>170946</v>
      </c>
      <c r="V1514" s="316">
        <f>+IFERROR((P1514/Q1514)*U1514,0)</f>
        <v>17094.600000000002</v>
      </c>
    </row>
    <row r="1515" spans="13:22" x14ac:dyDescent="0.25">
      <c r="M1515" s="313">
        <v>0</v>
      </c>
      <c r="N1515" s="379" t="str">
        <f>IFERROR(VLOOKUP(M1515,INSUMOS!$C$8:$K$934,2,0),"-----")</f>
        <v>-----</v>
      </c>
      <c r="O1515" s="314" t="str">
        <f>IFERROR(VLOOKUP(M1515,INSUMOS!$C$8:$K$934,3,0),"-----")</f>
        <v>-----</v>
      </c>
      <c r="P1515" s="355"/>
      <c r="Q1515" s="339"/>
      <c r="R1515" s="380" t="str">
        <f>IFERROR(VLOOKUP(M1515,INSUMOS!$C$8:$K$934,4,0),"-----")</f>
        <v>-----</v>
      </c>
      <c r="S1515" s="380" t="str">
        <f>IFERROR(VLOOKUP(M1515,INSUMOS!$C$8:$K$934,6,0),"-----")</f>
        <v>-----</v>
      </c>
      <c r="T1515" s="380" t="str">
        <f>IFERROR(VLOOKUP(M1515,INSUMOS!$C$8:$K$934,5,0),"-----")</f>
        <v>-----</v>
      </c>
      <c r="U1515" s="338">
        <f>SUM(R1515:T1515)</f>
        <v>0</v>
      </c>
      <c r="V1515" s="316">
        <f>+IFERROR((P1515/Q1515)*U1515,0)</f>
        <v>0</v>
      </c>
    </row>
    <row r="1516" spans="13:22" x14ac:dyDescent="0.25">
      <c r="M1516" s="313">
        <v>0</v>
      </c>
      <c r="N1516" s="379"/>
      <c r="O1516" s="339"/>
      <c r="P1516" s="382"/>
      <c r="Q1516" s="319"/>
      <c r="R1516" s="383"/>
      <c r="S1516" s="384"/>
      <c r="T1516" s="383"/>
      <c r="U1516" s="338"/>
      <c r="V1516" s="323"/>
    </row>
    <row r="1517" spans="13:22" x14ac:dyDescent="0.25">
      <c r="M1517" s="724"/>
      <c r="N1517" s="725" t="s">
        <v>123</v>
      </c>
      <c r="O1517" s="725"/>
      <c r="P1517" s="725"/>
      <c r="Q1517" s="725"/>
      <c r="R1517" s="725"/>
      <c r="S1517" s="725"/>
      <c r="T1517" s="725"/>
      <c r="U1517" s="725"/>
      <c r="V1517" s="316">
        <f>+SUM(V1514:V1516)</f>
        <v>17094.600000000002</v>
      </c>
    </row>
    <row r="1518" spans="13:22" x14ac:dyDescent="0.25">
      <c r="M1518" s="724"/>
      <c r="N1518" s="726" t="s">
        <v>124</v>
      </c>
      <c r="O1518" s="726"/>
      <c r="P1518" s="726"/>
      <c r="Q1518" s="726"/>
      <c r="R1518" s="726"/>
      <c r="S1518" s="726"/>
      <c r="T1518" s="726"/>
      <c r="U1518" s="726"/>
      <c r="V1518" s="344">
        <f>+ROUND(V1517,$AA$2)</f>
        <v>17095</v>
      </c>
    </row>
    <row r="1519" spans="13:22" x14ac:dyDescent="0.25">
      <c r="M1519" s="727"/>
      <c r="N1519" s="727"/>
      <c r="O1519" s="727"/>
      <c r="P1519" s="727"/>
      <c r="Q1519" s="727"/>
      <c r="R1519" s="727"/>
      <c r="S1519" s="727"/>
      <c r="T1519" s="727"/>
      <c r="U1519" s="727"/>
      <c r="V1519" s="727"/>
    </row>
    <row r="1520" spans="13:22" x14ac:dyDescent="0.25">
      <c r="M1520" s="726" t="s">
        <v>125</v>
      </c>
      <c r="N1520" s="726"/>
      <c r="O1520" s="726"/>
      <c r="P1520" s="726"/>
      <c r="Q1520" s="726"/>
      <c r="R1520" s="726"/>
      <c r="S1520" s="726"/>
      <c r="T1520" s="726"/>
      <c r="U1520" s="728">
        <f>+V1518+V1511+V1503+V1496</f>
        <v>22042</v>
      </c>
      <c r="V1520" s="728"/>
    </row>
    <row r="1521" spans="13:22" x14ac:dyDescent="0.25">
      <c r="M1521" s="412"/>
      <c r="N1521" s="412"/>
      <c r="O1521" s="412"/>
      <c r="P1521" s="412"/>
      <c r="Q1521" s="412"/>
      <c r="R1521" s="412"/>
      <c r="S1521" s="412"/>
      <c r="T1521" s="412"/>
      <c r="U1521" s="412"/>
      <c r="V1521" s="412"/>
    </row>
    <row r="1522" spans="13:22" x14ac:dyDescent="0.25">
      <c r="M1522" s="729" t="s">
        <v>364</v>
      </c>
      <c r="N1522" s="729"/>
      <c r="O1522" s="729"/>
      <c r="P1522" s="729"/>
      <c r="Q1522" s="729"/>
      <c r="R1522" s="729"/>
      <c r="S1522" s="729"/>
      <c r="T1522" s="729"/>
      <c r="U1522" s="729"/>
      <c r="V1522" s="729"/>
    </row>
    <row r="1523" spans="13:22" x14ac:dyDescent="0.25">
      <c r="M1523" s="700" t="s">
        <v>142</v>
      </c>
      <c r="N1523" s="700"/>
      <c r="O1523" s="700"/>
      <c r="P1523" s="700"/>
      <c r="Q1523" s="700"/>
      <c r="R1523" s="700"/>
      <c r="S1523" s="700"/>
      <c r="T1523" s="413">
        <f>$AA$3</f>
        <v>0.25</v>
      </c>
      <c r="U1523" s="701">
        <f>+ROUND(U1520*T1523,$AA$2)</f>
        <v>5511</v>
      </c>
      <c r="V1523" s="701"/>
    </row>
    <row r="1524" spans="13:22" x14ac:dyDescent="0.25">
      <c r="M1524" s="700" t="s">
        <v>19</v>
      </c>
      <c r="N1524" s="700"/>
      <c r="O1524" s="700"/>
      <c r="P1524" s="700"/>
      <c r="Q1524" s="700"/>
      <c r="R1524" s="700"/>
      <c r="S1524" s="700"/>
      <c r="T1524" s="413">
        <f>$AA$4</f>
        <v>0.03</v>
      </c>
      <c r="U1524" s="701">
        <f>+ROUND(U1520*T1524,$AA$2)</f>
        <v>661</v>
      </c>
      <c r="V1524" s="701"/>
    </row>
    <row r="1525" spans="13:22" x14ac:dyDescent="0.25">
      <c r="M1525" s="700" t="s">
        <v>20</v>
      </c>
      <c r="N1525" s="700"/>
      <c r="O1525" s="700"/>
      <c r="P1525" s="700"/>
      <c r="Q1525" s="700"/>
      <c r="R1525" s="700"/>
      <c r="S1525" s="700"/>
      <c r="T1525" s="413">
        <f>$AA$5</f>
        <v>0.05</v>
      </c>
      <c r="U1525" s="701">
        <f>+ROUND(U1520*T1525,$AA$2)</f>
        <v>1102</v>
      </c>
      <c r="V1525" s="701"/>
    </row>
    <row r="1526" spans="13:22" x14ac:dyDescent="0.25">
      <c r="M1526" s="700" t="s">
        <v>21</v>
      </c>
      <c r="N1526" s="700"/>
      <c r="O1526" s="700"/>
      <c r="P1526" s="700"/>
      <c r="Q1526" s="700"/>
      <c r="R1526" s="700"/>
      <c r="S1526" s="700"/>
      <c r="T1526" s="413">
        <f>$AA$6</f>
        <v>0</v>
      </c>
      <c r="U1526" s="701">
        <f>+ROUND(U1520*T1526,$AA$2)</f>
        <v>0</v>
      </c>
      <c r="V1526" s="701"/>
    </row>
    <row r="1527" spans="13:22" x14ac:dyDescent="0.25">
      <c r="M1527" s="702" t="s">
        <v>365</v>
      </c>
      <c r="N1527" s="702"/>
      <c r="O1527" s="702"/>
      <c r="P1527" s="702"/>
      <c r="Q1527" s="702"/>
      <c r="R1527" s="702"/>
      <c r="S1527" s="702"/>
      <c r="T1527" s="702"/>
      <c r="U1527" s="703">
        <f>+SUM(U1523:V1526)</f>
        <v>7274</v>
      </c>
      <c r="V1527" s="703"/>
    </row>
    <row r="1528" spans="13:22" x14ac:dyDescent="0.25">
      <c r="M1528" s="377"/>
      <c r="N1528" s="416"/>
      <c r="O1528" s="416"/>
      <c r="P1528" s="416"/>
      <c r="Q1528" s="377"/>
      <c r="R1528" s="377"/>
      <c r="S1528" s="377"/>
      <c r="T1528" s="417"/>
      <c r="U1528" s="701"/>
      <c r="V1528" s="701"/>
    </row>
    <row r="1529" spans="13:22" x14ac:dyDescent="0.25">
      <c r="M1529" s="702" t="s">
        <v>11</v>
      </c>
      <c r="N1529" s="702"/>
      <c r="O1529" s="702"/>
      <c r="P1529" s="702"/>
      <c r="Q1529" s="702"/>
      <c r="R1529" s="702"/>
      <c r="S1529" s="702"/>
      <c r="T1529" s="702"/>
      <c r="U1529" s="704">
        <f>+U1527+U1520</f>
        <v>29316</v>
      </c>
      <c r="V1529" s="704"/>
    </row>
    <row r="1530" spans="13:22" x14ac:dyDescent="0.25">
      <c r="M1530" s="705"/>
      <c r="N1530" s="705"/>
      <c r="O1530" s="705"/>
      <c r="P1530" s="705"/>
      <c r="Q1530" s="705"/>
      <c r="R1530" s="706"/>
      <c r="S1530" s="706"/>
      <c r="T1530" s="706"/>
      <c r="U1530" s="706"/>
      <c r="V1530" s="706"/>
    </row>
    <row r="1531" spans="13:22" x14ac:dyDescent="0.25">
      <c r="M1531" s="705"/>
      <c r="N1531" s="705"/>
      <c r="O1531" s="705"/>
      <c r="P1531" s="705"/>
      <c r="Q1531" s="705"/>
      <c r="R1531" s="706"/>
      <c r="S1531" s="706"/>
      <c r="T1531" s="706"/>
      <c r="U1531" s="706"/>
      <c r="V1531" s="706"/>
    </row>
    <row r="1532" spans="13:22" x14ac:dyDescent="0.25">
      <c r="M1532" s="705"/>
      <c r="N1532" s="705"/>
      <c r="O1532" s="705"/>
      <c r="P1532" s="705"/>
      <c r="Q1532" s="705"/>
      <c r="R1532" s="706"/>
      <c r="S1532" s="706"/>
      <c r="T1532" s="706"/>
      <c r="U1532" s="706"/>
      <c r="V1532" s="706"/>
    </row>
    <row r="1533" spans="13:22" x14ac:dyDescent="0.25">
      <c r="M1533" s="705"/>
      <c r="N1533" s="705"/>
      <c r="O1533" s="705"/>
      <c r="P1533" s="705"/>
      <c r="Q1533" s="705"/>
      <c r="R1533" s="706"/>
      <c r="S1533" s="706"/>
      <c r="T1533" s="706"/>
      <c r="U1533" s="706"/>
      <c r="V1533" s="706"/>
    </row>
    <row r="1534" spans="13:22" x14ac:dyDescent="0.25">
      <c r="M1534" s="707" t="s">
        <v>128</v>
      </c>
      <c r="N1534" s="708" t="str">
        <f>$N$6</f>
        <v>ING. JEYSON JULIAN LEON RUEDA</v>
      </c>
      <c r="O1534" s="709"/>
      <c r="P1534" s="709"/>
      <c r="Q1534" s="710"/>
      <c r="R1534" s="711" t="s">
        <v>129</v>
      </c>
      <c r="S1534" s="708" t="str">
        <f>$S$6</f>
        <v>ARQ. YASMID ROCÍO CARRILLO MORA</v>
      </c>
      <c r="T1534" s="709"/>
      <c r="U1534" s="709"/>
      <c r="V1534" s="710"/>
    </row>
    <row r="1535" spans="13:22" x14ac:dyDescent="0.25">
      <c r="M1535" s="707"/>
      <c r="N1535" s="712" t="str">
        <f>$N$7</f>
        <v>MP. 68202-416348 STD</v>
      </c>
      <c r="O1535" s="713"/>
      <c r="P1535" s="713"/>
      <c r="Q1535" s="714"/>
      <c r="R1535" s="711"/>
      <c r="S1535" s="712" t="str">
        <f>$S$7</f>
        <v>SECRETARIA DE PLANEACIÓN Y OBRAS PÚBLICAS</v>
      </c>
      <c r="T1535" s="713"/>
      <c r="U1535" s="713"/>
      <c r="V1535" s="714"/>
    </row>
    <row r="1536" spans="13:22" x14ac:dyDescent="0.25">
      <c r="M1536" s="707"/>
      <c r="N1536" s="715"/>
      <c r="O1536" s="716"/>
      <c r="P1536" s="716"/>
      <c r="Q1536" s="717"/>
      <c r="R1536" s="711"/>
      <c r="S1536" s="712" t="str">
        <f>$S$8</f>
        <v>MUNICIPIO DE PINCHOTE</v>
      </c>
      <c r="T1536" s="713"/>
      <c r="U1536" s="713"/>
      <c r="V1536" s="714"/>
    </row>
    <row r="1539" spans="13:22" x14ac:dyDescent="0.25">
      <c r="M1539" s="281" t="s">
        <v>90</v>
      </c>
      <c r="N1539" s="410" t="s">
        <v>29</v>
      </c>
      <c r="O1539" s="706" t="str">
        <f>IFERROR(VLOOKUP(N1539,PPTO!$C$9:$H$64,2,0),"----")</f>
        <v>COMPONENTE ACUEDUCTO</v>
      </c>
      <c r="P1539" s="706"/>
      <c r="Q1539" s="706"/>
      <c r="R1539" s="706"/>
      <c r="S1539" s="706"/>
      <c r="T1539" s="706"/>
      <c r="U1539" s="706"/>
      <c r="V1539" s="283" t="s">
        <v>93</v>
      </c>
    </row>
    <row r="1540" spans="13:22" x14ac:dyDescent="0.25">
      <c r="M1540" s="283" t="s">
        <v>94</v>
      </c>
      <c r="N1540" s="287">
        <f>PPTO!C42</f>
        <v>2.1</v>
      </c>
      <c r="O1540" s="736" t="str">
        <f>IFERROR(VLOOKUP(N1540,PPTO!$C$9:$H$64,2,0),"----")</f>
        <v>Localización y Replanteo con equipos topográficos</v>
      </c>
      <c r="P1540" s="736"/>
      <c r="Q1540" s="736"/>
      <c r="R1540" s="736"/>
      <c r="S1540" s="736"/>
      <c r="T1540" s="736"/>
      <c r="U1540" s="736"/>
      <c r="V1540" s="288" t="str">
        <f>IFERROR(VLOOKUP(N1540,PPTO!$C$9:$H$64,3,0),"----")</f>
        <v>m2</v>
      </c>
    </row>
    <row r="1541" spans="13:22" x14ac:dyDescent="0.25">
      <c r="M1541" s="737"/>
      <c r="N1541" s="737"/>
      <c r="O1541" s="737"/>
      <c r="P1541" s="737"/>
      <c r="Q1541" s="737"/>
      <c r="R1541" s="737"/>
      <c r="S1541" s="737"/>
      <c r="T1541" s="737"/>
      <c r="U1541" s="737"/>
      <c r="V1541" s="737"/>
    </row>
    <row r="1542" spans="13:22" x14ac:dyDescent="0.25">
      <c r="M1542" s="738" t="s">
        <v>96</v>
      </c>
      <c r="N1542" s="738"/>
      <c r="O1542" s="738"/>
      <c r="P1542" s="738"/>
      <c r="Q1542" s="738"/>
      <c r="R1542" s="738"/>
      <c r="S1542" s="738"/>
      <c r="T1542" s="738"/>
      <c r="U1542" s="738"/>
      <c r="V1542" s="738"/>
    </row>
    <row r="1543" spans="13:22" x14ac:dyDescent="0.25">
      <c r="M1543" s="307" t="s">
        <v>97</v>
      </c>
      <c r="N1543" s="706" t="s">
        <v>98</v>
      </c>
      <c r="O1543" s="706"/>
      <c r="P1543" s="706"/>
      <c r="Q1543" s="706"/>
      <c r="R1543" s="307" t="s">
        <v>99</v>
      </c>
      <c r="S1543" s="307" t="s">
        <v>100</v>
      </c>
      <c r="T1543" s="734" t="s">
        <v>8</v>
      </c>
      <c r="U1543" s="734"/>
      <c r="V1543" s="307" t="s">
        <v>101</v>
      </c>
    </row>
    <row r="1544" spans="13:22" x14ac:dyDescent="0.25">
      <c r="M1544" s="313"/>
      <c r="N1544" s="718" t="s">
        <v>102</v>
      </c>
      <c r="O1544" s="718"/>
      <c r="P1544" s="718"/>
      <c r="Q1544" s="718"/>
      <c r="R1544" s="314" t="s">
        <v>103</v>
      </c>
      <c r="S1544" s="315">
        <f>$AA$9</f>
        <v>0.05</v>
      </c>
      <c r="T1544" s="739">
        <f>V1571</f>
        <v>27442</v>
      </c>
      <c r="U1544" s="739"/>
      <c r="V1544" s="316">
        <f>+IFERROR(T1544*S1544,0)</f>
        <v>1372.1000000000001</v>
      </c>
    </row>
    <row r="1545" spans="13:22" x14ac:dyDescent="0.25">
      <c r="M1545" s="319">
        <v>0</v>
      </c>
      <c r="N1545" s="718" t="str">
        <f>IFERROR(VLOOKUP(M1545,INSUMOS!$C$8:$K$934,2,0),"-----")</f>
        <v>-----</v>
      </c>
      <c r="O1545" s="718"/>
      <c r="P1545" s="718"/>
      <c r="Q1545" s="718"/>
      <c r="R1545" s="314" t="str">
        <f>IFERROR(VLOOKUP(M1545,INSUMOS!$C$8:$K$934,6,0),"-----")</f>
        <v>-----</v>
      </c>
      <c r="S1545" s="320"/>
      <c r="T1545" s="740" t="str">
        <f>IFERROR(VLOOKUP(M1545,INSUMOS!$C$8:$K$934,7,0),"0")</f>
        <v>0</v>
      </c>
      <c r="U1545" s="740"/>
      <c r="V1545" s="316">
        <f>+IFERROR(T1545*S1545,0)</f>
        <v>0</v>
      </c>
    </row>
    <row r="1546" spans="13:22" x14ac:dyDescent="0.25">
      <c r="M1546" s="313">
        <v>0</v>
      </c>
      <c r="N1546" s="718" t="str">
        <f>IFERROR(VLOOKUP(M1546,INSUMOS!$C$8:$K$934,2,0),"-----")</f>
        <v>-----</v>
      </c>
      <c r="O1546" s="718"/>
      <c r="P1546" s="718"/>
      <c r="Q1546" s="718"/>
      <c r="R1546" s="314" t="str">
        <f>IFERROR(VLOOKUP(M1546,INSUMOS!$C$8:$K$934,6,0),"-----")</f>
        <v>-----</v>
      </c>
      <c r="S1546" s="320"/>
      <c r="T1546" s="740" t="str">
        <f>IFERROR(VLOOKUP(M1546,INSUMOS!$C$8:$K$934,7,0),"0")</f>
        <v>0</v>
      </c>
      <c r="U1546" s="740"/>
      <c r="V1546" s="316">
        <f>+IFERROR(T1546*S1546,0)</f>
        <v>0</v>
      </c>
    </row>
    <row r="1547" spans="13:22" x14ac:dyDescent="0.25">
      <c r="M1547" s="313">
        <v>0</v>
      </c>
      <c r="N1547" s="718" t="str">
        <f>IFERROR(VLOOKUP(M1547,INSUMOS!$C$8:$K$934,2,0),"-----")</f>
        <v>-----</v>
      </c>
      <c r="O1547" s="718"/>
      <c r="P1547" s="718"/>
      <c r="Q1547" s="718"/>
      <c r="R1547" s="314" t="str">
        <f>IFERROR(VLOOKUP(M1547,INSUMOS!$C$8:$K$934,6,0),"-----")</f>
        <v>-----</v>
      </c>
      <c r="S1547" s="320"/>
      <c r="T1547" s="740" t="str">
        <f>IFERROR(VLOOKUP(M1547,INSUMOS!$C$8:$K$934,7,0),"0")</f>
        <v>0</v>
      </c>
      <c r="U1547" s="740"/>
      <c r="V1547" s="316">
        <f>+IFERROR(T1547*S1547,0)</f>
        <v>0</v>
      </c>
    </row>
    <row r="1548" spans="13:22" x14ac:dyDescent="0.25">
      <c r="M1548" s="724"/>
      <c r="N1548" s="725" t="s">
        <v>104</v>
      </c>
      <c r="O1548" s="725"/>
      <c r="P1548" s="725"/>
      <c r="Q1548" s="725"/>
      <c r="R1548" s="725"/>
      <c r="S1548" s="725"/>
      <c r="T1548" s="725"/>
      <c r="U1548" s="725"/>
      <c r="V1548" s="316">
        <f>+SUM(V1544:V1547)</f>
        <v>1372.1000000000001</v>
      </c>
    </row>
    <row r="1549" spans="13:22" x14ac:dyDescent="0.25">
      <c r="M1549" s="724"/>
      <c r="N1549" s="726" t="s">
        <v>105</v>
      </c>
      <c r="O1549" s="726"/>
      <c r="P1549" s="726"/>
      <c r="Q1549" s="726"/>
      <c r="R1549" s="726"/>
      <c r="S1549" s="726"/>
      <c r="T1549" s="726"/>
      <c r="U1549" s="726"/>
      <c r="V1549" s="344">
        <f>+ROUND(V1548,$AA$2)</f>
        <v>1372</v>
      </c>
    </row>
    <row r="1550" spans="13:22" x14ac:dyDescent="0.25">
      <c r="M1550" s="730" t="s">
        <v>106</v>
      </c>
      <c r="N1550" s="730"/>
      <c r="O1550" s="730"/>
      <c r="P1550" s="730"/>
      <c r="Q1550" s="730"/>
      <c r="R1550" s="730"/>
      <c r="S1550" s="730"/>
      <c r="T1550" s="730"/>
      <c r="U1550" s="730"/>
      <c r="V1550" s="730"/>
    </row>
    <row r="1551" spans="13:22" x14ac:dyDescent="0.25">
      <c r="M1551" s="307" t="s">
        <v>97</v>
      </c>
      <c r="N1551" s="706" t="s">
        <v>98</v>
      </c>
      <c r="O1551" s="706"/>
      <c r="P1551" s="706"/>
      <c r="Q1551" s="706"/>
      <c r="R1551" s="307" t="s">
        <v>99</v>
      </c>
      <c r="S1551" s="307" t="s">
        <v>107</v>
      </c>
      <c r="T1551" s="336" t="s">
        <v>108</v>
      </c>
      <c r="U1551" s="336" t="s">
        <v>8</v>
      </c>
      <c r="V1551" s="307" t="s">
        <v>101</v>
      </c>
    </row>
    <row r="1552" spans="13:22" x14ac:dyDescent="0.25">
      <c r="M1552" s="313">
        <v>582</v>
      </c>
      <c r="N1552" s="718" t="s">
        <v>951</v>
      </c>
      <c r="O1552" s="718"/>
      <c r="P1552" s="718"/>
      <c r="Q1552" s="718"/>
      <c r="R1552" s="314" t="str">
        <f>IFERROR(VLOOKUP(M1552,INSUMOS!$C$8:$K$934,6,0),"-----")</f>
        <v>ml</v>
      </c>
      <c r="S1552" s="322">
        <v>1</v>
      </c>
      <c r="T1552" s="315">
        <v>0.05</v>
      </c>
      <c r="U1552" s="338">
        <v>38500</v>
      </c>
      <c r="V1552" s="316">
        <f>+IFERROR(U1552*(S1552*(1+T1552)),0)</f>
        <v>40425</v>
      </c>
    </row>
    <row r="1553" spans="13:22" x14ac:dyDescent="0.25">
      <c r="M1553" s="313">
        <v>0</v>
      </c>
      <c r="N1553" s="718" t="s">
        <v>927</v>
      </c>
      <c r="O1553" s="718"/>
      <c r="P1553" s="718"/>
      <c r="Q1553" s="718"/>
      <c r="R1553" s="314" t="s">
        <v>928</v>
      </c>
      <c r="S1553" s="322">
        <v>0.1</v>
      </c>
      <c r="T1553" s="315">
        <v>0.05</v>
      </c>
      <c r="U1553" s="338">
        <v>32000</v>
      </c>
      <c r="V1553" s="316">
        <f>+IFERROR(U1553*(S1553*(1+T1553)),0)</f>
        <v>3360.0000000000005</v>
      </c>
    </row>
    <row r="1554" spans="13:22" x14ac:dyDescent="0.25">
      <c r="M1554" s="313">
        <v>0</v>
      </c>
      <c r="N1554" s="718" t="s">
        <v>963</v>
      </c>
      <c r="O1554" s="718"/>
      <c r="P1554" s="718"/>
      <c r="Q1554" s="718"/>
      <c r="R1554" s="314" t="s">
        <v>36</v>
      </c>
      <c r="S1554" s="322">
        <v>1</v>
      </c>
      <c r="T1554" s="315"/>
      <c r="U1554" s="338">
        <v>7800</v>
      </c>
      <c r="V1554" s="316">
        <f>+IFERROR(U1554*(S1554*(1+T1554)),0)</f>
        <v>7800</v>
      </c>
    </row>
    <row r="1555" spans="13:22" x14ac:dyDescent="0.25">
      <c r="M1555" s="724"/>
      <c r="N1555" s="725" t="s">
        <v>109</v>
      </c>
      <c r="O1555" s="725"/>
      <c r="P1555" s="725"/>
      <c r="Q1555" s="725"/>
      <c r="R1555" s="725"/>
      <c r="S1555" s="725"/>
      <c r="T1555" s="725"/>
      <c r="U1555" s="725"/>
      <c r="V1555" s="316">
        <f>+SUM(V1552:V1554)</f>
        <v>51585</v>
      </c>
    </row>
    <row r="1556" spans="13:22" x14ac:dyDescent="0.25">
      <c r="M1556" s="724"/>
      <c r="N1556" s="726" t="s">
        <v>110</v>
      </c>
      <c r="O1556" s="726"/>
      <c r="P1556" s="726"/>
      <c r="Q1556" s="726"/>
      <c r="R1556" s="726"/>
      <c r="S1556" s="726"/>
      <c r="T1556" s="726"/>
      <c r="U1556" s="726"/>
      <c r="V1556" s="344">
        <f>+ROUND(V1555,$AA$2)</f>
        <v>51585</v>
      </c>
    </row>
    <row r="1557" spans="13:22" x14ac:dyDescent="0.25">
      <c r="M1557" s="733" t="s">
        <v>111</v>
      </c>
      <c r="N1557" s="733"/>
      <c r="O1557" s="733"/>
      <c r="P1557" s="733"/>
      <c r="Q1557" s="733"/>
      <c r="R1557" s="733"/>
      <c r="S1557" s="733"/>
      <c r="T1557" s="733"/>
      <c r="U1557" s="733"/>
      <c r="V1557" s="733"/>
    </row>
    <row r="1558" spans="13:22" ht="27.6" x14ac:dyDescent="0.25">
      <c r="M1558" s="307" t="s">
        <v>97</v>
      </c>
      <c r="N1558" s="706" t="s">
        <v>98</v>
      </c>
      <c r="O1558" s="706"/>
      <c r="P1558" s="706"/>
      <c r="Q1558" s="307" t="s">
        <v>112</v>
      </c>
      <c r="R1558" s="307" t="s">
        <v>113</v>
      </c>
      <c r="S1558" s="307" t="s">
        <v>114</v>
      </c>
      <c r="T1558" s="734" t="s">
        <v>115</v>
      </c>
      <c r="U1558" s="734"/>
      <c r="V1558" s="307" t="s">
        <v>101</v>
      </c>
    </row>
    <row r="1559" spans="13:22" x14ac:dyDescent="0.25">
      <c r="M1559" s="354">
        <v>161</v>
      </c>
      <c r="N1559" s="718" t="str">
        <f>IFERROR(VLOOKUP(M1559,INSUMOS!$C$8:$K$934,2,0),"-----")</f>
        <v>Transporte tuberia alcantarrillado</v>
      </c>
      <c r="O1559" s="718"/>
      <c r="P1559" s="718"/>
      <c r="Q1559" s="314" t="str">
        <f>IFERROR(VLOOKUP(M1559,INSUMOS!$C$8:$K$934,5,0),"-----")</f>
        <v>ml/km</v>
      </c>
      <c r="R1559" s="355">
        <v>1</v>
      </c>
      <c r="S1559" s="355">
        <f>IFERROR(VLOOKUP(M1559,INSUMOS!$C$8:$K$934,6,0),"0")</f>
        <v>4.87</v>
      </c>
      <c r="T1559" s="719">
        <f>IFERROR(VLOOKUP(M1559,INSUMOS!$C$8:$K$934,7,0),"0")</f>
        <v>1250</v>
      </c>
      <c r="U1559" s="719"/>
      <c r="V1559" s="515">
        <f>+T1559*S1559*R1559</f>
        <v>6087.5</v>
      </c>
    </row>
    <row r="1560" spans="13:22" x14ac:dyDescent="0.25">
      <c r="M1560" s="354">
        <v>0</v>
      </c>
      <c r="N1560" s="718" t="str">
        <f>IFERROR(VLOOKUP(M1560,INSUMOS!$C$8:$K$934,2,0),"-----")</f>
        <v>-----</v>
      </c>
      <c r="O1560" s="718"/>
      <c r="P1560" s="718"/>
      <c r="Q1560" s="314" t="str">
        <f>IFERROR(VLOOKUP(M1560,INSUMOS!$C$8:$K$934,5,0),"-----")</f>
        <v>-----</v>
      </c>
      <c r="R1560" s="355"/>
      <c r="S1560" s="355" t="str">
        <f>IFERROR(VLOOKUP(M1560,INSUMOS!$C$8:$K$934,6,0),"0")</f>
        <v>0</v>
      </c>
      <c r="T1560" s="719" t="str">
        <f>IFERROR(VLOOKUP(M1560,INSUMOS!$C$8:$K$934,7,0),"0")</f>
        <v>0</v>
      </c>
      <c r="U1560" s="719"/>
      <c r="V1560" s="515">
        <f>+T1560*S1560*R1560</f>
        <v>0</v>
      </c>
    </row>
    <row r="1561" spans="13:22" x14ac:dyDescent="0.25">
      <c r="M1561" s="354">
        <v>0</v>
      </c>
      <c r="N1561" s="718" t="str">
        <f>IFERROR(VLOOKUP(M1561,INSUMOS!$C$8:$K$934,2,0),"-----")</f>
        <v>-----</v>
      </c>
      <c r="O1561" s="718"/>
      <c r="P1561" s="718"/>
      <c r="Q1561" s="314" t="str">
        <f>IFERROR(VLOOKUP(M1561,INSUMOS!$C$8:$K$934,5,0),"-----")</f>
        <v>-----</v>
      </c>
      <c r="R1561" s="355"/>
      <c r="S1561" s="355" t="str">
        <f>IFERROR(VLOOKUP(M1561,INSUMOS!$C$8:$K$934,6,0),"0")</f>
        <v>0</v>
      </c>
      <c r="T1561" s="719" t="str">
        <f>IFERROR(VLOOKUP(M1561,INSUMOS!$C$8:$K$934,7,0),"0")</f>
        <v>0</v>
      </c>
      <c r="U1561" s="719"/>
      <c r="V1561" s="515">
        <f>+T1561*S1561*R1561</f>
        <v>0</v>
      </c>
    </row>
    <row r="1562" spans="13:22" x14ac:dyDescent="0.25">
      <c r="M1562" s="354">
        <v>0</v>
      </c>
      <c r="N1562" s="718"/>
      <c r="O1562" s="718"/>
      <c r="P1562" s="718"/>
      <c r="Q1562" s="357"/>
      <c r="R1562" s="314"/>
      <c r="S1562" s="358"/>
      <c r="T1562" s="719"/>
      <c r="U1562" s="719"/>
      <c r="V1562" s="515"/>
    </row>
    <row r="1563" spans="13:22" x14ac:dyDescent="0.25">
      <c r="M1563" s="720"/>
      <c r="N1563" s="721" t="s">
        <v>116</v>
      </c>
      <c r="O1563" s="721"/>
      <c r="P1563" s="721"/>
      <c r="Q1563" s="721"/>
      <c r="R1563" s="721"/>
      <c r="S1563" s="721"/>
      <c r="T1563" s="721"/>
      <c r="U1563" s="721"/>
      <c r="V1563" s="499">
        <f>+SUM(V1559:V1562)</f>
        <v>6087.5</v>
      </c>
    </row>
    <row r="1564" spans="13:22" x14ac:dyDescent="0.25">
      <c r="M1564" s="720"/>
      <c r="N1564" s="722" t="s">
        <v>117</v>
      </c>
      <c r="O1564" s="722"/>
      <c r="P1564" s="722"/>
      <c r="Q1564" s="722"/>
      <c r="R1564" s="722"/>
      <c r="S1564" s="722"/>
      <c r="T1564" s="722"/>
      <c r="U1564" s="722"/>
      <c r="V1564" s="344">
        <f>+ROUND(V1563,$AA$2)</f>
        <v>6088</v>
      </c>
    </row>
    <row r="1565" spans="13:22" x14ac:dyDescent="0.25">
      <c r="M1565" s="723" t="s">
        <v>118</v>
      </c>
      <c r="N1565" s="723"/>
      <c r="O1565" s="723"/>
      <c r="P1565" s="723"/>
      <c r="Q1565" s="723"/>
      <c r="R1565" s="723"/>
      <c r="S1565" s="723"/>
      <c r="T1565" s="723"/>
      <c r="U1565" s="723"/>
      <c r="V1565" s="723"/>
    </row>
    <row r="1566" spans="13:22" ht="14.4" x14ac:dyDescent="0.3">
      <c r="M1566" s="307" t="s">
        <v>97</v>
      </c>
      <c r="N1566" s="372" t="s">
        <v>98</v>
      </c>
      <c r="O1566" s="307" t="s">
        <v>99</v>
      </c>
      <c r="P1566" s="396" t="s">
        <v>107</v>
      </c>
      <c r="Q1566" s="307" t="s">
        <v>119</v>
      </c>
      <c r="R1566" s="373" t="s">
        <v>120</v>
      </c>
      <c r="S1566" s="307" t="s">
        <v>363</v>
      </c>
      <c r="T1566" s="374" t="s">
        <v>121</v>
      </c>
      <c r="U1566" s="375" t="s">
        <v>122</v>
      </c>
      <c r="V1566" s="307" t="s">
        <v>101</v>
      </c>
    </row>
    <row r="1567" spans="13:22" x14ac:dyDescent="0.25">
      <c r="M1567" s="313">
        <v>201</v>
      </c>
      <c r="N1567" s="379" t="str">
        <f>IFERROR(VLOOKUP(M1567,INSUMOS!$C$8:$K$934,2,0),"-----")</f>
        <v>Oficial Albañileria</v>
      </c>
      <c r="O1567" s="314" t="str">
        <f>IFERROR(VLOOKUP(M1567,INSUMOS!$C$8:$K$934,3,0),"-----")</f>
        <v>JORNAL+PS</v>
      </c>
      <c r="P1567" s="355">
        <v>1</v>
      </c>
      <c r="Q1567" s="339">
        <v>20</v>
      </c>
      <c r="R1567" s="380">
        <f>IFERROR(VLOOKUP(M1567,INSUMOS!$C$8:$K$934,4,0),"-----")</f>
        <v>114970</v>
      </c>
      <c r="S1567" s="380">
        <f>IFERROR(VLOOKUP(M1567,INSUMOS!$C$8:$K$934,6,0),"-----")</f>
        <v>91976</v>
      </c>
      <c r="T1567" s="380">
        <f>IFERROR(VLOOKUP(M1567,INSUMOS!$C$8:$K$934,5,0),"-----")</f>
        <v>0</v>
      </c>
      <c r="U1567" s="338">
        <f>SUM(R1567:T1567)</f>
        <v>206946</v>
      </c>
      <c r="V1567" s="316">
        <f>+IFERROR((P1567/Q1567)*U1567,0)</f>
        <v>10347.300000000001</v>
      </c>
    </row>
    <row r="1568" spans="13:22" x14ac:dyDescent="0.25">
      <c r="M1568" s="313">
        <v>202</v>
      </c>
      <c r="N1568" s="379" t="str">
        <f>IFERROR(VLOOKUP(M1568,INSUMOS!$C$8:$K$934,2,0),"-----")</f>
        <v>Ayudante Albañileria</v>
      </c>
      <c r="O1568" s="314" t="str">
        <f>IFERROR(VLOOKUP(M1568,INSUMOS!$C$8:$K$934,3,0),"-----")</f>
        <v>JORNAL+PS</v>
      </c>
      <c r="P1568" s="355">
        <v>2</v>
      </c>
      <c r="Q1568" s="339">
        <v>20</v>
      </c>
      <c r="R1568" s="380">
        <f>IFERROR(VLOOKUP(M1568,INSUMOS!$C$8:$K$934,4,0),"-----")</f>
        <v>94970</v>
      </c>
      <c r="S1568" s="380">
        <f>IFERROR(VLOOKUP(M1568,INSUMOS!$C$8:$K$934,6,0),"-----")</f>
        <v>75976</v>
      </c>
      <c r="T1568" s="380">
        <f>IFERROR(VLOOKUP(M1568,INSUMOS!$C$8:$K$934,5,0),"-----")</f>
        <v>0</v>
      </c>
      <c r="U1568" s="338">
        <f>SUM(R1568:T1568)</f>
        <v>170946</v>
      </c>
      <c r="V1568" s="316">
        <f>+IFERROR((P1568/Q1568)*U1568,0)</f>
        <v>17094.600000000002</v>
      </c>
    </row>
    <row r="1569" spans="13:22" x14ac:dyDescent="0.25">
      <c r="M1569" s="313">
        <v>0</v>
      </c>
      <c r="N1569" s="379"/>
      <c r="O1569" s="339"/>
      <c r="P1569" s="382"/>
      <c r="Q1569" s="319"/>
      <c r="R1569" s="383"/>
      <c r="S1569" s="384"/>
      <c r="T1569" s="383"/>
      <c r="U1569" s="338"/>
      <c r="V1569" s="323"/>
    </row>
    <row r="1570" spans="13:22" x14ac:dyDescent="0.25">
      <c r="M1570" s="724"/>
      <c r="N1570" s="725" t="s">
        <v>123</v>
      </c>
      <c r="O1570" s="725"/>
      <c r="P1570" s="725"/>
      <c r="Q1570" s="725"/>
      <c r="R1570" s="725"/>
      <c r="S1570" s="725"/>
      <c r="T1570" s="725"/>
      <c r="U1570" s="725"/>
      <c r="V1570" s="316">
        <f>+SUM(V1567:V1569)</f>
        <v>27441.9</v>
      </c>
    </row>
    <row r="1571" spans="13:22" x14ac:dyDescent="0.25">
      <c r="M1571" s="724"/>
      <c r="N1571" s="726" t="s">
        <v>124</v>
      </c>
      <c r="O1571" s="726"/>
      <c r="P1571" s="726"/>
      <c r="Q1571" s="726"/>
      <c r="R1571" s="726"/>
      <c r="S1571" s="726"/>
      <c r="T1571" s="726"/>
      <c r="U1571" s="726"/>
      <c r="V1571" s="344">
        <f>+ROUND(V1570,$AA$2)</f>
        <v>27442</v>
      </c>
    </row>
    <row r="1572" spans="13:22" x14ac:dyDescent="0.25">
      <c r="M1572" s="727"/>
      <c r="N1572" s="727"/>
      <c r="O1572" s="727"/>
      <c r="P1572" s="727"/>
      <c r="Q1572" s="727"/>
      <c r="R1572" s="727"/>
      <c r="S1572" s="727"/>
      <c r="T1572" s="727"/>
      <c r="U1572" s="727"/>
      <c r="V1572" s="727"/>
    </row>
    <row r="1573" spans="13:22" x14ac:dyDescent="0.25">
      <c r="M1573" s="726" t="s">
        <v>125</v>
      </c>
      <c r="N1573" s="726"/>
      <c r="O1573" s="726"/>
      <c r="P1573" s="726"/>
      <c r="Q1573" s="726"/>
      <c r="R1573" s="726"/>
      <c r="S1573" s="726"/>
      <c r="T1573" s="726"/>
      <c r="U1573" s="728">
        <f>+V1571+V1564+V1556+V1549</f>
        <v>86487</v>
      </c>
      <c r="V1573" s="728"/>
    </row>
    <row r="1574" spans="13:22" x14ac:dyDescent="0.25">
      <c r="M1574" s="412"/>
      <c r="N1574" s="412"/>
      <c r="O1574" s="412"/>
      <c r="P1574" s="412"/>
      <c r="Q1574" s="412"/>
      <c r="R1574" s="412"/>
      <c r="S1574" s="412"/>
      <c r="T1574" s="412"/>
      <c r="U1574" s="412"/>
      <c r="V1574" s="412"/>
    </row>
    <row r="1575" spans="13:22" x14ac:dyDescent="0.25">
      <c r="M1575" s="729" t="s">
        <v>364</v>
      </c>
      <c r="N1575" s="729"/>
      <c r="O1575" s="729"/>
      <c r="P1575" s="729"/>
      <c r="Q1575" s="729"/>
      <c r="R1575" s="729"/>
      <c r="S1575" s="729"/>
      <c r="T1575" s="729"/>
      <c r="U1575" s="729"/>
      <c r="V1575" s="729"/>
    </row>
    <row r="1576" spans="13:22" x14ac:dyDescent="0.25">
      <c r="M1576" s="700" t="s">
        <v>142</v>
      </c>
      <c r="N1576" s="700"/>
      <c r="O1576" s="700"/>
      <c r="P1576" s="700"/>
      <c r="Q1576" s="700"/>
      <c r="R1576" s="700"/>
      <c r="S1576" s="700"/>
      <c r="T1576" s="413">
        <f>$AA$3</f>
        <v>0.25</v>
      </c>
      <c r="U1576" s="701">
        <f>+ROUND(U1573*T1576,$AA$2)</f>
        <v>21622</v>
      </c>
      <c r="V1576" s="701"/>
    </row>
    <row r="1577" spans="13:22" x14ac:dyDescent="0.25">
      <c r="M1577" s="700" t="s">
        <v>19</v>
      </c>
      <c r="N1577" s="700"/>
      <c r="O1577" s="700"/>
      <c r="P1577" s="700"/>
      <c r="Q1577" s="700"/>
      <c r="R1577" s="700"/>
      <c r="S1577" s="700"/>
      <c r="T1577" s="413">
        <f>$AA$4</f>
        <v>0.03</v>
      </c>
      <c r="U1577" s="701">
        <f>+ROUND(U1573*T1577,$AA$2)</f>
        <v>2595</v>
      </c>
      <c r="V1577" s="701"/>
    </row>
    <row r="1578" spans="13:22" x14ac:dyDescent="0.25">
      <c r="M1578" s="700" t="s">
        <v>20</v>
      </c>
      <c r="N1578" s="700"/>
      <c r="O1578" s="700"/>
      <c r="P1578" s="700"/>
      <c r="Q1578" s="700"/>
      <c r="R1578" s="700"/>
      <c r="S1578" s="700"/>
      <c r="T1578" s="413">
        <f>$AA$5</f>
        <v>0.05</v>
      </c>
      <c r="U1578" s="701">
        <f>+ROUND(U1573*T1578,$AA$2)</f>
        <v>4324</v>
      </c>
      <c r="V1578" s="701"/>
    </row>
    <row r="1579" spans="13:22" x14ac:dyDescent="0.25">
      <c r="M1579" s="700" t="s">
        <v>21</v>
      </c>
      <c r="N1579" s="700"/>
      <c r="O1579" s="700"/>
      <c r="P1579" s="700"/>
      <c r="Q1579" s="700"/>
      <c r="R1579" s="700"/>
      <c r="S1579" s="700"/>
      <c r="T1579" s="413">
        <f>$AA$6</f>
        <v>0</v>
      </c>
      <c r="U1579" s="701">
        <f>+ROUND(U1573*T1579,$AA$2)</f>
        <v>0</v>
      </c>
      <c r="V1579" s="701"/>
    </row>
    <row r="1580" spans="13:22" x14ac:dyDescent="0.25">
      <c r="M1580" s="702" t="s">
        <v>365</v>
      </c>
      <c r="N1580" s="702"/>
      <c r="O1580" s="702"/>
      <c r="P1580" s="702"/>
      <c r="Q1580" s="702"/>
      <c r="R1580" s="702"/>
      <c r="S1580" s="702"/>
      <c r="T1580" s="702"/>
      <c r="U1580" s="703">
        <f>+SUM(U1576:V1579)</f>
        <v>28541</v>
      </c>
      <c r="V1580" s="703"/>
    </row>
    <row r="1581" spans="13:22" x14ac:dyDescent="0.25">
      <c r="M1581" s="377"/>
      <c r="N1581" s="416"/>
      <c r="O1581" s="416"/>
      <c r="P1581" s="416"/>
      <c r="Q1581" s="377"/>
      <c r="R1581" s="377"/>
      <c r="S1581" s="377"/>
      <c r="T1581" s="417"/>
      <c r="U1581" s="701"/>
      <c r="V1581" s="701"/>
    </row>
    <row r="1582" spans="13:22" x14ac:dyDescent="0.25">
      <c r="M1582" s="702" t="s">
        <v>11</v>
      </c>
      <c r="N1582" s="702"/>
      <c r="O1582" s="702"/>
      <c r="P1582" s="702"/>
      <c r="Q1582" s="702"/>
      <c r="R1582" s="702"/>
      <c r="S1582" s="702"/>
      <c r="T1582" s="702"/>
      <c r="U1582" s="704">
        <f>+U1580+U1573</f>
        <v>115028</v>
      </c>
      <c r="V1582" s="704"/>
    </row>
    <row r="1583" spans="13:22" x14ac:dyDescent="0.25">
      <c r="M1583" s="705"/>
      <c r="N1583" s="705"/>
      <c r="O1583" s="705"/>
      <c r="P1583" s="705"/>
      <c r="Q1583" s="705"/>
      <c r="R1583" s="706"/>
      <c r="S1583" s="706"/>
      <c r="T1583" s="706"/>
      <c r="U1583" s="706"/>
      <c r="V1583" s="706"/>
    </row>
    <row r="1584" spans="13:22" x14ac:dyDescent="0.25">
      <c r="M1584" s="705"/>
      <c r="N1584" s="705"/>
      <c r="O1584" s="705"/>
      <c r="P1584" s="705"/>
      <c r="Q1584" s="705"/>
      <c r="R1584" s="706"/>
      <c r="S1584" s="706"/>
      <c r="T1584" s="706"/>
      <c r="U1584" s="706"/>
      <c r="V1584" s="706"/>
    </row>
    <row r="1585" spans="13:22" x14ac:dyDescent="0.25">
      <c r="M1585" s="705"/>
      <c r="N1585" s="705"/>
      <c r="O1585" s="705"/>
      <c r="P1585" s="705"/>
      <c r="Q1585" s="705"/>
      <c r="R1585" s="706"/>
      <c r="S1585" s="706"/>
      <c r="T1585" s="706"/>
      <c r="U1585" s="706"/>
      <c r="V1585" s="706"/>
    </row>
    <row r="1586" spans="13:22" x14ac:dyDescent="0.25">
      <c r="M1586" s="705"/>
      <c r="N1586" s="705"/>
      <c r="O1586" s="705"/>
      <c r="P1586" s="705"/>
      <c r="Q1586" s="705"/>
      <c r="R1586" s="706"/>
      <c r="S1586" s="706"/>
      <c r="T1586" s="706"/>
      <c r="U1586" s="706"/>
      <c r="V1586" s="706"/>
    </row>
    <row r="1587" spans="13:22" x14ac:dyDescent="0.25">
      <c r="M1587" s="707" t="s">
        <v>128</v>
      </c>
      <c r="N1587" s="708" t="str">
        <f>$N$6</f>
        <v>ING. JEYSON JULIAN LEON RUEDA</v>
      </c>
      <c r="O1587" s="709"/>
      <c r="P1587" s="709"/>
      <c r="Q1587" s="710"/>
      <c r="R1587" s="711" t="s">
        <v>129</v>
      </c>
      <c r="S1587" s="708" t="str">
        <f>$S$6</f>
        <v>ARQ. YASMID ROCÍO CARRILLO MORA</v>
      </c>
      <c r="T1587" s="709"/>
      <c r="U1587" s="709"/>
      <c r="V1587" s="710"/>
    </row>
    <row r="1588" spans="13:22" x14ac:dyDescent="0.25">
      <c r="M1588" s="707"/>
      <c r="N1588" s="712" t="str">
        <f>$N$7</f>
        <v>MP. 68202-416348 STD</v>
      </c>
      <c r="O1588" s="713"/>
      <c r="P1588" s="713"/>
      <c r="Q1588" s="714"/>
      <c r="R1588" s="711"/>
      <c r="S1588" s="712" t="str">
        <f>$S$7</f>
        <v>SECRETARIA DE PLANEACIÓN Y OBRAS PÚBLICAS</v>
      </c>
      <c r="T1588" s="713"/>
      <c r="U1588" s="713"/>
      <c r="V1588" s="714"/>
    </row>
    <row r="1589" spans="13:22" x14ac:dyDescent="0.25">
      <c r="M1589" s="707"/>
      <c r="N1589" s="715"/>
      <c r="O1589" s="716"/>
      <c r="P1589" s="716"/>
      <c r="Q1589" s="717"/>
      <c r="R1589" s="711"/>
      <c r="S1589" s="712" t="str">
        <f>$S$8</f>
        <v>MUNICIPIO DE PINCHOTE</v>
      </c>
      <c r="T1589" s="713"/>
      <c r="U1589" s="713"/>
      <c r="V1589" s="714"/>
    </row>
    <row r="1591" spans="13:22" x14ac:dyDescent="0.25">
      <c r="M1591" s="281" t="s">
        <v>90</v>
      </c>
      <c r="N1591" s="410" t="s">
        <v>29</v>
      </c>
      <c r="O1591" s="706" t="str">
        <f>IFERROR(VLOOKUP(N1591,PPTO!$C$9:$H$64,2,0),"----")</f>
        <v>COMPONENTE ACUEDUCTO</v>
      </c>
      <c r="P1591" s="706"/>
      <c r="Q1591" s="706"/>
      <c r="R1591" s="706"/>
      <c r="S1591" s="706"/>
      <c r="T1591" s="706"/>
      <c r="U1591" s="706"/>
      <c r="V1591" s="283" t="s">
        <v>93</v>
      </c>
    </row>
    <row r="1592" spans="13:22" x14ac:dyDescent="0.25">
      <c r="M1592" s="283" t="s">
        <v>94</v>
      </c>
      <c r="N1592" s="287">
        <f>PPTO!C43</f>
        <v>2.11</v>
      </c>
      <c r="O1592" s="736" t="str">
        <f>IFERROR(VLOOKUP(N1592,PPTO!$C$9:$H$64,2,0),"----")</f>
        <v>Conexión domiciliaria potable presión RDE-21 (D=1/2")</v>
      </c>
      <c r="P1592" s="736"/>
      <c r="Q1592" s="736"/>
      <c r="R1592" s="736"/>
      <c r="S1592" s="736"/>
      <c r="T1592" s="736"/>
      <c r="U1592" s="736"/>
      <c r="V1592" s="288" t="str">
        <f>IFERROR(VLOOKUP(N1592,PPTO!$C$9:$H$64,3,0),"----")</f>
        <v>UND</v>
      </c>
    </row>
    <row r="1593" spans="13:22" x14ac:dyDescent="0.25">
      <c r="M1593" s="737"/>
      <c r="N1593" s="737"/>
      <c r="O1593" s="737"/>
      <c r="P1593" s="737"/>
      <c r="Q1593" s="737"/>
      <c r="R1593" s="737"/>
      <c r="S1593" s="737"/>
      <c r="T1593" s="737"/>
      <c r="U1593" s="737"/>
      <c r="V1593" s="737"/>
    </row>
    <row r="1594" spans="13:22" x14ac:dyDescent="0.25">
      <c r="M1594" s="738" t="s">
        <v>96</v>
      </c>
      <c r="N1594" s="738"/>
      <c r="O1594" s="738"/>
      <c r="P1594" s="738"/>
      <c r="Q1594" s="738"/>
      <c r="R1594" s="738"/>
      <c r="S1594" s="738"/>
      <c r="T1594" s="738"/>
      <c r="U1594" s="738"/>
      <c r="V1594" s="738"/>
    </row>
    <row r="1595" spans="13:22" x14ac:dyDescent="0.25">
      <c r="M1595" s="307" t="s">
        <v>97</v>
      </c>
      <c r="N1595" s="706" t="s">
        <v>98</v>
      </c>
      <c r="O1595" s="706"/>
      <c r="P1595" s="706"/>
      <c r="Q1595" s="706"/>
      <c r="R1595" s="307" t="s">
        <v>99</v>
      </c>
      <c r="S1595" s="307" t="s">
        <v>100</v>
      </c>
      <c r="T1595" s="734" t="s">
        <v>8</v>
      </c>
      <c r="U1595" s="734"/>
      <c r="V1595" s="307" t="s">
        <v>101</v>
      </c>
    </row>
    <row r="1596" spans="13:22" x14ac:dyDescent="0.25">
      <c r="M1596" s="313"/>
      <c r="N1596" s="718" t="s">
        <v>102</v>
      </c>
      <c r="O1596" s="718"/>
      <c r="P1596" s="718"/>
      <c r="Q1596" s="718"/>
      <c r="R1596" s="314" t="s">
        <v>103</v>
      </c>
      <c r="S1596" s="315">
        <f>$AA$9</f>
        <v>0.05</v>
      </c>
      <c r="T1596" s="739">
        <f>V1625</f>
        <v>109768</v>
      </c>
      <c r="U1596" s="739"/>
      <c r="V1596" s="316">
        <f>+IFERROR(T1596*S1596,0)</f>
        <v>5488.4000000000005</v>
      </c>
    </row>
    <row r="1597" spans="13:22" x14ac:dyDescent="0.25">
      <c r="M1597" s="319">
        <v>0</v>
      </c>
      <c r="N1597" s="718" t="str">
        <f>IFERROR(VLOOKUP(M1597,INSUMOS!$C$8:$K$934,2,0),"-----")</f>
        <v>-----</v>
      </c>
      <c r="O1597" s="718"/>
      <c r="P1597" s="718"/>
      <c r="Q1597" s="718"/>
      <c r="R1597" s="314" t="str">
        <f>IFERROR(VLOOKUP(M1597,INSUMOS!$C$8:$K$934,6,0),"-----")</f>
        <v>-----</v>
      </c>
      <c r="S1597" s="320"/>
      <c r="T1597" s="740" t="str">
        <f>IFERROR(VLOOKUP(M1597,INSUMOS!$C$8:$K$934,7,0),"0")</f>
        <v>0</v>
      </c>
      <c r="U1597" s="740"/>
      <c r="V1597" s="316">
        <f>+IFERROR(T1597*S1597,0)</f>
        <v>0</v>
      </c>
    </row>
    <row r="1598" spans="13:22" x14ac:dyDescent="0.25">
      <c r="M1598" s="313">
        <v>0</v>
      </c>
      <c r="N1598" s="718" t="str">
        <f>IFERROR(VLOOKUP(M1598,INSUMOS!$C$8:$K$934,2,0),"-----")</f>
        <v>-----</v>
      </c>
      <c r="O1598" s="718"/>
      <c r="P1598" s="718"/>
      <c r="Q1598" s="718"/>
      <c r="R1598" s="314" t="str">
        <f>IFERROR(VLOOKUP(M1598,INSUMOS!$C$8:$K$934,6,0),"-----")</f>
        <v>-----</v>
      </c>
      <c r="S1598" s="320"/>
      <c r="T1598" s="740" t="str">
        <f>IFERROR(VLOOKUP(M1598,INSUMOS!$C$8:$K$934,7,0),"0")</f>
        <v>0</v>
      </c>
      <c r="U1598" s="740"/>
      <c r="V1598" s="316">
        <f>+IFERROR(T1598*S1598,0)</f>
        <v>0</v>
      </c>
    </row>
    <row r="1599" spans="13:22" x14ac:dyDescent="0.25">
      <c r="M1599" s="313">
        <v>0</v>
      </c>
      <c r="N1599" s="718" t="str">
        <f>IFERROR(VLOOKUP(M1599,INSUMOS!$C$8:$K$934,2,0),"-----")</f>
        <v>-----</v>
      </c>
      <c r="O1599" s="718"/>
      <c r="P1599" s="718"/>
      <c r="Q1599" s="718"/>
      <c r="R1599" s="314" t="str">
        <f>IFERROR(VLOOKUP(M1599,INSUMOS!$C$8:$K$934,6,0),"-----")</f>
        <v>-----</v>
      </c>
      <c r="S1599" s="320"/>
      <c r="T1599" s="740" t="str">
        <f>IFERROR(VLOOKUP(M1599,INSUMOS!$C$8:$K$934,7,0),"0")</f>
        <v>0</v>
      </c>
      <c r="U1599" s="740"/>
      <c r="V1599" s="316">
        <f>+IFERROR(T1599*S1599,0)</f>
        <v>0</v>
      </c>
    </row>
    <row r="1600" spans="13:22" x14ac:dyDescent="0.25">
      <c r="M1600" s="724"/>
      <c r="N1600" s="725" t="s">
        <v>104</v>
      </c>
      <c r="O1600" s="725"/>
      <c r="P1600" s="725"/>
      <c r="Q1600" s="725"/>
      <c r="R1600" s="725"/>
      <c r="S1600" s="725"/>
      <c r="T1600" s="725"/>
      <c r="U1600" s="725"/>
      <c r="V1600" s="316">
        <f>+SUM(V1596:V1599)</f>
        <v>5488.4000000000005</v>
      </c>
    </row>
    <row r="1601" spans="13:22" x14ac:dyDescent="0.25">
      <c r="M1601" s="724"/>
      <c r="N1601" s="726" t="s">
        <v>105</v>
      </c>
      <c r="O1601" s="726"/>
      <c r="P1601" s="726"/>
      <c r="Q1601" s="726"/>
      <c r="R1601" s="726"/>
      <c r="S1601" s="726"/>
      <c r="T1601" s="726"/>
      <c r="U1601" s="726"/>
      <c r="V1601" s="344">
        <f>+ROUND(V1600,$AA$2)</f>
        <v>5488</v>
      </c>
    </row>
    <row r="1602" spans="13:22" x14ac:dyDescent="0.25">
      <c r="M1602" s="730" t="s">
        <v>106</v>
      </c>
      <c r="N1602" s="730"/>
      <c r="O1602" s="730"/>
      <c r="P1602" s="730"/>
      <c r="Q1602" s="730"/>
      <c r="R1602" s="730"/>
      <c r="S1602" s="730"/>
      <c r="T1602" s="730"/>
      <c r="U1602" s="730"/>
      <c r="V1602" s="730"/>
    </row>
    <row r="1603" spans="13:22" x14ac:dyDescent="0.25">
      <c r="M1603" s="307" t="s">
        <v>97</v>
      </c>
      <c r="N1603" s="706" t="s">
        <v>98</v>
      </c>
      <c r="O1603" s="706"/>
      <c r="P1603" s="706"/>
      <c r="Q1603" s="706"/>
      <c r="R1603" s="307" t="s">
        <v>99</v>
      </c>
      <c r="S1603" s="307" t="s">
        <v>107</v>
      </c>
      <c r="T1603" s="336" t="s">
        <v>108</v>
      </c>
      <c r="U1603" s="336" t="s">
        <v>8</v>
      </c>
      <c r="V1603" s="307" t="s">
        <v>101</v>
      </c>
    </row>
    <row r="1604" spans="13:22" x14ac:dyDescent="0.25">
      <c r="M1604" s="313"/>
      <c r="N1604" s="718" t="s">
        <v>953</v>
      </c>
      <c r="O1604" s="718"/>
      <c r="P1604" s="718"/>
      <c r="Q1604" s="718"/>
      <c r="R1604" s="314" t="s">
        <v>806</v>
      </c>
      <c r="S1604" s="322">
        <v>1</v>
      </c>
      <c r="T1604" s="315">
        <v>0.05</v>
      </c>
      <c r="U1604" s="338">
        <v>49500</v>
      </c>
      <c r="V1604" s="316">
        <f>+IFERROR(U1604*(S1604*(1+T1604)),0)</f>
        <v>51975</v>
      </c>
    </row>
    <row r="1605" spans="13:22" x14ac:dyDescent="0.25">
      <c r="M1605" s="313">
        <v>0</v>
      </c>
      <c r="N1605" s="718" t="s">
        <v>954</v>
      </c>
      <c r="O1605" s="718"/>
      <c r="P1605" s="718"/>
      <c r="Q1605" s="718"/>
      <c r="R1605" s="314" t="s">
        <v>806</v>
      </c>
      <c r="S1605" s="322">
        <v>1</v>
      </c>
      <c r="T1605" s="315">
        <v>0</v>
      </c>
      <c r="U1605" s="338">
        <v>315800</v>
      </c>
      <c r="V1605" s="316">
        <f>+IFERROR(U1605*(S1605*(1+T1605)),0)</f>
        <v>315800</v>
      </c>
    </row>
    <row r="1606" spans="13:22" x14ac:dyDescent="0.25">
      <c r="M1606" s="313"/>
      <c r="N1606" s="718" t="s">
        <v>955</v>
      </c>
      <c r="O1606" s="718"/>
      <c r="P1606" s="718"/>
      <c r="Q1606" s="718"/>
      <c r="R1606" s="314" t="s">
        <v>36</v>
      </c>
      <c r="S1606" s="322">
        <v>1</v>
      </c>
      <c r="T1606" s="315">
        <v>0</v>
      </c>
      <c r="U1606" s="338">
        <v>40500</v>
      </c>
      <c r="V1606" s="316">
        <f t="shared" ref="V1606:V1608" si="200">+IFERROR(U1606*(S1606*(1+T1606)),0)</f>
        <v>40500</v>
      </c>
    </row>
    <row r="1607" spans="13:22" x14ac:dyDescent="0.25">
      <c r="M1607" s="313"/>
      <c r="N1607" s="718" t="s">
        <v>956</v>
      </c>
      <c r="O1607" s="718"/>
      <c r="P1607" s="718"/>
      <c r="Q1607" s="718"/>
      <c r="R1607" s="314" t="s">
        <v>36</v>
      </c>
      <c r="S1607" s="322">
        <v>2</v>
      </c>
      <c r="T1607" s="315">
        <v>0</v>
      </c>
      <c r="U1607" s="338">
        <v>45650</v>
      </c>
      <c r="V1607" s="316">
        <f t="shared" si="200"/>
        <v>91300</v>
      </c>
    </row>
    <row r="1608" spans="13:22" x14ac:dyDescent="0.25">
      <c r="M1608" s="313">
        <v>0</v>
      </c>
      <c r="N1608" s="718" t="s">
        <v>957</v>
      </c>
      <c r="O1608" s="718"/>
      <c r="P1608" s="718"/>
      <c r="Q1608" s="718"/>
      <c r="R1608" s="314" t="s">
        <v>958</v>
      </c>
      <c r="S1608" s="322">
        <v>3</v>
      </c>
      <c r="T1608" s="315">
        <v>0.05</v>
      </c>
      <c r="U1608" s="338">
        <v>7500</v>
      </c>
      <c r="V1608" s="316">
        <f t="shared" si="200"/>
        <v>23625.000000000004</v>
      </c>
    </row>
    <row r="1609" spans="13:22" x14ac:dyDescent="0.25">
      <c r="M1609" s="724"/>
      <c r="N1609" s="725" t="s">
        <v>109</v>
      </c>
      <c r="O1609" s="725"/>
      <c r="P1609" s="725"/>
      <c r="Q1609" s="725"/>
      <c r="R1609" s="725"/>
      <c r="S1609" s="725"/>
      <c r="T1609" s="725"/>
      <c r="U1609" s="725"/>
      <c r="V1609" s="316">
        <f>+SUM(V1604:V1608)</f>
        <v>523200</v>
      </c>
    </row>
    <row r="1610" spans="13:22" x14ac:dyDescent="0.25">
      <c r="M1610" s="724"/>
      <c r="N1610" s="726" t="s">
        <v>110</v>
      </c>
      <c r="O1610" s="726"/>
      <c r="P1610" s="726"/>
      <c r="Q1610" s="726"/>
      <c r="R1610" s="726"/>
      <c r="S1610" s="726"/>
      <c r="T1610" s="726"/>
      <c r="U1610" s="726"/>
      <c r="V1610" s="344">
        <f>+ROUND(V1609,$AA$2)</f>
        <v>523200</v>
      </c>
    </row>
    <row r="1611" spans="13:22" x14ac:dyDescent="0.25">
      <c r="M1611" s="733" t="s">
        <v>111</v>
      </c>
      <c r="N1611" s="733"/>
      <c r="O1611" s="733"/>
      <c r="P1611" s="733"/>
      <c r="Q1611" s="733"/>
      <c r="R1611" s="733"/>
      <c r="S1611" s="733"/>
      <c r="T1611" s="733"/>
      <c r="U1611" s="733"/>
      <c r="V1611" s="733"/>
    </row>
    <row r="1612" spans="13:22" ht="27.6" x14ac:dyDescent="0.25">
      <c r="M1612" s="307" t="s">
        <v>97</v>
      </c>
      <c r="N1612" s="706" t="s">
        <v>98</v>
      </c>
      <c r="O1612" s="706"/>
      <c r="P1612" s="706"/>
      <c r="Q1612" s="307" t="s">
        <v>112</v>
      </c>
      <c r="R1612" s="307" t="s">
        <v>113</v>
      </c>
      <c r="S1612" s="307" t="s">
        <v>114</v>
      </c>
      <c r="T1612" s="734" t="s">
        <v>115</v>
      </c>
      <c r="U1612" s="734"/>
      <c r="V1612" s="307" t="s">
        <v>101</v>
      </c>
    </row>
    <row r="1613" spans="13:22" x14ac:dyDescent="0.25">
      <c r="M1613" s="354">
        <f>INSUMOS!C143</f>
        <v>129</v>
      </c>
      <c r="N1613" s="718" t="str">
        <f>IFERROR(VLOOKUP(M1613,INSUMOS!$C$8:$K$934,2,0),"-----")</f>
        <v>transporte materiales - San Gil</v>
      </c>
      <c r="O1613" s="718"/>
      <c r="P1613" s="718"/>
      <c r="Q1613" s="314" t="str">
        <f>IFERROR(VLOOKUP(M1613,INSUMOS!$C$8:$K$934,5,0),"-----")</f>
        <v>kg/km</v>
      </c>
      <c r="R1613" s="355">
        <v>10</v>
      </c>
      <c r="S1613" s="355">
        <f>IFERROR(VLOOKUP(M1613,INSUMOS!$C$8:$K$934,6,0),"0")</f>
        <v>4.87</v>
      </c>
      <c r="T1613" s="719">
        <f>IFERROR(VLOOKUP(M1613,INSUMOS!$C$8:$K$934,7,0),"0")</f>
        <v>1000</v>
      </c>
      <c r="U1613" s="719"/>
      <c r="V1613" s="515">
        <f>+T1613*S1613*R1613</f>
        <v>48700</v>
      </c>
    </row>
    <row r="1614" spans="13:22" x14ac:dyDescent="0.25">
      <c r="M1614" s="354">
        <v>0</v>
      </c>
      <c r="N1614" s="718" t="str">
        <f>IFERROR(VLOOKUP(M1614,INSUMOS!$C$8:$K$934,2,0),"-----")</f>
        <v>-----</v>
      </c>
      <c r="O1614" s="718"/>
      <c r="P1614" s="718"/>
      <c r="Q1614" s="314" t="str">
        <f>IFERROR(VLOOKUP(M1614,INSUMOS!$C$8:$K$934,5,0),"-----")</f>
        <v>-----</v>
      </c>
      <c r="R1614" s="355"/>
      <c r="S1614" s="355" t="str">
        <f>IFERROR(VLOOKUP(M1614,INSUMOS!$C$8:$K$934,6,0),"0")</f>
        <v>0</v>
      </c>
      <c r="T1614" s="719" t="str">
        <f>IFERROR(VLOOKUP(M1614,INSUMOS!$C$8:$K$934,7,0),"0")</f>
        <v>0</v>
      </c>
      <c r="U1614" s="719"/>
      <c r="V1614" s="515">
        <f>+T1614*S1614*R1614</f>
        <v>0</v>
      </c>
    </row>
    <row r="1615" spans="13:22" x14ac:dyDescent="0.25">
      <c r="M1615" s="354">
        <v>0</v>
      </c>
      <c r="N1615" s="718" t="str">
        <f>IFERROR(VLOOKUP(M1615,INSUMOS!$C$8:$K$934,2,0),"-----")</f>
        <v>-----</v>
      </c>
      <c r="O1615" s="718"/>
      <c r="P1615" s="718"/>
      <c r="Q1615" s="314" t="str">
        <f>IFERROR(VLOOKUP(M1615,INSUMOS!$C$8:$K$934,5,0),"-----")</f>
        <v>-----</v>
      </c>
      <c r="R1615" s="355"/>
      <c r="S1615" s="355" t="str">
        <f>IFERROR(VLOOKUP(M1615,INSUMOS!$C$8:$K$934,6,0),"0")</f>
        <v>0</v>
      </c>
      <c r="T1615" s="719" t="str">
        <f>IFERROR(VLOOKUP(M1615,INSUMOS!$C$8:$K$934,7,0),"0")</f>
        <v>0</v>
      </c>
      <c r="U1615" s="719"/>
      <c r="V1615" s="515">
        <f>+T1615*S1615*R1615</f>
        <v>0</v>
      </c>
    </row>
    <row r="1616" spans="13:22" x14ac:dyDescent="0.25">
      <c r="M1616" s="354">
        <v>0</v>
      </c>
      <c r="N1616" s="718"/>
      <c r="O1616" s="718"/>
      <c r="P1616" s="718"/>
      <c r="Q1616" s="357"/>
      <c r="R1616" s="314"/>
      <c r="S1616" s="358"/>
      <c r="T1616" s="719"/>
      <c r="U1616" s="719"/>
      <c r="V1616" s="515"/>
    </row>
    <row r="1617" spans="13:22" x14ac:dyDescent="0.25">
      <c r="M1617" s="720"/>
      <c r="N1617" s="721" t="s">
        <v>116</v>
      </c>
      <c r="O1617" s="721"/>
      <c r="P1617" s="721"/>
      <c r="Q1617" s="721"/>
      <c r="R1617" s="721"/>
      <c r="S1617" s="721"/>
      <c r="T1617" s="721"/>
      <c r="U1617" s="721"/>
      <c r="V1617" s="499">
        <f>+SUM(V1613:V1616)</f>
        <v>48700</v>
      </c>
    </row>
    <row r="1618" spans="13:22" x14ac:dyDescent="0.25">
      <c r="M1618" s="720"/>
      <c r="N1618" s="722" t="s">
        <v>117</v>
      </c>
      <c r="O1618" s="722"/>
      <c r="P1618" s="722"/>
      <c r="Q1618" s="722"/>
      <c r="R1618" s="722"/>
      <c r="S1618" s="722"/>
      <c r="T1618" s="722"/>
      <c r="U1618" s="722"/>
      <c r="V1618" s="344">
        <f>+ROUND(V1617,$AA$2)</f>
        <v>48700</v>
      </c>
    </row>
    <row r="1619" spans="13:22" x14ac:dyDescent="0.25">
      <c r="M1619" s="723" t="s">
        <v>118</v>
      </c>
      <c r="N1619" s="723"/>
      <c r="O1619" s="723"/>
      <c r="P1619" s="723"/>
      <c r="Q1619" s="723"/>
      <c r="R1619" s="723"/>
      <c r="S1619" s="723"/>
      <c r="T1619" s="723"/>
      <c r="U1619" s="723"/>
      <c r="V1619" s="723"/>
    </row>
    <row r="1620" spans="13:22" ht="14.4" x14ac:dyDescent="0.3">
      <c r="M1620" s="307" t="s">
        <v>97</v>
      </c>
      <c r="N1620" s="372" t="s">
        <v>98</v>
      </c>
      <c r="O1620" s="307" t="s">
        <v>99</v>
      </c>
      <c r="P1620" s="396" t="s">
        <v>107</v>
      </c>
      <c r="Q1620" s="307" t="s">
        <v>119</v>
      </c>
      <c r="R1620" s="373" t="s">
        <v>120</v>
      </c>
      <c r="S1620" s="307" t="s">
        <v>363</v>
      </c>
      <c r="T1620" s="374" t="s">
        <v>121</v>
      </c>
      <c r="U1620" s="375" t="s">
        <v>122</v>
      </c>
      <c r="V1620" s="307" t="s">
        <v>101</v>
      </c>
    </row>
    <row r="1621" spans="13:22" x14ac:dyDescent="0.25">
      <c r="M1621" s="313">
        <v>201</v>
      </c>
      <c r="N1621" s="379" t="str">
        <f>IFERROR(VLOOKUP(M1621,INSUMOS!$C$8:$K$934,2,0),"-----")</f>
        <v>Oficial Albañileria</v>
      </c>
      <c r="O1621" s="314" t="str">
        <f>IFERROR(VLOOKUP(M1621,INSUMOS!$C$8:$K$934,3,0),"-----")</f>
        <v>JORNAL+PS</v>
      </c>
      <c r="P1621" s="355">
        <v>1</v>
      </c>
      <c r="Q1621" s="339">
        <v>5</v>
      </c>
      <c r="R1621" s="380">
        <f>IFERROR(VLOOKUP(M1621,INSUMOS!$C$8:$K$934,4,0),"-----")</f>
        <v>114970</v>
      </c>
      <c r="S1621" s="380">
        <f>IFERROR(VLOOKUP(M1621,INSUMOS!$C$8:$K$934,6,0),"-----")</f>
        <v>91976</v>
      </c>
      <c r="T1621" s="380">
        <f>IFERROR(VLOOKUP(M1621,INSUMOS!$C$8:$K$934,5,0),"-----")</f>
        <v>0</v>
      </c>
      <c r="U1621" s="338">
        <f>SUM(R1621:T1621)</f>
        <v>206946</v>
      </c>
      <c r="V1621" s="316">
        <f>+IFERROR((P1621/Q1621)*U1621,0)</f>
        <v>41389.200000000004</v>
      </c>
    </row>
    <row r="1622" spans="13:22" x14ac:dyDescent="0.25">
      <c r="M1622" s="313">
        <v>202</v>
      </c>
      <c r="N1622" s="379" t="str">
        <f>IFERROR(VLOOKUP(M1622,INSUMOS!$C$8:$K$934,2,0),"-----")</f>
        <v>Ayudante Albañileria</v>
      </c>
      <c r="O1622" s="314" t="str">
        <f>IFERROR(VLOOKUP(M1622,INSUMOS!$C$8:$K$934,3,0),"-----")</f>
        <v>JORNAL+PS</v>
      </c>
      <c r="P1622" s="355">
        <v>2</v>
      </c>
      <c r="Q1622" s="339">
        <v>5</v>
      </c>
      <c r="R1622" s="380">
        <f>IFERROR(VLOOKUP(M1622,INSUMOS!$C$8:$K$934,4,0),"-----")</f>
        <v>94970</v>
      </c>
      <c r="S1622" s="380">
        <f>IFERROR(VLOOKUP(M1622,INSUMOS!$C$8:$K$934,6,0),"-----")</f>
        <v>75976</v>
      </c>
      <c r="T1622" s="380">
        <f>IFERROR(VLOOKUP(M1622,INSUMOS!$C$8:$K$934,5,0),"-----")</f>
        <v>0</v>
      </c>
      <c r="U1622" s="338">
        <f>SUM(R1622:T1622)</f>
        <v>170946</v>
      </c>
      <c r="V1622" s="316">
        <f>+IFERROR((P1622/Q1622)*U1622,0)</f>
        <v>68378.400000000009</v>
      </c>
    </row>
    <row r="1623" spans="13:22" x14ac:dyDescent="0.25">
      <c r="M1623" s="313">
        <v>0</v>
      </c>
      <c r="N1623" s="379"/>
      <c r="O1623" s="339"/>
      <c r="P1623" s="382"/>
      <c r="Q1623" s="319"/>
      <c r="R1623" s="383"/>
      <c r="S1623" s="384"/>
      <c r="T1623" s="383"/>
      <c r="U1623" s="338"/>
      <c r="V1623" s="323"/>
    </row>
    <row r="1624" spans="13:22" x14ac:dyDescent="0.25">
      <c r="M1624" s="724"/>
      <c r="N1624" s="725" t="s">
        <v>123</v>
      </c>
      <c r="O1624" s="725"/>
      <c r="P1624" s="725"/>
      <c r="Q1624" s="725"/>
      <c r="R1624" s="725"/>
      <c r="S1624" s="725"/>
      <c r="T1624" s="725"/>
      <c r="U1624" s="725"/>
      <c r="V1624" s="316">
        <f>+SUM(V1621:V1623)</f>
        <v>109767.6</v>
      </c>
    </row>
    <row r="1625" spans="13:22" x14ac:dyDescent="0.25">
      <c r="M1625" s="724"/>
      <c r="N1625" s="726" t="s">
        <v>124</v>
      </c>
      <c r="O1625" s="726"/>
      <c r="P1625" s="726"/>
      <c r="Q1625" s="726"/>
      <c r="R1625" s="726"/>
      <c r="S1625" s="726"/>
      <c r="T1625" s="726"/>
      <c r="U1625" s="726"/>
      <c r="V1625" s="344">
        <f>+ROUND(V1624,$AA$2)</f>
        <v>109768</v>
      </c>
    </row>
    <row r="1626" spans="13:22" x14ac:dyDescent="0.25">
      <c r="M1626" s="727"/>
      <c r="N1626" s="727"/>
      <c r="O1626" s="727"/>
      <c r="P1626" s="727"/>
      <c r="Q1626" s="727"/>
      <c r="R1626" s="727"/>
      <c r="S1626" s="727"/>
      <c r="T1626" s="727"/>
      <c r="U1626" s="727"/>
      <c r="V1626" s="727"/>
    </row>
    <row r="1627" spans="13:22" x14ac:dyDescent="0.25">
      <c r="M1627" s="726" t="s">
        <v>125</v>
      </c>
      <c r="N1627" s="726"/>
      <c r="O1627" s="726"/>
      <c r="P1627" s="726"/>
      <c r="Q1627" s="726"/>
      <c r="R1627" s="726"/>
      <c r="S1627" s="726"/>
      <c r="T1627" s="726"/>
      <c r="U1627" s="728">
        <f>+V1625+V1618+V1610+V1601</f>
        <v>687156</v>
      </c>
      <c r="V1627" s="728"/>
    </row>
    <row r="1628" spans="13:22" x14ac:dyDescent="0.25">
      <c r="M1628" s="412"/>
      <c r="N1628" s="412"/>
      <c r="O1628" s="412"/>
      <c r="P1628" s="412"/>
      <c r="Q1628" s="412"/>
      <c r="R1628" s="412"/>
      <c r="S1628" s="412"/>
      <c r="T1628" s="412"/>
      <c r="U1628" s="412"/>
      <c r="V1628" s="412"/>
    </row>
    <row r="1629" spans="13:22" x14ac:dyDescent="0.25">
      <c r="M1629" s="729" t="s">
        <v>364</v>
      </c>
      <c r="N1629" s="729"/>
      <c r="O1629" s="729"/>
      <c r="P1629" s="729"/>
      <c r="Q1629" s="729"/>
      <c r="R1629" s="729"/>
      <c r="S1629" s="729"/>
      <c r="T1629" s="729"/>
      <c r="U1629" s="729"/>
      <c r="V1629" s="729"/>
    </row>
    <row r="1630" spans="13:22" x14ac:dyDescent="0.25">
      <c r="M1630" s="700" t="s">
        <v>142</v>
      </c>
      <c r="N1630" s="700"/>
      <c r="O1630" s="700"/>
      <c r="P1630" s="700"/>
      <c r="Q1630" s="700"/>
      <c r="R1630" s="700"/>
      <c r="S1630" s="700"/>
      <c r="T1630" s="413">
        <f>$AA$3</f>
        <v>0.25</v>
      </c>
      <c r="U1630" s="701">
        <f>+ROUND(U1627*T1630,$AA$2)</f>
        <v>171789</v>
      </c>
      <c r="V1630" s="701"/>
    </row>
    <row r="1631" spans="13:22" x14ac:dyDescent="0.25">
      <c r="M1631" s="700" t="s">
        <v>19</v>
      </c>
      <c r="N1631" s="700"/>
      <c r="O1631" s="700"/>
      <c r="P1631" s="700"/>
      <c r="Q1631" s="700"/>
      <c r="R1631" s="700"/>
      <c r="S1631" s="700"/>
      <c r="T1631" s="413">
        <f>$AA$4</f>
        <v>0.03</v>
      </c>
      <c r="U1631" s="701">
        <f>+ROUND(U1627*T1631,$AA$2)</f>
        <v>20615</v>
      </c>
      <c r="V1631" s="701"/>
    </row>
    <row r="1632" spans="13:22" x14ac:dyDescent="0.25">
      <c r="M1632" s="700" t="s">
        <v>20</v>
      </c>
      <c r="N1632" s="700"/>
      <c r="O1632" s="700"/>
      <c r="P1632" s="700"/>
      <c r="Q1632" s="700"/>
      <c r="R1632" s="700"/>
      <c r="S1632" s="700"/>
      <c r="T1632" s="413">
        <f>$AA$5</f>
        <v>0.05</v>
      </c>
      <c r="U1632" s="701">
        <f>+ROUND(U1627*T1632,$AA$2)</f>
        <v>34358</v>
      </c>
      <c r="V1632" s="701"/>
    </row>
    <row r="1633" spans="13:22" x14ac:dyDescent="0.25">
      <c r="M1633" s="700" t="s">
        <v>21</v>
      </c>
      <c r="N1633" s="700"/>
      <c r="O1633" s="700"/>
      <c r="P1633" s="700"/>
      <c r="Q1633" s="700"/>
      <c r="R1633" s="700"/>
      <c r="S1633" s="700"/>
      <c r="T1633" s="413">
        <f>$AA$6</f>
        <v>0</v>
      </c>
      <c r="U1633" s="701">
        <f>+ROUND(U1627*T1633,$AA$2)</f>
        <v>0</v>
      </c>
      <c r="V1633" s="701"/>
    </row>
    <row r="1634" spans="13:22" x14ac:dyDescent="0.25">
      <c r="M1634" s="702" t="s">
        <v>365</v>
      </c>
      <c r="N1634" s="702"/>
      <c r="O1634" s="702"/>
      <c r="P1634" s="702"/>
      <c r="Q1634" s="702"/>
      <c r="R1634" s="702"/>
      <c r="S1634" s="702"/>
      <c r="T1634" s="702"/>
      <c r="U1634" s="703">
        <f>+SUM(U1630:V1633)</f>
        <v>226762</v>
      </c>
      <c r="V1634" s="703"/>
    </row>
    <row r="1635" spans="13:22" x14ac:dyDescent="0.25">
      <c r="M1635" s="377"/>
      <c r="N1635" s="416"/>
      <c r="O1635" s="416"/>
      <c r="P1635" s="416"/>
      <c r="Q1635" s="377"/>
      <c r="R1635" s="377"/>
      <c r="S1635" s="377"/>
      <c r="T1635" s="417"/>
      <c r="U1635" s="701"/>
      <c r="V1635" s="701"/>
    </row>
    <row r="1636" spans="13:22" x14ac:dyDescent="0.25">
      <c r="M1636" s="702" t="s">
        <v>11</v>
      </c>
      <c r="N1636" s="702"/>
      <c r="O1636" s="702"/>
      <c r="P1636" s="702"/>
      <c r="Q1636" s="702"/>
      <c r="R1636" s="702"/>
      <c r="S1636" s="702"/>
      <c r="T1636" s="702"/>
      <c r="U1636" s="704">
        <f>+U1634+U1627</f>
        <v>913918</v>
      </c>
      <c r="V1636" s="704"/>
    </row>
    <row r="1637" spans="13:22" x14ac:dyDescent="0.25">
      <c r="M1637" s="705"/>
      <c r="N1637" s="705"/>
      <c r="O1637" s="705"/>
      <c r="P1637" s="705"/>
      <c r="Q1637" s="705"/>
      <c r="R1637" s="706"/>
      <c r="S1637" s="706"/>
      <c r="T1637" s="706"/>
      <c r="U1637" s="706"/>
      <c r="V1637" s="706"/>
    </row>
    <row r="1638" spans="13:22" x14ac:dyDescent="0.25">
      <c r="M1638" s="705"/>
      <c r="N1638" s="705"/>
      <c r="O1638" s="705"/>
      <c r="P1638" s="705"/>
      <c r="Q1638" s="705"/>
      <c r="R1638" s="706"/>
      <c r="S1638" s="706"/>
      <c r="T1638" s="706"/>
      <c r="U1638" s="706"/>
      <c r="V1638" s="706"/>
    </row>
    <row r="1639" spans="13:22" x14ac:dyDescent="0.25">
      <c r="M1639" s="705"/>
      <c r="N1639" s="705"/>
      <c r="O1639" s="705"/>
      <c r="P1639" s="705"/>
      <c r="Q1639" s="705"/>
      <c r="R1639" s="706"/>
      <c r="S1639" s="706"/>
      <c r="T1639" s="706"/>
      <c r="U1639" s="706"/>
      <c r="V1639" s="706"/>
    </row>
    <row r="1640" spans="13:22" x14ac:dyDescent="0.25">
      <c r="M1640" s="705"/>
      <c r="N1640" s="705"/>
      <c r="O1640" s="705"/>
      <c r="P1640" s="705"/>
      <c r="Q1640" s="705"/>
      <c r="R1640" s="706"/>
      <c r="S1640" s="706"/>
      <c r="T1640" s="706"/>
      <c r="U1640" s="706"/>
      <c r="V1640" s="706"/>
    </row>
    <row r="1641" spans="13:22" x14ac:dyDescent="0.25">
      <c r="M1641" s="707" t="s">
        <v>128</v>
      </c>
      <c r="N1641" s="708" t="str">
        <f>$N$6</f>
        <v>ING. JEYSON JULIAN LEON RUEDA</v>
      </c>
      <c r="O1641" s="709"/>
      <c r="P1641" s="709"/>
      <c r="Q1641" s="710"/>
      <c r="R1641" s="711" t="s">
        <v>129</v>
      </c>
      <c r="S1641" s="708" t="str">
        <f>$S$6</f>
        <v>ARQ. YASMID ROCÍO CARRILLO MORA</v>
      </c>
      <c r="T1641" s="709"/>
      <c r="U1641" s="709"/>
      <c r="V1641" s="710"/>
    </row>
    <row r="1642" spans="13:22" x14ac:dyDescent="0.25">
      <c r="M1642" s="707"/>
      <c r="N1642" s="712" t="str">
        <f>$N$7</f>
        <v>MP. 68202-416348 STD</v>
      </c>
      <c r="O1642" s="713"/>
      <c r="P1642" s="713"/>
      <c r="Q1642" s="714"/>
      <c r="R1642" s="711"/>
      <c r="S1642" s="712" t="str">
        <f>$S$7</f>
        <v>SECRETARIA DE PLANEACIÓN Y OBRAS PÚBLICAS</v>
      </c>
      <c r="T1642" s="713"/>
      <c r="U1642" s="713"/>
      <c r="V1642" s="714"/>
    </row>
    <row r="1643" spans="13:22" x14ac:dyDescent="0.25">
      <c r="M1643" s="707"/>
      <c r="N1643" s="715"/>
      <c r="O1643" s="716"/>
      <c r="P1643" s="716"/>
      <c r="Q1643" s="717"/>
      <c r="R1643" s="711"/>
      <c r="S1643" s="712" t="str">
        <f>$S$8</f>
        <v>MUNICIPIO DE PINCHOTE</v>
      </c>
      <c r="T1643" s="713"/>
      <c r="U1643" s="713"/>
      <c r="V1643" s="714"/>
    </row>
  </sheetData>
  <mergeCells count="2222">
    <mergeCell ref="M1632:S1632"/>
    <mergeCell ref="U1632:V1632"/>
    <mergeCell ref="M1633:S1633"/>
    <mergeCell ref="U1633:V1633"/>
    <mergeCell ref="M1634:T1634"/>
    <mergeCell ref="U1634:V1634"/>
    <mergeCell ref="U1635:V1635"/>
    <mergeCell ref="M1636:T1636"/>
    <mergeCell ref="U1636:V1636"/>
    <mergeCell ref="M1637:Q1640"/>
    <mergeCell ref="R1637:V1640"/>
    <mergeCell ref="M1641:M1643"/>
    <mergeCell ref="N1641:Q1641"/>
    <mergeCell ref="R1641:R1643"/>
    <mergeCell ref="S1641:V1641"/>
    <mergeCell ref="N1642:Q1642"/>
    <mergeCell ref="S1642:V1642"/>
    <mergeCell ref="N1643:Q1643"/>
    <mergeCell ref="S1643:V1643"/>
    <mergeCell ref="N1616:P1616"/>
    <mergeCell ref="T1616:U1616"/>
    <mergeCell ref="M1617:M1618"/>
    <mergeCell ref="N1617:U1617"/>
    <mergeCell ref="N1618:U1618"/>
    <mergeCell ref="M1619:V1619"/>
    <mergeCell ref="M1624:M1625"/>
    <mergeCell ref="N1624:U1624"/>
    <mergeCell ref="N1625:U1625"/>
    <mergeCell ref="M1626:V1626"/>
    <mergeCell ref="M1627:T1627"/>
    <mergeCell ref="U1627:V1627"/>
    <mergeCell ref="M1629:V1629"/>
    <mergeCell ref="M1630:S1630"/>
    <mergeCell ref="U1630:V1630"/>
    <mergeCell ref="M1631:S1631"/>
    <mergeCell ref="U1631:V1631"/>
    <mergeCell ref="M1602:V1602"/>
    <mergeCell ref="N1603:Q1603"/>
    <mergeCell ref="N1604:Q1604"/>
    <mergeCell ref="N1605:Q1605"/>
    <mergeCell ref="N1608:Q1608"/>
    <mergeCell ref="M1609:M1610"/>
    <mergeCell ref="N1609:U1609"/>
    <mergeCell ref="N1610:U1610"/>
    <mergeCell ref="M1611:V1611"/>
    <mergeCell ref="N1612:P1612"/>
    <mergeCell ref="T1612:U1612"/>
    <mergeCell ref="N1613:P1613"/>
    <mergeCell ref="T1613:U1613"/>
    <mergeCell ref="N1614:P1614"/>
    <mergeCell ref="T1614:U1614"/>
    <mergeCell ref="N1615:P1615"/>
    <mergeCell ref="T1615:U1615"/>
    <mergeCell ref="N1606:Q1606"/>
    <mergeCell ref="N1607:Q1607"/>
    <mergeCell ref="O1591:U1591"/>
    <mergeCell ref="O1592:U1592"/>
    <mergeCell ref="M1593:V1593"/>
    <mergeCell ref="M1594:V1594"/>
    <mergeCell ref="N1595:Q1595"/>
    <mergeCell ref="T1595:U1595"/>
    <mergeCell ref="N1596:Q1596"/>
    <mergeCell ref="T1596:U1596"/>
    <mergeCell ref="N1597:Q1597"/>
    <mergeCell ref="T1597:U1597"/>
    <mergeCell ref="N1598:Q1598"/>
    <mergeCell ref="T1598:U1598"/>
    <mergeCell ref="N1599:Q1599"/>
    <mergeCell ref="T1599:U1599"/>
    <mergeCell ref="M1600:M1601"/>
    <mergeCell ref="N1600:U1600"/>
    <mergeCell ref="N1601:U1601"/>
    <mergeCell ref="M1578:S1578"/>
    <mergeCell ref="U1578:V1578"/>
    <mergeCell ref="M1579:S1579"/>
    <mergeCell ref="U1579:V1579"/>
    <mergeCell ref="M1580:T1580"/>
    <mergeCell ref="U1580:V1580"/>
    <mergeCell ref="U1581:V1581"/>
    <mergeCell ref="M1582:T1582"/>
    <mergeCell ref="U1582:V1582"/>
    <mergeCell ref="M1583:Q1586"/>
    <mergeCell ref="R1583:V1586"/>
    <mergeCell ref="M1587:M1589"/>
    <mergeCell ref="N1587:Q1587"/>
    <mergeCell ref="R1587:R1589"/>
    <mergeCell ref="S1587:V1587"/>
    <mergeCell ref="N1588:Q1588"/>
    <mergeCell ref="S1588:V1588"/>
    <mergeCell ref="N1589:Q1589"/>
    <mergeCell ref="S1589:V1589"/>
    <mergeCell ref="N1562:P1562"/>
    <mergeCell ref="T1562:U1562"/>
    <mergeCell ref="M1563:M1564"/>
    <mergeCell ref="N1563:U1563"/>
    <mergeCell ref="N1564:U1564"/>
    <mergeCell ref="M1565:V1565"/>
    <mergeCell ref="M1570:M1571"/>
    <mergeCell ref="N1570:U1570"/>
    <mergeCell ref="N1571:U1571"/>
    <mergeCell ref="M1572:V1572"/>
    <mergeCell ref="M1573:T1573"/>
    <mergeCell ref="U1573:V1573"/>
    <mergeCell ref="M1575:V1575"/>
    <mergeCell ref="M1576:S1576"/>
    <mergeCell ref="U1576:V1576"/>
    <mergeCell ref="M1577:S1577"/>
    <mergeCell ref="U1577:V1577"/>
    <mergeCell ref="M1550:V1550"/>
    <mergeCell ref="N1551:Q1551"/>
    <mergeCell ref="N1552:Q1552"/>
    <mergeCell ref="N1553:Q1553"/>
    <mergeCell ref="N1554:Q1554"/>
    <mergeCell ref="M1555:M1556"/>
    <mergeCell ref="N1555:U1555"/>
    <mergeCell ref="N1556:U1556"/>
    <mergeCell ref="M1557:V1557"/>
    <mergeCell ref="N1558:P1558"/>
    <mergeCell ref="T1558:U1558"/>
    <mergeCell ref="N1559:P1559"/>
    <mergeCell ref="T1559:U1559"/>
    <mergeCell ref="N1560:P1560"/>
    <mergeCell ref="T1560:U1560"/>
    <mergeCell ref="N1561:P1561"/>
    <mergeCell ref="T1561:U1561"/>
    <mergeCell ref="O1539:U1539"/>
    <mergeCell ref="O1540:U1540"/>
    <mergeCell ref="M1541:V1541"/>
    <mergeCell ref="M1542:V1542"/>
    <mergeCell ref="N1543:Q1543"/>
    <mergeCell ref="T1543:U1543"/>
    <mergeCell ref="N1544:Q1544"/>
    <mergeCell ref="T1544:U1544"/>
    <mergeCell ref="N1545:Q1545"/>
    <mergeCell ref="T1545:U1545"/>
    <mergeCell ref="N1546:Q1546"/>
    <mergeCell ref="T1546:U1546"/>
    <mergeCell ref="N1547:Q1547"/>
    <mergeCell ref="T1547:U1547"/>
    <mergeCell ref="M1548:M1549"/>
    <mergeCell ref="N1548:U1548"/>
    <mergeCell ref="N1549:U1549"/>
    <mergeCell ref="M1524:S1524"/>
    <mergeCell ref="U1524:V1524"/>
    <mergeCell ref="M1525:S1525"/>
    <mergeCell ref="U1525:V1525"/>
    <mergeCell ref="M1526:S1526"/>
    <mergeCell ref="U1526:V1526"/>
    <mergeCell ref="M1527:T1527"/>
    <mergeCell ref="U1527:V1527"/>
    <mergeCell ref="U1528:V1528"/>
    <mergeCell ref="M1529:T1529"/>
    <mergeCell ref="U1529:V1529"/>
    <mergeCell ref="M1530:Q1533"/>
    <mergeCell ref="R1530:V1533"/>
    <mergeCell ref="M1534:M1536"/>
    <mergeCell ref="N1534:Q1534"/>
    <mergeCell ref="R1534:R1536"/>
    <mergeCell ref="S1534:V1534"/>
    <mergeCell ref="N1535:Q1535"/>
    <mergeCell ref="S1535:V1535"/>
    <mergeCell ref="N1536:Q1536"/>
    <mergeCell ref="S1536:V1536"/>
    <mergeCell ref="N1495:U1495"/>
    <mergeCell ref="N1496:U1496"/>
    <mergeCell ref="M1497:V1497"/>
    <mergeCell ref="N1498:Q1498"/>
    <mergeCell ref="N1499:Q1499"/>
    <mergeCell ref="N1500:Q1500"/>
    <mergeCell ref="N1501:Q1501"/>
    <mergeCell ref="M1502:M1503"/>
    <mergeCell ref="N1502:U1502"/>
    <mergeCell ref="N1503:U1503"/>
    <mergeCell ref="M1504:V1504"/>
    <mergeCell ref="N1505:P1505"/>
    <mergeCell ref="T1505:U1505"/>
    <mergeCell ref="N1506:P1506"/>
    <mergeCell ref="T1506:U1506"/>
    <mergeCell ref="N1507:P1507"/>
    <mergeCell ref="T1507:U1507"/>
    <mergeCell ref="N1509:P1509"/>
    <mergeCell ref="T1509:U1509"/>
    <mergeCell ref="M1510:M1511"/>
    <mergeCell ref="N1510:U1510"/>
    <mergeCell ref="N1511:U1511"/>
    <mergeCell ref="M1512:V1512"/>
    <mergeCell ref="M1517:M1518"/>
    <mergeCell ref="N1517:U1517"/>
    <mergeCell ref="N1518:U1518"/>
    <mergeCell ref="M1519:V1519"/>
    <mergeCell ref="M1520:T1520"/>
    <mergeCell ref="U1520:V1520"/>
    <mergeCell ref="M1522:V1522"/>
    <mergeCell ref="M1523:S1523"/>
    <mergeCell ref="U1523:V1523"/>
    <mergeCell ref="N1508:P1508"/>
    <mergeCell ref="T1508:U1508"/>
    <mergeCell ref="O1486:U1486"/>
    <mergeCell ref="O1487:U1487"/>
    <mergeCell ref="M1488:V1488"/>
    <mergeCell ref="M1489:V1489"/>
    <mergeCell ref="N1490:Q1490"/>
    <mergeCell ref="T1490:U1490"/>
    <mergeCell ref="N1491:Q1491"/>
    <mergeCell ref="T1491:U1491"/>
    <mergeCell ref="N1492:Q1492"/>
    <mergeCell ref="T1492:U1492"/>
    <mergeCell ref="N1493:Q1493"/>
    <mergeCell ref="T1493:U1493"/>
    <mergeCell ref="N1494:Q1494"/>
    <mergeCell ref="T1494:U1494"/>
    <mergeCell ref="M1495:M1496"/>
    <mergeCell ref="M831:S831"/>
    <mergeCell ref="U831:V831"/>
    <mergeCell ref="M832:T832"/>
    <mergeCell ref="U832:V832"/>
    <mergeCell ref="U833:V833"/>
    <mergeCell ref="M834:T834"/>
    <mergeCell ref="U834:V834"/>
    <mergeCell ref="M835:Q838"/>
    <mergeCell ref="R835:V838"/>
    <mergeCell ref="M839:M841"/>
    <mergeCell ref="N839:Q839"/>
    <mergeCell ref="R839:R841"/>
    <mergeCell ref="S839:V839"/>
    <mergeCell ref="N840:Q840"/>
    <mergeCell ref="S840:V840"/>
    <mergeCell ref="N841:Q841"/>
    <mergeCell ref="S841:V841"/>
    <mergeCell ref="M815:M816"/>
    <mergeCell ref="N815:U815"/>
    <mergeCell ref="N816:U816"/>
    <mergeCell ref="M817:V817"/>
    <mergeCell ref="M822:M823"/>
    <mergeCell ref="N822:U822"/>
    <mergeCell ref="N823:U823"/>
    <mergeCell ref="M824:V824"/>
    <mergeCell ref="M825:T825"/>
    <mergeCell ref="U825:V825"/>
    <mergeCell ref="M827:V827"/>
    <mergeCell ref="M828:S828"/>
    <mergeCell ref="U828:V828"/>
    <mergeCell ref="M829:S829"/>
    <mergeCell ref="U829:V829"/>
    <mergeCell ref="M830:S830"/>
    <mergeCell ref="U830:V830"/>
    <mergeCell ref="N803:Q803"/>
    <mergeCell ref="N804:Q804"/>
    <mergeCell ref="N805:Q805"/>
    <mergeCell ref="N806:Q806"/>
    <mergeCell ref="M807:M808"/>
    <mergeCell ref="N807:U807"/>
    <mergeCell ref="N808:U808"/>
    <mergeCell ref="M809:V809"/>
    <mergeCell ref="N810:P810"/>
    <mergeCell ref="T810:U810"/>
    <mergeCell ref="N811:P811"/>
    <mergeCell ref="T811:U811"/>
    <mergeCell ref="N812:P812"/>
    <mergeCell ref="T812:U812"/>
    <mergeCell ref="N813:P813"/>
    <mergeCell ref="T813:U813"/>
    <mergeCell ref="N814:P814"/>
    <mergeCell ref="T814:U814"/>
    <mergeCell ref="M794:V794"/>
    <mergeCell ref="AB794:AC794"/>
    <mergeCell ref="N795:Q795"/>
    <mergeCell ref="T795:U795"/>
    <mergeCell ref="N796:Q796"/>
    <mergeCell ref="T796:U796"/>
    <mergeCell ref="N797:Q797"/>
    <mergeCell ref="T797:U797"/>
    <mergeCell ref="N798:Q798"/>
    <mergeCell ref="T798:U798"/>
    <mergeCell ref="N799:Q799"/>
    <mergeCell ref="T799:U799"/>
    <mergeCell ref="M800:M801"/>
    <mergeCell ref="N800:U800"/>
    <mergeCell ref="N801:U801"/>
    <mergeCell ref="M802:V802"/>
    <mergeCell ref="AB802:AC802"/>
    <mergeCell ref="U568:V568"/>
    <mergeCell ref="M569:T569"/>
    <mergeCell ref="U569:V569"/>
    <mergeCell ref="M570:Q573"/>
    <mergeCell ref="R570:V573"/>
    <mergeCell ref="M574:M576"/>
    <mergeCell ref="N574:Q574"/>
    <mergeCell ref="R574:R576"/>
    <mergeCell ref="S574:V574"/>
    <mergeCell ref="N575:Q575"/>
    <mergeCell ref="S575:V575"/>
    <mergeCell ref="N576:Q576"/>
    <mergeCell ref="S576:V576"/>
    <mergeCell ref="O791:U791"/>
    <mergeCell ref="AB791:AD791"/>
    <mergeCell ref="O792:U792"/>
    <mergeCell ref="M793:V793"/>
    <mergeCell ref="M724:S724"/>
    <mergeCell ref="U724:V724"/>
    <mergeCell ref="M725:S725"/>
    <mergeCell ref="U725:V725"/>
    <mergeCell ref="M726:T726"/>
    <mergeCell ref="U726:V726"/>
    <mergeCell ref="U727:V727"/>
    <mergeCell ref="M728:T728"/>
    <mergeCell ref="U728:V728"/>
    <mergeCell ref="M729:Q732"/>
    <mergeCell ref="R729:V732"/>
    <mergeCell ref="M733:M735"/>
    <mergeCell ref="R733:R735"/>
    <mergeCell ref="S733:V733"/>
    <mergeCell ref="S734:V734"/>
    <mergeCell ref="M552:V552"/>
    <mergeCell ref="M557:M558"/>
    <mergeCell ref="N557:U557"/>
    <mergeCell ref="N558:U558"/>
    <mergeCell ref="M559:V559"/>
    <mergeCell ref="M560:T560"/>
    <mergeCell ref="U560:V560"/>
    <mergeCell ref="M562:V562"/>
    <mergeCell ref="M563:S563"/>
    <mergeCell ref="U563:V563"/>
    <mergeCell ref="M564:S564"/>
    <mergeCell ref="U564:V564"/>
    <mergeCell ref="M565:S565"/>
    <mergeCell ref="U565:V565"/>
    <mergeCell ref="M566:S566"/>
    <mergeCell ref="U566:V566"/>
    <mergeCell ref="M567:T567"/>
    <mergeCell ref="U567:V567"/>
    <mergeCell ref="N541:Q541"/>
    <mergeCell ref="M542:M543"/>
    <mergeCell ref="N542:U542"/>
    <mergeCell ref="N543:U543"/>
    <mergeCell ref="M544:V544"/>
    <mergeCell ref="N545:P545"/>
    <mergeCell ref="T545:U545"/>
    <mergeCell ref="N546:P546"/>
    <mergeCell ref="T546:U546"/>
    <mergeCell ref="N547:P547"/>
    <mergeCell ref="T547:U547"/>
    <mergeCell ref="N548:P548"/>
    <mergeCell ref="T548:U548"/>
    <mergeCell ref="N549:P549"/>
    <mergeCell ref="T549:U549"/>
    <mergeCell ref="M550:M551"/>
    <mergeCell ref="N550:U550"/>
    <mergeCell ref="N551:U551"/>
    <mergeCell ref="S735:V735"/>
    <mergeCell ref="N733:Q733"/>
    <mergeCell ref="N734:Q734"/>
    <mergeCell ref="N735:Q735"/>
    <mergeCell ref="N708:P708"/>
    <mergeCell ref="T708:U708"/>
    <mergeCell ref="M709:M710"/>
    <mergeCell ref="N709:U709"/>
    <mergeCell ref="N710:U710"/>
    <mergeCell ref="M711:V711"/>
    <mergeCell ref="M716:M717"/>
    <mergeCell ref="N716:U716"/>
    <mergeCell ref="N717:U717"/>
    <mergeCell ref="M718:V718"/>
    <mergeCell ref="M719:T719"/>
    <mergeCell ref="U719:V719"/>
    <mergeCell ref="M721:V721"/>
    <mergeCell ref="M722:S722"/>
    <mergeCell ref="U722:V722"/>
    <mergeCell ref="M723:S723"/>
    <mergeCell ref="U723:V723"/>
    <mergeCell ref="M696:V696"/>
    <mergeCell ref="AB696:AC696"/>
    <mergeCell ref="N697:Q697"/>
    <mergeCell ref="N698:Q698"/>
    <mergeCell ref="N699:Q699"/>
    <mergeCell ref="N700:Q700"/>
    <mergeCell ref="M701:M702"/>
    <mergeCell ref="N701:U701"/>
    <mergeCell ref="N702:U702"/>
    <mergeCell ref="M703:V703"/>
    <mergeCell ref="N704:P704"/>
    <mergeCell ref="T704:U704"/>
    <mergeCell ref="N705:P705"/>
    <mergeCell ref="T705:U705"/>
    <mergeCell ref="N706:P706"/>
    <mergeCell ref="T706:U706"/>
    <mergeCell ref="N707:P707"/>
    <mergeCell ref="T707:U707"/>
    <mergeCell ref="O685:U685"/>
    <mergeCell ref="AB685:AD685"/>
    <mergeCell ref="O686:U686"/>
    <mergeCell ref="M687:V687"/>
    <mergeCell ref="M688:V688"/>
    <mergeCell ref="AB688:AC688"/>
    <mergeCell ref="N689:Q689"/>
    <mergeCell ref="T689:U689"/>
    <mergeCell ref="N690:Q690"/>
    <mergeCell ref="T690:U690"/>
    <mergeCell ref="N691:Q691"/>
    <mergeCell ref="T691:U691"/>
    <mergeCell ref="N692:Q692"/>
    <mergeCell ref="T692:U692"/>
    <mergeCell ref="N693:Q693"/>
    <mergeCell ref="T693:U693"/>
    <mergeCell ref="M694:M695"/>
    <mergeCell ref="N694:U694"/>
    <mergeCell ref="N695:U695"/>
    <mergeCell ref="M672:S672"/>
    <mergeCell ref="U672:V672"/>
    <mergeCell ref="M673:T673"/>
    <mergeCell ref="U673:V673"/>
    <mergeCell ref="U674:V674"/>
    <mergeCell ref="M675:T675"/>
    <mergeCell ref="U675:V675"/>
    <mergeCell ref="M676:Q679"/>
    <mergeCell ref="R676:V679"/>
    <mergeCell ref="M680:M682"/>
    <mergeCell ref="N680:Q680"/>
    <mergeCell ref="R680:R682"/>
    <mergeCell ref="S680:V680"/>
    <mergeCell ref="N681:Q681"/>
    <mergeCell ref="S681:V681"/>
    <mergeCell ref="N682:Q682"/>
    <mergeCell ref="S682:V682"/>
    <mergeCell ref="M656:M657"/>
    <mergeCell ref="N656:U656"/>
    <mergeCell ref="N657:U657"/>
    <mergeCell ref="M658:V658"/>
    <mergeCell ref="M663:M664"/>
    <mergeCell ref="N663:U663"/>
    <mergeCell ref="N664:U664"/>
    <mergeCell ref="M665:V665"/>
    <mergeCell ref="M666:T666"/>
    <mergeCell ref="U666:V666"/>
    <mergeCell ref="M668:V668"/>
    <mergeCell ref="M669:S669"/>
    <mergeCell ref="U669:V669"/>
    <mergeCell ref="M670:S670"/>
    <mergeCell ref="U670:V670"/>
    <mergeCell ref="M671:S671"/>
    <mergeCell ref="U671:V671"/>
    <mergeCell ref="N644:Q644"/>
    <mergeCell ref="N645:Q645"/>
    <mergeCell ref="N646:Q646"/>
    <mergeCell ref="N647:Q647"/>
    <mergeCell ref="M648:M649"/>
    <mergeCell ref="N648:U648"/>
    <mergeCell ref="N649:U649"/>
    <mergeCell ref="M650:V650"/>
    <mergeCell ref="N651:P651"/>
    <mergeCell ref="T651:U651"/>
    <mergeCell ref="N652:P652"/>
    <mergeCell ref="T652:U652"/>
    <mergeCell ref="N653:P653"/>
    <mergeCell ref="T653:U653"/>
    <mergeCell ref="N654:P654"/>
    <mergeCell ref="T654:U654"/>
    <mergeCell ref="N655:P655"/>
    <mergeCell ref="T655:U655"/>
    <mergeCell ref="M635:V635"/>
    <mergeCell ref="AB635:AC635"/>
    <mergeCell ref="N636:Q636"/>
    <mergeCell ref="T636:U636"/>
    <mergeCell ref="N637:Q637"/>
    <mergeCell ref="T637:U637"/>
    <mergeCell ref="N638:Q638"/>
    <mergeCell ref="T638:U638"/>
    <mergeCell ref="N639:Q639"/>
    <mergeCell ref="T639:U639"/>
    <mergeCell ref="N640:Q640"/>
    <mergeCell ref="T640:U640"/>
    <mergeCell ref="M641:M642"/>
    <mergeCell ref="N641:U641"/>
    <mergeCell ref="N642:U642"/>
    <mergeCell ref="M643:V643"/>
    <mergeCell ref="AB643:AC643"/>
    <mergeCell ref="U621:V621"/>
    <mergeCell ref="M622:T622"/>
    <mergeCell ref="U622:V622"/>
    <mergeCell ref="M623:Q626"/>
    <mergeCell ref="R623:V626"/>
    <mergeCell ref="M627:M629"/>
    <mergeCell ref="N627:Q627"/>
    <mergeCell ref="R627:R629"/>
    <mergeCell ref="S627:V627"/>
    <mergeCell ref="N628:Q628"/>
    <mergeCell ref="S628:V628"/>
    <mergeCell ref="N629:Q629"/>
    <mergeCell ref="S629:V629"/>
    <mergeCell ref="O632:U632"/>
    <mergeCell ref="AB632:AD632"/>
    <mergeCell ref="O633:U633"/>
    <mergeCell ref="M634:V634"/>
    <mergeCell ref="M605:V605"/>
    <mergeCell ref="M610:M611"/>
    <mergeCell ref="N610:U610"/>
    <mergeCell ref="N611:U611"/>
    <mergeCell ref="M612:V612"/>
    <mergeCell ref="M613:T613"/>
    <mergeCell ref="U613:V613"/>
    <mergeCell ref="M615:V615"/>
    <mergeCell ref="M616:S616"/>
    <mergeCell ref="U616:V616"/>
    <mergeCell ref="M617:S617"/>
    <mergeCell ref="U617:V617"/>
    <mergeCell ref="M618:S618"/>
    <mergeCell ref="U618:V618"/>
    <mergeCell ref="M619:S619"/>
    <mergeCell ref="U619:V619"/>
    <mergeCell ref="M620:T620"/>
    <mergeCell ref="U620:V620"/>
    <mergeCell ref="M595:M596"/>
    <mergeCell ref="N595:U595"/>
    <mergeCell ref="N596:U596"/>
    <mergeCell ref="M597:V597"/>
    <mergeCell ref="N598:P598"/>
    <mergeCell ref="T598:U598"/>
    <mergeCell ref="N599:P599"/>
    <mergeCell ref="T599:U599"/>
    <mergeCell ref="N600:P600"/>
    <mergeCell ref="T600:U600"/>
    <mergeCell ref="N601:P601"/>
    <mergeCell ref="T601:U601"/>
    <mergeCell ref="N602:P602"/>
    <mergeCell ref="T602:U602"/>
    <mergeCell ref="M603:M604"/>
    <mergeCell ref="N603:U603"/>
    <mergeCell ref="N604:U604"/>
    <mergeCell ref="N584:Q584"/>
    <mergeCell ref="T584:U584"/>
    <mergeCell ref="N585:Q585"/>
    <mergeCell ref="T585:U585"/>
    <mergeCell ref="N586:Q586"/>
    <mergeCell ref="T586:U586"/>
    <mergeCell ref="N587:Q587"/>
    <mergeCell ref="T587:U587"/>
    <mergeCell ref="M588:M589"/>
    <mergeCell ref="N588:U588"/>
    <mergeCell ref="N589:U589"/>
    <mergeCell ref="M590:V590"/>
    <mergeCell ref="AB590:AC590"/>
    <mergeCell ref="N591:Q591"/>
    <mergeCell ref="N592:Q592"/>
    <mergeCell ref="N593:Q593"/>
    <mergeCell ref="N594:Q594"/>
    <mergeCell ref="O579:U579"/>
    <mergeCell ref="AB579:AD579"/>
    <mergeCell ref="O580:U580"/>
    <mergeCell ref="M581:V581"/>
    <mergeCell ref="M582:V582"/>
    <mergeCell ref="AB582:AC582"/>
    <mergeCell ref="N583:Q583"/>
    <mergeCell ref="T583:U583"/>
    <mergeCell ref="O526:U526"/>
    <mergeCell ref="AB526:AD526"/>
    <mergeCell ref="O527:U527"/>
    <mergeCell ref="M528:V528"/>
    <mergeCell ref="M529:V529"/>
    <mergeCell ref="AB529:AC529"/>
    <mergeCell ref="N530:Q530"/>
    <mergeCell ref="T530:U530"/>
    <mergeCell ref="N531:Q531"/>
    <mergeCell ref="T531:U531"/>
    <mergeCell ref="N532:Q532"/>
    <mergeCell ref="T532:U532"/>
    <mergeCell ref="N533:Q533"/>
    <mergeCell ref="T533:U533"/>
    <mergeCell ref="N534:Q534"/>
    <mergeCell ref="T534:U534"/>
    <mergeCell ref="M535:M536"/>
    <mergeCell ref="N535:U535"/>
    <mergeCell ref="N536:U536"/>
    <mergeCell ref="M537:V537"/>
    <mergeCell ref="AB537:AC537"/>
    <mergeCell ref="N538:Q538"/>
    <mergeCell ref="N539:Q539"/>
    <mergeCell ref="N540:Q540"/>
    <mergeCell ref="M512:S512"/>
    <mergeCell ref="U512:V512"/>
    <mergeCell ref="M513:S513"/>
    <mergeCell ref="U513:V513"/>
    <mergeCell ref="M514:T514"/>
    <mergeCell ref="U514:V514"/>
    <mergeCell ref="U515:V515"/>
    <mergeCell ref="M516:T516"/>
    <mergeCell ref="U516:V516"/>
    <mergeCell ref="M517:Q520"/>
    <mergeCell ref="R517:V520"/>
    <mergeCell ref="M521:M523"/>
    <mergeCell ref="N521:Q521"/>
    <mergeCell ref="R521:R523"/>
    <mergeCell ref="S521:V521"/>
    <mergeCell ref="N522:Q522"/>
    <mergeCell ref="S522:V522"/>
    <mergeCell ref="N523:Q523"/>
    <mergeCell ref="S523:V523"/>
    <mergeCell ref="N496:P496"/>
    <mergeCell ref="T496:U496"/>
    <mergeCell ref="M497:M498"/>
    <mergeCell ref="N497:U497"/>
    <mergeCell ref="N498:U498"/>
    <mergeCell ref="M499:V499"/>
    <mergeCell ref="M504:M505"/>
    <mergeCell ref="N504:U504"/>
    <mergeCell ref="N505:U505"/>
    <mergeCell ref="M506:V506"/>
    <mergeCell ref="M507:T507"/>
    <mergeCell ref="U507:V507"/>
    <mergeCell ref="M509:V509"/>
    <mergeCell ref="M510:S510"/>
    <mergeCell ref="U510:V510"/>
    <mergeCell ref="M511:S511"/>
    <mergeCell ref="U511:V511"/>
    <mergeCell ref="M484:V484"/>
    <mergeCell ref="AB484:AC484"/>
    <mergeCell ref="N485:Q485"/>
    <mergeCell ref="N486:Q486"/>
    <mergeCell ref="N487:Q487"/>
    <mergeCell ref="N488:Q488"/>
    <mergeCell ref="M489:M490"/>
    <mergeCell ref="N489:U489"/>
    <mergeCell ref="N490:U490"/>
    <mergeCell ref="M491:V491"/>
    <mergeCell ref="N492:P492"/>
    <mergeCell ref="T492:U492"/>
    <mergeCell ref="N493:P493"/>
    <mergeCell ref="T493:U493"/>
    <mergeCell ref="N494:P494"/>
    <mergeCell ref="T494:U494"/>
    <mergeCell ref="N495:P495"/>
    <mergeCell ref="T495:U495"/>
    <mergeCell ref="AB473:AD473"/>
    <mergeCell ref="O474:U474"/>
    <mergeCell ref="M475:V475"/>
    <mergeCell ref="M476:V476"/>
    <mergeCell ref="AB476:AC476"/>
    <mergeCell ref="N477:Q477"/>
    <mergeCell ref="T477:U477"/>
    <mergeCell ref="N478:Q478"/>
    <mergeCell ref="T478:U478"/>
    <mergeCell ref="N479:Q479"/>
    <mergeCell ref="T479:U479"/>
    <mergeCell ref="N480:Q480"/>
    <mergeCell ref="T480:U480"/>
    <mergeCell ref="N481:Q481"/>
    <mergeCell ref="T481:U481"/>
    <mergeCell ref="M482:M483"/>
    <mergeCell ref="N482:U482"/>
    <mergeCell ref="N483:U483"/>
    <mergeCell ref="AB431:AC431"/>
    <mergeCell ref="N432:Q432"/>
    <mergeCell ref="N433:Q433"/>
    <mergeCell ref="N434:Q434"/>
    <mergeCell ref="N435:Q435"/>
    <mergeCell ref="M436:M437"/>
    <mergeCell ref="N436:U436"/>
    <mergeCell ref="N437:U437"/>
    <mergeCell ref="M438:V438"/>
    <mergeCell ref="N439:P439"/>
    <mergeCell ref="T439:U439"/>
    <mergeCell ref="N440:P440"/>
    <mergeCell ref="T440:U440"/>
    <mergeCell ref="N441:P441"/>
    <mergeCell ref="T441:U441"/>
    <mergeCell ref="N442:P442"/>
    <mergeCell ref="T442:U442"/>
    <mergeCell ref="AB420:AD420"/>
    <mergeCell ref="O421:U421"/>
    <mergeCell ref="M422:V422"/>
    <mergeCell ref="M423:V423"/>
    <mergeCell ref="AB423:AC423"/>
    <mergeCell ref="N424:Q424"/>
    <mergeCell ref="T424:U424"/>
    <mergeCell ref="N425:Q425"/>
    <mergeCell ref="T425:U425"/>
    <mergeCell ref="N426:Q426"/>
    <mergeCell ref="T426:U426"/>
    <mergeCell ref="N427:Q427"/>
    <mergeCell ref="T427:U427"/>
    <mergeCell ref="N428:Q428"/>
    <mergeCell ref="T428:U428"/>
    <mergeCell ref="M429:M430"/>
    <mergeCell ref="N429:U429"/>
    <mergeCell ref="N430:U430"/>
    <mergeCell ref="R1322:R1324"/>
    <mergeCell ref="S1322:V1322"/>
    <mergeCell ref="N1323:Q1323"/>
    <mergeCell ref="S1323:V1323"/>
    <mergeCell ref="N1324:Q1324"/>
    <mergeCell ref="S1324:V1324"/>
    <mergeCell ref="M1305:M1306"/>
    <mergeCell ref="N1305:U1305"/>
    <mergeCell ref="N1306:U1306"/>
    <mergeCell ref="M1307:V1307"/>
    <mergeCell ref="M1308:T1308"/>
    <mergeCell ref="U1308:V1308"/>
    <mergeCell ref="M1310:V1310"/>
    <mergeCell ref="M1311:S1311"/>
    <mergeCell ref="U1311:V1311"/>
    <mergeCell ref="M1312:S1312"/>
    <mergeCell ref="U1312:V1312"/>
    <mergeCell ref="M1313:S1313"/>
    <mergeCell ref="U1313:V1313"/>
    <mergeCell ref="M1314:S1314"/>
    <mergeCell ref="U1314:V1314"/>
    <mergeCell ref="M1315:T1315"/>
    <mergeCell ref="U1316:V1316"/>
    <mergeCell ref="M1317:T1317"/>
    <mergeCell ref="U1317:V1317"/>
    <mergeCell ref="U1315:V1315"/>
    <mergeCell ref="N337:P337"/>
    <mergeCell ref="M1318:Q1321"/>
    <mergeCell ref="R1318:V1321"/>
    <mergeCell ref="M1322:M1324"/>
    <mergeCell ref="AB1274:AD1274"/>
    <mergeCell ref="O1275:U1275"/>
    <mergeCell ref="M1276:V1276"/>
    <mergeCell ref="M1277:V1277"/>
    <mergeCell ref="AB1277:AC1277"/>
    <mergeCell ref="N1278:Q1278"/>
    <mergeCell ref="T1278:U1278"/>
    <mergeCell ref="N1279:Q1279"/>
    <mergeCell ref="T1279:U1279"/>
    <mergeCell ref="N1280:Q1280"/>
    <mergeCell ref="T1280:U1280"/>
    <mergeCell ref="N1281:Q1281"/>
    <mergeCell ref="T1281:U1281"/>
    <mergeCell ref="N1282:Q1282"/>
    <mergeCell ref="T1282:U1282"/>
    <mergeCell ref="M1283:M1284"/>
    <mergeCell ref="N1283:U1283"/>
    <mergeCell ref="N1284:U1284"/>
    <mergeCell ref="AB1285:AC1285"/>
    <mergeCell ref="N1286:Q1286"/>
    <mergeCell ref="N1287:Q1287"/>
    <mergeCell ref="N1288:Q1288"/>
    <mergeCell ref="N1289:Q1289"/>
    <mergeCell ref="M1290:M1291"/>
    <mergeCell ref="N1290:U1290"/>
    <mergeCell ref="N1291:U1291"/>
    <mergeCell ref="M1292:V1292"/>
    <mergeCell ref="N1322:Q1322"/>
    <mergeCell ref="N380:Q380"/>
    <mergeCell ref="N381:Q381"/>
    <mergeCell ref="N382:Q382"/>
    <mergeCell ref="M383:M384"/>
    <mergeCell ref="N383:U383"/>
    <mergeCell ref="O420:U420"/>
    <mergeCell ref="M431:V431"/>
    <mergeCell ref="N443:P443"/>
    <mergeCell ref="T443:U443"/>
    <mergeCell ref="M444:M445"/>
    <mergeCell ref="N444:U444"/>
    <mergeCell ref="N445:U445"/>
    <mergeCell ref="M446:V446"/>
    <mergeCell ref="M451:M452"/>
    <mergeCell ref="N451:U451"/>
    <mergeCell ref="N452:U452"/>
    <mergeCell ref="M453:V453"/>
    <mergeCell ref="T387:U387"/>
    <mergeCell ref="N388:P388"/>
    <mergeCell ref="T388:U388"/>
    <mergeCell ref="T389:U389"/>
    <mergeCell ref="N390:P390"/>
    <mergeCell ref="T390:U390"/>
    <mergeCell ref="M391:M392"/>
    <mergeCell ref="N391:U391"/>
    <mergeCell ref="N392:U392"/>
    <mergeCell ref="M393:V393"/>
    <mergeCell ref="M398:M399"/>
    <mergeCell ref="M400:V400"/>
    <mergeCell ref="M401:T401"/>
    <mergeCell ref="U401:V401"/>
    <mergeCell ref="N389:P389"/>
    <mergeCell ref="M454:T454"/>
    <mergeCell ref="U454:V454"/>
    <mergeCell ref="M456:V456"/>
    <mergeCell ref="N416:Q416"/>
    <mergeCell ref="N417:Q417"/>
    <mergeCell ref="U406:V406"/>
    <mergeCell ref="M468:M470"/>
    <mergeCell ref="N468:Q468"/>
    <mergeCell ref="R468:R470"/>
    <mergeCell ref="S468:V468"/>
    <mergeCell ref="N469:Q469"/>
    <mergeCell ref="S469:V469"/>
    <mergeCell ref="N470:Q470"/>
    <mergeCell ref="S470:V470"/>
    <mergeCell ref="O1274:U1274"/>
    <mergeCell ref="M1285:V1285"/>
    <mergeCell ref="N1297:P1297"/>
    <mergeCell ref="T1297:U1297"/>
    <mergeCell ref="M408:T408"/>
    <mergeCell ref="U408:V408"/>
    <mergeCell ref="U409:V409"/>
    <mergeCell ref="M410:T410"/>
    <mergeCell ref="M406:S406"/>
    <mergeCell ref="M407:S407"/>
    <mergeCell ref="U407:V407"/>
    <mergeCell ref="U410:V410"/>
    <mergeCell ref="N415:Q415"/>
    <mergeCell ref="M868:M869"/>
    <mergeCell ref="N868:U868"/>
    <mergeCell ref="N869:U869"/>
    <mergeCell ref="M870:V870"/>
    <mergeCell ref="M875:M876"/>
    <mergeCell ref="M1298:M1299"/>
    <mergeCell ref="N1298:U1298"/>
    <mergeCell ref="N1299:U1299"/>
    <mergeCell ref="M1300:V1300"/>
    <mergeCell ref="M457:S457"/>
    <mergeCell ref="U457:V457"/>
    <mergeCell ref="M458:S458"/>
    <mergeCell ref="U458:V458"/>
    <mergeCell ref="M459:S459"/>
    <mergeCell ref="U459:V459"/>
    <mergeCell ref="M460:S460"/>
    <mergeCell ref="U460:V460"/>
    <mergeCell ref="M461:T461"/>
    <mergeCell ref="U461:V461"/>
    <mergeCell ref="U462:V462"/>
    <mergeCell ref="M463:T463"/>
    <mergeCell ref="U463:V463"/>
    <mergeCell ref="M464:Q467"/>
    <mergeCell ref="R464:V467"/>
    <mergeCell ref="N1293:P1293"/>
    <mergeCell ref="T1293:U1293"/>
    <mergeCell ref="N1294:P1294"/>
    <mergeCell ref="T1294:U1294"/>
    <mergeCell ref="N1295:P1295"/>
    <mergeCell ref="T1295:U1295"/>
    <mergeCell ref="N1296:P1296"/>
    <mergeCell ref="T1296:U1296"/>
    <mergeCell ref="O473:U473"/>
    <mergeCell ref="O844:U844"/>
    <mergeCell ref="M855:V855"/>
    <mergeCell ref="N867:P867"/>
    <mergeCell ref="T867:U867"/>
    <mergeCell ref="N362:Q362"/>
    <mergeCell ref="R362:R364"/>
    <mergeCell ref="S362:V362"/>
    <mergeCell ref="N363:Q363"/>
    <mergeCell ref="M351:S351"/>
    <mergeCell ref="U351:V351"/>
    <mergeCell ref="M358:Q361"/>
    <mergeCell ref="R358:V361"/>
    <mergeCell ref="T371:U371"/>
    <mergeCell ref="N372:Q372"/>
    <mergeCell ref="T372:U372"/>
    <mergeCell ref="N373:Q373"/>
    <mergeCell ref="S363:V363"/>
    <mergeCell ref="N364:Q364"/>
    <mergeCell ref="S364:V364"/>
    <mergeCell ref="N377:U377"/>
    <mergeCell ref="M378:V378"/>
    <mergeCell ref="U354:V354"/>
    <mergeCell ref="T373:U373"/>
    <mergeCell ref="N374:Q374"/>
    <mergeCell ref="T374:U374"/>
    <mergeCell ref="N375:Q375"/>
    <mergeCell ref="M376:M377"/>
    <mergeCell ref="M362:M364"/>
    <mergeCell ref="O2:T2"/>
    <mergeCell ref="U2:V4"/>
    <mergeCell ref="M403:V403"/>
    <mergeCell ref="M404:S404"/>
    <mergeCell ref="U404:V404"/>
    <mergeCell ref="M405:S405"/>
    <mergeCell ref="U405:V405"/>
    <mergeCell ref="T337:U337"/>
    <mergeCell ref="M338:M339"/>
    <mergeCell ref="N345:U345"/>
    <mergeCell ref="N346:U346"/>
    <mergeCell ref="M347:V347"/>
    <mergeCell ref="M340:V340"/>
    <mergeCell ref="M345:M346"/>
    <mergeCell ref="N338:U338"/>
    <mergeCell ref="N333:P333"/>
    <mergeCell ref="N339:U339"/>
    <mergeCell ref="N398:U398"/>
    <mergeCell ref="N399:U399"/>
    <mergeCell ref="N318:Q318"/>
    <mergeCell ref="T318:U318"/>
    <mergeCell ref="N319:Q319"/>
    <mergeCell ref="T319:U319"/>
    <mergeCell ref="N320:Q320"/>
    <mergeCell ref="T320:U320"/>
    <mergeCell ref="N324:Q324"/>
    <mergeCell ref="N325:Q325"/>
    <mergeCell ref="N326:Q326"/>
    <mergeCell ref="M355:T355"/>
    <mergeCell ref="U355:V355"/>
    <mergeCell ref="U356:V356"/>
    <mergeCell ref="M357:T357"/>
    <mergeCell ref="N387:P387"/>
    <mergeCell ref="T316:U316"/>
    <mergeCell ref="N317:Q317"/>
    <mergeCell ref="T317:U317"/>
    <mergeCell ref="N384:U384"/>
    <mergeCell ref="M385:V385"/>
    <mergeCell ref="N386:P386"/>
    <mergeCell ref="T386:U386"/>
    <mergeCell ref="AB367:AD367"/>
    <mergeCell ref="O368:U368"/>
    <mergeCell ref="M369:V369"/>
    <mergeCell ref="M370:V370"/>
    <mergeCell ref="AB370:AC370"/>
    <mergeCell ref="N371:Q371"/>
    <mergeCell ref="T375:U375"/>
    <mergeCell ref="N376:U376"/>
    <mergeCell ref="AB378:AC378"/>
    <mergeCell ref="AB323:AC323"/>
    <mergeCell ref="U357:V357"/>
    <mergeCell ref="M352:S352"/>
    <mergeCell ref="U352:V352"/>
    <mergeCell ref="M353:S353"/>
    <mergeCell ref="U353:V353"/>
    <mergeCell ref="M354:S354"/>
    <mergeCell ref="M348:T348"/>
    <mergeCell ref="U348:V348"/>
    <mergeCell ref="M350:V350"/>
    <mergeCell ref="T333:U333"/>
    <mergeCell ref="N334:P334"/>
    <mergeCell ref="N336:P336"/>
    <mergeCell ref="O367:U367"/>
    <mergeCell ref="N379:Q379"/>
    <mergeCell ref="N288:P288"/>
    <mergeCell ref="T288:U288"/>
    <mergeCell ref="M301:T301"/>
    <mergeCell ref="U301:V301"/>
    <mergeCell ref="M293:V293"/>
    <mergeCell ref="M298:M299"/>
    <mergeCell ref="N298:U298"/>
    <mergeCell ref="N299:U299"/>
    <mergeCell ref="M300:V300"/>
    <mergeCell ref="AB311:AD311"/>
    <mergeCell ref="O312:U312"/>
    <mergeCell ref="M313:V313"/>
    <mergeCell ref="M314:V314"/>
    <mergeCell ref="AB314:AC314"/>
    <mergeCell ref="T334:U334"/>
    <mergeCell ref="N335:P335"/>
    <mergeCell ref="T335:U335"/>
    <mergeCell ref="N329:Q329"/>
    <mergeCell ref="M330:M331"/>
    <mergeCell ref="N330:U330"/>
    <mergeCell ref="N331:U331"/>
    <mergeCell ref="M332:V332"/>
    <mergeCell ref="N328:Q328"/>
    <mergeCell ref="M321:M322"/>
    <mergeCell ref="N321:U321"/>
    <mergeCell ref="N322:U322"/>
    <mergeCell ref="M323:V323"/>
    <mergeCell ref="N327:Q327"/>
    <mergeCell ref="O311:U311"/>
    <mergeCell ref="N315:Q315"/>
    <mergeCell ref="T315:U315"/>
    <mergeCell ref="N316:Q316"/>
    <mergeCell ref="T336:U336"/>
    <mergeCell ref="M282:M283"/>
    <mergeCell ref="N282:U282"/>
    <mergeCell ref="N283:U283"/>
    <mergeCell ref="M284:V284"/>
    <mergeCell ref="N285:P285"/>
    <mergeCell ref="T285:U285"/>
    <mergeCell ref="N277:Q277"/>
    <mergeCell ref="N278:Q278"/>
    <mergeCell ref="N279:Q279"/>
    <mergeCell ref="N280:Q280"/>
    <mergeCell ref="N281:Q281"/>
    <mergeCell ref="M273:V273"/>
    <mergeCell ref="AB273:AC273"/>
    <mergeCell ref="N274:Q274"/>
    <mergeCell ref="N275:Q275"/>
    <mergeCell ref="N276:Q276"/>
    <mergeCell ref="N289:P289"/>
    <mergeCell ref="T289:U289"/>
    <mergeCell ref="N290:P290"/>
    <mergeCell ref="T290:U290"/>
    <mergeCell ref="M291:M292"/>
    <mergeCell ref="N291:U291"/>
    <mergeCell ref="N292:U292"/>
    <mergeCell ref="M302:Q305"/>
    <mergeCell ref="R302:V305"/>
    <mergeCell ref="M306:M308"/>
    <mergeCell ref="R306:R308"/>
    <mergeCell ref="N286:P286"/>
    <mergeCell ref="T286:U286"/>
    <mergeCell ref="N287:P287"/>
    <mergeCell ref="T287:U287"/>
    <mergeCell ref="N269:Q269"/>
    <mergeCell ref="T269:U269"/>
    <mergeCell ref="N270:Q270"/>
    <mergeCell ref="T270:U270"/>
    <mergeCell ref="M271:M272"/>
    <mergeCell ref="N271:U271"/>
    <mergeCell ref="N272:U272"/>
    <mergeCell ref="N267:Q267"/>
    <mergeCell ref="T267:U267"/>
    <mergeCell ref="N268:Q268"/>
    <mergeCell ref="T268:U268"/>
    <mergeCell ref="M264:V264"/>
    <mergeCell ref="AB264:AC264"/>
    <mergeCell ref="N265:Q265"/>
    <mergeCell ref="T265:U265"/>
    <mergeCell ref="M251:T251"/>
    <mergeCell ref="U251:V251"/>
    <mergeCell ref="O261:U261"/>
    <mergeCell ref="AB261:AD261"/>
    <mergeCell ref="O262:U262"/>
    <mergeCell ref="AB223:AC223"/>
    <mergeCell ref="N224:Q224"/>
    <mergeCell ref="N225:Q225"/>
    <mergeCell ref="N226:Q226"/>
    <mergeCell ref="N219:Q219"/>
    <mergeCell ref="T219:U219"/>
    <mergeCell ref="N220:Q220"/>
    <mergeCell ref="T220:U220"/>
    <mergeCell ref="M221:M222"/>
    <mergeCell ref="N221:U221"/>
    <mergeCell ref="N222:U222"/>
    <mergeCell ref="N239:P239"/>
    <mergeCell ref="T239:U239"/>
    <mergeCell ref="AB214:AC214"/>
    <mergeCell ref="N92:U92"/>
    <mergeCell ref="N90:P90"/>
    <mergeCell ref="N166:Q166"/>
    <mergeCell ref="T185:U185"/>
    <mergeCell ref="M93:V93"/>
    <mergeCell ref="T236:U236"/>
    <mergeCell ref="N237:P237"/>
    <mergeCell ref="T237:U237"/>
    <mergeCell ref="N238:P238"/>
    <mergeCell ref="T238:U238"/>
    <mergeCell ref="N170:Q170"/>
    <mergeCell ref="R152:V155"/>
    <mergeCell ref="M156:M158"/>
    <mergeCell ref="R156:R158"/>
    <mergeCell ref="M232:M233"/>
    <mergeCell ref="N232:U232"/>
    <mergeCell ref="N233:U233"/>
    <mergeCell ref="M234:V234"/>
    <mergeCell ref="N235:P235"/>
    <mergeCell ref="T235:U235"/>
    <mergeCell ref="N266:Q266"/>
    <mergeCell ref="T266:U266"/>
    <mergeCell ref="N76:Q76"/>
    <mergeCell ref="N78:Q78"/>
    <mergeCell ref="N127:Q127"/>
    <mergeCell ref="N128:Q128"/>
    <mergeCell ref="N129:Q129"/>
    <mergeCell ref="M243:V243"/>
    <mergeCell ref="M248:M249"/>
    <mergeCell ref="N248:U248"/>
    <mergeCell ref="N249:U249"/>
    <mergeCell ref="M250:V250"/>
    <mergeCell ref="M252:Q255"/>
    <mergeCell ref="R252:V255"/>
    <mergeCell ref="M256:M258"/>
    <mergeCell ref="R256:R258"/>
    <mergeCell ref="M263:V263"/>
    <mergeCell ref="N240:P240"/>
    <mergeCell ref="T240:U240"/>
    <mergeCell ref="M241:M242"/>
    <mergeCell ref="N241:U241"/>
    <mergeCell ref="N242:U242"/>
    <mergeCell ref="N86:P86"/>
    <mergeCell ref="T86:U86"/>
    <mergeCell ref="N79:Q79"/>
    <mergeCell ref="M164:V164"/>
    <mergeCell ref="N228:Q228"/>
    <mergeCell ref="N229:Q229"/>
    <mergeCell ref="N230:Q230"/>
    <mergeCell ref="N231:Q231"/>
    <mergeCell ref="M202:Q205"/>
    <mergeCell ref="R202:V205"/>
    <mergeCell ref="M206:M208"/>
    <mergeCell ref="R206:R208"/>
    <mergeCell ref="M151:T151"/>
    <mergeCell ref="T119:U119"/>
    <mergeCell ref="N122:U122"/>
    <mergeCell ref="M123:V123"/>
    <mergeCell ref="N176:Q176"/>
    <mergeCell ref="T166:U166"/>
    <mergeCell ref="N167:Q167"/>
    <mergeCell ref="T167:U167"/>
    <mergeCell ref="T120:U120"/>
    <mergeCell ref="M121:M122"/>
    <mergeCell ref="N121:U121"/>
    <mergeCell ref="M98:M99"/>
    <mergeCell ref="N98:U98"/>
    <mergeCell ref="N99:U99"/>
    <mergeCell ref="M100:V100"/>
    <mergeCell ref="N177:Q177"/>
    <mergeCell ref="N169:Q169"/>
    <mergeCell ref="T169:U169"/>
    <mergeCell ref="N168:Q168"/>
    <mergeCell ref="T168:U168"/>
    <mergeCell ref="M163:V163"/>
    <mergeCell ref="N133:U133"/>
    <mergeCell ref="M134:V134"/>
    <mergeCell ref="T135:U135"/>
    <mergeCell ref="N30:Q30"/>
    <mergeCell ref="N48:U48"/>
    <mergeCell ref="N49:U49"/>
    <mergeCell ref="N70:Q70"/>
    <mergeCell ref="T70:U70"/>
    <mergeCell ref="N65:Q65"/>
    <mergeCell ref="N74:Q74"/>
    <mergeCell ref="N75:Q75"/>
    <mergeCell ref="N135:P135"/>
    <mergeCell ref="M71:M72"/>
    <mergeCell ref="N87:P87"/>
    <mergeCell ref="T87:U87"/>
    <mergeCell ref="N88:P88"/>
    <mergeCell ref="N130:Q130"/>
    <mergeCell ref="N131:Q131"/>
    <mergeCell ref="T88:U88"/>
    <mergeCell ref="N89:P89"/>
    <mergeCell ref="T89:U89"/>
    <mergeCell ref="M84:V84"/>
    <mergeCell ref="N85:P85"/>
    <mergeCell ref="T85:U85"/>
    <mergeCell ref="N68:Q68"/>
    <mergeCell ref="T68:U68"/>
    <mergeCell ref="N69:Q69"/>
    <mergeCell ref="T69:U69"/>
    <mergeCell ref="N72:U72"/>
    <mergeCell ref="N67:Q67"/>
    <mergeCell ref="T67:U67"/>
    <mergeCell ref="N71:U71"/>
    <mergeCell ref="M82:M83"/>
    <mergeCell ref="M114:V114"/>
    <mergeCell ref="T90:U90"/>
    <mergeCell ref="N18:Q18"/>
    <mergeCell ref="T18:U18"/>
    <mergeCell ref="O12:U12"/>
    <mergeCell ref="M13:V13"/>
    <mergeCell ref="AB211:AD211"/>
    <mergeCell ref="N171:U171"/>
    <mergeCell ref="AB114:AC114"/>
    <mergeCell ref="N125:Q125"/>
    <mergeCell ref="M150:V150"/>
    <mergeCell ref="N136:P136"/>
    <mergeCell ref="T136:U136"/>
    <mergeCell ref="N110:U110"/>
    <mergeCell ref="O111:U111"/>
    <mergeCell ref="M152:Q155"/>
    <mergeCell ref="N91:U91"/>
    <mergeCell ref="N117:Q117"/>
    <mergeCell ref="T117:U117"/>
    <mergeCell ref="N118:Q118"/>
    <mergeCell ref="T118:U118"/>
    <mergeCell ref="N119:Q119"/>
    <mergeCell ref="M193:V193"/>
    <mergeCell ref="N186:P186"/>
    <mergeCell ref="T186:U186"/>
    <mergeCell ref="N187:P187"/>
    <mergeCell ref="T187:U187"/>
    <mergeCell ref="AB164:AC164"/>
    <mergeCell ref="N165:Q165"/>
    <mergeCell ref="N132:U132"/>
    <mergeCell ref="N188:P188"/>
    <mergeCell ref="T188:U188"/>
    <mergeCell ref="M182:M183"/>
    <mergeCell ref="N182:U182"/>
    <mergeCell ref="AB5:AD5"/>
    <mergeCell ref="O4:T4"/>
    <mergeCell ref="AB2:AD2"/>
    <mergeCell ref="O3:T3"/>
    <mergeCell ref="N179:Q179"/>
    <mergeCell ref="N180:Q180"/>
    <mergeCell ref="N181:Q181"/>
    <mergeCell ref="M173:V173"/>
    <mergeCell ref="AB173:AC173"/>
    <mergeCell ref="T15:U15"/>
    <mergeCell ref="N16:Q16"/>
    <mergeCell ref="T16:U16"/>
    <mergeCell ref="S5:T5"/>
    <mergeCell ref="U5:V5"/>
    <mergeCell ref="M3:N3"/>
    <mergeCell ref="M6:M8"/>
    <mergeCell ref="AB14:AC14"/>
    <mergeCell ref="N15:Q15"/>
    <mergeCell ref="M4:N4"/>
    <mergeCell ref="AB3:AD3"/>
    <mergeCell ref="AB4:AD4"/>
    <mergeCell ref="AB161:AD161"/>
    <mergeCell ref="O161:U161"/>
    <mergeCell ref="M101:T101"/>
    <mergeCell ref="M63:V63"/>
    <mergeCell ref="M64:V64"/>
    <mergeCell ref="N120:Q120"/>
    <mergeCell ref="M132:M133"/>
    <mergeCell ref="AB8:AD8"/>
    <mergeCell ref="N6:Q6"/>
    <mergeCell ref="R6:R8"/>
    <mergeCell ref="S6:V6"/>
    <mergeCell ref="M5:N5"/>
    <mergeCell ref="O5:R5"/>
    <mergeCell ref="N7:Q7"/>
    <mergeCell ref="S7:V7"/>
    <mergeCell ref="N8:Q8"/>
    <mergeCell ref="S8:V8"/>
    <mergeCell ref="R56:R58"/>
    <mergeCell ref="T36:U36"/>
    <mergeCell ref="N37:P37"/>
    <mergeCell ref="T19:U19"/>
    <mergeCell ref="N20:Q20"/>
    <mergeCell ref="T20:U20"/>
    <mergeCell ref="M21:M22"/>
    <mergeCell ref="N21:U21"/>
    <mergeCell ref="N22:U22"/>
    <mergeCell ref="M23:V23"/>
    <mergeCell ref="N19:Q19"/>
    <mergeCell ref="M52:Q55"/>
    <mergeCell ref="R52:V55"/>
    <mergeCell ref="M56:M58"/>
    <mergeCell ref="M34:V34"/>
    <mergeCell ref="N35:P35"/>
    <mergeCell ref="M14:V14"/>
    <mergeCell ref="O11:U11"/>
    <mergeCell ref="T39:U39"/>
    <mergeCell ref="N36:P36"/>
    <mergeCell ref="N27:Q27"/>
    <mergeCell ref="N24:Q24"/>
    <mergeCell ref="N25:Q25"/>
    <mergeCell ref="N26:Q26"/>
    <mergeCell ref="N17:Q17"/>
    <mergeCell ref="T17:U17"/>
    <mergeCell ref="N31:Q31"/>
    <mergeCell ref="N28:Q28"/>
    <mergeCell ref="N29:Q29"/>
    <mergeCell ref="T35:U35"/>
    <mergeCell ref="N60:U60"/>
    <mergeCell ref="M50:V50"/>
    <mergeCell ref="O112:U112"/>
    <mergeCell ref="M113:V113"/>
    <mergeCell ref="T65:U65"/>
    <mergeCell ref="N66:Q66"/>
    <mergeCell ref="T66:U66"/>
    <mergeCell ref="N198:U198"/>
    <mergeCell ref="N199:U199"/>
    <mergeCell ref="M200:V200"/>
    <mergeCell ref="N215:Q215"/>
    <mergeCell ref="T215:U215"/>
    <mergeCell ref="N217:Q217"/>
    <mergeCell ref="N216:Q216"/>
    <mergeCell ref="T216:U216"/>
    <mergeCell ref="N189:P189"/>
    <mergeCell ref="T189:U189"/>
    <mergeCell ref="N190:P190"/>
    <mergeCell ref="T190:U190"/>
    <mergeCell ref="M191:M192"/>
    <mergeCell ref="N191:U191"/>
    <mergeCell ref="N192:U192"/>
    <mergeCell ref="M198:M199"/>
    <mergeCell ref="M213:V213"/>
    <mergeCell ref="M214:V214"/>
    <mergeCell ref="M201:T201"/>
    <mergeCell ref="U201:V201"/>
    <mergeCell ref="M48:M49"/>
    <mergeCell ref="N82:U82"/>
    <mergeCell ref="N83:U83"/>
    <mergeCell ref="U101:V101"/>
    <mergeCell ref="N80:Q80"/>
    <mergeCell ref="N81:Q81"/>
    <mergeCell ref="N183:U183"/>
    <mergeCell ref="M184:V184"/>
    <mergeCell ref="N185:P185"/>
    <mergeCell ref="O162:U162"/>
    <mergeCell ref="N137:P137"/>
    <mergeCell ref="U151:V151"/>
    <mergeCell ref="AB61:AD61"/>
    <mergeCell ref="O62:U62"/>
    <mergeCell ref="T37:U37"/>
    <mergeCell ref="N38:P38"/>
    <mergeCell ref="T38:U38"/>
    <mergeCell ref="N178:Q178"/>
    <mergeCell ref="N174:Q174"/>
    <mergeCell ref="M91:M92"/>
    <mergeCell ref="N115:Q115"/>
    <mergeCell ref="T115:U115"/>
    <mergeCell ref="N116:Q116"/>
    <mergeCell ref="T116:U116"/>
    <mergeCell ref="M411:Q414"/>
    <mergeCell ref="R411:V414"/>
    <mergeCell ref="M415:M417"/>
    <mergeCell ref="R415:R417"/>
    <mergeCell ref="O211:U211"/>
    <mergeCell ref="M223:V223"/>
    <mergeCell ref="N236:P236"/>
    <mergeCell ref="T165:U165"/>
    <mergeCell ref="AB9:AD9"/>
    <mergeCell ref="AB123:AC123"/>
    <mergeCell ref="N124:Q124"/>
    <mergeCell ref="S416:V416"/>
    <mergeCell ref="S417:V417"/>
    <mergeCell ref="R102:V105"/>
    <mergeCell ref="M106:M108"/>
    <mergeCell ref="R106:R108"/>
    <mergeCell ref="S415:V415"/>
    <mergeCell ref="N172:U172"/>
    <mergeCell ref="T170:U170"/>
    <mergeCell ref="M171:M172"/>
    <mergeCell ref="O212:U212"/>
    <mergeCell ref="T217:U217"/>
    <mergeCell ref="N218:Q218"/>
    <mergeCell ref="T218:U218"/>
    <mergeCell ref="N227:Q227"/>
    <mergeCell ref="N175:Q175"/>
    <mergeCell ref="M43:V43"/>
    <mergeCell ref="AB23:AC23"/>
    <mergeCell ref="N77:Q77"/>
    <mergeCell ref="M32:M33"/>
    <mergeCell ref="N32:U32"/>
    <mergeCell ref="N33:U33"/>
    <mergeCell ref="AB6:AD6"/>
    <mergeCell ref="AB7:AD7"/>
    <mergeCell ref="T137:U137"/>
    <mergeCell ref="N138:P138"/>
    <mergeCell ref="T138:U138"/>
    <mergeCell ref="N139:P139"/>
    <mergeCell ref="T139:U139"/>
    <mergeCell ref="N140:P140"/>
    <mergeCell ref="T140:U140"/>
    <mergeCell ref="M141:M142"/>
    <mergeCell ref="N141:U141"/>
    <mergeCell ref="N142:U142"/>
    <mergeCell ref="M143:V143"/>
    <mergeCell ref="M148:M149"/>
    <mergeCell ref="N148:U148"/>
    <mergeCell ref="N149:U149"/>
    <mergeCell ref="N126:Q126"/>
    <mergeCell ref="M102:Q105"/>
    <mergeCell ref="AB11:AD11"/>
    <mergeCell ref="N39:P39"/>
    <mergeCell ref="M41:M42"/>
    <mergeCell ref="N41:U41"/>
    <mergeCell ref="N42:U42"/>
    <mergeCell ref="M51:T51"/>
    <mergeCell ref="U51:V51"/>
    <mergeCell ref="O61:U61"/>
    <mergeCell ref="N40:P40"/>
    <mergeCell ref="T40:U40"/>
    <mergeCell ref="AB111:AD111"/>
    <mergeCell ref="AB64:AC64"/>
    <mergeCell ref="M73:V73"/>
    <mergeCell ref="AB73:AC73"/>
    <mergeCell ref="AB844:AD844"/>
    <mergeCell ref="O845:U845"/>
    <mergeCell ref="M846:V846"/>
    <mergeCell ref="M847:V847"/>
    <mergeCell ref="AB847:AC847"/>
    <mergeCell ref="N848:Q848"/>
    <mergeCell ref="T848:U848"/>
    <mergeCell ref="N849:Q849"/>
    <mergeCell ref="T849:U849"/>
    <mergeCell ref="N850:Q850"/>
    <mergeCell ref="T850:U850"/>
    <mergeCell ref="N851:Q851"/>
    <mergeCell ref="T851:U851"/>
    <mergeCell ref="N852:Q852"/>
    <mergeCell ref="T852:U852"/>
    <mergeCell ref="M853:M854"/>
    <mergeCell ref="N853:U853"/>
    <mergeCell ref="N854:U854"/>
    <mergeCell ref="AB855:AC855"/>
    <mergeCell ref="N856:Q856"/>
    <mergeCell ref="N857:Q857"/>
    <mergeCell ref="N858:Q858"/>
    <mergeCell ref="N859:Q859"/>
    <mergeCell ref="M860:M861"/>
    <mergeCell ref="N860:U860"/>
    <mergeCell ref="N861:U861"/>
    <mergeCell ref="M862:V862"/>
    <mergeCell ref="N863:P863"/>
    <mergeCell ref="T863:U863"/>
    <mergeCell ref="N864:P864"/>
    <mergeCell ref="T864:U864"/>
    <mergeCell ref="N865:P865"/>
    <mergeCell ref="T865:U865"/>
    <mergeCell ref="N866:P866"/>
    <mergeCell ref="T866:U866"/>
    <mergeCell ref="N875:U875"/>
    <mergeCell ref="N876:U876"/>
    <mergeCell ref="M877:V877"/>
    <mergeCell ref="M878:T878"/>
    <mergeCell ref="U878:V878"/>
    <mergeCell ref="M880:V880"/>
    <mergeCell ref="M881:S881"/>
    <mergeCell ref="U881:V881"/>
    <mergeCell ref="M882:S882"/>
    <mergeCell ref="U882:V882"/>
    <mergeCell ref="M883:S883"/>
    <mergeCell ref="U883:V883"/>
    <mergeCell ref="M884:S884"/>
    <mergeCell ref="U884:V884"/>
    <mergeCell ref="M885:T885"/>
    <mergeCell ref="U885:V885"/>
    <mergeCell ref="U886:V886"/>
    <mergeCell ref="M887:T887"/>
    <mergeCell ref="U887:V887"/>
    <mergeCell ref="M888:Q891"/>
    <mergeCell ref="R888:V891"/>
    <mergeCell ref="M892:M894"/>
    <mergeCell ref="N892:Q892"/>
    <mergeCell ref="R892:R894"/>
    <mergeCell ref="S892:V892"/>
    <mergeCell ref="N893:Q893"/>
    <mergeCell ref="S893:V893"/>
    <mergeCell ref="N894:Q894"/>
    <mergeCell ref="S894:V894"/>
    <mergeCell ref="O897:U897"/>
    <mergeCell ref="AB897:AD897"/>
    <mergeCell ref="O898:U898"/>
    <mergeCell ref="M899:V899"/>
    <mergeCell ref="M900:V900"/>
    <mergeCell ref="AB900:AC900"/>
    <mergeCell ref="N901:Q901"/>
    <mergeCell ref="T901:U901"/>
    <mergeCell ref="N902:Q902"/>
    <mergeCell ref="T902:U902"/>
    <mergeCell ref="N903:Q903"/>
    <mergeCell ref="T903:U903"/>
    <mergeCell ref="N904:Q904"/>
    <mergeCell ref="T904:U904"/>
    <mergeCell ref="N905:Q905"/>
    <mergeCell ref="T905:U905"/>
    <mergeCell ref="M906:M907"/>
    <mergeCell ref="N906:U906"/>
    <mergeCell ref="N907:U907"/>
    <mergeCell ref="M908:V908"/>
    <mergeCell ref="AB908:AC908"/>
    <mergeCell ref="N909:Q909"/>
    <mergeCell ref="N910:Q910"/>
    <mergeCell ref="N911:Q911"/>
    <mergeCell ref="N917:Q917"/>
    <mergeCell ref="M918:M919"/>
    <mergeCell ref="N918:U918"/>
    <mergeCell ref="N919:U919"/>
    <mergeCell ref="M920:V920"/>
    <mergeCell ref="N921:P921"/>
    <mergeCell ref="T921:U921"/>
    <mergeCell ref="N922:P922"/>
    <mergeCell ref="T922:U922"/>
    <mergeCell ref="N923:P923"/>
    <mergeCell ref="T923:U923"/>
    <mergeCell ref="N924:P924"/>
    <mergeCell ref="T924:U924"/>
    <mergeCell ref="N912:Q912"/>
    <mergeCell ref="N916:Q916"/>
    <mergeCell ref="N914:Q914"/>
    <mergeCell ref="N915:Q915"/>
    <mergeCell ref="N913:Q913"/>
    <mergeCell ref="N925:P925"/>
    <mergeCell ref="T925:U925"/>
    <mergeCell ref="M926:M927"/>
    <mergeCell ref="N926:U926"/>
    <mergeCell ref="N927:U927"/>
    <mergeCell ref="M928:V928"/>
    <mergeCell ref="M933:M934"/>
    <mergeCell ref="N933:U933"/>
    <mergeCell ref="N934:U934"/>
    <mergeCell ref="M935:V935"/>
    <mergeCell ref="M936:T936"/>
    <mergeCell ref="U936:V936"/>
    <mergeCell ref="M938:V938"/>
    <mergeCell ref="M939:S939"/>
    <mergeCell ref="U939:V939"/>
    <mergeCell ref="M940:S940"/>
    <mergeCell ref="U940:V940"/>
    <mergeCell ref="M941:S941"/>
    <mergeCell ref="U941:V941"/>
    <mergeCell ref="M942:S942"/>
    <mergeCell ref="U942:V942"/>
    <mergeCell ref="M943:T943"/>
    <mergeCell ref="U943:V943"/>
    <mergeCell ref="U944:V944"/>
    <mergeCell ref="M945:T945"/>
    <mergeCell ref="U945:V945"/>
    <mergeCell ref="M946:Q949"/>
    <mergeCell ref="R946:V949"/>
    <mergeCell ref="M950:M952"/>
    <mergeCell ref="N950:Q950"/>
    <mergeCell ref="R950:R952"/>
    <mergeCell ref="S950:V950"/>
    <mergeCell ref="N951:Q951"/>
    <mergeCell ref="S951:V951"/>
    <mergeCell ref="N952:Q952"/>
    <mergeCell ref="S952:V952"/>
    <mergeCell ref="O955:U955"/>
    <mergeCell ref="AB955:AD955"/>
    <mergeCell ref="O956:U956"/>
    <mergeCell ref="M957:V957"/>
    <mergeCell ref="M958:V958"/>
    <mergeCell ref="AB958:AC958"/>
    <mergeCell ref="N959:Q959"/>
    <mergeCell ref="T959:U959"/>
    <mergeCell ref="N960:Q960"/>
    <mergeCell ref="T960:U960"/>
    <mergeCell ref="N961:Q961"/>
    <mergeCell ref="T961:U961"/>
    <mergeCell ref="N962:Q962"/>
    <mergeCell ref="T962:U962"/>
    <mergeCell ref="N963:Q963"/>
    <mergeCell ref="T963:U963"/>
    <mergeCell ref="M964:M965"/>
    <mergeCell ref="N964:U964"/>
    <mergeCell ref="N965:U965"/>
    <mergeCell ref="M966:V966"/>
    <mergeCell ref="AB966:AC966"/>
    <mergeCell ref="N967:Q967"/>
    <mergeCell ref="N968:Q968"/>
    <mergeCell ref="N969:Q969"/>
    <mergeCell ref="N970:Q970"/>
    <mergeCell ref="M972:M973"/>
    <mergeCell ref="N972:U972"/>
    <mergeCell ref="N973:U973"/>
    <mergeCell ref="M974:V974"/>
    <mergeCell ref="N975:P975"/>
    <mergeCell ref="T975:U975"/>
    <mergeCell ref="N976:P976"/>
    <mergeCell ref="T976:U976"/>
    <mergeCell ref="N977:P977"/>
    <mergeCell ref="T977:U977"/>
    <mergeCell ref="N978:P978"/>
    <mergeCell ref="T978:U978"/>
    <mergeCell ref="N971:Q971"/>
    <mergeCell ref="N979:P979"/>
    <mergeCell ref="T979:U979"/>
    <mergeCell ref="M980:M981"/>
    <mergeCell ref="N980:U980"/>
    <mergeCell ref="N981:U981"/>
    <mergeCell ref="M982:V982"/>
    <mergeCell ref="M987:M988"/>
    <mergeCell ref="N987:U987"/>
    <mergeCell ref="N988:U988"/>
    <mergeCell ref="M989:V989"/>
    <mergeCell ref="M990:T990"/>
    <mergeCell ref="U990:V990"/>
    <mergeCell ref="M992:V992"/>
    <mergeCell ref="M993:S993"/>
    <mergeCell ref="U993:V993"/>
    <mergeCell ref="M994:S994"/>
    <mergeCell ref="U994:V994"/>
    <mergeCell ref="M995:S995"/>
    <mergeCell ref="U995:V995"/>
    <mergeCell ref="M996:S996"/>
    <mergeCell ref="U996:V996"/>
    <mergeCell ref="M997:T997"/>
    <mergeCell ref="U997:V997"/>
    <mergeCell ref="U998:V998"/>
    <mergeCell ref="M999:T999"/>
    <mergeCell ref="U999:V999"/>
    <mergeCell ref="M1000:Q1003"/>
    <mergeCell ref="R1000:V1003"/>
    <mergeCell ref="M1004:M1006"/>
    <mergeCell ref="N1004:Q1004"/>
    <mergeCell ref="R1004:R1006"/>
    <mergeCell ref="S1004:V1004"/>
    <mergeCell ref="N1005:Q1005"/>
    <mergeCell ref="S1005:V1005"/>
    <mergeCell ref="N1006:Q1006"/>
    <mergeCell ref="S1006:V1006"/>
    <mergeCell ref="O1009:U1009"/>
    <mergeCell ref="AB1009:AD1009"/>
    <mergeCell ref="O1010:U1010"/>
    <mergeCell ref="M1011:V1011"/>
    <mergeCell ref="M1012:V1012"/>
    <mergeCell ref="AB1012:AC1012"/>
    <mergeCell ref="N1013:Q1013"/>
    <mergeCell ref="T1013:U1013"/>
    <mergeCell ref="N1014:Q1014"/>
    <mergeCell ref="T1014:U1014"/>
    <mergeCell ref="N1015:Q1015"/>
    <mergeCell ref="T1015:U1015"/>
    <mergeCell ref="N1016:Q1016"/>
    <mergeCell ref="T1016:U1016"/>
    <mergeCell ref="N1017:Q1017"/>
    <mergeCell ref="T1017:U1017"/>
    <mergeCell ref="M1018:M1019"/>
    <mergeCell ref="N1018:U1018"/>
    <mergeCell ref="N1019:U1019"/>
    <mergeCell ref="M1020:V1020"/>
    <mergeCell ref="AB1020:AC1020"/>
    <mergeCell ref="N1021:Q1021"/>
    <mergeCell ref="N1022:Q1022"/>
    <mergeCell ref="N1023:Q1023"/>
    <mergeCell ref="N1024:Q1024"/>
    <mergeCell ref="M1025:M1026"/>
    <mergeCell ref="N1025:U1025"/>
    <mergeCell ref="N1026:U1026"/>
    <mergeCell ref="M1027:V1027"/>
    <mergeCell ref="N1028:P1028"/>
    <mergeCell ref="T1028:U1028"/>
    <mergeCell ref="N1029:P1029"/>
    <mergeCell ref="T1029:U1029"/>
    <mergeCell ref="N1030:P1030"/>
    <mergeCell ref="T1030:U1030"/>
    <mergeCell ref="N1031:P1031"/>
    <mergeCell ref="T1031:U1031"/>
    <mergeCell ref="N1032:P1032"/>
    <mergeCell ref="T1032:U1032"/>
    <mergeCell ref="M1033:M1034"/>
    <mergeCell ref="N1033:U1033"/>
    <mergeCell ref="N1034:U1034"/>
    <mergeCell ref="M1035:V1035"/>
    <mergeCell ref="M1040:M1041"/>
    <mergeCell ref="N1040:U1040"/>
    <mergeCell ref="N1041:U1041"/>
    <mergeCell ref="M1042:V1042"/>
    <mergeCell ref="M1043:T1043"/>
    <mergeCell ref="U1043:V1043"/>
    <mergeCell ref="M1045:V1045"/>
    <mergeCell ref="M1046:S1046"/>
    <mergeCell ref="U1046:V1046"/>
    <mergeCell ref="M1047:S1047"/>
    <mergeCell ref="U1047:V1047"/>
    <mergeCell ref="M1048:S1048"/>
    <mergeCell ref="U1048:V1048"/>
    <mergeCell ref="M1049:S1049"/>
    <mergeCell ref="U1049:V1049"/>
    <mergeCell ref="M1050:T1050"/>
    <mergeCell ref="U1050:V1050"/>
    <mergeCell ref="U1051:V1051"/>
    <mergeCell ref="M1052:T1052"/>
    <mergeCell ref="U1052:V1052"/>
    <mergeCell ref="M1053:Q1056"/>
    <mergeCell ref="R1053:V1056"/>
    <mergeCell ref="M1057:M1059"/>
    <mergeCell ref="N1057:Q1057"/>
    <mergeCell ref="R1057:R1059"/>
    <mergeCell ref="S1057:V1057"/>
    <mergeCell ref="N1058:Q1058"/>
    <mergeCell ref="S1058:V1058"/>
    <mergeCell ref="N1059:Q1059"/>
    <mergeCell ref="S1059:V1059"/>
    <mergeCell ref="O1062:U1062"/>
    <mergeCell ref="AB1062:AD1062"/>
    <mergeCell ref="O1063:U1063"/>
    <mergeCell ref="M1064:V1064"/>
    <mergeCell ref="M1065:V1065"/>
    <mergeCell ref="AB1065:AC1065"/>
    <mergeCell ref="N1066:Q1066"/>
    <mergeCell ref="T1066:U1066"/>
    <mergeCell ref="N1067:Q1067"/>
    <mergeCell ref="T1067:U1067"/>
    <mergeCell ref="N1068:Q1068"/>
    <mergeCell ref="T1068:U1068"/>
    <mergeCell ref="N1069:Q1069"/>
    <mergeCell ref="T1069:U1069"/>
    <mergeCell ref="N1070:Q1070"/>
    <mergeCell ref="T1070:U1070"/>
    <mergeCell ref="M1071:M1072"/>
    <mergeCell ref="N1071:U1071"/>
    <mergeCell ref="N1072:U1072"/>
    <mergeCell ref="M1073:V1073"/>
    <mergeCell ref="AB1073:AC1073"/>
    <mergeCell ref="N1074:Q1074"/>
    <mergeCell ref="N1075:Q1075"/>
    <mergeCell ref="N1076:Q1076"/>
    <mergeCell ref="N1077:Q1077"/>
    <mergeCell ref="M1078:M1079"/>
    <mergeCell ref="N1078:U1078"/>
    <mergeCell ref="N1079:U1079"/>
    <mergeCell ref="M1080:V1080"/>
    <mergeCell ref="N1081:P1081"/>
    <mergeCell ref="T1081:U1081"/>
    <mergeCell ref="N1082:P1082"/>
    <mergeCell ref="T1082:U1082"/>
    <mergeCell ref="N1083:P1083"/>
    <mergeCell ref="T1083:U1083"/>
    <mergeCell ref="N1084:P1084"/>
    <mergeCell ref="T1084:U1084"/>
    <mergeCell ref="N1085:P1085"/>
    <mergeCell ref="T1085:U1085"/>
    <mergeCell ref="M1086:M1087"/>
    <mergeCell ref="N1086:U1086"/>
    <mergeCell ref="N1087:U1087"/>
    <mergeCell ref="M1088:V1088"/>
    <mergeCell ref="M1093:M1094"/>
    <mergeCell ref="N1093:U1093"/>
    <mergeCell ref="N1094:U1094"/>
    <mergeCell ref="M1095:V1095"/>
    <mergeCell ref="M1096:T1096"/>
    <mergeCell ref="U1096:V1096"/>
    <mergeCell ref="M1098:V1098"/>
    <mergeCell ref="M1099:S1099"/>
    <mergeCell ref="U1099:V1099"/>
    <mergeCell ref="M1100:S1100"/>
    <mergeCell ref="U1100:V1100"/>
    <mergeCell ref="M1101:S1101"/>
    <mergeCell ref="U1101:V1101"/>
    <mergeCell ref="M1102:S1102"/>
    <mergeCell ref="U1102:V1102"/>
    <mergeCell ref="M1103:T1103"/>
    <mergeCell ref="U1103:V1103"/>
    <mergeCell ref="U1104:V1104"/>
    <mergeCell ref="M1105:T1105"/>
    <mergeCell ref="U1105:V1105"/>
    <mergeCell ref="M1106:Q1109"/>
    <mergeCell ref="R1106:V1109"/>
    <mergeCell ref="M1110:M1112"/>
    <mergeCell ref="N1110:Q1110"/>
    <mergeCell ref="R1110:R1112"/>
    <mergeCell ref="S1110:V1110"/>
    <mergeCell ref="N1111:Q1111"/>
    <mergeCell ref="S1111:V1111"/>
    <mergeCell ref="N1112:Q1112"/>
    <mergeCell ref="S1112:V1112"/>
    <mergeCell ref="O1115:U1115"/>
    <mergeCell ref="AB1115:AD1115"/>
    <mergeCell ref="O1116:U1116"/>
    <mergeCell ref="M1117:V1117"/>
    <mergeCell ref="M1118:V1118"/>
    <mergeCell ref="AB1118:AC1118"/>
    <mergeCell ref="N1119:Q1119"/>
    <mergeCell ref="T1119:U1119"/>
    <mergeCell ref="N1120:Q1120"/>
    <mergeCell ref="T1120:U1120"/>
    <mergeCell ref="N1121:Q1121"/>
    <mergeCell ref="T1121:U1121"/>
    <mergeCell ref="N1122:Q1122"/>
    <mergeCell ref="T1122:U1122"/>
    <mergeCell ref="N1123:Q1123"/>
    <mergeCell ref="T1123:U1123"/>
    <mergeCell ref="M1124:M1125"/>
    <mergeCell ref="N1124:U1124"/>
    <mergeCell ref="N1125:U1125"/>
    <mergeCell ref="M1126:V1126"/>
    <mergeCell ref="AB1126:AC1126"/>
    <mergeCell ref="N1127:Q1127"/>
    <mergeCell ref="N1128:Q1128"/>
    <mergeCell ref="N1129:Q1129"/>
    <mergeCell ref="N1130:Q1130"/>
    <mergeCell ref="M1131:M1132"/>
    <mergeCell ref="N1131:U1131"/>
    <mergeCell ref="N1132:U1132"/>
    <mergeCell ref="M1133:V1133"/>
    <mergeCell ref="N1134:P1134"/>
    <mergeCell ref="T1134:U1134"/>
    <mergeCell ref="N1135:P1135"/>
    <mergeCell ref="T1135:U1135"/>
    <mergeCell ref="N1136:P1136"/>
    <mergeCell ref="T1136:U1136"/>
    <mergeCell ref="N1137:P1137"/>
    <mergeCell ref="T1137:U1137"/>
    <mergeCell ref="N1138:P1138"/>
    <mergeCell ref="T1138:U1138"/>
    <mergeCell ref="M1139:M1140"/>
    <mergeCell ref="N1139:U1139"/>
    <mergeCell ref="N1140:U1140"/>
    <mergeCell ref="M1141:V1141"/>
    <mergeCell ref="M1146:M1147"/>
    <mergeCell ref="N1146:U1146"/>
    <mergeCell ref="N1147:U1147"/>
    <mergeCell ref="M1148:V1148"/>
    <mergeCell ref="M1149:T1149"/>
    <mergeCell ref="U1149:V1149"/>
    <mergeCell ref="M1151:V1151"/>
    <mergeCell ref="M1152:S1152"/>
    <mergeCell ref="U1152:V1152"/>
    <mergeCell ref="M1153:S1153"/>
    <mergeCell ref="U1153:V1153"/>
    <mergeCell ref="M1154:S1154"/>
    <mergeCell ref="U1154:V1154"/>
    <mergeCell ref="M1155:S1155"/>
    <mergeCell ref="U1155:V1155"/>
    <mergeCell ref="M1156:T1156"/>
    <mergeCell ref="U1156:V1156"/>
    <mergeCell ref="U1157:V1157"/>
    <mergeCell ref="M1158:T1158"/>
    <mergeCell ref="U1158:V1158"/>
    <mergeCell ref="M1159:Q1162"/>
    <mergeCell ref="R1159:V1162"/>
    <mergeCell ref="M1163:M1165"/>
    <mergeCell ref="N1163:Q1163"/>
    <mergeCell ref="R1163:R1165"/>
    <mergeCell ref="S1163:V1163"/>
    <mergeCell ref="N1164:Q1164"/>
    <mergeCell ref="S1164:V1164"/>
    <mergeCell ref="N1165:Q1165"/>
    <mergeCell ref="S1165:V1165"/>
    <mergeCell ref="O1168:U1168"/>
    <mergeCell ref="AB1168:AD1168"/>
    <mergeCell ref="O1169:U1169"/>
    <mergeCell ref="M1170:V1170"/>
    <mergeCell ref="M1171:V1171"/>
    <mergeCell ref="AB1171:AC1171"/>
    <mergeCell ref="N1172:Q1172"/>
    <mergeCell ref="T1172:U1172"/>
    <mergeCell ref="N1173:Q1173"/>
    <mergeCell ref="T1173:U1173"/>
    <mergeCell ref="N1174:Q1174"/>
    <mergeCell ref="T1174:U1174"/>
    <mergeCell ref="N1175:Q1175"/>
    <mergeCell ref="T1175:U1175"/>
    <mergeCell ref="N1176:Q1176"/>
    <mergeCell ref="T1176:U1176"/>
    <mergeCell ref="M1177:M1178"/>
    <mergeCell ref="N1177:U1177"/>
    <mergeCell ref="N1178:U1178"/>
    <mergeCell ref="M1179:V1179"/>
    <mergeCell ref="AB1179:AC1179"/>
    <mergeCell ref="N1180:Q1180"/>
    <mergeCell ref="N1181:Q1181"/>
    <mergeCell ref="N1182:Q1182"/>
    <mergeCell ref="N1183:Q1183"/>
    <mergeCell ref="M1184:M1185"/>
    <mergeCell ref="N1184:U1184"/>
    <mergeCell ref="N1185:U1185"/>
    <mergeCell ref="M1186:V1186"/>
    <mergeCell ref="N1187:P1187"/>
    <mergeCell ref="T1187:U1187"/>
    <mergeCell ref="N1188:P1188"/>
    <mergeCell ref="T1188:U1188"/>
    <mergeCell ref="N1189:P1189"/>
    <mergeCell ref="T1189:U1189"/>
    <mergeCell ref="N1190:P1190"/>
    <mergeCell ref="T1190:U1190"/>
    <mergeCell ref="N1191:P1191"/>
    <mergeCell ref="T1191:U1191"/>
    <mergeCell ref="M1192:M1193"/>
    <mergeCell ref="N1192:U1192"/>
    <mergeCell ref="N1193:U1193"/>
    <mergeCell ref="M1194:V1194"/>
    <mergeCell ref="M1199:M1200"/>
    <mergeCell ref="N1199:U1199"/>
    <mergeCell ref="N1200:U1200"/>
    <mergeCell ref="M1201:V1201"/>
    <mergeCell ref="M1202:T1202"/>
    <mergeCell ref="U1202:V1202"/>
    <mergeCell ref="M1204:V1204"/>
    <mergeCell ref="M1205:S1205"/>
    <mergeCell ref="U1205:V1205"/>
    <mergeCell ref="M1206:S1206"/>
    <mergeCell ref="U1206:V1206"/>
    <mergeCell ref="M1207:S1207"/>
    <mergeCell ref="U1207:V1207"/>
    <mergeCell ref="M1208:S1208"/>
    <mergeCell ref="U1208:V1208"/>
    <mergeCell ref="M1209:T1209"/>
    <mergeCell ref="U1209:V1209"/>
    <mergeCell ref="U1210:V1210"/>
    <mergeCell ref="M1211:T1211"/>
    <mergeCell ref="U1211:V1211"/>
    <mergeCell ref="M1212:Q1215"/>
    <mergeCell ref="R1212:V1215"/>
    <mergeCell ref="M1216:M1218"/>
    <mergeCell ref="N1216:Q1216"/>
    <mergeCell ref="R1216:R1218"/>
    <mergeCell ref="S1216:V1216"/>
    <mergeCell ref="N1217:Q1217"/>
    <mergeCell ref="S1217:V1217"/>
    <mergeCell ref="N1218:Q1218"/>
    <mergeCell ref="S1218:V1218"/>
    <mergeCell ref="O1221:U1221"/>
    <mergeCell ref="AB1221:AD1221"/>
    <mergeCell ref="O1222:U1222"/>
    <mergeCell ref="M1223:V1223"/>
    <mergeCell ref="M1224:V1224"/>
    <mergeCell ref="AB1224:AC1224"/>
    <mergeCell ref="N1225:Q1225"/>
    <mergeCell ref="T1225:U1225"/>
    <mergeCell ref="N1226:Q1226"/>
    <mergeCell ref="T1226:U1226"/>
    <mergeCell ref="N1227:Q1227"/>
    <mergeCell ref="T1227:U1227"/>
    <mergeCell ref="N1228:Q1228"/>
    <mergeCell ref="T1228:U1228"/>
    <mergeCell ref="N1229:Q1229"/>
    <mergeCell ref="T1229:U1229"/>
    <mergeCell ref="M1230:M1231"/>
    <mergeCell ref="N1230:U1230"/>
    <mergeCell ref="N1231:U1231"/>
    <mergeCell ref="M1232:V1232"/>
    <mergeCell ref="AB1232:AC1232"/>
    <mergeCell ref="N1233:Q1233"/>
    <mergeCell ref="N1234:Q1234"/>
    <mergeCell ref="N1235:Q1235"/>
    <mergeCell ref="N1236:Q1236"/>
    <mergeCell ref="M1237:M1238"/>
    <mergeCell ref="N1237:U1237"/>
    <mergeCell ref="N1238:U1238"/>
    <mergeCell ref="M1239:V1239"/>
    <mergeCell ref="N1240:P1240"/>
    <mergeCell ref="T1240:U1240"/>
    <mergeCell ref="N1241:P1241"/>
    <mergeCell ref="T1241:U1241"/>
    <mergeCell ref="N1242:P1242"/>
    <mergeCell ref="T1242:U1242"/>
    <mergeCell ref="N1243:P1243"/>
    <mergeCell ref="T1243:U1243"/>
    <mergeCell ref="N1244:P1244"/>
    <mergeCell ref="T1244:U1244"/>
    <mergeCell ref="M1245:M1246"/>
    <mergeCell ref="N1245:U1245"/>
    <mergeCell ref="N1246:U1246"/>
    <mergeCell ref="M1247:V1247"/>
    <mergeCell ref="M1252:M1253"/>
    <mergeCell ref="N1252:U1252"/>
    <mergeCell ref="N1253:U1253"/>
    <mergeCell ref="M1254:V1254"/>
    <mergeCell ref="M1255:T1255"/>
    <mergeCell ref="U1255:V1255"/>
    <mergeCell ref="M1257:V1257"/>
    <mergeCell ref="M1258:S1258"/>
    <mergeCell ref="U1258:V1258"/>
    <mergeCell ref="M1259:S1259"/>
    <mergeCell ref="U1259:V1259"/>
    <mergeCell ref="M1260:S1260"/>
    <mergeCell ref="U1260:V1260"/>
    <mergeCell ref="M1261:S1261"/>
    <mergeCell ref="U1261:V1261"/>
    <mergeCell ref="M1262:T1262"/>
    <mergeCell ref="U1262:V1262"/>
    <mergeCell ref="U1263:V1263"/>
    <mergeCell ref="M1264:T1264"/>
    <mergeCell ref="U1264:V1264"/>
    <mergeCell ref="M1265:Q1268"/>
    <mergeCell ref="R1265:V1268"/>
    <mergeCell ref="M1269:M1271"/>
    <mergeCell ref="N1269:Q1269"/>
    <mergeCell ref="R1269:R1271"/>
    <mergeCell ref="S1269:V1269"/>
    <mergeCell ref="N1270:Q1270"/>
    <mergeCell ref="S1270:V1270"/>
    <mergeCell ref="N1271:Q1271"/>
    <mergeCell ref="S1271:V1271"/>
    <mergeCell ref="O1327:U1327"/>
    <mergeCell ref="AB1327:AD1327"/>
    <mergeCell ref="O1328:U1328"/>
    <mergeCell ref="M1329:V1329"/>
    <mergeCell ref="M1330:V1330"/>
    <mergeCell ref="AB1330:AC1330"/>
    <mergeCell ref="N1331:Q1331"/>
    <mergeCell ref="T1331:U1331"/>
    <mergeCell ref="N1332:Q1332"/>
    <mergeCell ref="T1332:U1332"/>
    <mergeCell ref="N1333:Q1333"/>
    <mergeCell ref="T1333:U1333"/>
    <mergeCell ref="N1334:Q1334"/>
    <mergeCell ref="T1334:U1334"/>
    <mergeCell ref="N1335:Q1335"/>
    <mergeCell ref="T1335:U1335"/>
    <mergeCell ref="M1336:M1337"/>
    <mergeCell ref="N1336:U1336"/>
    <mergeCell ref="N1337:U1337"/>
    <mergeCell ref="M1338:V1338"/>
    <mergeCell ref="AB1338:AC1338"/>
    <mergeCell ref="N1339:Q1339"/>
    <mergeCell ref="N1340:Q1340"/>
    <mergeCell ref="N1341:Q1341"/>
    <mergeCell ref="N1342:Q1342"/>
    <mergeCell ref="M1343:M1344"/>
    <mergeCell ref="N1343:U1343"/>
    <mergeCell ref="N1344:U1344"/>
    <mergeCell ref="M1345:V1345"/>
    <mergeCell ref="N1346:P1346"/>
    <mergeCell ref="T1346:U1346"/>
    <mergeCell ref="N1347:P1347"/>
    <mergeCell ref="T1347:U1347"/>
    <mergeCell ref="N1348:P1348"/>
    <mergeCell ref="T1348:U1348"/>
    <mergeCell ref="N1349:P1349"/>
    <mergeCell ref="T1349:U1349"/>
    <mergeCell ref="N1350:P1350"/>
    <mergeCell ref="T1350:U1350"/>
    <mergeCell ref="M1351:M1352"/>
    <mergeCell ref="N1351:U1351"/>
    <mergeCell ref="N1352:U1352"/>
    <mergeCell ref="M1353:V1353"/>
    <mergeCell ref="M1358:M1359"/>
    <mergeCell ref="N1358:U1358"/>
    <mergeCell ref="N1359:U1359"/>
    <mergeCell ref="M1360:V1360"/>
    <mergeCell ref="M1361:T1361"/>
    <mergeCell ref="U1361:V1361"/>
    <mergeCell ref="M1363:V1363"/>
    <mergeCell ref="M1364:S1364"/>
    <mergeCell ref="U1364:V1364"/>
    <mergeCell ref="M1365:S1365"/>
    <mergeCell ref="U1365:V1365"/>
    <mergeCell ref="M1366:S1366"/>
    <mergeCell ref="U1366:V1366"/>
    <mergeCell ref="M1367:S1367"/>
    <mergeCell ref="U1367:V1367"/>
    <mergeCell ref="M1368:T1368"/>
    <mergeCell ref="U1368:V1368"/>
    <mergeCell ref="U1369:V1369"/>
    <mergeCell ref="M1370:T1370"/>
    <mergeCell ref="U1370:V1370"/>
    <mergeCell ref="M1371:Q1374"/>
    <mergeCell ref="R1371:V1374"/>
    <mergeCell ref="M1375:M1377"/>
    <mergeCell ref="N1375:Q1375"/>
    <mergeCell ref="R1375:R1377"/>
    <mergeCell ref="S1375:V1375"/>
    <mergeCell ref="N1376:Q1376"/>
    <mergeCell ref="S1376:V1376"/>
    <mergeCell ref="N1377:Q1377"/>
    <mergeCell ref="S1377:V1377"/>
    <mergeCell ref="O1380:U1380"/>
    <mergeCell ref="AB1380:AD1380"/>
    <mergeCell ref="O1381:U1381"/>
    <mergeCell ref="M1382:V1382"/>
    <mergeCell ref="M1383:V1383"/>
    <mergeCell ref="AB1383:AC1383"/>
    <mergeCell ref="N1384:Q1384"/>
    <mergeCell ref="T1384:U1384"/>
    <mergeCell ref="N1385:Q1385"/>
    <mergeCell ref="T1385:U1385"/>
    <mergeCell ref="N1386:Q1386"/>
    <mergeCell ref="T1386:U1386"/>
    <mergeCell ref="N1387:Q1387"/>
    <mergeCell ref="T1387:U1387"/>
    <mergeCell ref="N1388:Q1388"/>
    <mergeCell ref="T1388:U1388"/>
    <mergeCell ref="M1389:M1390"/>
    <mergeCell ref="N1389:U1389"/>
    <mergeCell ref="N1390:U1390"/>
    <mergeCell ref="M1391:V1391"/>
    <mergeCell ref="AB1391:AC1391"/>
    <mergeCell ref="N1392:Q1392"/>
    <mergeCell ref="N1393:Q1393"/>
    <mergeCell ref="N1394:Q1394"/>
    <mergeCell ref="N1395:Q1395"/>
    <mergeCell ref="M1396:M1397"/>
    <mergeCell ref="N1396:U1396"/>
    <mergeCell ref="N1397:U1397"/>
    <mergeCell ref="M1398:V1398"/>
    <mergeCell ref="N1399:P1399"/>
    <mergeCell ref="T1399:U1399"/>
    <mergeCell ref="N1400:P1400"/>
    <mergeCell ref="T1400:U1400"/>
    <mergeCell ref="N1401:P1401"/>
    <mergeCell ref="T1401:U1401"/>
    <mergeCell ref="N1402:P1402"/>
    <mergeCell ref="T1402:U1402"/>
    <mergeCell ref="N1403:P1403"/>
    <mergeCell ref="T1403:U1403"/>
    <mergeCell ref="M1404:M1405"/>
    <mergeCell ref="N1404:U1404"/>
    <mergeCell ref="N1405:U1405"/>
    <mergeCell ref="M1406:V1406"/>
    <mergeCell ref="M1411:M1412"/>
    <mergeCell ref="N1411:U1411"/>
    <mergeCell ref="N1412:U1412"/>
    <mergeCell ref="M1413:V1413"/>
    <mergeCell ref="M1414:T1414"/>
    <mergeCell ref="U1414:V1414"/>
    <mergeCell ref="M1416:V1416"/>
    <mergeCell ref="M1417:S1417"/>
    <mergeCell ref="U1417:V1417"/>
    <mergeCell ref="M1418:S1418"/>
    <mergeCell ref="U1418:V1418"/>
    <mergeCell ref="M1419:S1419"/>
    <mergeCell ref="U1419:V1419"/>
    <mergeCell ref="M1420:S1420"/>
    <mergeCell ref="U1420:V1420"/>
    <mergeCell ref="M1421:T1421"/>
    <mergeCell ref="U1421:V1421"/>
    <mergeCell ref="U1422:V1422"/>
    <mergeCell ref="M1423:T1423"/>
    <mergeCell ref="U1423:V1423"/>
    <mergeCell ref="M1424:Q1427"/>
    <mergeCell ref="R1424:V1427"/>
    <mergeCell ref="M1428:M1430"/>
    <mergeCell ref="N1428:Q1428"/>
    <mergeCell ref="R1428:R1430"/>
    <mergeCell ref="S1428:V1428"/>
    <mergeCell ref="N1429:Q1429"/>
    <mergeCell ref="S1429:V1429"/>
    <mergeCell ref="N1430:Q1430"/>
    <mergeCell ref="S1430:V1430"/>
    <mergeCell ref="O1433:U1433"/>
    <mergeCell ref="AB1433:AD1433"/>
    <mergeCell ref="O1434:U1434"/>
    <mergeCell ref="M1435:V1435"/>
    <mergeCell ref="M1436:V1436"/>
    <mergeCell ref="AB1436:AC1436"/>
    <mergeCell ref="N1437:Q1437"/>
    <mergeCell ref="T1437:U1437"/>
    <mergeCell ref="N1438:Q1438"/>
    <mergeCell ref="T1438:U1438"/>
    <mergeCell ref="N1439:Q1439"/>
    <mergeCell ref="T1439:U1439"/>
    <mergeCell ref="N1440:Q1440"/>
    <mergeCell ref="T1440:U1440"/>
    <mergeCell ref="N1441:Q1441"/>
    <mergeCell ref="T1441:U1441"/>
    <mergeCell ref="M1442:M1443"/>
    <mergeCell ref="N1442:U1442"/>
    <mergeCell ref="N1443:U1443"/>
    <mergeCell ref="M1444:V1444"/>
    <mergeCell ref="AB1444:AC1444"/>
    <mergeCell ref="N1445:Q1445"/>
    <mergeCell ref="N1446:Q1446"/>
    <mergeCell ref="N1447:Q1447"/>
    <mergeCell ref="N1448:Q1448"/>
    <mergeCell ref="M1449:M1450"/>
    <mergeCell ref="N1449:U1449"/>
    <mergeCell ref="N1450:U1450"/>
    <mergeCell ref="M1451:V1451"/>
    <mergeCell ref="N1452:P1452"/>
    <mergeCell ref="T1452:U1452"/>
    <mergeCell ref="N1453:P1453"/>
    <mergeCell ref="T1453:U1453"/>
    <mergeCell ref="N1454:P1454"/>
    <mergeCell ref="T1454:U1454"/>
    <mergeCell ref="N1455:P1455"/>
    <mergeCell ref="T1455:U1455"/>
    <mergeCell ref="N1456:P1456"/>
    <mergeCell ref="T1456:U1456"/>
    <mergeCell ref="M1457:M1458"/>
    <mergeCell ref="N1457:U1457"/>
    <mergeCell ref="N1458:U1458"/>
    <mergeCell ref="M1459:V1459"/>
    <mergeCell ref="M1464:M1465"/>
    <mergeCell ref="N1464:U1464"/>
    <mergeCell ref="N1465:U1465"/>
    <mergeCell ref="M1466:V1466"/>
    <mergeCell ref="M1467:T1467"/>
    <mergeCell ref="U1467:V1467"/>
    <mergeCell ref="M1469:V1469"/>
    <mergeCell ref="M1470:S1470"/>
    <mergeCell ref="U1470:V1470"/>
    <mergeCell ref="M1471:S1471"/>
    <mergeCell ref="U1471:V1471"/>
    <mergeCell ref="M1472:S1472"/>
    <mergeCell ref="U1472:V1472"/>
    <mergeCell ref="M1473:S1473"/>
    <mergeCell ref="U1473:V1473"/>
    <mergeCell ref="M1474:T1474"/>
    <mergeCell ref="U1474:V1474"/>
    <mergeCell ref="U1475:V1475"/>
    <mergeCell ref="M1476:T1476"/>
    <mergeCell ref="U1476:V1476"/>
    <mergeCell ref="M1477:Q1480"/>
    <mergeCell ref="R1477:V1480"/>
    <mergeCell ref="M1481:M1483"/>
    <mergeCell ref="N1481:Q1481"/>
    <mergeCell ref="R1481:R1483"/>
    <mergeCell ref="S1481:V1481"/>
    <mergeCell ref="N1482:Q1482"/>
    <mergeCell ref="S1482:V1482"/>
    <mergeCell ref="N1483:Q1483"/>
    <mergeCell ref="S1483:V1483"/>
    <mergeCell ref="O738:U738"/>
    <mergeCell ref="AB738:AD738"/>
    <mergeCell ref="O739:U739"/>
    <mergeCell ref="M740:V740"/>
    <mergeCell ref="M741:V741"/>
    <mergeCell ref="AB741:AC741"/>
    <mergeCell ref="N742:Q742"/>
    <mergeCell ref="T742:U742"/>
    <mergeCell ref="N743:Q743"/>
    <mergeCell ref="T743:U743"/>
    <mergeCell ref="N744:Q744"/>
    <mergeCell ref="T744:U744"/>
    <mergeCell ref="N745:Q745"/>
    <mergeCell ref="T745:U745"/>
    <mergeCell ref="N746:Q746"/>
    <mergeCell ref="T746:U746"/>
    <mergeCell ref="M747:M748"/>
    <mergeCell ref="N747:U747"/>
    <mergeCell ref="N748:U748"/>
    <mergeCell ref="M749:V749"/>
    <mergeCell ref="AB749:AC749"/>
    <mergeCell ref="N750:Q750"/>
    <mergeCell ref="N751:Q751"/>
    <mergeCell ref="N752:Q752"/>
    <mergeCell ref="N753:Q753"/>
    <mergeCell ref="M754:M755"/>
    <mergeCell ref="N754:U754"/>
    <mergeCell ref="N755:U755"/>
    <mergeCell ref="M756:V756"/>
    <mergeCell ref="N757:P757"/>
    <mergeCell ref="T757:U757"/>
    <mergeCell ref="N758:P758"/>
    <mergeCell ref="T758:U758"/>
    <mergeCell ref="N759:P759"/>
    <mergeCell ref="T759:U759"/>
    <mergeCell ref="N760:P760"/>
    <mergeCell ref="T760:U760"/>
    <mergeCell ref="N761:P761"/>
    <mergeCell ref="T761:U761"/>
    <mergeCell ref="M762:M763"/>
    <mergeCell ref="N762:U762"/>
    <mergeCell ref="N763:U763"/>
    <mergeCell ref="M764:V764"/>
    <mergeCell ref="M769:M770"/>
    <mergeCell ref="N769:U769"/>
    <mergeCell ref="N770:U770"/>
    <mergeCell ref="M771:V771"/>
    <mergeCell ref="M772:T772"/>
    <mergeCell ref="U772:V772"/>
    <mergeCell ref="M774:V774"/>
    <mergeCell ref="M775:S775"/>
    <mergeCell ref="U775:V775"/>
    <mergeCell ref="M776:S776"/>
    <mergeCell ref="U776:V776"/>
    <mergeCell ref="M777:S777"/>
    <mergeCell ref="U777:V777"/>
    <mergeCell ref="M778:S778"/>
    <mergeCell ref="U778:V778"/>
    <mergeCell ref="M779:T779"/>
    <mergeCell ref="U779:V779"/>
    <mergeCell ref="U780:V780"/>
    <mergeCell ref="M781:T781"/>
    <mergeCell ref="U781:V781"/>
    <mergeCell ref="M782:Q785"/>
    <mergeCell ref="R782:V785"/>
    <mergeCell ref="M786:M788"/>
    <mergeCell ref="N786:Q786"/>
    <mergeCell ref="R786:R788"/>
    <mergeCell ref="S786:V786"/>
    <mergeCell ref="N787:Q787"/>
    <mergeCell ref="S787:V787"/>
    <mergeCell ref="N788:Q788"/>
    <mergeCell ref="S788:V78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  <rowBreaks count="26" manualBreakCount="26">
    <brk id="8" min="11" max="22" man="1"/>
    <brk id="9" min="11" max="22" man="1"/>
    <brk id="59" min="11" max="22" man="1"/>
    <brk id="209" min="11" max="22" man="1"/>
    <brk id="309" min="11" max="22" man="1"/>
    <brk id="365" min="11" max="22" man="1"/>
    <brk id="418" min="11" max="22" man="1"/>
    <brk id="471" min="11" max="22" man="1"/>
    <brk id="524" min="11" max="22" man="1"/>
    <brk id="577" min="11" max="22" man="1"/>
    <brk id="630" min="11" max="22" man="1"/>
    <brk id="683" min="11" max="22" man="1"/>
    <brk id="736" min="11" max="22" man="1"/>
    <brk id="789" min="11" max="22" man="1"/>
    <brk id="842" min="11" max="22" man="1"/>
    <brk id="895" min="11" max="22" man="1"/>
    <brk id="953" min="11" max="22" man="1"/>
    <brk id="1007" min="11" max="22" man="1"/>
    <brk id="1060" min="11" max="22" man="1"/>
    <brk id="1113" min="11" max="22" man="1"/>
    <brk id="1166" min="11" max="22" man="1"/>
    <brk id="1219" min="11" max="22" man="1"/>
    <brk id="1272" min="11" max="22" man="1"/>
    <brk id="1325" min="11" max="22" man="1"/>
    <brk id="1378" min="11" max="22" man="1"/>
    <brk id="1431" min="11" max="2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254F-E84E-454F-B0E1-33BB0A0DE4D3}">
  <sheetPr>
    <pageSetUpPr fitToPage="1"/>
  </sheetPr>
  <dimension ref="C3:Q942"/>
  <sheetViews>
    <sheetView view="pageBreakPreview" topLeftCell="C119" zoomScale="90" zoomScaleNormal="60" zoomScaleSheetLayoutView="90" workbookViewId="0">
      <selection activeCell="H220" sqref="H220"/>
    </sheetView>
  </sheetViews>
  <sheetFormatPr baseColWidth="10" defaultColWidth="10.88671875" defaultRowHeight="13.8" x14ac:dyDescent="0.25"/>
  <cols>
    <col min="1" max="1" width="10.88671875" style="270"/>
    <col min="2" max="2" width="2.88671875" style="270" customWidth="1"/>
    <col min="3" max="3" width="10.88671875" style="270"/>
    <col min="4" max="4" width="15.109375" style="270" customWidth="1"/>
    <col min="5" max="6" width="16.88671875" style="270" customWidth="1"/>
    <col min="7" max="7" width="14.109375" style="270" customWidth="1"/>
    <col min="8" max="8" width="14.109375" style="270" bestFit="1" customWidth="1"/>
    <col min="9" max="9" width="18.5546875" style="270" customWidth="1"/>
    <col min="10" max="10" width="14.33203125" style="270" customWidth="1"/>
    <col min="11" max="11" width="15.109375" style="270" customWidth="1"/>
    <col min="12" max="12" width="2.88671875" style="270" customWidth="1"/>
    <col min="13" max="13" width="5.109375" style="270" customWidth="1"/>
    <col min="14" max="14" width="21.6640625" style="270" bestFit="1" customWidth="1"/>
    <col min="15" max="15" width="18.5546875" style="270" bestFit="1" customWidth="1"/>
    <col min="16" max="16" width="3.5546875" style="270" customWidth="1"/>
    <col min="17" max="16384" width="10.88671875" style="270"/>
  </cols>
  <sheetData>
    <row r="3" spans="3:17" ht="20.399999999999999" x14ac:dyDescent="0.25">
      <c r="C3" s="787" t="s">
        <v>145</v>
      </c>
      <c r="D3" s="787"/>
      <c r="E3" s="787"/>
      <c r="F3" s="787"/>
      <c r="G3" s="787"/>
      <c r="H3" s="787"/>
      <c r="I3" s="787"/>
      <c r="J3" s="787"/>
      <c r="K3" s="787"/>
    </row>
    <row r="4" spans="3:17" ht="15" customHeight="1" x14ac:dyDescent="0.25">
      <c r="C4" s="776" t="s">
        <v>130</v>
      </c>
      <c r="D4" s="776"/>
      <c r="E4" s="706" t="str">
        <f>INFORMACION!A12</f>
        <v>ALCALDIA MUNICIPAL DE PINCHOTE</v>
      </c>
      <c r="F4" s="706"/>
      <c r="G4" s="706"/>
      <c r="H4" s="706"/>
      <c r="I4" s="706"/>
      <c r="J4" s="706"/>
      <c r="K4" s="787"/>
    </row>
    <row r="5" spans="3:17" ht="30" customHeight="1" x14ac:dyDescent="0.25">
      <c r="C5" s="805" t="s">
        <v>25</v>
      </c>
      <c r="D5" s="805"/>
      <c r="E5" s="706" t="str">
        <f>INFORMACION!A3</f>
        <v>CONSTRUCCIÓN DE PAVIMENTO EN PIEDRA LABOR Y OPTIMIZACIÓN DE LA RED DE ALCANTARILLADO SANITARIO CALLE 5 ENTRE CARRERA 3 Y 4 DEL CASCO URBANO DEL MUNICIPIO DE PINCHOTE, DEPARTAMENTO DE SANTANDER</v>
      </c>
      <c r="F5" s="706"/>
      <c r="G5" s="706"/>
      <c r="H5" s="706"/>
      <c r="I5" s="706"/>
      <c r="J5" s="706"/>
      <c r="K5" s="787"/>
    </row>
    <row r="6" spans="3:17" x14ac:dyDescent="0.25">
      <c r="C6" s="776" t="s">
        <v>41</v>
      </c>
      <c r="D6" s="776"/>
      <c r="E6" s="706" t="str">
        <f>INFORMACION!$A$6</f>
        <v>PINCHOTE, SANTANDER</v>
      </c>
      <c r="F6" s="706"/>
      <c r="G6" s="706"/>
      <c r="H6" s="706"/>
      <c r="I6" s="314" t="s">
        <v>31</v>
      </c>
      <c r="J6" s="804" t="str">
        <f>INFORMACION!$A$9</f>
        <v>ABRIL DE 2026</v>
      </c>
      <c r="K6" s="706"/>
    </row>
    <row r="8" spans="3:17" x14ac:dyDescent="0.25">
      <c r="C8" s="738" t="s">
        <v>147</v>
      </c>
      <c r="D8" s="738"/>
      <c r="E8" s="738"/>
      <c r="F8" s="738"/>
      <c r="G8" s="738"/>
      <c r="H8" s="738"/>
      <c r="I8" s="738"/>
      <c r="J8" s="738"/>
      <c r="K8" s="738"/>
      <c r="N8" s="326"/>
      <c r="O8" s="430"/>
      <c r="P8" s="348"/>
      <c r="Q8" s="326"/>
    </row>
    <row r="9" spans="3:17" x14ac:dyDescent="0.25">
      <c r="C9" s="503" t="s">
        <v>148</v>
      </c>
      <c r="D9" s="706" t="s">
        <v>98</v>
      </c>
      <c r="E9" s="706"/>
      <c r="F9" s="706"/>
      <c r="G9" s="706"/>
      <c r="H9" s="307" t="s">
        <v>112</v>
      </c>
      <c r="I9" s="504" t="s">
        <v>149</v>
      </c>
      <c r="J9" s="505" t="s">
        <v>107</v>
      </c>
      <c r="K9" s="429" t="s">
        <v>9</v>
      </c>
      <c r="N9" s="429" t="s">
        <v>9</v>
      </c>
      <c r="O9" s="429" t="s">
        <v>151</v>
      </c>
      <c r="P9" s="403"/>
      <c r="Q9" s="429"/>
    </row>
    <row r="10" spans="3:17" x14ac:dyDescent="0.25">
      <c r="C10" s="358">
        <v>1</v>
      </c>
      <c r="D10" s="718" t="s">
        <v>832</v>
      </c>
      <c r="E10" s="718"/>
      <c r="F10" s="718"/>
      <c r="G10" s="718"/>
      <c r="H10" s="314" t="s">
        <v>103</v>
      </c>
      <c r="I10" s="509"/>
      <c r="J10" s="510"/>
      <c r="K10" s="511">
        <f>IFERROR(SUMIFS(APUS!$Z$9:$Z$1486,APUS!N9:$N$1486,INSUMOS!D10),0)</f>
        <v>4407208.7944372501</v>
      </c>
      <c r="N10" s="533">
        <f>IFERROR(SUMIFS(APUS!$Z$10:$Z$62,APUS!$N10:Q$62,INSUMOS!D10),0)</f>
        <v>0</v>
      </c>
      <c r="O10" s="546">
        <f>+N10-K10</f>
        <v>-4407208.7944372501</v>
      </c>
      <c r="P10" s="348"/>
      <c r="Q10" s="341" t="str">
        <f t="shared" ref="Q10:Q73" si="0">+IF(K10=0,"SI","NO")</f>
        <v>NO</v>
      </c>
    </row>
    <row r="11" spans="3:17" hidden="1" x14ac:dyDescent="0.25">
      <c r="C11" s="358">
        <v>2</v>
      </c>
      <c r="D11" s="718" t="s">
        <v>875</v>
      </c>
      <c r="E11" s="718"/>
      <c r="F11" s="718"/>
      <c r="G11" s="718"/>
      <c r="H11" s="314" t="s">
        <v>150</v>
      </c>
      <c r="I11" s="515">
        <v>68000</v>
      </c>
      <c r="J11" s="510">
        <f>SUMIFS(APUS!$Y$9:$Y$1486,APUS!$M$9:$M$1486,INSUMOS!C11)</f>
        <v>0</v>
      </c>
      <c r="K11" s="511">
        <f>+J11*I11</f>
        <v>0</v>
      </c>
      <c r="N11" s="533">
        <f>IFERROR(SUMIFS(APUS!$Z$10:$Z$62,APUS!$N10:Q$62,INSUMOS!D11),0)</f>
        <v>0</v>
      </c>
      <c r="O11" s="546">
        <f t="shared" ref="O11:O74" si="1">+N11-K11</f>
        <v>0</v>
      </c>
      <c r="P11" s="348"/>
      <c r="Q11" s="341" t="str">
        <f t="shared" si="0"/>
        <v>SI</v>
      </c>
    </row>
    <row r="12" spans="3:17" x14ac:dyDescent="0.25">
      <c r="C12" s="358">
        <v>3</v>
      </c>
      <c r="D12" s="718" t="s">
        <v>876</v>
      </c>
      <c r="E12" s="718"/>
      <c r="F12" s="718"/>
      <c r="G12" s="718"/>
      <c r="H12" s="314" t="s">
        <v>912</v>
      </c>
      <c r="I12" s="515">
        <v>80000</v>
      </c>
      <c r="J12" s="510">
        <f>SUMIFS(APUS!$Y$9:$Y$1486,APUS!$M$9:$M$1486,INSUMOS!C12)</f>
        <v>3.4513500000000001</v>
      </c>
      <c r="K12" s="511">
        <f t="shared" ref="K12:K75" si="2">+J12*I12</f>
        <v>276108</v>
      </c>
      <c r="N12" s="533">
        <f>IFERROR(SUMIFS(APUS!$Z$10:$Z$62,APUS!$N10:Q$62,INSUMOS!D12),0)</f>
        <v>0</v>
      </c>
      <c r="O12" s="546">
        <f t="shared" si="1"/>
        <v>-276108</v>
      </c>
      <c r="P12" s="348"/>
      <c r="Q12" s="341" t="str">
        <f t="shared" si="0"/>
        <v>NO</v>
      </c>
    </row>
    <row r="13" spans="3:17" hidden="1" x14ac:dyDescent="0.25">
      <c r="C13" s="358">
        <v>4</v>
      </c>
      <c r="D13" s="718" t="s">
        <v>872</v>
      </c>
      <c r="E13" s="718"/>
      <c r="F13" s="718"/>
      <c r="G13" s="718"/>
      <c r="H13" s="314" t="s">
        <v>150</v>
      </c>
      <c r="I13" s="515">
        <v>45000</v>
      </c>
      <c r="J13" s="510">
        <f>SUMIFS(APUS!$Y$9:$Y$1486,APUS!$M$9:$M$1486,INSUMOS!C13)</f>
        <v>0</v>
      </c>
      <c r="K13" s="511">
        <f t="shared" si="2"/>
        <v>0</v>
      </c>
      <c r="N13" s="533">
        <f>IFERROR(SUMIFS(APUS!$Z$10:$Z$62,APUS!$N10:Q$62,INSUMOS!D13),0)</f>
        <v>0</v>
      </c>
      <c r="O13" s="546">
        <f t="shared" si="1"/>
        <v>0</v>
      </c>
      <c r="P13" s="348"/>
      <c r="Q13" s="341" t="str">
        <f t="shared" si="0"/>
        <v>SI</v>
      </c>
    </row>
    <row r="14" spans="3:17" hidden="1" x14ac:dyDescent="0.25">
      <c r="C14" s="358">
        <v>5</v>
      </c>
      <c r="D14" s="718" t="s">
        <v>877</v>
      </c>
      <c r="E14" s="718"/>
      <c r="F14" s="718"/>
      <c r="G14" s="718"/>
      <c r="H14" s="314" t="s">
        <v>150</v>
      </c>
      <c r="I14" s="515">
        <v>180000</v>
      </c>
      <c r="J14" s="510">
        <f>SUMIFS(APUS!$Y$9:$Y$1486,APUS!$M$9:$M$1486,INSUMOS!C14)</f>
        <v>0</v>
      </c>
      <c r="K14" s="511">
        <f t="shared" si="2"/>
        <v>0</v>
      </c>
      <c r="N14" s="533">
        <f>IFERROR(SUMIFS(APUS!$Z$10:$Z$62,APUS!$N10:Q$62,INSUMOS!D14),0)</f>
        <v>0</v>
      </c>
      <c r="O14" s="546">
        <f t="shared" si="1"/>
        <v>0</v>
      </c>
      <c r="P14" s="348"/>
      <c r="Q14" s="341" t="str">
        <f t="shared" si="0"/>
        <v>SI</v>
      </c>
    </row>
    <row r="15" spans="3:17" x14ac:dyDescent="0.25">
      <c r="C15" s="358">
        <v>6</v>
      </c>
      <c r="D15" s="718" t="s">
        <v>878</v>
      </c>
      <c r="E15" s="718"/>
      <c r="F15" s="718"/>
      <c r="G15" s="718"/>
      <c r="H15" s="314" t="s">
        <v>150</v>
      </c>
      <c r="I15" s="515">
        <v>80000</v>
      </c>
      <c r="J15" s="510">
        <f>SUMIFS(APUS!$Y$9:$Y$1486,APUS!$M$9:$M$1486,INSUMOS!C15)</f>
        <v>3.9345389999999996</v>
      </c>
      <c r="K15" s="511">
        <f t="shared" si="2"/>
        <v>314763.11999999994</v>
      </c>
      <c r="N15" s="533">
        <f>IFERROR(SUMIFS(APUS!$Z$10:$Z$62,APUS!$N10:Q$62,INSUMOS!D15),0)</f>
        <v>0</v>
      </c>
      <c r="O15" s="546">
        <f t="shared" si="1"/>
        <v>-314763.11999999994</v>
      </c>
      <c r="P15" s="348"/>
      <c r="Q15" s="341" t="str">
        <f t="shared" si="0"/>
        <v>NO</v>
      </c>
    </row>
    <row r="16" spans="3:17" hidden="1" x14ac:dyDescent="0.25">
      <c r="C16" s="358">
        <v>7</v>
      </c>
      <c r="D16" s="718" t="s">
        <v>839</v>
      </c>
      <c r="E16" s="718"/>
      <c r="F16" s="718"/>
      <c r="G16" s="718"/>
      <c r="H16" s="314" t="s">
        <v>150</v>
      </c>
      <c r="I16" s="515">
        <v>70000</v>
      </c>
      <c r="J16" s="510">
        <f>SUMIFS(APUS!$Y$9:$Y$1486,APUS!$M$9:$M$1486,INSUMOS!C16)</f>
        <v>0</v>
      </c>
      <c r="K16" s="511">
        <f t="shared" si="2"/>
        <v>0</v>
      </c>
      <c r="N16" s="533">
        <f>IFERROR(SUMIFS(APUS!$Z$10:$Z$62,APUS!$N10:Q$62,INSUMOS!D16),0)</f>
        <v>0</v>
      </c>
      <c r="O16" s="546">
        <f t="shared" si="1"/>
        <v>0</v>
      </c>
      <c r="P16" s="348"/>
      <c r="Q16" s="341" t="str">
        <f t="shared" si="0"/>
        <v>SI</v>
      </c>
    </row>
    <row r="17" spans="3:17" x14ac:dyDescent="0.25">
      <c r="C17" s="358">
        <v>8</v>
      </c>
      <c r="D17" s="718" t="s">
        <v>845</v>
      </c>
      <c r="E17" s="718"/>
      <c r="F17" s="718"/>
      <c r="G17" s="718"/>
      <c r="H17" s="314" t="s">
        <v>150</v>
      </c>
      <c r="I17" s="515">
        <v>70000</v>
      </c>
      <c r="J17" s="510">
        <f>SUMIFS(APUS!$Y$9:$Y$1486,APUS!$M$9:$M$1486,INSUMOS!C17)</f>
        <v>7.2020025000000008</v>
      </c>
      <c r="K17" s="511">
        <f t="shared" si="2"/>
        <v>504140.17500000005</v>
      </c>
      <c r="N17" s="533">
        <f>IFERROR(SUMIFS(APUS!$Z$10:$Z$62,APUS!$N10:Q$62,INSUMOS!D17),0)</f>
        <v>0</v>
      </c>
      <c r="O17" s="546">
        <f t="shared" si="1"/>
        <v>-504140.17500000005</v>
      </c>
      <c r="P17" s="348"/>
      <c r="Q17" s="341" t="str">
        <f t="shared" si="0"/>
        <v>NO</v>
      </c>
    </row>
    <row r="18" spans="3:17" hidden="1" x14ac:dyDescent="0.25">
      <c r="C18" s="358">
        <v>9</v>
      </c>
      <c r="D18" s="718" t="s">
        <v>879</v>
      </c>
      <c r="E18" s="718"/>
      <c r="F18" s="718"/>
      <c r="G18" s="718"/>
      <c r="H18" s="314" t="s">
        <v>150</v>
      </c>
      <c r="I18" s="515">
        <v>25000</v>
      </c>
      <c r="J18" s="510">
        <f>SUMIFS(APUS!$Y$9:$Y$1486,APUS!$M$9:$M$1486,INSUMOS!C18)</f>
        <v>0</v>
      </c>
      <c r="K18" s="511">
        <f t="shared" si="2"/>
        <v>0</v>
      </c>
      <c r="N18" s="533">
        <f>IFERROR(SUMIFS(APUS!$Z$10:$Z$62,APUS!$N10:Q$62,INSUMOS!D18),0)</f>
        <v>0</v>
      </c>
      <c r="O18" s="546">
        <f t="shared" si="1"/>
        <v>0</v>
      </c>
      <c r="P18" s="348"/>
      <c r="Q18" s="341" t="str">
        <f t="shared" si="0"/>
        <v>SI</v>
      </c>
    </row>
    <row r="19" spans="3:17" hidden="1" x14ac:dyDescent="0.25">
      <c r="C19" s="358">
        <v>10</v>
      </c>
      <c r="D19" s="718" t="s">
        <v>831</v>
      </c>
      <c r="E19" s="718"/>
      <c r="F19" s="718"/>
      <c r="G19" s="718"/>
      <c r="H19" s="314" t="s">
        <v>150</v>
      </c>
      <c r="I19" s="515">
        <v>3500</v>
      </c>
      <c r="J19" s="510">
        <f>SUMIFS(APUS!$Y$9:$Y$1486,APUS!$M$9:$M$1486,INSUMOS!C19)</f>
        <v>0</v>
      </c>
      <c r="K19" s="511">
        <f t="shared" si="2"/>
        <v>0</v>
      </c>
      <c r="N19" s="533">
        <f>IFERROR(SUMIFS(APUS!$Z$10:$Z$62,APUS!$N10:Q$62,INSUMOS!D19),0)</f>
        <v>0</v>
      </c>
      <c r="O19" s="546">
        <f t="shared" si="1"/>
        <v>0</v>
      </c>
      <c r="P19" s="348"/>
      <c r="Q19" s="341" t="str">
        <f t="shared" si="0"/>
        <v>SI</v>
      </c>
    </row>
    <row r="20" spans="3:17" hidden="1" x14ac:dyDescent="0.25">
      <c r="C20" s="358">
        <v>11</v>
      </c>
      <c r="D20" s="718" t="s">
        <v>880</v>
      </c>
      <c r="E20" s="718"/>
      <c r="F20" s="718"/>
      <c r="G20" s="718"/>
      <c r="H20" s="314" t="s">
        <v>150</v>
      </c>
      <c r="I20" s="515">
        <v>9500</v>
      </c>
      <c r="J20" s="510">
        <f>SUMIFS(APUS!$Y$9:$Y$1486,APUS!$M$9:$M$1486,INSUMOS!C20)</f>
        <v>0</v>
      </c>
      <c r="K20" s="511">
        <f t="shared" si="2"/>
        <v>0</v>
      </c>
      <c r="N20" s="533">
        <f>IFERROR(SUMIFS(APUS!$Z$10:$Z$62,APUS!$N10:Q$62,INSUMOS!D20),0)</f>
        <v>0</v>
      </c>
      <c r="O20" s="546">
        <f t="shared" si="1"/>
        <v>0</v>
      </c>
      <c r="P20" s="348"/>
      <c r="Q20" s="341" t="str">
        <f t="shared" si="0"/>
        <v>SI</v>
      </c>
    </row>
    <row r="21" spans="3:17" hidden="1" x14ac:dyDescent="0.25">
      <c r="C21" s="358">
        <v>12</v>
      </c>
      <c r="D21" s="718" t="s">
        <v>881</v>
      </c>
      <c r="E21" s="718"/>
      <c r="F21" s="718"/>
      <c r="G21" s="718"/>
      <c r="H21" s="314" t="s">
        <v>150</v>
      </c>
      <c r="I21" s="515">
        <v>9500</v>
      </c>
      <c r="J21" s="510">
        <f>SUMIFS(APUS!$Y$9:$Y$1486,APUS!$M$9:$M$1486,INSUMOS!C21)</f>
        <v>0</v>
      </c>
      <c r="K21" s="511">
        <f t="shared" si="2"/>
        <v>0</v>
      </c>
      <c r="N21" s="533">
        <f>IFERROR(SUMIFS(APUS!$Z$10:$Z$62,APUS!$N10:Q$62,INSUMOS!D21),0)</f>
        <v>0</v>
      </c>
      <c r="O21" s="546">
        <f t="shared" si="1"/>
        <v>0</v>
      </c>
      <c r="P21" s="348"/>
      <c r="Q21" s="341" t="str">
        <f t="shared" si="0"/>
        <v>SI</v>
      </c>
    </row>
    <row r="22" spans="3:17" hidden="1" x14ac:dyDescent="0.25">
      <c r="C22" s="358">
        <v>13</v>
      </c>
      <c r="D22" s="718" t="s">
        <v>882</v>
      </c>
      <c r="E22" s="718"/>
      <c r="F22" s="718"/>
      <c r="G22" s="718"/>
      <c r="H22" s="314" t="s">
        <v>150</v>
      </c>
      <c r="I22" s="515">
        <v>7500</v>
      </c>
      <c r="J22" s="510">
        <f>SUMIFS(APUS!$Y$9:$Y$1486,APUS!$M$9:$M$1486,INSUMOS!C22)</f>
        <v>0</v>
      </c>
      <c r="K22" s="511">
        <f t="shared" si="2"/>
        <v>0</v>
      </c>
      <c r="N22" s="533">
        <f>IFERROR(SUMIFS(APUS!$Z$10:$Z$62,APUS!$N10:Q$62,INSUMOS!D22),0)</f>
        <v>0</v>
      </c>
      <c r="O22" s="546">
        <f t="shared" si="1"/>
        <v>0</v>
      </c>
      <c r="P22" s="348"/>
      <c r="Q22" s="341" t="str">
        <f t="shared" si="0"/>
        <v>SI</v>
      </c>
    </row>
    <row r="23" spans="3:17" hidden="1" x14ac:dyDescent="0.25">
      <c r="C23" s="358">
        <v>14</v>
      </c>
      <c r="D23" s="718" t="s">
        <v>883</v>
      </c>
      <c r="E23" s="718"/>
      <c r="F23" s="718"/>
      <c r="G23" s="718"/>
      <c r="H23" s="314" t="s">
        <v>150</v>
      </c>
      <c r="I23" s="515">
        <v>7500</v>
      </c>
      <c r="J23" s="510">
        <f>SUMIFS(APUS!$Y$9:$Y$1486,APUS!$M$9:$M$1486,INSUMOS!C23)</f>
        <v>0</v>
      </c>
      <c r="K23" s="511">
        <f t="shared" si="2"/>
        <v>0</v>
      </c>
      <c r="N23" s="533">
        <f>IFERROR(SUMIFS(APUS!$Z$10:$Z$62,APUS!$N10:Q$62,INSUMOS!D23),0)</f>
        <v>0</v>
      </c>
      <c r="O23" s="546">
        <f t="shared" si="1"/>
        <v>0</v>
      </c>
      <c r="P23" s="348"/>
      <c r="Q23" s="341" t="str">
        <f t="shared" si="0"/>
        <v>SI</v>
      </c>
    </row>
    <row r="24" spans="3:17" hidden="1" x14ac:dyDescent="0.25">
      <c r="C24" s="358">
        <v>15</v>
      </c>
      <c r="D24" s="718" t="s">
        <v>884</v>
      </c>
      <c r="E24" s="718"/>
      <c r="F24" s="718"/>
      <c r="G24" s="718"/>
      <c r="H24" s="314" t="s">
        <v>150</v>
      </c>
      <c r="I24" s="515">
        <v>6500</v>
      </c>
      <c r="J24" s="510">
        <f>SUMIFS(APUS!$Y$9:$Y$1486,APUS!$M$9:$M$1486,INSUMOS!C24)</f>
        <v>0</v>
      </c>
      <c r="K24" s="511">
        <f t="shared" si="2"/>
        <v>0</v>
      </c>
      <c r="N24" s="533">
        <f>IFERROR(SUMIFS(APUS!$Z$10:$Z$62,APUS!$N10:Q$62,INSUMOS!D24),0)</f>
        <v>0</v>
      </c>
      <c r="O24" s="546">
        <f t="shared" si="1"/>
        <v>0</v>
      </c>
      <c r="P24" s="348"/>
      <c r="Q24" s="341" t="str">
        <f t="shared" si="0"/>
        <v>SI</v>
      </c>
    </row>
    <row r="25" spans="3:17" hidden="1" x14ac:dyDescent="0.25">
      <c r="C25" s="358">
        <v>16</v>
      </c>
      <c r="D25" s="718" t="s">
        <v>564</v>
      </c>
      <c r="E25" s="718"/>
      <c r="F25" s="718"/>
      <c r="G25" s="718"/>
      <c r="H25" s="314" t="s">
        <v>150</v>
      </c>
      <c r="I25" s="515">
        <v>4500</v>
      </c>
      <c r="J25" s="510">
        <f>SUMIFS(APUS!$Y$9:$Y$1486,APUS!$M$9:$M$1486,INSUMOS!C25)</f>
        <v>0</v>
      </c>
      <c r="K25" s="511">
        <f t="shared" si="2"/>
        <v>0</v>
      </c>
      <c r="N25" s="533">
        <f>IFERROR(SUMIFS(APUS!$Z$10:$Z$62,APUS!$N10:Q$62,INSUMOS!D25),0)</f>
        <v>0</v>
      </c>
      <c r="O25" s="546">
        <f t="shared" si="1"/>
        <v>0</v>
      </c>
      <c r="P25" s="348"/>
      <c r="Q25" s="341" t="str">
        <f t="shared" si="0"/>
        <v>SI</v>
      </c>
    </row>
    <row r="26" spans="3:17" hidden="1" x14ac:dyDescent="0.25">
      <c r="C26" s="358">
        <v>17</v>
      </c>
      <c r="D26" s="718" t="s">
        <v>592</v>
      </c>
      <c r="E26" s="718"/>
      <c r="F26" s="718"/>
      <c r="G26" s="718"/>
      <c r="H26" s="314" t="s">
        <v>150</v>
      </c>
      <c r="I26" s="515">
        <v>4500</v>
      </c>
      <c r="J26" s="510">
        <f>SUMIFS(APUS!$Y$9:$Y$1486,APUS!$M$9:$M$1486,INSUMOS!C26)</f>
        <v>0</v>
      </c>
      <c r="K26" s="511">
        <f t="shared" si="2"/>
        <v>0</v>
      </c>
      <c r="N26" s="533">
        <f>IFERROR(SUMIFS(APUS!$Z$10:$Z$62,APUS!$N10:Q$62,INSUMOS!D26),0)</f>
        <v>0</v>
      </c>
      <c r="O26" s="546">
        <f t="shared" si="1"/>
        <v>0</v>
      </c>
      <c r="P26" s="348"/>
      <c r="Q26" s="341" t="str">
        <f t="shared" si="0"/>
        <v>SI</v>
      </c>
    </row>
    <row r="27" spans="3:17" hidden="1" x14ac:dyDescent="0.25">
      <c r="C27" s="358">
        <v>18</v>
      </c>
      <c r="D27" s="718" t="s">
        <v>601</v>
      </c>
      <c r="E27" s="718"/>
      <c r="F27" s="718"/>
      <c r="G27" s="718"/>
      <c r="H27" s="314" t="s">
        <v>150</v>
      </c>
      <c r="I27" s="515">
        <v>13500</v>
      </c>
      <c r="J27" s="510">
        <f>SUMIFS(APUS!$Y$9:$Y$1486,APUS!$M$9:$M$1486,INSUMOS!C27)</f>
        <v>0</v>
      </c>
      <c r="K27" s="511">
        <f t="shared" si="2"/>
        <v>0</v>
      </c>
      <c r="N27" s="533">
        <f>IFERROR(SUMIFS(APUS!$Z$10:$Z$62,APUS!$N10:Q$62,INSUMOS!D27),0)</f>
        <v>0</v>
      </c>
      <c r="O27" s="546">
        <f t="shared" si="1"/>
        <v>0</v>
      </c>
      <c r="P27" s="348"/>
      <c r="Q27" s="341" t="str">
        <f t="shared" si="0"/>
        <v>SI</v>
      </c>
    </row>
    <row r="28" spans="3:17" hidden="1" x14ac:dyDescent="0.25">
      <c r="C28" s="358">
        <v>19</v>
      </c>
      <c r="D28" s="718" t="s">
        <v>636</v>
      </c>
      <c r="E28" s="718"/>
      <c r="F28" s="718"/>
      <c r="G28" s="718"/>
      <c r="H28" s="314" t="s">
        <v>150</v>
      </c>
      <c r="I28" s="515">
        <v>62500</v>
      </c>
      <c r="J28" s="510">
        <f>SUMIFS(APUS!$Y$9:$Y$1486,APUS!$M$9:$M$1486,INSUMOS!C28)</f>
        <v>0</v>
      </c>
      <c r="K28" s="511">
        <f t="shared" si="2"/>
        <v>0</v>
      </c>
      <c r="N28" s="533">
        <f>IFERROR(SUMIFS(APUS!$Z$10:$Z$62,APUS!$N10:Q$62,INSUMOS!D28),0)</f>
        <v>0</v>
      </c>
      <c r="O28" s="546">
        <f t="shared" si="1"/>
        <v>0</v>
      </c>
      <c r="P28" s="348"/>
      <c r="Q28" s="341" t="str">
        <f t="shared" si="0"/>
        <v>SI</v>
      </c>
    </row>
    <row r="29" spans="3:17" hidden="1" x14ac:dyDescent="0.25">
      <c r="C29" s="358">
        <v>20</v>
      </c>
      <c r="D29" s="718" t="s">
        <v>631</v>
      </c>
      <c r="E29" s="718"/>
      <c r="F29" s="718"/>
      <c r="G29" s="718"/>
      <c r="H29" s="314" t="s">
        <v>150</v>
      </c>
      <c r="I29" s="515">
        <v>8000</v>
      </c>
      <c r="J29" s="510">
        <f>SUMIFS(APUS!$Y$9:$Y$1486,APUS!$M$9:$M$1486,INSUMOS!C29)</f>
        <v>0</v>
      </c>
      <c r="K29" s="511">
        <f t="shared" si="2"/>
        <v>0</v>
      </c>
      <c r="N29" s="533">
        <f>IFERROR(SUMIFS(APUS!$Z$10:$Z$62,APUS!$N10:Q$62,INSUMOS!D29),0)</f>
        <v>0</v>
      </c>
      <c r="O29" s="546">
        <f t="shared" si="1"/>
        <v>0</v>
      </c>
      <c r="P29" s="348"/>
      <c r="Q29" s="341" t="str">
        <f t="shared" si="0"/>
        <v>SI</v>
      </c>
    </row>
    <row r="30" spans="3:17" hidden="1" x14ac:dyDescent="0.25">
      <c r="C30" s="358">
        <v>21</v>
      </c>
      <c r="D30" s="718" t="s">
        <v>724</v>
      </c>
      <c r="E30" s="718"/>
      <c r="F30" s="718"/>
      <c r="G30" s="718"/>
      <c r="H30" s="314" t="s">
        <v>150</v>
      </c>
      <c r="I30" s="515">
        <v>150000</v>
      </c>
      <c r="J30" s="510">
        <f>SUMIFS(APUS!$Y$9:$Y$1486,APUS!$M$9:$M$1486,INSUMOS!C30)</f>
        <v>0</v>
      </c>
      <c r="K30" s="511">
        <f t="shared" si="2"/>
        <v>0</v>
      </c>
      <c r="N30" s="533">
        <f>IFERROR(SUMIFS(APUS!$Z$10:$Z$62,APUS!$N10:Q$62,INSUMOS!D30),0)</f>
        <v>0</v>
      </c>
      <c r="O30" s="546">
        <f t="shared" si="1"/>
        <v>0</v>
      </c>
      <c r="P30" s="348"/>
      <c r="Q30" s="341" t="str">
        <f t="shared" si="0"/>
        <v>SI</v>
      </c>
    </row>
    <row r="31" spans="3:17" hidden="1" x14ac:dyDescent="0.25">
      <c r="C31" s="358">
        <v>22</v>
      </c>
      <c r="D31" s="718" t="s">
        <v>861</v>
      </c>
      <c r="E31" s="718"/>
      <c r="F31" s="718"/>
      <c r="G31" s="718"/>
      <c r="H31" s="314" t="s">
        <v>150</v>
      </c>
      <c r="I31" s="515">
        <v>60000</v>
      </c>
      <c r="J31" s="510">
        <f>SUMIFS(APUS!$Y$9:$Y$1486,APUS!$M$9:$M$1486,INSUMOS!C31)</f>
        <v>0</v>
      </c>
      <c r="K31" s="511">
        <f t="shared" si="2"/>
        <v>0</v>
      </c>
      <c r="N31" s="533">
        <f>IFERROR(SUMIFS(APUS!$Z$10:$Z$62,APUS!$N10:Q$62,INSUMOS!D31),0)</f>
        <v>0</v>
      </c>
      <c r="O31" s="546">
        <f t="shared" si="1"/>
        <v>0</v>
      </c>
      <c r="P31" s="348"/>
      <c r="Q31" s="341" t="str">
        <f t="shared" si="0"/>
        <v>SI</v>
      </c>
    </row>
    <row r="32" spans="3:17" hidden="1" x14ac:dyDescent="0.25">
      <c r="C32" s="358">
        <v>23</v>
      </c>
      <c r="D32" s="718" t="s">
        <v>378</v>
      </c>
      <c r="E32" s="718"/>
      <c r="F32" s="718"/>
      <c r="G32" s="718"/>
      <c r="H32" s="314" t="s">
        <v>150</v>
      </c>
      <c r="I32" s="515">
        <v>50000</v>
      </c>
      <c r="J32" s="510">
        <f>SUMIFS(APUS!$Y$9:$Y$1486,APUS!$M$9:$M$1486,INSUMOS!C32)</f>
        <v>0</v>
      </c>
      <c r="K32" s="511">
        <f t="shared" si="2"/>
        <v>0</v>
      </c>
      <c r="N32" s="533">
        <f>IFERROR(SUMIFS(APUS!$Z$10:$Z$62,APUS!$N10:Q$62,INSUMOS!D32),0)</f>
        <v>0</v>
      </c>
      <c r="O32" s="546">
        <f t="shared" si="1"/>
        <v>0</v>
      </c>
      <c r="P32" s="348"/>
      <c r="Q32" s="341" t="str">
        <f t="shared" si="0"/>
        <v>SI</v>
      </c>
    </row>
    <row r="33" spans="3:17" hidden="1" x14ac:dyDescent="0.25">
      <c r="C33" s="358">
        <v>24</v>
      </c>
      <c r="D33" s="718" t="s">
        <v>640</v>
      </c>
      <c r="E33" s="718"/>
      <c r="F33" s="718"/>
      <c r="G33" s="718"/>
      <c r="H33" s="314" t="s">
        <v>150</v>
      </c>
      <c r="I33" s="515">
        <v>68000</v>
      </c>
      <c r="J33" s="510">
        <f>SUMIFS(APUS!$Y$9:$Y$1486,APUS!$M$9:$M$1486,INSUMOS!C33)</f>
        <v>0</v>
      </c>
      <c r="K33" s="511">
        <f t="shared" si="2"/>
        <v>0</v>
      </c>
      <c r="N33" s="533">
        <f>IFERROR(SUMIFS(APUS!$Z$10:$Z$62,APUS!$N10:Q$62,INSUMOS!D33),0)</f>
        <v>0</v>
      </c>
      <c r="O33" s="546">
        <f t="shared" si="1"/>
        <v>0</v>
      </c>
      <c r="Q33" s="341" t="str">
        <f t="shared" si="0"/>
        <v>SI</v>
      </c>
    </row>
    <row r="34" spans="3:17" hidden="1" x14ac:dyDescent="0.25">
      <c r="C34" s="358">
        <v>25</v>
      </c>
      <c r="D34" s="718" t="s">
        <v>838</v>
      </c>
      <c r="E34" s="718"/>
      <c r="F34" s="718"/>
      <c r="G34" s="718"/>
      <c r="H34" s="314" t="s">
        <v>150</v>
      </c>
      <c r="I34" s="515">
        <v>75000</v>
      </c>
      <c r="J34" s="510">
        <f>SUMIFS(APUS!$Y$9:$Y$1486,APUS!$M$9:$M$1486,INSUMOS!C34)</f>
        <v>0</v>
      </c>
      <c r="K34" s="511">
        <f t="shared" si="2"/>
        <v>0</v>
      </c>
      <c r="N34" s="533">
        <f>IFERROR(SUMIFS(APUS!$Z$10:$Z$62,APUS!$N10:Q$62,INSUMOS!D34),0)</f>
        <v>0</v>
      </c>
      <c r="O34" s="546">
        <f t="shared" si="1"/>
        <v>0</v>
      </c>
      <c r="Q34" s="341" t="str">
        <f t="shared" si="0"/>
        <v>SI</v>
      </c>
    </row>
    <row r="35" spans="3:17" hidden="1" x14ac:dyDescent="0.25">
      <c r="C35" s="358">
        <v>26</v>
      </c>
      <c r="D35" s="718" t="s">
        <v>634</v>
      </c>
      <c r="E35" s="718"/>
      <c r="F35" s="718"/>
      <c r="G35" s="718"/>
      <c r="H35" s="516" t="s">
        <v>552</v>
      </c>
      <c r="I35" s="515">
        <v>75000</v>
      </c>
      <c r="J35" s="510">
        <f>SUMIFS(APUS!$Y$9:$Y$1486,APUS!$M$9:$M$1486,INSUMOS!C35)</f>
        <v>0</v>
      </c>
      <c r="K35" s="511">
        <f t="shared" si="2"/>
        <v>0</v>
      </c>
      <c r="N35" s="533">
        <f>IFERROR(SUMIFS(APUS!$Z$10:$Z$62,APUS!$N10:Q$62,INSUMOS!D35),0)</f>
        <v>0</v>
      </c>
      <c r="O35" s="546">
        <f t="shared" si="1"/>
        <v>0</v>
      </c>
      <c r="Q35" s="341" t="str">
        <f t="shared" si="0"/>
        <v>SI</v>
      </c>
    </row>
    <row r="36" spans="3:17" hidden="1" x14ac:dyDescent="0.25">
      <c r="C36" s="358">
        <v>27</v>
      </c>
      <c r="D36" s="718" t="s">
        <v>626</v>
      </c>
      <c r="E36" s="718"/>
      <c r="F36" s="718"/>
      <c r="G36" s="718"/>
      <c r="H36" s="516" t="s">
        <v>552</v>
      </c>
      <c r="I36" s="515">
        <v>100000</v>
      </c>
      <c r="J36" s="510">
        <f>SUMIFS(APUS!$Y$9:$Y$1486,APUS!$M$9:$M$1486,INSUMOS!C36)</f>
        <v>0</v>
      </c>
      <c r="K36" s="511">
        <f t="shared" si="2"/>
        <v>0</v>
      </c>
      <c r="N36" s="533">
        <f>IFERROR(SUMIFS(APUS!$Z$10:$Z$62,APUS!$N10:Q$62,INSUMOS!D36),0)</f>
        <v>0</v>
      </c>
      <c r="O36" s="546">
        <f t="shared" si="1"/>
        <v>0</v>
      </c>
      <c r="Q36" s="341" t="str">
        <f t="shared" si="0"/>
        <v>SI</v>
      </c>
    </row>
    <row r="37" spans="3:17" hidden="1" x14ac:dyDescent="0.25">
      <c r="C37" s="358">
        <v>28</v>
      </c>
      <c r="D37" s="718" t="s">
        <v>551</v>
      </c>
      <c r="E37" s="718"/>
      <c r="F37" s="718"/>
      <c r="G37" s="718"/>
      <c r="H37" s="516" t="s">
        <v>552</v>
      </c>
      <c r="I37" s="515">
        <v>125000</v>
      </c>
      <c r="J37" s="510">
        <f>SUMIFS(APUS!$Y$9:$Y$1486,APUS!$M$9:$M$1486,INSUMOS!C37)</f>
        <v>0</v>
      </c>
      <c r="K37" s="511">
        <f t="shared" si="2"/>
        <v>0</v>
      </c>
      <c r="N37" s="533">
        <f>IFERROR(SUMIFS(APUS!$Z$10:$Z$62,APUS!$N10:Q$62,INSUMOS!D37),0)</f>
        <v>0</v>
      </c>
      <c r="O37" s="546">
        <f t="shared" si="1"/>
        <v>0</v>
      </c>
      <c r="Q37" s="341" t="str">
        <f t="shared" si="0"/>
        <v>SI</v>
      </c>
    </row>
    <row r="38" spans="3:17" x14ac:dyDescent="0.25">
      <c r="C38" s="358">
        <v>29</v>
      </c>
      <c r="D38" s="718" t="s">
        <v>920</v>
      </c>
      <c r="E38" s="718"/>
      <c r="F38" s="718"/>
      <c r="G38" s="718"/>
      <c r="H38" s="314" t="s">
        <v>552</v>
      </c>
      <c r="I38" s="515">
        <v>165000</v>
      </c>
      <c r="J38" s="510">
        <f>SUMIFS(APUS!$Y$9:$Y$1486,APUS!$M$9:$M$1486,INSUMOS!C38)</f>
        <v>18.93</v>
      </c>
      <c r="K38" s="511">
        <f t="shared" si="2"/>
        <v>3123450</v>
      </c>
      <c r="N38" s="533">
        <f>IFERROR(SUMIFS(APUS!$Z$10:$Z$62,APUS!$N10:Q$62,INSUMOS!D38),0)</f>
        <v>0</v>
      </c>
      <c r="O38" s="546">
        <f t="shared" si="1"/>
        <v>-3123450</v>
      </c>
      <c r="Q38" s="341" t="str">
        <f t="shared" si="0"/>
        <v>NO</v>
      </c>
    </row>
    <row r="39" spans="3:17" x14ac:dyDescent="0.25">
      <c r="C39" s="358">
        <v>30</v>
      </c>
      <c r="D39" s="718" t="s">
        <v>911</v>
      </c>
      <c r="E39" s="718"/>
      <c r="F39" s="718"/>
      <c r="G39" s="718"/>
      <c r="H39" s="314" t="s">
        <v>552</v>
      </c>
      <c r="I39" s="515">
        <v>190000</v>
      </c>
      <c r="J39" s="510">
        <f>SUMIFS(APUS!$Y$9:$Y$1486,APUS!$M$9:$M$1486,INSUMOS!C39)</f>
        <v>75.979319999999987</v>
      </c>
      <c r="K39" s="511">
        <f t="shared" si="2"/>
        <v>14436070.799999997</v>
      </c>
      <c r="N39" s="533">
        <f>IFERROR(SUMIFS(APUS!$Z$10:$Z$62,APUS!$N10:Q$62,INSUMOS!D39),0)</f>
        <v>0</v>
      </c>
      <c r="O39" s="546">
        <f t="shared" si="1"/>
        <v>-14436070.799999997</v>
      </c>
      <c r="Q39" s="341" t="str">
        <f t="shared" si="0"/>
        <v>NO</v>
      </c>
    </row>
    <row r="40" spans="3:17" hidden="1" x14ac:dyDescent="0.25">
      <c r="C40" s="358">
        <v>31</v>
      </c>
      <c r="D40" s="718" t="s">
        <v>558</v>
      </c>
      <c r="E40" s="718"/>
      <c r="F40" s="718"/>
      <c r="G40" s="718"/>
      <c r="H40" s="314" t="s">
        <v>552</v>
      </c>
      <c r="I40" s="515">
        <v>350000</v>
      </c>
      <c r="J40" s="510">
        <f>SUMIFS(APUS!$Y$9:$Y$1486,APUS!$M$9:$M$1486,INSUMOS!C40)</f>
        <v>0</v>
      </c>
      <c r="K40" s="511">
        <f t="shared" si="2"/>
        <v>0</v>
      </c>
      <c r="N40" s="533">
        <f>IFERROR(SUMIFS(APUS!$Z$10:$Z$62,APUS!$N10:Q$62,INSUMOS!D40),0)</f>
        <v>0</v>
      </c>
      <c r="O40" s="546">
        <f t="shared" si="1"/>
        <v>0</v>
      </c>
      <c r="Q40" s="341" t="str">
        <f t="shared" si="0"/>
        <v>SI</v>
      </c>
    </row>
    <row r="41" spans="3:17" hidden="1" x14ac:dyDescent="0.25">
      <c r="C41" s="358">
        <v>32</v>
      </c>
      <c r="D41" s="718" t="s">
        <v>639</v>
      </c>
      <c r="E41" s="718"/>
      <c r="F41" s="718"/>
      <c r="G41" s="718"/>
      <c r="H41" s="314" t="s">
        <v>552</v>
      </c>
      <c r="I41" s="515">
        <v>125000</v>
      </c>
      <c r="J41" s="510">
        <f>SUMIFS(APUS!$Y$9:$Y$1486,APUS!$M$9:$M$1486,INSUMOS!C41)</f>
        <v>0</v>
      </c>
      <c r="K41" s="511">
        <f t="shared" si="2"/>
        <v>0</v>
      </c>
      <c r="N41" s="533">
        <f>IFERROR(SUMIFS(APUS!$Z$10:$Z$62,APUS!$N10:Q$62,INSUMOS!D41),0)</f>
        <v>0</v>
      </c>
      <c r="O41" s="546">
        <f t="shared" si="1"/>
        <v>0</v>
      </c>
      <c r="Q41" s="341" t="str">
        <f t="shared" si="0"/>
        <v>SI</v>
      </c>
    </row>
    <row r="42" spans="3:17" hidden="1" x14ac:dyDescent="0.25">
      <c r="C42" s="358">
        <v>33</v>
      </c>
      <c r="D42" s="791" t="s">
        <v>850</v>
      </c>
      <c r="E42" s="791"/>
      <c r="F42" s="791"/>
      <c r="G42" s="791"/>
      <c r="H42" s="314" t="s">
        <v>150</v>
      </c>
      <c r="I42" s="515">
        <v>75000</v>
      </c>
      <c r="J42" s="510">
        <f>SUMIFS(APUS!$Y$9:$Y$1486,APUS!$M$9:$M$1486,INSUMOS!C42)</f>
        <v>0</v>
      </c>
      <c r="K42" s="511">
        <f t="shared" si="2"/>
        <v>0</v>
      </c>
      <c r="N42" s="533">
        <f>IFERROR(SUMIFS(APUS!$Z$10:$Z$62,APUS!$N10:Q$62,INSUMOS!D42),0)</f>
        <v>0</v>
      </c>
      <c r="O42" s="546">
        <f t="shared" si="1"/>
        <v>0</v>
      </c>
      <c r="Q42" s="341" t="str">
        <f t="shared" si="0"/>
        <v>SI</v>
      </c>
    </row>
    <row r="43" spans="3:17" hidden="1" x14ac:dyDescent="0.25">
      <c r="C43" s="358">
        <v>34</v>
      </c>
      <c r="D43" s="791" t="s">
        <v>869</v>
      </c>
      <c r="E43" s="791"/>
      <c r="F43" s="791"/>
      <c r="G43" s="791"/>
      <c r="H43" s="314" t="s">
        <v>150</v>
      </c>
      <c r="I43" s="515">
        <v>85000</v>
      </c>
      <c r="J43" s="510">
        <f>SUMIFS(APUS!$Y$9:$Y$1486,APUS!$M$9:$M$1486,INSUMOS!C43)</f>
        <v>0</v>
      </c>
      <c r="K43" s="511">
        <f t="shared" si="2"/>
        <v>0</v>
      </c>
      <c r="N43" s="533">
        <f>IFERROR(SUMIFS(APUS!$Z$10:$Z$62,APUS!$N10:Q$62,INSUMOS!D43),0)</f>
        <v>0</v>
      </c>
      <c r="O43" s="546">
        <f t="shared" si="1"/>
        <v>0</v>
      </c>
      <c r="Q43" s="341" t="str">
        <f t="shared" si="0"/>
        <v>SI</v>
      </c>
    </row>
    <row r="44" spans="3:17" hidden="1" x14ac:dyDescent="0.25">
      <c r="C44" s="358">
        <v>35</v>
      </c>
      <c r="D44" s="791"/>
      <c r="E44" s="791"/>
      <c r="F44" s="791"/>
      <c r="G44" s="791"/>
      <c r="H44" s="516"/>
      <c r="I44" s="515"/>
      <c r="J44" s="510">
        <f>SUMIFS(APUS!$Y$9:$Y$1486,APUS!$M$9:$M$1486,INSUMOS!C44)</f>
        <v>0</v>
      </c>
      <c r="K44" s="511">
        <f t="shared" si="2"/>
        <v>0</v>
      </c>
      <c r="N44" s="533">
        <f>IFERROR(SUMIFS(APUS!$Z$10:$Z$62,APUS!$N10:Q$62,INSUMOS!D44),0)</f>
        <v>0</v>
      </c>
      <c r="O44" s="546">
        <f t="shared" si="1"/>
        <v>0</v>
      </c>
      <c r="Q44" s="341" t="str">
        <f t="shared" si="0"/>
        <v>SI</v>
      </c>
    </row>
    <row r="45" spans="3:17" hidden="1" x14ac:dyDescent="0.25">
      <c r="C45" s="358">
        <v>36</v>
      </c>
      <c r="D45" s="791"/>
      <c r="E45" s="791"/>
      <c r="F45" s="791"/>
      <c r="G45" s="791"/>
      <c r="H45" s="516"/>
      <c r="I45" s="515"/>
      <c r="J45" s="510">
        <f>SUMIFS(APUS!$Y$9:$Y$1486,APUS!$M$9:$M$1486,INSUMOS!C45)</f>
        <v>0</v>
      </c>
      <c r="K45" s="511">
        <f t="shared" si="2"/>
        <v>0</v>
      </c>
      <c r="N45" s="533">
        <f>IFERROR(SUMIFS(APUS!$Z$10:$Z$62,APUS!$N10:Q$62,INSUMOS!D45),0)</f>
        <v>0</v>
      </c>
      <c r="O45" s="546">
        <f t="shared" si="1"/>
        <v>0</v>
      </c>
      <c r="Q45" s="341" t="str">
        <f t="shared" si="0"/>
        <v>SI</v>
      </c>
    </row>
    <row r="46" spans="3:17" hidden="1" x14ac:dyDescent="0.25">
      <c r="C46" s="358">
        <v>37</v>
      </c>
      <c r="D46" s="791"/>
      <c r="E46" s="791"/>
      <c r="F46" s="791"/>
      <c r="G46" s="791"/>
      <c r="H46" s="516"/>
      <c r="I46" s="515"/>
      <c r="J46" s="510">
        <f>SUMIFS(APUS!$Y$9:$Y$1486,APUS!$M$9:$M$1486,INSUMOS!C46)</f>
        <v>0</v>
      </c>
      <c r="K46" s="511">
        <f t="shared" si="2"/>
        <v>0</v>
      </c>
      <c r="N46" s="533">
        <f>IFERROR(SUMIFS(APUS!$Z$10:$Z$62,APUS!$N10:Q$62,INSUMOS!D46),0)</f>
        <v>0</v>
      </c>
      <c r="O46" s="546">
        <f t="shared" si="1"/>
        <v>0</v>
      </c>
      <c r="Q46" s="341" t="str">
        <f t="shared" si="0"/>
        <v>SI</v>
      </c>
    </row>
    <row r="47" spans="3:17" hidden="1" x14ac:dyDescent="0.25">
      <c r="C47" s="358">
        <v>38</v>
      </c>
      <c r="D47" s="791"/>
      <c r="E47" s="791"/>
      <c r="F47" s="791"/>
      <c r="G47" s="791"/>
      <c r="H47" s="516"/>
      <c r="I47" s="515"/>
      <c r="J47" s="510">
        <f>SUMIFS(APUS!$Y$9:$Y$1486,APUS!$M$9:$M$1486,INSUMOS!C47)</f>
        <v>0</v>
      </c>
      <c r="K47" s="511">
        <f t="shared" si="2"/>
        <v>0</v>
      </c>
      <c r="N47" s="533">
        <f>IFERROR(SUMIFS(APUS!$Z$10:$Z$62,APUS!$N10:Q$62,INSUMOS!D47),0)</f>
        <v>0</v>
      </c>
      <c r="O47" s="546">
        <f t="shared" si="1"/>
        <v>0</v>
      </c>
      <c r="Q47" s="341" t="str">
        <f t="shared" si="0"/>
        <v>SI</v>
      </c>
    </row>
    <row r="48" spans="3:17" hidden="1" x14ac:dyDescent="0.25">
      <c r="C48" s="358">
        <v>39</v>
      </c>
      <c r="D48" s="791"/>
      <c r="E48" s="791"/>
      <c r="F48" s="791"/>
      <c r="G48" s="791"/>
      <c r="H48" s="516"/>
      <c r="I48" s="515"/>
      <c r="J48" s="510">
        <f>SUMIFS(APUS!$Y$9:$Y$1486,APUS!$M$9:$M$1486,INSUMOS!C48)</f>
        <v>0</v>
      </c>
      <c r="K48" s="511">
        <f t="shared" si="2"/>
        <v>0</v>
      </c>
      <c r="N48" s="533">
        <f>IFERROR(SUMIFS(APUS!$Z$10:$Z$62,APUS!$N10:Q$62,INSUMOS!D48),0)</f>
        <v>0</v>
      </c>
      <c r="O48" s="546">
        <f t="shared" si="1"/>
        <v>0</v>
      </c>
      <c r="Q48" s="341" t="str">
        <f t="shared" si="0"/>
        <v>SI</v>
      </c>
    </row>
    <row r="49" spans="3:17" hidden="1" x14ac:dyDescent="0.25">
      <c r="C49" s="358">
        <v>40</v>
      </c>
      <c r="D49" s="791"/>
      <c r="E49" s="791"/>
      <c r="F49" s="791"/>
      <c r="G49" s="791"/>
      <c r="H49" s="516"/>
      <c r="I49" s="515"/>
      <c r="J49" s="510">
        <f>SUMIFS(APUS!$Y$9:$Y$1486,APUS!$M$9:$M$1486,INSUMOS!C49)</f>
        <v>0</v>
      </c>
      <c r="K49" s="511">
        <f t="shared" si="2"/>
        <v>0</v>
      </c>
      <c r="N49" s="533">
        <f>IFERROR(SUMIFS(APUS!$Z$10:$Z$62,APUS!$N10:Q$62,INSUMOS!D49),0)</f>
        <v>0</v>
      </c>
      <c r="O49" s="546">
        <f t="shared" si="1"/>
        <v>0</v>
      </c>
      <c r="Q49" s="341" t="str">
        <f t="shared" si="0"/>
        <v>SI</v>
      </c>
    </row>
    <row r="50" spans="3:17" hidden="1" x14ac:dyDescent="0.25">
      <c r="C50" s="358">
        <v>41</v>
      </c>
      <c r="D50" s="791"/>
      <c r="E50" s="791"/>
      <c r="F50" s="791"/>
      <c r="G50" s="791"/>
      <c r="H50" s="516"/>
      <c r="I50" s="515"/>
      <c r="J50" s="510">
        <f>SUMIFS(APUS!$Y$9:$Y$1486,APUS!$M$9:$M$1486,INSUMOS!C50)</f>
        <v>0</v>
      </c>
      <c r="K50" s="511">
        <f t="shared" si="2"/>
        <v>0</v>
      </c>
      <c r="N50" s="533">
        <f>IFERROR(SUMIFS(APUS!$Z$10:$Z$62,APUS!$N10:Q$62,INSUMOS!D50),0)</f>
        <v>0</v>
      </c>
      <c r="O50" s="546">
        <f t="shared" si="1"/>
        <v>0</v>
      </c>
      <c r="Q50" s="341" t="str">
        <f t="shared" si="0"/>
        <v>SI</v>
      </c>
    </row>
    <row r="51" spans="3:17" hidden="1" x14ac:dyDescent="0.25">
      <c r="C51" s="358">
        <v>42</v>
      </c>
      <c r="D51" s="791"/>
      <c r="E51" s="791"/>
      <c r="F51" s="791"/>
      <c r="G51" s="791"/>
      <c r="H51" s="516"/>
      <c r="I51" s="515"/>
      <c r="J51" s="510">
        <f>SUMIFS(APUS!$Y$9:$Y$1486,APUS!$M$9:$M$1486,INSUMOS!C51)</f>
        <v>0</v>
      </c>
      <c r="K51" s="511">
        <f t="shared" si="2"/>
        <v>0</v>
      </c>
      <c r="N51" s="533">
        <f>IFERROR(SUMIFS(APUS!$Z$10:$Z$62,APUS!$N10:Q$62,INSUMOS!D51),0)</f>
        <v>0</v>
      </c>
      <c r="O51" s="546">
        <f t="shared" si="1"/>
        <v>0</v>
      </c>
      <c r="Q51" s="341" t="str">
        <f t="shared" si="0"/>
        <v>SI</v>
      </c>
    </row>
    <row r="52" spans="3:17" hidden="1" x14ac:dyDescent="0.25">
      <c r="C52" s="358">
        <v>43</v>
      </c>
      <c r="D52" s="791"/>
      <c r="E52" s="791"/>
      <c r="F52" s="791"/>
      <c r="G52" s="791"/>
      <c r="H52" s="516"/>
      <c r="I52" s="515"/>
      <c r="J52" s="510">
        <f>SUMIFS(APUS!$Y$9:$Y$1486,APUS!$M$9:$M$1486,INSUMOS!C52)</f>
        <v>0</v>
      </c>
      <c r="K52" s="511">
        <f t="shared" si="2"/>
        <v>0</v>
      </c>
      <c r="N52" s="533">
        <f>IFERROR(SUMIFS(APUS!$Z$10:$Z$62,APUS!$N10:Q$62,INSUMOS!D52),0)</f>
        <v>0</v>
      </c>
      <c r="O52" s="546">
        <f t="shared" si="1"/>
        <v>0</v>
      </c>
      <c r="Q52" s="341" t="str">
        <f t="shared" si="0"/>
        <v>SI</v>
      </c>
    </row>
    <row r="53" spans="3:17" hidden="1" x14ac:dyDescent="0.25">
      <c r="C53" s="358">
        <v>44</v>
      </c>
      <c r="D53" s="791"/>
      <c r="E53" s="791"/>
      <c r="F53" s="791"/>
      <c r="G53" s="791"/>
      <c r="H53" s="516"/>
      <c r="I53" s="515"/>
      <c r="J53" s="510">
        <f>SUMIFS(APUS!$Y$9:$Y$1486,APUS!$M$9:$M$1486,INSUMOS!C53)</f>
        <v>0</v>
      </c>
      <c r="K53" s="511">
        <f t="shared" si="2"/>
        <v>0</v>
      </c>
      <c r="N53" s="533">
        <f>IFERROR(SUMIFS(APUS!$Z$10:$Z$62,APUS!$N11:Q$62,INSUMOS!D53),0)</f>
        <v>0</v>
      </c>
      <c r="O53" s="546">
        <f t="shared" si="1"/>
        <v>0</v>
      </c>
      <c r="Q53" s="341" t="str">
        <f t="shared" si="0"/>
        <v>SI</v>
      </c>
    </row>
    <row r="54" spans="3:17" hidden="1" x14ac:dyDescent="0.25">
      <c r="C54" s="358">
        <v>45</v>
      </c>
      <c r="D54" s="791"/>
      <c r="E54" s="791"/>
      <c r="F54" s="791"/>
      <c r="G54" s="791"/>
      <c r="H54" s="516"/>
      <c r="I54" s="515"/>
      <c r="J54" s="510">
        <f>SUMIFS(APUS!$Y$9:$Y$1486,APUS!$M$9:$M$1486,INSUMOS!C54)</f>
        <v>0</v>
      </c>
      <c r="K54" s="511">
        <f t="shared" si="2"/>
        <v>0</v>
      </c>
      <c r="N54" s="533">
        <f>IFERROR(SUMIFS(APUS!$Z$10:$Z$62,APUS!$N12:Q$62,INSUMOS!D54),0)</f>
        <v>0</v>
      </c>
      <c r="O54" s="546">
        <f t="shared" si="1"/>
        <v>0</v>
      </c>
      <c r="Q54" s="341" t="str">
        <f t="shared" si="0"/>
        <v>SI</v>
      </c>
    </row>
    <row r="55" spans="3:17" hidden="1" x14ac:dyDescent="0.25">
      <c r="C55" s="358">
        <v>46</v>
      </c>
      <c r="D55" s="791"/>
      <c r="E55" s="791"/>
      <c r="F55" s="791"/>
      <c r="G55" s="791"/>
      <c r="H55" s="516"/>
      <c r="I55" s="515"/>
      <c r="J55" s="510">
        <f>SUMIFS(APUS!$Y$9:$Y$1486,APUS!$M$9:$M$1486,INSUMOS!C55)</f>
        <v>0</v>
      </c>
      <c r="K55" s="511">
        <f t="shared" si="2"/>
        <v>0</v>
      </c>
      <c r="N55" s="533">
        <f>IFERROR(SUMIFS(APUS!$Z$10:$Z$62,APUS!$N13:Q$62,INSUMOS!D55),0)</f>
        <v>0</v>
      </c>
      <c r="O55" s="546">
        <f t="shared" si="1"/>
        <v>0</v>
      </c>
      <c r="Q55" s="341" t="str">
        <f t="shared" si="0"/>
        <v>SI</v>
      </c>
    </row>
    <row r="56" spans="3:17" hidden="1" x14ac:dyDescent="0.25">
      <c r="C56" s="358">
        <v>47</v>
      </c>
      <c r="D56" s="791"/>
      <c r="E56" s="791"/>
      <c r="F56" s="791"/>
      <c r="G56" s="791"/>
      <c r="H56" s="516"/>
      <c r="I56" s="515"/>
      <c r="J56" s="510">
        <f>SUMIFS(APUS!$Y$9:$Y$1486,APUS!$M$9:$M$1486,INSUMOS!C56)</f>
        <v>0</v>
      </c>
      <c r="K56" s="511">
        <f t="shared" si="2"/>
        <v>0</v>
      </c>
      <c r="N56" s="533">
        <f>IFERROR(SUMIFS(APUS!$Z$10:$Z$62,APUS!$N14:Q$62,INSUMOS!D56),0)</f>
        <v>0</v>
      </c>
      <c r="O56" s="546">
        <f t="shared" si="1"/>
        <v>0</v>
      </c>
      <c r="Q56" s="341" t="str">
        <f t="shared" si="0"/>
        <v>SI</v>
      </c>
    </row>
    <row r="57" spans="3:17" hidden="1" x14ac:dyDescent="0.25">
      <c r="C57" s="358">
        <v>48</v>
      </c>
      <c r="D57" s="791"/>
      <c r="E57" s="791"/>
      <c r="F57" s="791"/>
      <c r="G57" s="791"/>
      <c r="H57" s="516"/>
      <c r="I57" s="515"/>
      <c r="J57" s="510">
        <f>SUMIFS(APUS!$Y$9:$Y$1486,APUS!$M$9:$M$1486,INSUMOS!C57)</f>
        <v>0</v>
      </c>
      <c r="K57" s="511">
        <f t="shared" si="2"/>
        <v>0</v>
      </c>
      <c r="N57" s="533">
        <f>IFERROR(SUMIFS(APUS!$Z$10:$Z$62,APUS!$N15:Q$62,INSUMOS!D57),0)</f>
        <v>0</v>
      </c>
      <c r="O57" s="546">
        <f t="shared" si="1"/>
        <v>0</v>
      </c>
      <c r="Q57" s="341" t="str">
        <f t="shared" si="0"/>
        <v>SI</v>
      </c>
    </row>
    <row r="58" spans="3:17" hidden="1" x14ac:dyDescent="0.25">
      <c r="C58" s="358">
        <v>49</v>
      </c>
      <c r="D58" s="791"/>
      <c r="E58" s="791"/>
      <c r="F58" s="791"/>
      <c r="G58" s="791"/>
      <c r="H58" s="516"/>
      <c r="I58" s="515"/>
      <c r="J58" s="510">
        <f>SUMIFS(APUS!$Y$9:$Y$1486,APUS!$M$9:$M$1486,INSUMOS!C58)</f>
        <v>0</v>
      </c>
      <c r="K58" s="511">
        <f t="shared" si="2"/>
        <v>0</v>
      </c>
      <c r="N58" s="533">
        <f>IFERROR(SUMIFS(APUS!$Z$10:$Z$62,APUS!$N16:Q$62,INSUMOS!D58),0)</f>
        <v>0</v>
      </c>
      <c r="O58" s="546">
        <f t="shared" si="1"/>
        <v>0</v>
      </c>
      <c r="Q58" s="341" t="str">
        <f t="shared" si="0"/>
        <v>SI</v>
      </c>
    </row>
    <row r="59" spans="3:17" hidden="1" x14ac:dyDescent="0.25">
      <c r="C59" s="358">
        <v>50</v>
      </c>
      <c r="D59" s="791"/>
      <c r="E59" s="791"/>
      <c r="F59" s="791"/>
      <c r="G59" s="791"/>
      <c r="H59" s="516"/>
      <c r="I59" s="515"/>
      <c r="J59" s="510">
        <f>SUMIFS(APUS!$Y$9:$Y$1486,APUS!$M$9:$M$1486,INSUMOS!C59)</f>
        <v>0</v>
      </c>
      <c r="K59" s="511">
        <f t="shared" si="2"/>
        <v>0</v>
      </c>
      <c r="N59" s="533">
        <f>IFERROR(SUMIFS(APUS!$Z$10:$Z$62,APUS!$N17:Q$62,INSUMOS!D59),0)</f>
        <v>0</v>
      </c>
      <c r="O59" s="546">
        <f t="shared" si="1"/>
        <v>0</v>
      </c>
      <c r="Q59" s="341" t="str">
        <f t="shared" si="0"/>
        <v>SI</v>
      </c>
    </row>
    <row r="60" spans="3:17" hidden="1" x14ac:dyDescent="0.25">
      <c r="C60" s="358">
        <v>51</v>
      </c>
      <c r="D60" s="791"/>
      <c r="E60" s="791"/>
      <c r="F60" s="791"/>
      <c r="G60" s="791"/>
      <c r="H60" s="516"/>
      <c r="I60" s="515"/>
      <c r="J60" s="510">
        <f>SUMIFS(APUS!$Y$9:$Y$1486,APUS!$M$9:$M$1486,INSUMOS!C60)</f>
        <v>0</v>
      </c>
      <c r="K60" s="511">
        <f t="shared" si="2"/>
        <v>0</v>
      </c>
      <c r="N60" s="533">
        <f>IFERROR(SUMIFS(APUS!$Z$10:$Z$62,APUS!$N18:Q$62,INSUMOS!D60),0)</f>
        <v>0</v>
      </c>
      <c r="O60" s="546">
        <f t="shared" si="1"/>
        <v>0</v>
      </c>
      <c r="Q60" s="341" t="str">
        <f t="shared" si="0"/>
        <v>SI</v>
      </c>
    </row>
    <row r="61" spans="3:17" hidden="1" x14ac:dyDescent="0.25">
      <c r="C61" s="358">
        <v>52</v>
      </c>
      <c r="D61" s="791"/>
      <c r="E61" s="791"/>
      <c r="F61" s="791"/>
      <c r="G61" s="791"/>
      <c r="H61" s="516"/>
      <c r="I61" s="515"/>
      <c r="J61" s="510">
        <f>SUMIFS(APUS!$Y$9:$Y$1486,APUS!$M$9:$M$1486,INSUMOS!C61)</f>
        <v>0</v>
      </c>
      <c r="K61" s="511">
        <f t="shared" si="2"/>
        <v>0</v>
      </c>
      <c r="N61" s="533">
        <f>IFERROR(SUMIFS(APUS!$Z$10:$Z$62,APUS!$N19:Q$62,INSUMOS!D61),0)</f>
        <v>0</v>
      </c>
      <c r="O61" s="546">
        <f t="shared" si="1"/>
        <v>0</v>
      </c>
      <c r="Q61" s="341" t="str">
        <f t="shared" si="0"/>
        <v>SI</v>
      </c>
    </row>
    <row r="62" spans="3:17" hidden="1" x14ac:dyDescent="0.25">
      <c r="C62" s="358">
        <v>53</v>
      </c>
      <c r="D62" s="791"/>
      <c r="E62" s="791"/>
      <c r="F62" s="791"/>
      <c r="G62" s="791"/>
      <c r="H62" s="516"/>
      <c r="I62" s="515"/>
      <c r="J62" s="510">
        <f>SUMIFS(APUS!$Y$9:$Y$1486,APUS!$M$9:$M$1486,INSUMOS!C62)</f>
        <v>0</v>
      </c>
      <c r="K62" s="511">
        <f t="shared" si="2"/>
        <v>0</v>
      </c>
      <c r="N62" s="533">
        <f>IFERROR(SUMIFS(APUS!$Z$10:$Z$62,APUS!$N20:Q$62,INSUMOS!D62),0)</f>
        <v>0</v>
      </c>
      <c r="O62" s="546">
        <f t="shared" si="1"/>
        <v>0</v>
      </c>
      <c r="Q62" s="341" t="str">
        <f t="shared" si="0"/>
        <v>SI</v>
      </c>
    </row>
    <row r="63" spans="3:17" hidden="1" x14ac:dyDescent="0.25">
      <c r="C63" s="358">
        <v>54</v>
      </c>
      <c r="D63" s="791"/>
      <c r="E63" s="791"/>
      <c r="F63" s="791"/>
      <c r="G63" s="791"/>
      <c r="H63" s="516"/>
      <c r="I63" s="515"/>
      <c r="J63" s="510">
        <f>SUMIFS(APUS!$Y$9:$Y$1486,APUS!$M$9:$M$1486,INSUMOS!C63)</f>
        <v>0</v>
      </c>
      <c r="K63" s="511">
        <f t="shared" si="2"/>
        <v>0</v>
      </c>
      <c r="N63" s="533">
        <f>IFERROR(SUMIFS(APUS!$Z$10:$Z$62,APUS!$N21:Q$62,INSUMOS!D63),0)</f>
        <v>0</v>
      </c>
      <c r="O63" s="546">
        <f t="shared" si="1"/>
        <v>0</v>
      </c>
      <c r="Q63" s="341" t="str">
        <f t="shared" si="0"/>
        <v>SI</v>
      </c>
    </row>
    <row r="64" spans="3:17" hidden="1" x14ac:dyDescent="0.25">
      <c r="C64" s="358">
        <v>55</v>
      </c>
      <c r="D64" s="791"/>
      <c r="E64" s="791"/>
      <c r="F64" s="791"/>
      <c r="G64" s="791"/>
      <c r="H64" s="516"/>
      <c r="I64" s="515"/>
      <c r="J64" s="510">
        <f>SUMIFS(APUS!$Y$9:$Y$1486,APUS!$M$9:$M$1486,INSUMOS!C64)</f>
        <v>0</v>
      </c>
      <c r="K64" s="511">
        <f t="shared" si="2"/>
        <v>0</v>
      </c>
      <c r="N64" s="533">
        <f>IFERROR(SUMIFS(APUS!$Z$10:$Z$62,APUS!$N22:Q$62,INSUMOS!D64),0)</f>
        <v>0</v>
      </c>
      <c r="O64" s="546">
        <f t="shared" si="1"/>
        <v>0</v>
      </c>
      <c r="Q64" s="341" t="str">
        <f t="shared" si="0"/>
        <v>SI</v>
      </c>
    </row>
    <row r="65" spans="3:17" hidden="1" x14ac:dyDescent="0.25">
      <c r="C65" s="358">
        <v>56</v>
      </c>
      <c r="D65" s="791"/>
      <c r="E65" s="791"/>
      <c r="F65" s="791"/>
      <c r="G65" s="791"/>
      <c r="H65" s="516"/>
      <c r="I65" s="515"/>
      <c r="J65" s="510">
        <f>SUMIFS(APUS!$Y$9:$Y$1486,APUS!$M$9:$M$1486,INSUMOS!C65)</f>
        <v>0</v>
      </c>
      <c r="K65" s="511">
        <f t="shared" si="2"/>
        <v>0</v>
      </c>
      <c r="N65" s="533">
        <f>IFERROR(SUMIFS(APUS!$Z$10:$Z$62,APUS!$N23:Q$62,INSUMOS!D65),0)</f>
        <v>0</v>
      </c>
      <c r="O65" s="546">
        <f t="shared" si="1"/>
        <v>0</v>
      </c>
      <c r="Q65" s="341" t="str">
        <f t="shared" si="0"/>
        <v>SI</v>
      </c>
    </row>
    <row r="66" spans="3:17" hidden="1" x14ac:dyDescent="0.25">
      <c r="C66" s="358">
        <v>57</v>
      </c>
      <c r="D66" s="791"/>
      <c r="E66" s="791"/>
      <c r="F66" s="791"/>
      <c r="G66" s="791"/>
      <c r="H66" s="516"/>
      <c r="I66" s="515"/>
      <c r="J66" s="510">
        <f>SUMIFS(APUS!$Y$9:$Y$1486,APUS!$M$9:$M$1486,INSUMOS!C66)</f>
        <v>0</v>
      </c>
      <c r="K66" s="511">
        <f t="shared" si="2"/>
        <v>0</v>
      </c>
      <c r="N66" s="533">
        <f>IFERROR(SUMIFS(APUS!$Z$10:$Z$62,APUS!$N24:Q$62,INSUMOS!D66),0)</f>
        <v>0</v>
      </c>
      <c r="O66" s="546">
        <f t="shared" si="1"/>
        <v>0</v>
      </c>
      <c r="Q66" s="341" t="str">
        <f t="shared" si="0"/>
        <v>SI</v>
      </c>
    </row>
    <row r="67" spans="3:17" hidden="1" x14ac:dyDescent="0.25">
      <c r="C67" s="358">
        <v>58</v>
      </c>
      <c r="D67" s="791"/>
      <c r="E67" s="791"/>
      <c r="F67" s="791"/>
      <c r="G67" s="791"/>
      <c r="H67" s="516"/>
      <c r="I67" s="515"/>
      <c r="J67" s="510">
        <f>SUMIFS(APUS!$Y$9:$Y$1486,APUS!$M$9:$M$1486,INSUMOS!C67)</f>
        <v>0</v>
      </c>
      <c r="K67" s="511">
        <f t="shared" si="2"/>
        <v>0</v>
      </c>
      <c r="N67" s="533">
        <f>IFERROR(SUMIFS(APUS!$Z$10:$Z$62,APUS!$N25:Q$62,INSUMOS!D67),0)</f>
        <v>0</v>
      </c>
      <c r="O67" s="546">
        <f t="shared" si="1"/>
        <v>0</v>
      </c>
      <c r="Q67" s="341" t="str">
        <f t="shared" si="0"/>
        <v>SI</v>
      </c>
    </row>
    <row r="68" spans="3:17" hidden="1" x14ac:dyDescent="0.25">
      <c r="C68" s="358">
        <v>59</v>
      </c>
      <c r="D68" s="791"/>
      <c r="E68" s="791"/>
      <c r="F68" s="791"/>
      <c r="G68" s="791"/>
      <c r="H68" s="516"/>
      <c r="I68" s="515"/>
      <c r="J68" s="510">
        <f>SUMIFS(APUS!$Y$9:$Y$1486,APUS!$M$9:$M$1486,INSUMOS!C68)</f>
        <v>0</v>
      </c>
      <c r="K68" s="511">
        <f t="shared" si="2"/>
        <v>0</v>
      </c>
      <c r="N68" s="533">
        <f>IFERROR(SUMIFS(APUS!$Z$10:$Z$62,APUS!$N26:Q$62,INSUMOS!D68),0)</f>
        <v>0</v>
      </c>
      <c r="O68" s="546">
        <f t="shared" si="1"/>
        <v>0</v>
      </c>
      <c r="Q68" s="341" t="str">
        <f t="shared" si="0"/>
        <v>SI</v>
      </c>
    </row>
    <row r="69" spans="3:17" hidden="1" x14ac:dyDescent="0.25">
      <c r="C69" s="358">
        <v>60</v>
      </c>
      <c r="D69" s="791"/>
      <c r="E69" s="791"/>
      <c r="F69" s="791"/>
      <c r="G69" s="791"/>
      <c r="H69" s="516"/>
      <c r="I69" s="515"/>
      <c r="J69" s="510">
        <f>SUMIFS(APUS!$Y$9:$Y$1486,APUS!$M$9:$M$1486,INSUMOS!C69)</f>
        <v>0</v>
      </c>
      <c r="K69" s="511">
        <f t="shared" si="2"/>
        <v>0</v>
      </c>
      <c r="N69" s="533">
        <f>IFERROR(SUMIFS(APUS!$Z$10:$Z$62,APUS!$N27:Q$62,INSUMOS!D69),0)</f>
        <v>0</v>
      </c>
      <c r="O69" s="546">
        <f t="shared" si="1"/>
        <v>0</v>
      </c>
      <c r="Q69" s="341" t="str">
        <f t="shared" si="0"/>
        <v>SI</v>
      </c>
    </row>
    <row r="70" spans="3:17" hidden="1" x14ac:dyDescent="0.25">
      <c r="C70" s="358">
        <v>61</v>
      </c>
      <c r="D70" s="791"/>
      <c r="E70" s="791"/>
      <c r="F70" s="791"/>
      <c r="G70" s="791"/>
      <c r="H70" s="516"/>
      <c r="I70" s="515"/>
      <c r="J70" s="510">
        <f>SUMIFS(APUS!$Y$9:$Y$1486,APUS!$M$9:$M$1486,INSUMOS!C70)</f>
        <v>0</v>
      </c>
      <c r="K70" s="511">
        <f t="shared" si="2"/>
        <v>0</v>
      </c>
      <c r="N70" s="533">
        <f>IFERROR(SUMIFS(APUS!$Z$10:$Z$62,APUS!$N28:Q$62,INSUMOS!D70),0)</f>
        <v>0</v>
      </c>
      <c r="O70" s="546">
        <f t="shared" si="1"/>
        <v>0</v>
      </c>
      <c r="Q70" s="341" t="str">
        <f t="shared" si="0"/>
        <v>SI</v>
      </c>
    </row>
    <row r="71" spans="3:17" hidden="1" x14ac:dyDescent="0.25">
      <c r="C71" s="358">
        <v>62</v>
      </c>
      <c r="D71" s="791"/>
      <c r="E71" s="791"/>
      <c r="F71" s="791"/>
      <c r="G71" s="791"/>
      <c r="H71" s="516"/>
      <c r="I71" s="515"/>
      <c r="J71" s="510">
        <f>SUMIFS(APUS!$Y$9:$Y$1486,APUS!$M$9:$M$1486,INSUMOS!C71)</f>
        <v>0</v>
      </c>
      <c r="K71" s="511">
        <f t="shared" si="2"/>
        <v>0</v>
      </c>
      <c r="N71" s="533">
        <f>IFERROR(SUMIFS(APUS!$Z$10:$Z$62,APUS!$N29:Q$62,INSUMOS!D71),0)</f>
        <v>0</v>
      </c>
      <c r="O71" s="546">
        <f t="shared" si="1"/>
        <v>0</v>
      </c>
      <c r="Q71" s="341" t="str">
        <f t="shared" si="0"/>
        <v>SI</v>
      </c>
    </row>
    <row r="72" spans="3:17" hidden="1" x14ac:dyDescent="0.25">
      <c r="C72" s="358">
        <v>63</v>
      </c>
      <c r="D72" s="791"/>
      <c r="E72" s="791"/>
      <c r="F72" s="791"/>
      <c r="G72" s="791"/>
      <c r="H72" s="516"/>
      <c r="I72" s="515"/>
      <c r="J72" s="510">
        <f>SUMIFS(APUS!$Y$9:$Y$1486,APUS!$M$9:$M$1486,INSUMOS!C72)</f>
        <v>0</v>
      </c>
      <c r="K72" s="511">
        <f t="shared" si="2"/>
        <v>0</v>
      </c>
      <c r="N72" s="533">
        <f>IFERROR(SUMIFS(APUS!$Z$10:$Z$62,APUS!$N30:Q$62,INSUMOS!D72),0)</f>
        <v>0</v>
      </c>
      <c r="O72" s="546">
        <f t="shared" si="1"/>
        <v>0</v>
      </c>
      <c r="Q72" s="341" t="str">
        <f t="shared" si="0"/>
        <v>SI</v>
      </c>
    </row>
    <row r="73" spans="3:17" hidden="1" x14ac:dyDescent="0.25">
      <c r="C73" s="358">
        <v>64</v>
      </c>
      <c r="D73" s="791"/>
      <c r="E73" s="791"/>
      <c r="F73" s="791"/>
      <c r="G73" s="791"/>
      <c r="H73" s="516"/>
      <c r="I73" s="515"/>
      <c r="J73" s="510">
        <f>SUMIFS(APUS!$Y$9:$Y$1486,APUS!$M$9:$M$1486,INSUMOS!C73)</f>
        <v>0</v>
      </c>
      <c r="K73" s="511">
        <f t="shared" si="2"/>
        <v>0</v>
      </c>
      <c r="N73" s="533">
        <f>IFERROR(SUMIFS(APUS!$Z$10:$Z$62,APUS!$N31:Q$62,INSUMOS!D73),0)</f>
        <v>0</v>
      </c>
      <c r="O73" s="546">
        <f t="shared" si="1"/>
        <v>0</v>
      </c>
      <c r="Q73" s="341" t="str">
        <f t="shared" si="0"/>
        <v>SI</v>
      </c>
    </row>
    <row r="74" spans="3:17" hidden="1" x14ac:dyDescent="0.25">
      <c r="C74" s="358">
        <v>65</v>
      </c>
      <c r="D74" s="791"/>
      <c r="E74" s="791"/>
      <c r="F74" s="791"/>
      <c r="G74" s="791"/>
      <c r="H74" s="516"/>
      <c r="I74" s="515"/>
      <c r="J74" s="510">
        <f>SUMIFS(APUS!$Y$9:$Y$1486,APUS!$M$9:$M$1486,INSUMOS!C74)</f>
        <v>0</v>
      </c>
      <c r="K74" s="511">
        <f t="shared" si="2"/>
        <v>0</v>
      </c>
      <c r="N74" s="533">
        <f>IFERROR(SUMIFS(APUS!$Z$10:$Z$62,APUS!$N32:Q$62,INSUMOS!D74),0)</f>
        <v>0</v>
      </c>
      <c r="O74" s="546">
        <f t="shared" si="1"/>
        <v>0</v>
      </c>
      <c r="Q74" s="341" t="str">
        <f t="shared" ref="Q74:Q108" si="3">+IF(K74=0,"SI","NO")</f>
        <v>SI</v>
      </c>
    </row>
    <row r="75" spans="3:17" hidden="1" x14ac:dyDescent="0.25">
      <c r="C75" s="358">
        <v>66</v>
      </c>
      <c r="D75" s="791"/>
      <c r="E75" s="791"/>
      <c r="F75" s="791"/>
      <c r="G75" s="791"/>
      <c r="H75" s="516"/>
      <c r="I75" s="515"/>
      <c r="J75" s="510">
        <f>SUMIFS(APUS!$Y$9:$Y$1486,APUS!$M$9:$M$1486,INSUMOS!C75)</f>
        <v>0</v>
      </c>
      <c r="K75" s="511">
        <f t="shared" si="2"/>
        <v>0</v>
      </c>
      <c r="N75" s="533">
        <f>IFERROR(SUMIFS(APUS!$Z$10:$Z$62,APUS!$N33:Q$62,INSUMOS!D75),0)</f>
        <v>0</v>
      </c>
      <c r="O75" s="546">
        <f t="shared" ref="O75:O110" si="4">+N75-K75</f>
        <v>0</v>
      </c>
      <c r="Q75" s="341" t="str">
        <f t="shared" si="3"/>
        <v>SI</v>
      </c>
    </row>
    <row r="76" spans="3:17" hidden="1" x14ac:dyDescent="0.25">
      <c r="C76" s="358">
        <v>67</v>
      </c>
      <c r="D76" s="791"/>
      <c r="E76" s="791"/>
      <c r="F76" s="791"/>
      <c r="G76" s="791"/>
      <c r="H76" s="516"/>
      <c r="I76" s="515"/>
      <c r="J76" s="510">
        <f>SUMIFS(APUS!$Y$9:$Y$1486,APUS!$M$9:$M$1486,INSUMOS!C76)</f>
        <v>0</v>
      </c>
      <c r="K76" s="511">
        <f t="shared" ref="K76:K108" si="5">+J76*I76</f>
        <v>0</v>
      </c>
      <c r="N76" s="533">
        <f>IFERROR(SUMIFS(APUS!$Z$10:$Z$62,APUS!$N34:Q$62,INSUMOS!D76),0)</f>
        <v>0</v>
      </c>
      <c r="O76" s="546">
        <f t="shared" si="4"/>
        <v>0</v>
      </c>
      <c r="Q76" s="341" t="str">
        <f t="shared" si="3"/>
        <v>SI</v>
      </c>
    </row>
    <row r="77" spans="3:17" hidden="1" x14ac:dyDescent="0.25">
      <c r="C77" s="358">
        <v>68</v>
      </c>
      <c r="D77" s="791"/>
      <c r="E77" s="791"/>
      <c r="F77" s="791"/>
      <c r="G77" s="791"/>
      <c r="H77" s="516"/>
      <c r="I77" s="515"/>
      <c r="J77" s="510">
        <f>SUMIFS(APUS!$Y$9:$Y$1486,APUS!$M$9:$M$1486,INSUMOS!C77)</f>
        <v>0</v>
      </c>
      <c r="K77" s="511">
        <f t="shared" si="5"/>
        <v>0</v>
      </c>
      <c r="N77" s="533">
        <f>IFERROR(SUMIFS(APUS!$Z$10:$Z$62,APUS!$N35:Q$62,INSUMOS!D77),0)</f>
        <v>0</v>
      </c>
      <c r="O77" s="546">
        <f t="shared" si="4"/>
        <v>0</v>
      </c>
      <c r="Q77" s="341" t="str">
        <f t="shared" si="3"/>
        <v>SI</v>
      </c>
    </row>
    <row r="78" spans="3:17" hidden="1" x14ac:dyDescent="0.25">
      <c r="C78" s="358">
        <v>69</v>
      </c>
      <c r="D78" s="791"/>
      <c r="E78" s="791"/>
      <c r="F78" s="791"/>
      <c r="G78" s="791"/>
      <c r="H78" s="516"/>
      <c r="I78" s="515"/>
      <c r="J78" s="510">
        <f>SUMIFS(APUS!$Y$9:$Y$1486,APUS!$M$9:$M$1486,INSUMOS!C78)</f>
        <v>0</v>
      </c>
      <c r="K78" s="511">
        <f t="shared" si="5"/>
        <v>0</v>
      </c>
      <c r="N78" s="533">
        <f>IFERROR(SUMIFS(APUS!$Z$10:$Z$62,APUS!$N36:Q$62,INSUMOS!D78),0)</f>
        <v>0</v>
      </c>
      <c r="O78" s="546">
        <f t="shared" si="4"/>
        <v>0</v>
      </c>
      <c r="Q78" s="341" t="str">
        <f t="shared" si="3"/>
        <v>SI</v>
      </c>
    </row>
    <row r="79" spans="3:17" hidden="1" x14ac:dyDescent="0.25">
      <c r="C79" s="358">
        <v>70</v>
      </c>
      <c r="D79" s="791"/>
      <c r="E79" s="791"/>
      <c r="F79" s="791"/>
      <c r="G79" s="791"/>
      <c r="H79" s="516"/>
      <c r="I79" s="515"/>
      <c r="J79" s="510">
        <f>SUMIFS(APUS!$Y$9:$Y$1486,APUS!$M$9:$M$1486,INSUMOS!C79)</f>
        <v>0</v>
      </c>
      <c r="K79" s="511">
        <f t="shared" si="5"/>
        <v>0</v>
      </c>
      <c r="N79" s="533">
        <f>IFERROR(SUMIFS(APUS!$Z$10:$Z$62,APUS!$N37:Q$62,INSUMOS!D79),0)</f>
        <v>0</v>
      </c>
      <c r="O79" s="546">
        <f t="shared" si="4"/>
        <v>0</v>
      </c>
      <c r="Q79" s="341" t="str">
        <f t="shared" si="3"/>
        <v>SI</v>
      </c>
    </row>
    <row r="80" spans="3:17" hidden="1" x14ac:dyDescent="0.25">
      <c r="C80" s="358">
        <v>71</v>
      </c>
      <c r="D80" s="791"/>
      <c r="E80" s="791"/>
      <c r="F80" s="791"/>
      <c r="G80" s="791"/>
      <c r="H80" s="516"/>
      <c r="I80" s="515"/>
      <c r="J80" s="510">
        <f>SUMIFS(APUS!$Y$9:$Y$1486,APUS!$M$9:$M$1486,INSUMOS!C80)</f>
        <v>0</v>
      </c>
      <c r="K80" s="511">
        <f t="shared" si="5"/>
        <v>0</v>
      </c>
      <c r="N80" s="533">
        <f>IFERROR(SUMIFS(APUS!$Z$10:$Z$62,APUS!$N38:Q$62,INSUMOS!D80),0)</f>
        <v>0</v>
      </c>
      <c r="O80" s="546">
        <f t="shared" si="4"/>
        <v>0</v>
      </c>
      <c r="Q80" s="341" t="str">
        <f t="shared" si="3"/>
        <v>SI</v>
      </c>
    </row>
    <row r="81" spans="3:17" hidden="1" x14ac:dyDescent="0.25">
      <c r="C81" s="358">
        <v>72</v>
      </c>
      <c r="D81" s="791"/>
      <c r="E81" s="791"/>
      <c r="F81" s="791"/>
      <c r="G81" s="791"/>
      <c r="H81" s="516"/>
      <c r="I81" s="515"/>
      <c r="J81" s="510">
        <f>SUMIFS(APUS!$Y$9:$Y$1486,APUS!$M$9:$M$1486,INSUMOS!C81)</f>
        <v>0</v>
      </c>
      <c r="K81" s="511">
        <f t="shared" si="5"/>
        <v>0</v>
      </c>
      <c r="N81" s="533">
        <f>IFERROR(SUMIFS(APUS!$Z$10:$Z$62,APUS!$N39:Q$62,INSUMOS!D81),0)</f>
        <v>0</v>
      </c>
      <c r="O81" s="546">
        <f t="shared" si="4"/>
        <v>0</v>
      </c>
      <c r="Q81" s="341" t="str">
        <f t="shared" si="3"/>
        <v>SI</v>
      </c>
    </row>
    <row r="82" spans="3:17" hidden="1" x14ac:dyDescent="0.25">
      <c r="C82" s="358">
        <v>73</v>
      </c>
      <c r="D82" s="791"/>
      <c r="E82" s="791"/>
      <c r="F82" s="791"/>
      <c r="G82" s="791"/>
      <c r="H82" s="516"/>
      <c r="I82" s="515"/>
      <c r="J82" s="510">
        <f>SUMIFS(APUS!$Y$9:$Y$1486,APUS!$M$9:$M$1486,INSUMOS!C82)</f>
        <v>0</v>
      </c>
      <c r="K82" s="511">
        <f t="shared" si="5"/>
        <v>0</v>
      </c>
      <c r="N82" s="533">
        <f>IFERROR(SUMIFS(APUS!$Z$10:$Z$62,APUS!$N40:Q$62,INSUMOS!D82),0)</f>
        <v>0</v>
      </c>
      <c r="O82" s="546">
        <f t="shared" si="4"/>
        <v>0</v>
      </c>
      <c r="Q82" s="341" t="str">
        <f t="shared" si="3"/>
        <v>SI</v>
      </c>
    </row>
    <row r="83" spans="3:17" hidden="1" x14ac:dyDescent="0.25">
      <c r="C83" s="358">
        <v>74</v>
      </c>
      <c r="D83" s="791"/>
      <c r="E83" s="791"/>
      <c r="F83" s="791"/>
      <c r="G83" s="791"/>
      <c r="H83" s="516"/>
      <c r="I83" s="515"/>
      <c r="J83" s="510">
        <f>SUMIFS(APUS!$Y$9:$Y$1486,APUS!$M$9:$M$1486,INSUMOS!C83)</f>
        <v>0</v>
      </c>
      <c r="K83" s="511">
        <f t="shared" si="5"/>
        <v>0</v>
      </c>
      <c r="N83" s="533">
        <f>IFERROR(SUMIFS(APUS!$Z$10:$Z$62,APUS!$N41:Q$62,INSUMOS!D83),0)</f>
        <v>0</v>
      </c>
      <c r="O83" s="546">
        <f t="shared" si="4"/>
        <v>0</v>
      </c>
      <c r="Q83" s="341" t="str">
        <f t="shared" si="3"/>
        <v>SI</v>
      </c>
    </row>
    <row r="84" spans="3:17" hidden="1" x14ac:dyDescent="0.25">
      <c r="C84" s="358">
        <v>75</v>
      </c>
      <c r="D84" s="791"/>
      <c r="E84" s="791"/>
      <c r="F84" s="791"/>
      <c r="G84" s="791"/>
      <c r="H84" s="516"/>
      <c r="I84" s="515"/>
      <c r="J84" s="510">
        <f>SUMIFS(APUS!$Y$9:$Y$1486,APUS!$M$9:$M$1486,INSUMOS!C84)</f>
        <v>0</v>
      </c>
      <c r="K84" s="511">
        <f t="shared" si="5"/>
        <v>0</v>
      </c>
      <c r="N84" s="533">
        <f>IFERROR(SUMIFS(APUS!$Z$10:$Z$62,APUS!$N42:Q$62,INSUMOS!D84),0)</f>
        <v>0</v>
      </c>
      <c r="O84" s="546">
        <f t="shared" si="4"/>
        <v>0</v>
      </c>
      <c r="Q84" s="341" t="str">
        <f t="shared" si="3"/>
        <v>SI</v>
      </c>
    </row>
    <row r="85" spans="3:17" hidden="1" x14ac:dyDescent="0.25">
      <c r="C85" s="358">
        <v>76</v>
      </c>
      <c r="D85" s="791"/>
      <c r="E85" s="791"/>
      <c r="F85" s="791"/>
      <c r="G85" s="791"/>
      <c r="H85" s="516"/>
      <c r="I85" s="515"/>
      <c r="J85" s="510">
        <f>SUMIFS(APUS!$Y$9:$Y$1486,APUS!$M$9:$M$1486,INSUMOS!C85)</f>
        <v>0</v>
      </c>
      <c r="K85" s="511">
        <f t="shared" si="5"/>
        <v>0</v>
      </c>
      <c r="N85" s="533">
        <f>IFERROR(SUMIFS(APUS!$Z$10:$Z$62,APUS!$N43:Q$62,INSUMOS!D85),0)</f>
        <v>0</v>
      </c>
      <c r="O85" s="546">
        <f t="shared" si="4"/>
        <v>0</v>
      </c>
      <c r="Q85" s="341" t="str">
        <f t="shared" si="3"/>
        <v>SI</v>
      </c>
    </row>
    <row r="86" spans="3:17" hidden="1" x14ac:dyDescent="0.25">
      <c r="C86" s="358">
        <v>77</v>
      </c>
      <c r="D86" s="791"/>
      <c r="E86" s="791"/>
      <c r="F86" s="791"/>
      <c r="G86" s="791"/>
      <c r="H86" s="516"/>
      <c r="I86" s="515"/>
      <c r="J86" s="510">
        <f>SUMIFS(APUS!$Y$9:$Y$1486,APUS!$M$9:$M$1486,INSUMOS!C86)</f>
        <v>0</v>
      </c>
      <c r="K86" s="511">
        <f t="shared" si="5"/>
        <v>0</v>
      </c>
      <c r="N86" s="533">
        <f>IFERROR(SUMIFS(APUS!$Z$10:$Z$62,APUS!$N44:Q$62,INSUMOS!D86),0)</f>
        <v>0</v>
      </c>
      <c r="O86" s="546">
        <f t="shared" si="4"/>
        <v>0</v>
      </c>
      <c r="Q86" s="341" t="str">
        <f t="shared" si="3"/>
        <v>SI</v>
      </c>
    </row>
    <row r="87" spans="3:17" hidden="1" x14ac:dyDescent="0.25">
      <c r="C87" s="358">
        <v>78</v>
      </c>
      <c r="D87" s="791"/>
      <c r="E87" s="791"/>
      <c r="F87" s="791"/>
      <c r="G87" s="791"/>
      <c r="H87" s="516"/>
      <c r="I87" s="515"/>
      <c r="J87" s="510">
        <f>SUMIFS(APUS!$Y$9:$Y$1486,APUS!$M$9:$M$1486,INSUMOS!C87)</f>
        <v>0</v>
      </c>
      <c r="K87" s="511">
        <f t="shared" si="5"/>
        <v>0</v>
      </c>
      <c r="N87" s="533">
        <f>IFERROR(SUMIFS(APUS!$Z$10:$Z$62,APUS!$N45:Q$62,INSUMOS!D87),0)</f>
        <v>0</v>
      </c>
      <c r="O87" s="546">
        <f t="shared" si="4"/>
        <v>0</v>
      </c>
      <c r="Q87" s="341" t="str">
        <f t="shared" si="3"/>
        <v>SI</v>
      </c>
    </row>
    <row r="88" spans="3:17" hidden="1" x14ac:dyDescent="0.25">
      <c r="C88" s="358">
        <v>79</v>
      </c>
      <c r="D88" s="791"/>
      <c r="E88" s="791"/>
      <c r="F88" s="791"/>
      <c r="G88" s="791"/>
      <c r="H88" s="516"/>
      <c r="I88" s="515"/>
      <c r="J88" s="510">
        <f>SUMIFS(APUS!$Y$9:$Y$1486,APUS!$M$9:$M$1486,INSUMOS!C88)</f>
        <v>0</v>
      </c>
      <c r="K88" s="511">
        <f t="shared" si="5"/>
        <v>0</v>
      </c>
      <c r="N88" s="533">
        <f>IFERROR(SUMIFS(APUS!$Z$10:$Z$62,APUS!$N46:Q$62,INSUMOS!D88),0)</f>
        <v>0</v>
      </c>
      <c r="O88" s="546">
        <f t="shared" si="4"/>
        <v>0</v>
      </c>
      <c r="Q88" s="341" t="str">
        <f t="shared" si="3"/>
        <v>SI</v>
      </c>
    </row>
    <row r="89" spans="3:17" hidden="1" x14ac:dyDescent="0.25">
      <c r="C89" s="358">
        <v>80</v>
      </c>
      <c r="D89" s="791"/>
      <c r="E89" s="791"/>
      <c r="F89" s="791"/>
      <c r="G89" s="791"/>
      <c r="H89" s="516"/>
      <c r="I89" s="515"/>
      <c r="J89" s="510">
        <f>SUMIFS(APUS!$Y$9:$Y$1486,APUS!$M$9:$M$1486,INSUMOS!C89)</f>
        <v>0</v>
      </c>
      <c r="K89" s="511">
        <f t="shared" si="5"/>
        <v>0</v>
      </c>
      <c r="N89" s="533">
        <f>IFERROR(SUMIFS(APUS!$Z$10:$Z$62,APUS!$N47:Q$62,INSUMOS!D89),0)</f>
        <v>0</v>
      </c>
      <c r="O89" s="546">
        <f t="shared" si="4"/>
        <v>0</v>
      </c>
      <c r="Q89" s="341" t="str">
        <f t="shared" si="3"/>
        <v>SI</v>
      </c>
    </row>
    <row r="90" spans="3:17" hidden="1" x14ac:dyDescent="0.25">
      <c r="C90" s="358">
        <v>81</v>
      </c>
      <c r="D90" s="791"/>
      <c r="E90" s="791"/>
      <c r="F90" s="791"/>
      <c r="G90" s="791"/>
      <c r="H90" s="516"/>
      <c r="I90" s="515"/>
      <c r="J90" s="510">
        <f>SUMIFS(APUS!$Y$9:$Y$1486,APUS!$M$9:$M$1486,INSUMOS!C90)</f>
        <v>0</v>
      </c>
      <c r="K90" s="511">
        <f t="shared" si="5"/>
        <v>0</v>
      </c>
      <c r="N90" s="533">
        <f>IFERROR(SUMIFS(APUS!$Z$10:$Z$62,APUS!$N48:Q$62,INSUMOS!D90),0)</f>
        <v>0</v>
      </c>
      <c r="O90" s="546">
        <f t="shared" si="4"/>
        <v>0</v>
      </c>
      <c r="Q90" s="341" t="str">
        <f t="shared" si="3"/>
        <v>SI</v>
      </c>
    </row>
    <row r="91" spans="3:17" hidden="1" x14ac:dyDescent="0.25">
      <c r="C91" s="358">
        <v>82</v>
      </c>
      <c r="D91" s="791"/>
      <c r="E91" s="791"/>
      <c r="F91" s="791"/>
      <c r="G91" s="791"/>
      <c r="H91" s="516"/>
      <c r="I91" s="515"/>
      <c r="J91" s="510">
        <f>SUMIFS(APUS!$Y$9:$Y$1486,APUS!$M$9:$M$1486,INSUMOS!C91)</f>
        <v>0</v>
      </c>
      <c r="K91" s="511">
        <f t="shared" si="5"/>
        <v>0</v>
      </c>
      <c r="N91" s="533">
        <f>IFERROR(SUMIFS(APUS!$Z$10:$Z$62,APUS!$N49:Q$62,INSUMOS!D91),0)</f>
        <v>0</v>
      </c>
      <c r="O91" s="546">
        <f t="shared" si="4"/>
        <v>0</v>
      </c>
      <c r="Q91" s="341" t="str">
        <f t="shared" si="3"/>
        <v>SI</v>
      </c>
    </row>
    <row r="92" spans="3:17" hidden="1" x14ac:dyDescent="0.25">
      <c r="C92" s="358">
        <v>83</v>
      </c>
      <c r="D92" s="791"/>
      <c r="E92" s="791"/>
      <c r="F92" s="791"/>
      <c r="G92" s="791"/>
      <c r="H92" s="516"/>
      <c r="I92" s="515"/>
      <c r="J92" s="510">
        <f>SUMIFS(APUS!$Y$9:$Y$1486,APUS!$M$9:$M$1486,INSUMOS!C92)</f>
        <v>0</v>
      </c>
      <c r="K92" s="511">
        <f t="shared" si="5"/>
        <v>0</v>
      </c>
      <c r="N92" s="533">
        <f>IFERROR(SUMIFS(APUS!$Z$10:$Z$62,APUS!$N50:Q$62,INSUMOS!D92),0)</f>
        <v>0</v>
      </c>
      <c r="O92" s="546">
        <f t="shared" si="4"/>
        <v>0</v>
      </c>
      <c r="Q92" s="341" t="str">
        <f t="shared" si="3"/>
        <v>SI</v>
      </c>
    </row>
    <row r="93" spans="3:17" hidden="1" x14ac:dyDescent="0.25">
      <c r="C93" s="358">
        <v>84</v>
      </c>
      <c r="D93" s="791"/>
      <c r="E93" s="791"/>
      <c r="F93" s="791"/>
      <c r="G93" s="791"/>
      <c r="H93" s="516"/>
      <c r="I93" s="515"/>
      <c r="J93" s="510">
        <f>SUMIFS(APUS!$Y$9:$Y$1486,APUS!$M$9:$M$1486,INSUMOS!C93)</f>
        <v>0</v>
      </c>
      <c r="K93" s="511">
        <f t="shared" si="5"/>
        <v>0</v>
      </c>
      <c r="N93" s="533">
        <f>IFERROR(SUMIFS(APUS!$Z$10:$Z$62,APUS!$N51:Q$62,INSUMOS!D93),0)</f>
        <v>0</v>
      </c>
      <c r="O93" s="546">
        <f t="shared" si="4"/>
        <v>0</v>
      </c>
      <c r="Q93" s="341" t="str">
        <f t="shared" si="3"/>
        <v>SI</v>
      </c>
    </row>
    <row r="94" spans="3:17" hidden="1" x14ac:dyDescent="0.25">
      <c r="C94" s="358">
        <v>85</v>
      </c>
      <c r="D94" s="791"/>
      <c r="E94" s="791"/>
      <c r="F94" s="791"/>
      <c r="G94" s="791"/>
      <c r="H94" s="516"/>
      <c r="I94" s="515"/>
      <c r="J94" s="510">
        <f>SUMIFS(APUS!$Y$9:$Y$1486,APUS!$M$9:$M$1486,INSUMOS!C94)</f>
        <v>0</v>
      </c>
      <c r="K94" s="511">
        <f t="shared" si="5"/>
        <v>0</v>
      </c>
      <c r="N94" s="533">
        <f>IFERROR(SUMIFS(APUS!$Z$10:$Z$62,APUS!$N60:Q$62,INSUMOS!D94),0)</f>
        <v>0</v>
      </c>
      <c r="O94" s="546">
        <f t="shared" si="4"/>
        <v>0</v>
      </c>
      <c r="Q94" s="341" t="str">
        <f t="shared" si="3"/>
        <v>SI</v>
      </c>
    </row>
    <row r="95" spans="3:17" hidden="1" x14ac:dyDescent="0.25">
      <c r="C95" s="358">
        <v>86</v>
      </c>
      <c r="D95" s="791"/>
      <c r="E95" s="791"/>
      <c r="F95" s="791"/>
      <c r="G95" s="791"/>
      <c r="H95" s="516"/>
      <c r="I95" s="515"/>
      <c r="J95" s="510">
        <f>SUMIFS(APUS!$Y$9:$Y$1486,APUS!$M$9:$M$1486,INSUMOS!C95)</f>
        <v>0</v>
      </c>
      <c r="K95" s="511">
        <f t="shared" si="5"/>
        <v>0</v>
      </c>
      <c r="N95" s="533">
        <f>IFERROR(SUMIFS(APUS!$Z$10:$Z$62,APUS!$N60:Q$62,INSUMOS!D95),0)</f>
        <v>0</v>
      </c>
      <c r="O95" s="546">
        <f t="shared" si="4"/>
        <v>0</v>
      </c>
      <c r="Q95" s="341" t="str">
        <f t="shared" si="3"/>
        <v>SI</v>
      </c>
    </row>
    <row r="96" spans="3:17" hidden="1" x14ac:dyDescent="0.25">
      <c r="C96" s="358">
        <v>87</v>
      </c>
      <c r="D96" s="791"/>
      <c r="E96" s="791"/>
      <c r="F96" s="791"/>
      <c r="G96" s="791"/>
      <c r="H96" s="516"/>
      <c r="I96" s="515"/>
      <c r="J96" s="510">
        <f>SUMIFS(APUS!$Y$9:$Y$1486,APUS!$M$9:$M$1486,INSUMOS!C96)</f>
        <v>0</v>
      </c>
      <c r="K96" s="511">
        <f t="shared" si="5"/>
        <v>0</v>
      </c>
      <c r="N96" s="533">
        <f>IFERROR(SUMIFS(APUS!$Z$10:$Z$62,APUS!$N61:Q$62,INSUMOS!D96),0)</f>
        <v>0</v>
      </c>
      <c r="O96" s="546">
        <f t="shared" si="4"/>
        <v>0</v>
      </c>
      <c r="Q96" s="341" t="str">
        <f t="shared" si="3"/>
        <v>SI</v>
      </c>
    </row>
    <row r="97" spans="3:17" hidden="1" x14ac:dyDescent="0.25">
      <c r="C97" s="358">
        <v>88</v>
      </c>
      <c r="D97" s="791"/>
      <c r="E97" s="791"/>
      <c r="F97" s="791"/>
      <c r="G97" s="791"/>
      <c r="H97" s="516"/>
      <c r="I97" s="515"/>
      <c r="J97" s="510">
        <f>SUMIFS(APUS!$Y$9:$Y$1486,APUS!$M$9:$M$1486,INSUMOS!C97)</f>
        <v>0</v>
      </c>
      <c r="K97" s="511">
        <f t="shared" si="5"/>
        <v>0</v>
      </c>
      <c r="N97" s="533">
        <f>IFERROR(SUMIFS(APUS!$Z$10:$Z$62,APUS!$N62:Q$62,INSUMOS!D97),0)</f>
        <v>0</v>
      </c>
      <c r="O97" s="546">
        <f t="shared" si="4"/>
        <v>0</v>
      </c>
      <c r="Q97" s="341" t="str">
        <f t="shared" si="3"/>
        <v>SI</v>
      </c>
    </row>
    <row r="98" spans="3:17" hidden="1" x14ac:dyDescent="0.25">
      <c r="C98" s="358">
        <v>89</v>
      </c>
      <c r="D98" s="791"/>
      <c r="E98" s="791"/>
      <c r="F98" s="791"/>
      <c r="G98" s="791"/>
      <c r="H98" s="516"/>
      <c r="I98" s="515"/>
      <c r="J98" s="510">
        <f>SUMIFS(APUS!$Y$9:$Y$1486,APUS!$M$9:$M$1486,INSUMOS!C98)</f>
        <v>0</v>
      </c>
      <c r="K98" s="511">
        <f t="shared" si="5"/>
        <v>0</v>
      </c>
      <c r="N98" s="533">
        <f>IFERROR(SUMIFS(APUS!$Z$10:$Z$62,APUS!$N$62:Q63,INSUMOS!D98),0)</f>
        <v>0</v>
      </c>
      <c r="O98" s="546">
        <f t="shared" si="4"/>
        <v>0</v>
      </c>
      <c r="Q98" s="341" t="str">
        <f t="shared" si="3"/>
        <v>SI</v>
      </c>
    </row>
    <row r="99" spans="3:17" hidden="1" x14ac:dyDescent="0.25">
      <c r="C99" s="358">
        <v>90</v>
      </c>
      <c r="D99" s="791"/>
      <c r="E99" s="791"/>
      <c r="F99" s="791"/>
      <c r="G99" s="791"/>
      <c r="H99" s="516"/>
      <c r="I99" s="515"/>
      <c r="J99" s="510">
        <f>SUMIFS(APUS!$Y$9:$Y$1486,APUS!$M$9:$M$1486,INSUMOS!C99)</f>
        <v>0</v>
      </c>
      <c r="K99" s="511">
        <f t="shared" si="5"/>
        <v>0</v>
      </c>
      <c r="N99" s="533">
        <f>IFERROR(SUMIFS(APUS!$Z$10:$Z$62,APUS!$N$62:Q64,INSUMOS!D99),0)</f>
        <v>0</v>
      </c>
      <c r="O99" s="546">
        <f t="shared" si="4"/>
        <v>0</v>
      </c>
      <c r="Q99" s="341" t="str">
        <f t="shared" si="3"/>
        <v>SI</v>
      </c>
    </row>
    <row r="100" spans="3:17" hidden="1" x14ac:dyDescent="0.25">
      <c r="C100" s="358">
        <v>91</v>
      </c>
      <c r="D100" s="791"/>
      <c r="E100" s="791"/>
      <c r="F100" s="791"/>
      <c r="G100" s="791"/>
      <c r="H100" s="516"/>
      <c r="I100" s="515"/>
      <c r="J100" s="510">
        <f>SUMIFS(APUS!$Y$9:$Y$1486,APUS!$M$9:$M$1486,INSUMOS!C100)</f>
        <v>0</v>
      </c>
      <c r="K100" s="511">
        <f t="shared" si="5"/>
        <v>0</v>
      </c>
      <c r="N100" s="533">
        <f>IFERROR(SUMIFS(APUS!$Z$10:$Z$62,APUS!$N$62:Q65,INSUMOS!D100),0)</f>
        <v>0</v>
      </c>
      <c r="O100" s="546">
        <f t="shared" si="4"/>
        <v>0</v>
      </c>
      <c r="Q100" s="341" t="str">
        <f t="shared" si="3"/>
        <v>SI</v>
      </c>
    </row>
    <row r="101" spans="3:17" hidden="1" x14ac:dyDescent="0.25">
      <c r="C101" s="358">
        <v>92</v>
      </c>
      <c r="D101" s="791"/>
      <c r="E101" s="791"/>
      <c r="F101" s="791"/>
      <c r="G101" s="791"/>
      <c r="H101" s="516"/>
      <c r="I101" s="515"/>
      <c r="J101" s="510">
        <f>SUMIFS(APUS!$Y$9:$Y$1486,APUS!$M$9:$M$1486,INSUMOS!C101)</f>
        <v>0</v>
      </c>
      <c r="K101" s="511">
        <f t="shared" si="5"/>
        <v>0</v>
      </c>
      <c r="N101" s="533">
        <f>IFERROR(SUMIFS(APUS!$Z$10:$Z$62,APUS!$N$62:Q66,INSUMOS!D101),0)</f>
        <v>0</v>
      </c>
      <c r="O101" s="546">
        <f t="shared" si="4"/>
        <v>0</v>
      </c>
      <c r="Q101" s="341" t="str">
        <f t="shared" si="3"/>
        <v>SI</v>
      </c>
    </row>
    <row r="102" spans="3:17" hidden="1" x14ac:dyDescent="0.25">
      <c r="C102" s="358">
        <v>93</v>
      </c>
      <c r="D102" s="791"/>
      <c r="E102" s="791"/>
      <c r="F102" s="791"/>
      <c r="G102" s="791"/>
      <c r="H102" s="516"/>
      <c r="I102" s="515"/>
      <c r="J102" s="510">
        <f>SUMIFS(APUS!$Y$9:$Y$1486,APUS!$M$9:$M$1486,INSUMOS!C102)</f>
        <v>0</v>
      </c>
      <c r="K102" s="511">
        <f t="shared" si="5"/>
        <v>0</v>
      </c>
      <c r="N102" s="533">
        <f>IFERROR(SUMIFS(APUS!$Z$10:$Z$62,APUS!$N$62:Q67,INSUMOS!D102),0)</f>
        <v>0</v>
      </c>
      <c r="O102" s="546">
        <f t="shared" si="4"/>
        <v>0</v>
      </c>
      <c r="Q102" s="341" t="str">
        <f t="shared" si="3"/>
        <v>SI</v>
      </c>
    </row>
    <row r="103" spans="3:17" hidden="1" x14ac:dyDescent="0.25">
      <c r="C103" s="358">
        <v>94</v>
      </c>
      <c r="D103" s="791"/>
      <c r="E103" s="791"/>
      <c r="F103" s="791"/>
      <c r="G103" s="791"/>
      <c r="H103" s="516"/>
      <c r="I103" s="515"/>
      <c r="J103" s="510">
        <f>SUMIFS(APUS!$Y$9:$Y$1486,APUS!$M$9:$M$1486,INSUMOS!C103)</f>
        <v>0</v>
      </c>
      <c r="K103" s="511">
        <f t="shared" si="5"/>
        <v>0</v>
      </c>
      <c r="N103" s="533">
        <f>IFERROR(SUMIFS(APUS!$Z$10:$Z$62,APUS!$N$62:Q68,INSUMOS!D103),0)</f>
        <v>0</v>
      </c>
      <c r="O103" s="546">
        <f t="shared" si="4"/>
        <v>0</v>
      </c>
      <c r="Q103" s="341" t="str">
        <f t="shared" si="3"/>
        <v>SI</v>
      </c>
    </row>
    <row r="104" spans="3:17" hidden="1" x14ac:dyDescent="0.25">
      <c r="C104" s="358">
        <v>95</v>
      </c>
      <c r="D104" s="791"/>
      <c r="E104" s="791"/>
      <c r="F104" s="791"/>
      <c r="G104" s="791"/>
      <c r="H104" s="516"/>
      <c r="I104" s="515"/>
      <c r="J104" s="510">
        <f>SUMIFS(APUS!$Y$9:$Y$1486,APUS!$M$9:$M$1486,INSUMOS!C104)</f>
        <v>0</v>
      </c>
      <c r="K104" s="511">
        <f t="shared" si="5"/>
        <v>0</v>
      </c>
      <c r="N104" s="533">
        <f>IFERROR(SUMIFS(APUS!$Z$10:$Z$62,APUS!$N$62:Q69,INSUMOS!D104),0)</f>
        <v>0</v>
      </c>
      <c r="O104" s="546">
        <f t="shared" si="4"/>
        <v>0</v>
      </c>
      <c r="Q104" s="341" t="str">
        <f t="shared" si="3"/>
        <v>SI</v>
      </c>
    </row>
    <row r="105" spans="3:17" hidden="1" x14ac:dyDescent="0.25">
      <c r="C105" s="358">
        <v>96</v>
      </c>
      <c r="D105" s="791"/>
      <c r="E105" s="791"/>
      <c r="F105" s="791"/>
      <c r="G105" s="791"/>
      <c r="H105" s="516"/>
      <c r="I105" s="515"/>
      <c r="J105" s="510">
        <f>SUMIFS(APUS!$Y$9:$Y$1486,APUS!$M$9:$M$1486,INSUMOS!C105)</f>
        <v>0</v>
      </c>
      <c r="K105" s="511">
        <f t="shared" si="5"/>
        <v>0</v>
      </c>
      <c r="N105" s="533">
        <f>IFERROR(SUMIFS(APUS!$Z$10:$Z$62,APUS!$N$62:Q70,INSUMOS!D105),0)</f>
        <v>0</v>
      </c>
      <c r="O105" s="546">
        <f t="shared" si="4"/>
        <v>0</v>
      </c>
      <c r="Q105" s="341" t="str">
        <f t="shared" si="3"/>
        <v>SI</v>
      </c>
    </row>
    <row r="106" spans="3:17" hidden="1" x14ac:dyDescent="0.25">
      <c r="C106" s="358">
        <v>97</v>
      </c>
      <c r="D106" s="791"/>
      <c r="E106" s="791"/>
      <c r="F106" s="791"/>
      <c r="G106" s="791"/>
      <c r="H106" s="516"/>
      <c r="I106" s="515"/>
      <c r="J106" s="510">
        <f>SUMIFS(APUS!$Y$9:$Y$1486,APUS!$M$9:$M$1486,INSUMOS!C106)</f>
        <v>0</v>
      </c>
      <c r="K106" s="511">
        <f t="shared" si="5"/>
        <v>0</v>
      </c>
      <c r="N106" s="533">
        <f>IFERROR(SUMIFS(APUS!$Z$10:$Z$62,APUS!$N$62:Q71,INSUMOS!D106),0)</f>
        <v>0</v>
      </c>
      <c r="O106" s="546">
        <f t="shared" si="4"/>
        <v>0</v>
      </c>
      <c r="Q106" s="341" t="str">
        <f t="shared" si="3"/>
        <v>SI</v>
      </c>
    </row>
    <row r="107" spans="3:17" hidden="1" x14ac:dyDescent="0.25">
      <c r="C107" s="358">
        <v>98</v>
      </c>
      <c r="D107" s="791"/>
      <c r="E107" s="791"/>
      <c r="F107" s="791"/>
      <c r="G107" s="791"/>
      <c r="H107" s="516"/>
      <c r="I107" s="515"/>
      <c r="J107" s="510">
        <f>SUMIFS(APUS!$Y$9:$Y$1486,APUS!$M$9:$M$1486,INSUMOS!C107)</f>
        <v>0</v>
      </c>
      <c r="K107" s="511">
        <f t="shared" si="5"/>
        <v>0</v>
      </c>
      <c r="N107" s="533">
        <f>IFERROR(SUMIFS(APUS!$Z$10:$Z$62,APUS!$N$62:Q72,INSUMOS!D107),0)</f>
        <v>0</v>
      </c>
      <c r="O107" s="546">
        <f t="shared" si="4"/>
        <v>0</v>
      </c>
      <c r="Q107" s="341" t="str">
        <f t="shared" si="3"/>
        <v>SI</v>
      </c>
    </row>
    <row r="108" spans="3:17" x14ac:dyDescent="0.25">
      <c r="C108" s="358">
        <v>99</v>
      </c>
      <c r="D108" s="718" t="s">
        <v>822</v>
      </c>
      <c r="E108" s="718"/>
      <c r="F108" s="718"/>
      <c r="G108" s="718"/>
      <c r="H108" s="516" t="s">
        <v>34</v>
      </c>
      <c r="I108" s="515">
        <v>9683</v>
      </c>
      <c r="J108" s="510">
        <f>SUMIFS(APUS!$Y$9:$Y$1486,APUS!$M$9:$M$1486,INSUMOS!C108)</f>
        <v>357.10579999999999</v>
      </c>
      <c r="K108" s="511">
        <f t="shared" si="5"/>
        <v>3457855.4613999999</v>
      </c>
      <c r="N108" s="533">
        <f>IFERROR(SUMIFS(APUS!$Z$10:$Z$62,APUS!$N$62:Q74,INSUMOS!D108),0)</f>
        <v>0</v>
      </c>
      <c r="O108" s="546">
        <f t="shared" si="4"/>
        <v>-3457855.4613999999</v>
      </c>
      <c r="Q108" s="341" t="str">
        <f t="shared" si="3"/>
        <v>NO</v>
      </c>
    </row>
    <row r="109" spans="3:17" x14ac:dyDescent="0.25">
      <c r="C109" s="517"/>
      <c r="D109" s="776"/>
      <c r="E109" s="776"/>
      <c r="F109" s="776"/>
      <c r="G109" s="776"/>
      <c r="H109" s="314"/>
      <c r="I109" s="515"/>
      <c r="J109" s="510"/>
      <c r="K109" s="518"/>
      <c r="N109" s="412"/>
      <c r="O109" s="546"/>
      <c r="Q109" s="412"/>
    </row>
    <row r="110" spans="3:17" ht="14.4" x14ac:dyDescent="0.3">
      <c r="C110" s="726" t="str">
        <f>+"SUBTOTAL "&amp;C8</f>
        <v>SUBTOTAL MAQUINARIA/EQUIPOS</v>
      </c>
      <c r="D110" s="726"/>
      <c r="E110" s="726"/>
      <c r="F110" s="726"/>
      <c r="G110" s="726"/>
      <c r="H110" s="726"/>
      <c r="I110" s="726"/>
      <c r="J110" s="726"/>
      <c r="K110" s="521">
        <f>+SUM(K9:K109)</f>
        <v>26519596.350837246</v>
      </c>
      <c r="N110" s="547">
        <f>SUM(N9:N109)</f>
        <v>0</v>
      </c>
      <c r="O110" s="546">
        <f t="shared" si="4"/>
        <v>-26519596.350837246</v>
      </c>
      <c r="Q110" s="412"/>
    </row>
    <row r="112" spans="3:17" x14ac:dyDescent="0.25">
      <c r="C112" s="733" t="s">
        <v>213</v>
      </c>
      <c r="D112" s="733"/>
      <c r="E112" s="733"/>
      <c r="F112" s="733"/>
      <c r="G112" s="733"/>
      <c r="H112" s="733"/>
      <c r="I112" s="733"/>
      <c r="J112" s="733"/>
      <c r="K112" s="733"/>
      <c r="N112" s="326"/>
      <c r="O112" s="430"/>
      <c r="P112" s="348"/>
      <c r="Q112" s="326"/>
    </row>
    <row r="113" spans="3:17" x14ac:dyDescent="0.25">
      <c r="C113" s="503" t="s">
        <v>148</v>
      </c>
      <c r="D113" s="706" t="s">
        <v>98</v>
      </c>
      <c r="E113" s="706"/>
      <c r="F113" s="706"/>
      <c r="G113" s="307" t="s">
        <v>112</v>
      </c>
      <c r="H113" s="307" t="s">
        <v>214</v>
      </c>
      <c r="I113" s="504" t="s">
        <v>149</v>
      </c>
      <c r="J113" s="505" t="s">
        <v>107</v>
      </c>
      <c r="K113" s="429" t="s">
        <v>9</v>
      </c>
      <c r="N113" s="429" t="s">
        <v>9</v>
      </c>
      <c r="O113" s="429" t="s">
        <v>151</v>
      </c>
      <c r="P113" s="403"/>
      <c r="Q113" s="429"/>
    </row>
    <row r="114" spans="3:17" x14ac:dyDescent="0.25">
      <c r="C114" s="358">
        <v>100</v>
      </c>
      <c r="D114" s="791" t="s">
        <v>780</v>
      </c>
      <c r="E114" s="791"/>
      <c r="F114" s="791"/>
      <c r="G114" s="326" t="s">
        <v>215</v>
      </c>
      <c r="H114" s="355">
        <v>60.3</v>
      </c>
      <c r="I114" s="515">
        <v>1800</v>
      </c>
      <c r="J114" s="510">
        <f>SUMIFS(APUS!$Y$9:$Y$1486,APUS!$M$9:$M$1486,INSUMOS!C114)</f>
        <v>4426.7774708115003</v>
      </c>
      <c r="K114" s="511">
        <f t="shared" ref="K114:K177" si="6">+J114*I114</f>
        <v>7968199.4474607008</v>
      </c>
      <c r="N114" s="533">
        <f>IFERROR(SUMIFS(APUS!$Z$10:$Z$62,APUS!$N$62:Q80,INSUMOS!D114),0)</f>
        <v>0</v>
      </c>
      <c r="O114" s="546">
        <f>+N114-K114</f>
        <v>-7968199.4474607008</v>
      </c>
      <c r="P114" s="348"/>
      <c r="Q114" s="341" t="str">
        <f t="shared" ref="Q114:Q177" si="7">+IF(K114=0,"SI","NO")</f>
        <v>NO</v>
      </c>
    </row>
    <row r="115" spans="3:17" x14ac:dyDescent="0.25">
      <c r="C115" s="358">
        <v>101</v>
      </c>
      <c r="D115" s="791" t="s">
        <v>781</v>
      </c>
      <c r="E115" s="791"/>
      <c r="F115" s="791"/>
      <c r="G115" s="326" t="s">
        <v>215</v>
      </c>
      <c r="H115" s="355">
        <v>4.3099999999999996</v>
      </c>
      <c r="I115" s="515">
        <v>1800</v>
      </c>
      <c r="J115" s="510">
        <f>SUMIFS(APUS!$Y$9:$Y$1486,APUS!$M$9:$M$1486,INSUMOS!C115)</f>
        <v>273.77836343550001</v>
      </c>
      <c r="K115" s="511">
        <f t="shared" si="6"/>
        <v>492801.05418390001</v>
      </c>
      <c r="N115" s="533">
        <f>IFERROR(SUMIFS(APUS!$Z$10:$Z$62,APUS!$N$62:Q81,INSUMOS!D115),0)</f>
        <v>0</v>
      </c>
      <c r="O115" s="546">
        <f t="shared" ref="O115:O178" si="8">+N115-K115</f>
        <v>-492801.05418390001</v>
      </c>
      <c r="P115" s="348"/>
      <c r="Q115" s="341" t="str">
        <f t="shared" si="7"/>
        <v>NO</v>
      </c>
    </row>
    <row r="116" spans="3:17" hidden="1" x14ac:dyDescent="0.25">
      <c r="C116" s="358">
        <v>102</v>
      </c>
      <c r="D116" s="791" t="s">
        <v>788</v>
      </c>
      <c r="E116" s="791"/>
      <c r="F116" s="791"/>
      <c r="G116" s="326" t="s">
        <v>215</v>
      </c>
      <c r="H116" s="355">
        <v>4.87</v>
      </c>
      <c r="I116" s="515">
        <v>1800</v>
      </c>
      <c r="J116" s="510">
        <f>SUMIFS(APUS!$Y$9:$Y$1486,APUS!$M$9:$M$1486,INSUMOS!C116)</f>
        <v>0</v>
      </c>
      <c r="K116" s="511">
        <f t="shared" si="6"/>
        <v>0</v>
      </c>
      <c r="N116" s="533">
        <f>IFERROR(SUMIFS(APUS!$Z$10:$Z$62,APUS!$N$62:Q82,INSUMOS!D116),0)</f>
        <v>0</v>
      </c>
      <c r="O116" s="546">
        <f t="shared" si="8"/>
        <v>0</v>
      </c>
      <c r="P116" s="348"/>
      <c r="Q116" s="341" t="str">
        <f t="shared" si="7"/>
        <v>SI</v>
      </c>
    </row>
    <row r="117" spans="3:17" x14ac:dyDescent="0.25">
      <c r="C117" s="358">
        <v>103</v>
      </c>
      <c r="D117" s="791" t="s">
        <v>807</v>
      </c>
      <c r="E117" s="791"/>
      <c r="F117" s="791"/>
      <c r="G117" s="326" t="s">
        <v>215</v>
      </c>
      <c r="H117" s="355">
        <v>4.3099999999999996</v>
      </c>
      <c r="I117" s="515">
        <v>1800</v>
      </c>
      <c r="J117" s="510">
        <f>SUMIFS(APUS!$Y$9:$Y$1486,APUS!$M$9:$M$1486,INSUMOS!C117)</f>
        <v>576.61334999999985</v>
      </c>
      <c r="K117" s="511">
        <f t="shared" si="6"/>
        <v>1037904.0299999998</v>
      </c>
      <c r="N117" s="533">
        <f>IFERROR(SUMIFS(APUS!$Z$10:$Z$62,APUS!$N$62:Q83,INSUMOS!D117),0)</f>
        <v>0</v>
      </c>
      <c r="O117" s="546">
        <f t="shared" si="8"/>
        <v>-1037904.0299999998</v>
      </c>
      <c r="P117" s="348"/>
      <c r="Q117" s="341" t="str">
        <f t="shared" si="7"/>
        <v>NO</v>
      </c>
    </row>
    <row r="118" spans="3:17" hidden="1" x14ac:dyDescent="0.25">
      <c r="C118" s="358">
        <v>104</v>
      </c>
      <c r="D118" s="791" t="s">
        <v>887</v>
      </c>
      <c r="E118" s="791"/>
      <c r="F118" s="791"/>
      <c r="G118" s="326" t="s">
        <v>215</v>
      </c>
      <c r="H118" s="355">
        <v>4.3099999999999996</v>
      </c>
      <c r="I118" s="515">
        <v>1800</v>
      </c>
      <c r="J118" s="510">
        <f>SUMIFS(APUS!$Y$9:$Y$1486,APUS!$M$9:$M$1486,INSUMOS!C118)</f>
        <v>0</v>
      </c>
      <c r="K118" s="511">
        <f t="shared" si="6"/>
        <v>0</v>
      </c>
      <c r="N118" s="533">
        <f>IFERROR(SUMIFS(APUS!$Z$10:$Z$62,APUS!$N$62:Q84,INSUMOS!D118),0)</f>
        <v>0</v>
      </c>
      <c r="O118" s="546">
        <f t="shared" si="8"/>
        <v>0</v>
      </c>
      <c r="P118" s="348"/>
      <c r="Q118" s="341" t="str">
        <f t="shared" si="7"/>
        <v>SI</v>
      </c>
    </row>
    <row r="119" spans="3:17" x14ac:dyDescent="0.25">
      <c r="C119" s="358">
        <v>105</v>
      </c>
      <c r="D119" s="791" t="s">
        <v>554</v>
      </c>
      <c r="E119" s="791"/>
      <c r="F119" s="791"/>
      <c r="G119" s="326" t="s">
        <v>215</v>
      </c>
      <c r="H119" s="355">
        <v>1.9</v>
      </c>
      <c r="I119" s="515">
        <v>1800</v>
      </c>
      <c r="J119" s="510">
        <f>SUMIFS(APUS!$Y$9:$Y$1486,APUS!$M$9:$M$1486,INSUMOS!C119)</f>
        <v>678.50101999999993</v>
      </c>
      <c r="K119" s="511">
        <f t="shared" si="6"/>
        <v>1221301.8359999999</v>
      </c>
      <c r="N119" s="533">
        <f>IFERROR(SUMIFS(APUS!$Z$10:$Z$62,APUS!$N$62:Q85,INSUMOS!D119),0)</f>
        <v>0</v>
      </c>
      <c r="O119" s="546">
        <f t="shared" si="8"/>
        <v>-1221301.8359999999</v>
      </c>
      <c r="P119" s="348"/>
      <c r="Q119" s="341" t="str">
        <f t="shared" si="7"/>
        <v>NO</v>
      </c>
    </row>
    <row r="120" spans="3:17" x14ac:dyDescent="0.25">
      <c r="C120" s="358">
        <v>106</v>
      </c>
      <c r="D120" s="791" t="s">
        <v>520</v>
      </c>
      <c r="E120" s="791"/>
      <c r="F120" s="791"/>
      <c r="G120" s="326" t="s">
        <v>215</v>
      </c>
      <c r="H120" s="355">
        <v>35</v>
      </c>
      <c r="I120" s="515">
        <v>2800</v>
      </c>
      <c r="J120" s="510">
        <f>SUMIFS(APUS!$Y$9:$Y$1486,APUS!$M$9:$M$1486,INSUMOS!C120)</f>
        <v>4950.4874999999993</v>
      </c>
      <c r="K120" s="511">
        <f t="shared" si="6"/>
        <v>13861364.999999998</v>
      </c>
      <c r="N120" s="533">
        <f>IFERROR(SUMIFS(APUS!$Z$10:$Z$62,APUS!$N$62:Q86,INSUMOS!D120),0)</f>
        <v>0</v>
      </c>
      <c r="O120" s="546">
        <f t="shared" si="8"/>
        <v>-13861364.999999998</v>
      </c>
      <c r="P120" s="348"/>
      <c r="Q120" s="341" t="str">
        <f t="shared" si="7"/>
        <v>NO</v>
      </c>
    </row>
    <row r="121" spans="3:17" hidden="1" x14ac:dyDescent="0.25">
      <c r="C121" s="358">
        <v>107</v>
      </c>
      <c r="D121" s="791" t="s">
        <v>521</v>
      </c>
      <c r="E121" s="791"/>
      <c r="F121" s="791"/>
      <c r="G121" s="326" t="s">
        <v>215</v>
      </c>
      <c r="H121" s="355">
        <v>30</v>
      </c>
      <c r="I121" s="515">
        <v>1800</v>
      </c>
      <c r="J121" s="510">
        <f>SUMIFS(APUS!$Y$9:$Y$1486,APUS!$M$9:$M$1486,INSUMOS!C121)</f>
        <v>0</v>
      </c>
      <c r="K121" s="511">
        <f t="shared" si="6"/>
        <v>0</v>
      </c>
      <c r="N121" s="533">
        <f>IFERROR(SUMIFS(APUS!$Z$10:$Z$62,APUS!$N$62:Q87,INSUMOS!D121),0)</f>
        <v>0</v>
      </c>
      <c r="O121" s="546">
        <f t="shared" si="8"/>
        <v>0</v>
      </c>
      <c r="P121" s="348"/>
      <c r="Q121" s="341" t="str">
        <f t="shared" si="7"/>
        <v>SI</v>
      </c>
    </row>
    <row r="122" spans="3:17" x14ac:dyDescent="0.25">
      <c r="C122" s="358">
        <v>108</v>
      </c>
      <c r="D122" s="791" t="s">
        <v>782</v>
      </c>
      <c r="E122" s="791"/>
      <c r="F122" s="791"/>
      <c r="G122" s="326" t="s">
        <v>215</v>
      </c>
      <c r="H122" s="355">
        <v>4.3099999999999996</v>
      </c>
      <c r="I122" s="515">
        <v>1800</v>
      </c>
      <c r="J122" s="510">
        <f>SUMIFS(APUS!$Y$9:$Y$1486,APUS!$M$9:$M$1486,INSUMOS!C122)</f>
        <v>116.02748429999998</v>
      </c>
      <c r="K122" s="511">
        <f t="shared" si="6"/>
        <v>208849.47173999998</v>
      </c>
      <c r="N122" s="533">
        <f>IFERROR(SUMIFS(APUS!$Z$10:$Z$62,APUS!$N$62:Q88,INSUMOS!D122),0)</f>
        <v>0</v>
      </c>
      <c r="O122" s="546">
        <f t="shared" si="8"/>
        <v>-208849.47173999998</v>
      </c>
      <c r="P122" s="348"/>
      <c r="Q122" s="341" t="str">
        <f t="shared" si="7"/>
        <v>NO</v>
      </c>
    </row>
    <row r="123" spans="3:17" hidden="1" x14ac:dyDescent="0.25">
      <c r="C123" s="358">
        <v>109</v>
      </c>
      <c r="D123" s="791" t="s">
        <v>553</v>
      </c>
      <c r="E123" s="791"/>
      <c r="F123" s="791"/>
      <c r="G123" s="326" t="s">
        <v>215</v>
      </c>
      <c r="H123" s="355">
        <v>15</v>
      </c>
      <c r="I123" s="515">
        <v>1200</v>
      </c>
      <c r="J123" s="510">
        <f>SUMIFS(APUS!$Y$9:$Y$1486,APUS!$M$9:$M$1486,INSUMOS!C123)</f>
        <v>0</v>
      </c>
      <c r="K123" s="511">
        <f t="shared" si="6"/>
        <v>0</v>
      </c>
      <c r="N123" s="533">
        <f>IFERROR(SUMIFS(APUS!$Z$10:$Z$62,APUS!$N$62:Q89,INSUMOS!D123),0)</f>
        <v>0</v>
      </c>
      <c r="O123" s="546">
        <f t="shared" si="8"/>
        <v>0</v>
      </c>
      <c r="P123" s="348"/>
      <c r="Q123" s="341" t="str">
        <f t="shared" si="7"/>
        <v>SI</v>
      </c>
    </row>
    <row r="124" spans="3:17" hidden="1" x14ac:dyDescent="0.25">
      <c r="C124" s="358">
        <v>110</v>
      </c>
      <c r="D124" s="791"/>
      <c r="E124" s="791"/>
      <c r="F124" s="791"/>
      <c r="G124" s="326"/>
      <c r="H124" s="355">
        <v>5</v>
      </c>
      <c r="I124" s="515">
        <v>1200</v>
      </c>
      <c r="J124" s="510">
        <f>SUMIFS(APUS!$Y$9:$Y$1486,APUS!$M$9:$M$1486,INSUMOS!C124)</f>
        <v>0</v>
      </c>
      <c r="K124" s="511">
        <f t="shared" si="6"/>
        <v>0</v>
      </c>
      <c r="N124" s="533">
        <f>IFERROR(SUMIFS(APUS!$Z$10:$Z$62,APUS!$N$62:Q90,INSUMOS!D124),0)</f>
        <v>0</v>
      </c>
      <c r="O124" s="546">
        <f t="shared" si="8"/>
        <v>0</v>
      </c>
      <c r="P124" s="348"/>
      <c r="Q124" s="341" t="str">
        <f t="shared" si="7"/>
        <v>SI</v>
      </c>
    </row>
    <row r="125" spans="3:17" hidden="1" x14ac:dyDescent="0.25">
      <c r="C125" s="358">
        <v>111</v>
      </c>
      <c r="D125" s="791"/>
      <c r="E125" s="791"/>
      <c r="F125" s="791"/>
      <c r="G125" s="326"/>
      <c r="H125" s="355">
        <v>5</v>
      </c>
      <c r="I125" s="515">
        <v>1200</v>
      </c>
      <c r="J125" s="510">
        <f>SUMIFS(APUS!$Y$9:$Y$1486,APUS!$M$9:$M$1486,INSUMOS!C125)</f>
        <v>0</v>
      </c>
      <c r="K125" s="511">
        <f t="shared" si="6"/>
        <v>0</v>
      </c>
      <c r="N125" s="533">
        <f>IFERROR(SUMIFS(APUS!$Z$10:$Z$62,APUS!$N$62:Q91,INSUMOS!D125),0)</f>
        <v>0</v>
      </c>
      <c r="O125" s="546">
        <f t="shared" si="8"/>
        <v>0</v>
      </c>
      <c r="P125" s="348"/>
      <c r="Q125" s="341" t="str">
        <f t="shared" si="7"/>
        <v>SI</v>
      </c>
    </row>
    <row r="126" spans="3:17" hidden="1" x14ac:dyDescent="0.25">
      <c r="C126" s="358">
        <v>112</v>
      </c>
      <c r="D126" s="791"/>
      <c r="E126" s="791"/>
      <c r="F126" s="791"/>
      <c r="G126" s="326"/>
      <c r="H126" s="355">
        <v>5</v>
      </c>
      <c r="I126" s="515">
        <v>1200</v>
      </c>
      <c r="J126" s="510">
        <f>SUMIFS(APUS!$Y$9:$Y$1486,APUS!$M$9:$M$1486,INSUMOS!C126)</f>
        <v>0</v>
      </c>
      <c r="K126" s="511">
        <f t="shared" si="6"/>
        <v>0</v>
      </c>
      <c r="N126" s="533">
        <f>IFERROR(SUMIFS(APUS!$Z$10:$Z$62,APUS!$N$62:Q92,INSUMOS!D126),0)</f>
        <v>0</v>
      </c>
      <c r="O126" s="546">
        <f t="shared" si="8"/>
        <v>0</v>
      </c>
      <c r="P126" s="348"/>
      <c r="Q126" s="341" t="str">
        <f t="shared" si="7"/>
        <v>SI</v>
      </c>
    </row>
    <row r="127" spans="3:17" hidden="1" x14ac:dyDescent="0.25">
      <c r="C127" s="358">
        <v>113</v>
      </c>
      <c r="D127" s="791"/>
      <c r="E127" s="791"/>
      <c r="F127" s="791"/>
      <c r="G127" s="326"/>
      <c r="H127" s="355">
        <v>5</v>
      </c>
      <c r="I127" s="515">
        <v>1200</v>
      </c>
      <c r="J127" s="510">
        <f>SUMIFS(APUS!$Y$9:$Y$1486,APUS!$M$9:$M$1486,INSUMOS!C127)</f>
        <v>0</v>
      </c>
      <c r="K127" s="511">
        <f t="shared" si="6"/>
        <v>0</v>
      </c>
      <c r="N127" s="533">
        <f>IFERROR(SUMIFS(APUS!$Z$10:$Z$62,APUS!$N$62:Q93,INSUMOS!D127),0)</f>
        <v>0</v>
      </c>
      <c r="O127" s="546">
        <f t="shared" si="8"/>
        <v>0</v>
      </c>
      <c r="P127" s="348"/>
      <c r="Q127" s="341" t="str">
        <f t="shared" si="7"/>
        <v>SI</v>
      </c>
    </row>
    <row r="128" spans="3:17" hidden="1" x14ac:dyDescent="0.25">
      <c r="C128" s="358">
        <v>114</v>
      </c>
      <c r="D128" s="791"/>
      <c r="E128" s="791"/>
      <c r="F128" s="791"/>
      <c r="G128" s="326"/>
      <c r="H128" s="355">
        <v>5</v>
      </c>
      <c r="I128" s="515">
        <v>1200</v>
      </c>
      <c r="J128" s="510">
        <f>SUMIFS(APUS!$Y$9:$Y$1486,APUS!$M$9:$M$1486,INSUMOS!C128)</f>
        <v>0</v>
      </c>
      <c r="K128" s="511">
        <f t="shared" si="6"/>
        <v>0</v>
      </c>
      <c r="N128" s="533">
        <f>IFERROR(SUMIFS(APUS!$Z$10:$Z$62,APUS!$N$62:Q94,INSUMOS!D128),0)</f>
        <v>0</v>
      </c>
      <c r="O128" s="546">
        <f t="shared" si="8"/>
        <v>0</v>
      </c>
      <c r="P128" s="348"/>
      <c r="Q128" s="341" t="str">
        <f t="shared" si="7"/>
        <v>SI</v>
      </c>
    </row>
    <row r="129" spans="3:17" hidden="1" x14ac:dyDescent="0.25">
      <c r="C129" s="358">
        <v>115</v>
      </c>
      <c r="D129" s="791"/>
      <c r="E129" s="791"/>
      <c r="F129" s="791"/>
      <c r="G129" s="326"/>
      <c r="H129" s="355">
        <v>5</v>
      </c>
      <c r="I129" s="515">
        <v>1200</v>
      </c>
      <c r="J129" s="510">
        <f>SUMIFS(APUS!$Y$9:$Y$1486,APUS!$M$9:$M$1486,INSUMOS!C129)</f>
        <v>0</v>
      </c>
      <c r="K129" s="511">
        <f t="shared" si="6"/>
        <v>0</v>
      </c>
      <c r="N129" s="533">
        <f>IFERROR(SUMIFS(APUS!$Z$10:$Z$62,APUS!$N$62:Q95,INSUMOS!D129),0)</f>
        <v>0</v>
      </c>
      <c r="O129" s="546">
        <f t="shared" si="8"/>
        <v>0</v>
      </c>
      <c r="P129" s="348"/>
      <c r="Q129" s="341" t="str">
        <f t="shared" si="7"/>
        <v>SI</v>
      </c>
    </row>
    <row r="130" spans="3:17" hidden="1" x14ac:dyDescent="0.25">
      <c r="C130" s="358">
        <v>116</v>
      </c>
      <c r="D130" s="791"/>
      <c r="E130" s="791"/>
      <c r="F130" s="791"/>
      <c r="G130" s="326"/>
      <c r="H130" s="355">
        <v>5</v>
      </c>
      <c r="I130" s="515">
        <v>1200</v>
      </c>
      <c r="J130" s="510">
        <f>SUMIFS(APUS!$Y$9:$Y$1486,APUS!$M$9:$M$1486,INSUMOS!C130)</f>
        <v>0</v>
      </c>
      <c r="K130" s="511">
        <f t="shared" si="6"/>
        <v>0</v>
      </c>
      <c r="N130" s="533">
        <f>IFERROR(SUMIFS(APUS!$Z$10:$Z$62,APUS!$N$62:Q96,INSUMOS!D130),0)</f>
        <v>0</v>
      </c>
      <c r="O130" s="546">
        <f t="shared" si="8"/>
        <v>0</v>
      </c>
      <c r="P130" s="348"/>
      <c r="Q130" s="341" t="str">
        <f t="shared" si="7"/>
        <v>SI</v>
      </c>
    </row>
    <row r="131" spans="3:17" hidden="1" x14ac:dyDescent="0.25">
      <c r="C131" s="358">
        <v>117</v>
      </c>
      <c r="D131" s="791"/>
      <c r="E131" s="791"/>
      <c r="F131" s="791"/>
      <c r="G131" s="326"/>
      <c r="H131" s="355">
        <v>5</v>
      </c>
      <c r="I131" s="515">
        <v>1200</v>
      </c>
      <c r="J131" s="510">
        <f>SUMIFS(APUS!$Y$9:$Y$1486,APUS!$M$9:$M$1486,INSUMOS!C131)</f>
        <v>0</v>
      </c>
      <c r="K131" s="511">
        <f t="shared" si="6"/>
        <v>0</v>
      </c>
      <c r="N131" s="533">
        <f>IFERROR(SUMIFS(APUS!$Z$10:$Z$62,APUS!$N$62:Q97,INSUMOS!D131),0)</f>
        <v>0</v>
      </c>
      <c r="O131" s="546">
        <f t="shared" si="8"/>
        <v>0</v>
      </c>
      <c r="P131" s="348"/>
      <c r="Q131" s="341" t="str">
        <f t="shared" si="7"/>
        <v>SI</v>
      </c>
    </row>
    <row r="132" spans="3:17" hidden="1" x14ac:dyDescent="0.25">
      <c r="C132" s="358">
        <v>118</v>
      </c>
      <c r="D132" s="791"/>
      <c r="E132" s="791"/>
      <c r="F132" s="791"/>
      <c r="G132" s="326"/>
      <c r="H132" s="355">
        <v>5</v>
      </c>
      <c r="I132" s="515">
        <v>1200</v>
      </c>
      <c r="J132" s="510">
        <f>SUMIFS(APUS!$Y$9:$Y$1486,APUS!$M$9:$M$1486,INSUMOS!C132)</f>
        <v>0</v>
      </c>
      <c r="K132" s="511">
        <f t="shared" si="6"/>
        <v>0</v>
      </c>
      <c r="N132" s="533">
        <f>IFERROR(SUMIFS(APUS!$Z$10:$Z$62,APUS!$N$62:Q98,INSUMOS!D132),0)</f>
        <v>0</v>
      </c>
      <c r="O132" s="546">
        <f t="shared" si="8"/>
        <v>0</v>
      </c>
      <c r="P132" s="348"/>
      <c r="Q132" s="341" t="str">
        <f t="shared" si="7"/>
        <v>SI</v>
      </c>
    </row>
    <row r="133" spans="3:17" hidden="1" x14ac:dyDescent="0.25">
      <c r="C133" s="358">
        <v>119</v>
      </c>
      <c r="D133" s="791"/>
      <c r="E133" s="791"/>
      <c r="F133" s="791"/>
      <c r="G133" s="326"/>
      <c r="H133" s="355">
        <v>5</v>
      </c>
      <c r="I133" s="515">
        <v>1200</v>
      </c>
      <c r="J133" s="510">
        <f>SUMIFS(APUS!$Y$9:$Y$1486,APUS!$M$9:$M$1486,INSUMOS!C133)</f>
        <v>0</v>
      </c>
      <c r="K133" s="511">
        <f t="shared" si="6"/>
        <v>0</v>
      </c>
      <c r="N133" s="533">
        <f>IFERROR(SUMIFS(APUS!$Z$10:$Z$62,APUS!$N$62:Q99,INSUMOS!D133),0)</f>
        <v>0</v>
      </c>
      <c r="O133" s="546">
        <f t="shared" si="8"/>
        <v>0</v>
      </c>
      <c r="P133" s="348"/>
      <c r="Q133" s="341" t="str">
        <f t="shared" si="7"/>
        <v>SI</v>
      </c>
    </row>
    <row r="134" spans="3:17" x14ac:dyDescent="0.25">
      <c r="C134" s="358">
        <v>120</v>
      </c>
      <c r="D134" s="791" t="s">
        <v>783</v>
      </c>
      <c r="E134" s="791"/>
      <c r="F134" s="791"/>
      <c r="G134" s="314" t="s">
        <v>216</v>
      </c>
      <c r="H134" s="355">
        <v>4.87</v>
      </c>
      <c r="I134" s="515">
        <v>10</v>
      </c>
      <c r="J134" s="510">
        <f>SUMIFS(APUS!$Y$9:$Y$1486,APUS!$M$9:$M$1486,INSUMOS!C134)</f>
        <v>177908.36842873503</v>
      </c>
      <c r="K134" s="511">
        <f t="shared" si="6"/>
        <v>1779083.6842873504</v>
      </c>
      <c r="N134" s="533">
        <f>IFERROR(SUMIFS(APUS!$Z$10:$Z$62,APUS!$N$62:Q100,INSUMOS!D134),0)</f>
        <v>0</v>
      </c>
      <c r="O134" s="546">
        <f t="shared" si="8"/>
        <v>-1779083.6842873504</v>
      </c>
      <c r="P134" s="348"/>
      <c r="Q134" s="341" t="str">
        <f t="shared" si="7"/>
        <v>NO</v>
      </c>
    </row>
    <row r="135" spans="3:17" hidden="1" x14ac:dyDescent="0.25">
      <c r="C135" s="358">
        <v>121</v>
      </c>
      <c r="D135" s="791" t="s">
        <v>784</v>
      </c>
      <c r="E135" s="791"/>
      <c r="F135" s="791"/>
      <c r="G135" s="314" t="s">
        <v>216</v>
      </c>
      <c r="H135" s="355">
        <v>4.87</v>
      </c>
      <c r="I135" s="515">
        <v>1000</v>
      </c>
      <c r="J135" s="510">
        <f>SUMIFS(APUS!$Y$9:$Y$1486,APUS!$M$9:$M$1486,INSUMOS!C135)</f>
        <v>0</v>
      </c>
      <c r="K135" s="511">
        <f t="shared" si="6"/>
        <v>0</v>
      </c>
      <c r="N135" s="533">
        <f>IFERROR(SUMIFS(APUS!$Z$10:$Z$62,APUS!$N$62:Q101,INSUMOS!D135),0)</f>
        <v>0</v>
      </c>
      <c r="O135" s="546">
        <f t="shared" si="8"/>
        <v>0</v>
      </c>
      <c r="P135" s="348"/>
      <c r="Q135" s="341" t="str">
        <f t="shared" si="7"/>
        <v>SI</v>
      </c>
    </row>
    <row r="136" spans="3:17" hidden="1" x14ac:dyDescent="0.25">
      <c r="C136" s="358">
        <v>122</v>
      </c>
      <c r="D136" s="791"/>
      <c r="E136" s="791"/>
      <c r="F136" s="791"/>
      <c r="G136" s="326"/>
      <c r="H136" s="355">
        <v>4.87</v>
      </c>
      <c r="I136" s="515">
        <v>1000</v>
      </c>
      <c r="J136" s="510">
        <f>SUMIFS(APUS!$Y$9:$Y$1486,APUS!$M$9:$M$1486,INSUMOS!C136)</f>
        <v>0</v>
      </c>
      <c r="K136" s="511">
        <f t="shared" si="6"/>
        <v>0</v>
      </c>
      <c r="N136" s="533">
        <f>IFERROR(SUMIFS(APUS!$Z$10:$Z$62,APUS!$N$62:Q102,INSUMOS!D136),0)</f>
        <v>0</v>
      </c>
      <c r="O136" s="546">
        <f t="shared" si="8"/>
        <v>0</v>
      </c>
      <c r="P136" s="348"/>
      <c r="Q136" s="341" t="str">
        <f t="shared" si="7"/>
        <v>SI</v>
      </c>
    </row>
    <row r="137" spans="3:17" hidden="1" x14ac:dyDescent="0.25">
      <c r="C137" s="358">
        <v>123</v>
      </c>
      <c r="D137" s="791"/>
      <c r="E137" s="791"/>
      <c r="F137" s="791"/>
      <c r="G137" s="314"/>
      <c r="H137" s="355">
        <v>4.87</v>
      </c>
      <c r="I137" s="515">
        <v>1000</v>
      </c>
      <c r="J137" s="510">
        <f>SUMIFS(APUS!$Y$9:$Y$1486,APUS!$M$9:$M$1486,INSUMOS!C137)</f>
        <v>0</v>
      </c>
      <c r="K137" s="511">
        <f t="shared" si="6"/>
        <v>0</v>
      </c>
      <c r="N137" s="533">
        <f>IFERROR(SUMIFS(APUS!$Z$10:$Z$62,APUS!$N$62:Q160,INSUMOS!D137),0)</f>
        <v>0</v>
      </c>
      <c r="O137" s="546">
        <f t="shared" si="8"/>
        <v>0</v>
      </c>
      <c r="Q137" s="341" t="str">
        <f t="shared" si="7"/>
        <v>SI</v>
      </c>
    </row>
    <row r="138" spans="3:17" hidden="1" x14ac:dyDescent="0.25">
      <c r="C138" s="358">
        <v>124</v>
      </c>
      <c r="D138" s="791"/>
      <c r="E138" s="791"/>
      <c r="F138" s="791"/>
      <c r="G138" s="314"/>
      <c r="H138" s="355">
        <v>4.87</v>
      </c>
      <c r="I138" s="515">
        <v>1000</v>
      </c>
      <c r="J138" s="510">
        <f>SUMIFS(APUS!$Y$9:$Y$1486,APUS!$M$9:$M$1486,INSUMOS!C138)</f>
        <v>0</v>
      </c>
      <c r="K138" s="511">
        <f t="shared" si="6"/>
        <v>0</v>
      </c>
      <c r="N138" s="533">
        <f>IFERROR(SUMIFS(APUS!$Z$10:$Z$62,APUS!$N$62:Q161,INSUMOS!D138),0)</f>
        <v>0</v>
      </c>
      <c r="O138" s="546">
        <f t="shared" si="8"/>
        <v>0</v>
      </c>
      <c r="Q138" s="341" t="str">
        <f t="shared" si="7"/>
        <v>SI</v>
      </c>
    </row>
    <row r="139" spans="3:17" hidden="1" x14ac:dyDescent="0.25">
      <c r="C139" s="358">
        <v>125</v>
      </c>
      <c r="D139" s="791"/>
      <c r="E139" s="791"/>
      <c r="F139" s="791"/>
      <c r="G139" s="314"/>
      <c r="H139" s="355">
        <v>4.87</v>
      </c>
      <c r="I139" s="515">
        <v>1000</v>
      </c>
      <c r="J139" s="510">
        <f>SUMIFS(APUS!$Y$9:$Y$1486,APUS!$M$9:$M$1486,INSUMOS!C139)</f>
        <v>0</v>
      </c>
      <c r="K139" s="511">
        <f t="shared" si="6"/>
        <v>0</v>
      </c>
      <c r="N139" s="533">
        <f>IFERROR(SUMIFS(APUS!$Z$10:$Z$62,APUS!$N$62:Q162,INSUMOS!D139),0)</f>
        <v>0</v>
      </c>
      <c r="O139" s="546">
        <f t="shared" si="8"/>
        <v>0</v>
      </c>
      <c r="Q139" s="341" t="str">
        <f t="shared" si="7"/>
        <v>SI</v>
      </c>
    </row>
    <row r="140" spans="3:17" hidden="1" x14ac:dyDescent="0.25">
      <c r="C140" s="358">
        <v>126</v>
      </c>
      <c r="D140" s="776"/>
      <c r="E140" s="776"/>
      <c r="F140" s="776"/>
      <c r="G140" s="326"/>
      <c r="H140" s="355">
        <v>4.87</v>
      </c>
      <c r="I140" s="515">
        <v>1000</v>
      </c>
      <c r="J140" s="510">
        <f>SUMIFS(APUS!$Y$9:$Y$1486,APUS!$M$9:$M$1486,INSUMOS!C140)</f>
        <v>0</v>
      </c>
      <c r="K140" s="511">
        <f t="shared" si="6"/>
        <v>0</v>
      </c>
      <c r="N140" s="533">
        <f>IFERROR(SUMIFS(APUS!$Z$10:$Z$62,APUS!$N$62:Q163,INSUMOS!D140),0)</f>
        <v>0</v>
      </c>
      <c r="O140" s="546">
        <f t="shared" si="8"/>
        <v>0</v>
      </c>
      <c r="Q140" s="341" t="str">
        <f t="shared" si="7"/>
        <v>SI</v>
      </c>
    </row>
    <row r="141" spans="3:17" hidden="1" x14ac:dyDescent="0.25">
      <c r="C141" s="358">
        <v>127</v>
      </c>
      <c r="D141" s="776"/>
      <c r="E141" s="776"/>
      <c r="F141" s="776"/>
      <c r="G141" s="326"/>
      <c r="H141" s="355">
        <v>4.87</v>
      </c>
      <c r="I141" s="515">
        <v>1000</v>
      </c>
      <c r="J141" s="510">
        <f>SUMIFS(APUS!$Y$9:$Y$1486,APUS!$M$9:$M$1486,INSUMOS!C141)</f>
        <v>0</v>
      </c>
      <c r="K141" s="511">
        <f t="shared" si="6"/>
        <v>0</v>
      </c>
      <c r="N141" s="533">
        <f>IFERROR(SUMIFS(APUS!$Z$10:$Z$62,APUS!$N$62:Q164,INSUMOS!D141),0)</f>
        <v>0</v>
      </c>
      <c r="O141" s="546">
        <f t="shared" si="8"/>
        <v>0</v>
      </c>
      <c r="Q141" s="341" t="str">
        <f t="shared" si="7"/>
        <v>SI</v>
      </c>
    </row>
    <row r="142" spans="3:17" hidden="1" x14ac:dyDescent="0.25">
      <c r="C142" s="358">
        <v>128</v>
      </c>
      <c r="D142" s="776"/>
      <c r="E142" s="776"/>
      <c r="F142" s="776"/>
      <c r="G142" s="326"/>
      <c r="H142" s="355">
        <v>4.87</v>
      </c>
      <c r="I142" s="515">
        <v>1000</v>
      </c>
      <c r="J142" s="510">
        <f>SUMIFS(APUS!$Y$9:$Y$1486,APUS!$M$9:$M$1486,INSUMOS!C142)</f>
        <v>0</v>
      </c>
      <c r="K142" s="511">
        <f t="shared" si="6"/>
        <v>0</v>
      </c>
      <c r="N142" s="533">
        <f>IFERROR(SUMIFS(APUS!$Z$10:$Z$62,APUS!$N$62:Q165,INSUMOS!D142),0)</f>
        <v>0</v>
      </c>
      <c r="O142" s="546">
        <f t="shared" si="8"/>
        <v>0</v>
      </c>
      <c r="Q142" s="341" t="str">
        <f t="shared" si="7"/>
        <v>SI</v>
      </c>
    </row>
    <row r="143" spans="3:17" x14ac:dyDescent="0.25">
      <c r="C143" s="358">
        <v>129</v>
      </c>
      <c r="D143" s="718" t="s">
        <v>785</v>
      </c>
      <c r="E143" s="718"/>
      <c r="F143" s="718"/>
      <c r="G143" s="314" t="s">
        <v>216</v>
      </c>
      <c r="H143" s="355">
        <v>4.87</v>
      </c>
      <c r="I143" s="515">
        <v>1000</v>
      </c>
      <c r="J143" s="510">
        <f>SUMIFS(APUS!$Y$9:$Y$1486,APUS!$M$9:$M$1486,INSUMOS!C143)</f>
        <v>853.22400000000005</v>
      </c>
      <c r="K143" s="511">
        <f t="shared" si="6"/>
        <v>853224</v>
      </c>
      <c r="N143" s="533">
        <f>IFERROR(SUMIFS(APUS!$Z$10:$Z$62,APUS!$N$62:Q166,INSUMOS!D143),0)</f>
        <v>0</v>
      </c>
      <c r="O143" s="546">
        <f t="shared" si="8"/>
        <v>-853224</v>
      </c>
      <c r="Q143" s="341" t="str">
        <f t="shared" si="7"/>
        <v>NO</v>
      </c>
    </row>
    <row r="144" spans="3:17" hidden="1" x14ac:dyDescent="0.25">
      <c r="C144" s="358">
        <v>130</v>
      </c>
      <c r="D144" s="718" t="s">
        <v>786</v>
      </c>
      <c r="E144" s="718"/>
      <c r="F144" s="718"/>
      <c r="G144" s="314" t="s">
        <v>216</v>
      </c>
      <c r="H144" s="355">
        <v>4.87</v>
      </c>
      <c r="I144" s="515">
        <v>10</v>
      </c>
      <c r="J144" s="510">
        <f>SUMIFS(APUS!$Y$9:$Y$1486,APUS!$M$9:$M$1486,INSUMOS!C144)</f>
        <v>0</v>
      </c>
      <c r="K144" s="511">
        <f t="shared" si="6"/>
        <v>0</v>
      </c>
      <c r="N144" s="533">
        <f>IFERROR(SUMIFS(APUS!$Z$10:$Z$62,APUS!$N$62:Q167,INSUMOS!D144),0)</f>
        <v>0</v>
      </c>
      <c r="O144" s="546">
        <f t="shared" si="8"/>
        <v>0</v>
      </c>
      <c r="Q144" s="341" t="str">
        <f t="shared" si="7"/>
        <v>SI</v>
      </c>
    </row>
    <row r="145" spans="3:17" hidden="1" x14ac:dyDescent="0.25">
      <c r="C145" s="358">
        <v>131</v>
      </c>
      <c r="D145" s="776"/>
      <c r="E145" s="776"/>
      <c r="F145" s="776"/>
      <c r="G145" s="326"/>
      <c r="H145" s="355">
        <v>4.87</v>
      </c>
      <c r="I145" s="515">
        <v>80</v>
      </c>
      <c r="J145" s="510">
        <f>SUMIFS(APUS!$Y$9:$Y$1486,APUS!$M$9:$M$1486,INSUMOS!C145)</f>
        <v>0</v>
      </c>
      <c r="K145" s="511">
        <f t="shared" si="6"/>
        <v>0</v>
      </c>
      <c r="N145" s="533">
        <f>IFERROR(SUMIFS(APUS!$Z$10:$Z$62,APUS!$N$62:Q168,INSUMOS!D145),0)</f>
        <v>0</v>
      </c>
      <c r="O145" s="546">
        <f t="shared" si="8"/>
        <v>0</v>
      </c>
      <c r="Q145" s="341" t="str">
        <f t="shared" si="7"/>
        <v>SI</v>
      </c>
    </row>
    <row r="146" spans="3:17" hidden="1" x14ac:dyDescent="0.25">
      <c r="C146" s="358">
        <v>132</v>
      </c>
      <c r="D146" s="776"/>
      <c r="E146" s="776"/>
      <c r="F146" s="776"/>
      <c r="G146" s="326"/>
      <c r="H146" s="355">
        <v>4.87</v>
      </c>
      <c r="I146" s="515">
        <v>80</v>
      </c>
      <c r="J146" s="510">
        <f>SUMIFS(APUS!$Y$9:$Y$1486,APUS!$M$9:$M$1486,INSUMOS!C146)</f>
        <v>0</v>
      </c>
      <c r="K146" s="511">
        <f t="shared" si="6"/>
        <v>0</v>
      </c>
      <c r="N146" s="533">
        <f>IFERROR(SUMIFS(APUS!$Z$10:$Z$62,APUS!$N$62:Q169,INSUMOS!D146),0)</f>
        <v>0</v>
      </c>
      <c r="O146" s="546">
        <f t="shared" si="8"/>
        <v>0</v>
      </c>
      <c r="Q146" s="341" t="str">
        <f t="shared" si="7"/>
        <v>SI</v>
      </c>
    </row>
    <row r="147" spans="3:17" hidden="1" x14ac:dyDescent="0.25">
      <c r="C147" s="358">
        <v>133</v>
      </c>
      <c r="D147" s="776"/>
      <c r="E147" s="776"/>
      <c r="F147" s="776"/>
      <c r="G147" s="326"/>
      <c r="H147" s="355">
        <v>4.87</v>
      </c>
      <c r="I147" s="515">
        <v>80</v>
      </c>
      <c r="J147" s="510">
        <f>SUMIFS(APUS!$Y$9:$Y$1486,APUS!$M$9:$M$1486,INSUMOS!C147)</f>
        <v>0</v>
      </c>
      <c r="K147" s="511">
        <f t="shared" si="6"/>
        <v>0</v>
      </c>
      <c r="N147" s="533">
        <f>IFERROR(SUMIFS(APUS!$Z$10:$Z$62,APUS!$N$62:Q170,INSUMOS!D147),0)</f>
        <v>0</v>
      </c>
      <c r="O147" s="546">
        <f t="shared" si="8"/>
        <v>0</v>
      </c>
      <c r="Q147" s="341" t="str">
        <f t="shared" si="7"/>
        <v>SI</v>
      </c>
    </row>
    <row r="148" spans="3:17" hidden="1" x14ac:dyDescent="0.25">
      <c r="C148" s="358">
        <v>134</v>
      </c>
      <c r="D148" s="776"/>
      <c r="E148" s="776"/>
      <c r="F148" s="776"/>
      <c r="G148" s="326"/>
      <c r="H148" s="355">
        <v>4.87</v>
      </c>
      <c r="I148" s="515">
        <v>80</v>
      </c>
      <c r="J148" s="510">
        <f>SUMIFS(APUS!$Y$9:$Y$1486,APUS!$M$9:$M$1486,INSUMOS!C148)</f>
        <v>0</v>
      </c>
      <c r="K148" s="511">
        <f t="shared" si="6"/>
        <v>0</v>
      </c>
      <c r="N148" s="533">
        <f>IFERROR(SUMIFS(APUS!$Z$10:$Z$62,APUS!$N$62:Q171,INSUMOS!D148),0)</f>
        <v>0</v>
      </c>
      <c r="O148" s="546">
        <f t="shared" si="8"/>
        <v>0</v>
      </c>
      <c r="Q148" s="341" t="str">
        <f t="shared" si="7"/>
        <v>SI</v>
      </c>
    </row>
    <row r="149" spans="3:17" hidden="1" x14ac:dyDescent="0.25">
      <c r="C149" s="358">
        <v>135</v>
      </c>
      <c r="D149" s="718"/>
      <c r="E149" s="718"/>
      <c r="F149" s="718"/>
      <c r="G149" s="314"/>
      <c r="H149" s="355">
        <v>4.87</v>
      </c>
      <c r="I149" s="515">
        <v>80</v>
      </c>
      <c r="J149" s="510">
        <f>SUMIFS(APUS!$Y$9:$Y$1486,APUS!$M$9:$M$1486,INSUMOS!C149)</f>
        <v>0</v>
      </c>
      <c r="K149" s="511">
        <f t="shared" si="6"/>
        <v>0</v>
      </c>
      <c r="N149" s="533">
        <f>IFERROR(SUMIFS(APUS!$Z$10:$Z$62,APUS!$N$62:Q172,INSUMOS!D149),0)</f>
        <v>0</v>
      </c>
      <c r="O149" s="546">
        <f t="shared" si="8"/>
        <v>0</v>
      </c>
      <c r="Q149" s="341" t="str">
        <f t="shared" si="7"/>
        <v>SI</v>
      </c>
    </row>
    <row r="150" spans="3:17" hidden="1" x14ac:dyDescent="0.25">
      <c r="C150" s="358">
        <v>136</v>
      </c>
      <c r="D150" s="776"/>
      <c r="E150" s="776"/>
      <c r="F150" s="776"/>
      <c r="G150" s="326"/>
      <c r="H150" s="355">
        <v>4.87</v>
      </c>
      <c r="I150" s="515">
        <v>80</v>
      </c>
      <c r="J150" s="510">
        <f>SUMIFS(APUS!$Y$9:$Y$1486,APUS!$M$9:$M$1486,INSUMOS!C150)</f>
        <v>0</v>
      </c>
      <c r="K150" s="511">
        <f t="shared" si="6"/>
        <v>0</v>
      </c>
      <c r="N150" s="533">
        <f>IFERROR(SUMIFS(APUS!$Z$10:$Z$62,APUS!$N$62:Q173,INSUMOS!D150),0)</f>
        <v>0</v>
      </c>
      <c r="O150" s="546">
        <f t="shared" si="8"/>
        <v>0</v>
      </c>
      <c r="Q150" s="341" t="str">
        <f t="shared" si="7"/>
        <v>SI</v>
      </c>
    </row>
    <row r="151" spans="3:17" hidden="1" x14ac:dyDescent="0.25">
      <c r="C151" s="358">
        <v>137</v>
      </c>
      <c r="D151" s="776"/>
      <c r="E151" s="776"/>
      <c r="F151" s="776"/>
      <c r="G151" s="326"/>
      <c r="H151" s="355">
        <v>4.87</v>
      </c>
      <c r="I151" s="515">
        <v>80</v>
      </c>
      <c r="J151" s="510">
        <f>SUMIFS(APUS!$Y$9:$Y$1486,APUS!$M$9:$M$1486,INSUMOS!C151)</f>
        <v>0</v>
      </c>
      <c r="K151" s="511">
        <f t="shared" si="6"/>
        <v>0</v>
      </c>
      <c r="N151" s="533">
        <f>IFERROR(SUMIFS(APUS!$Z$10:$Z$62,APUS!$N$62:Q174,INSUMOS!D151),0)</f>
        <v>0</v>
      </c>
      <c r="O151" s="546">
        <f t="shared" si="8"/>
        <v>0</v>
      </c>
      <c r="Q151" s="341" t="str">
        <f t="shared" si="7"/>
        <v>SI</v>
      </c>
    </row>
    <row r="152" spans="3:17" hidden="1" x14ac:dyDescent="0.25">
      <c r="C152" s="358">
        <v>138</v>
      </c>
      <c r="D152" s="776"/>
      <c r="E152" s="776"/>
      <c r="F152" s="776"/>
      <c r="G152" s="326"/>
      <c r="H152" s="355">
        <v>4.87</v>
      </c>
      <c r="I152" s="515">
        <v>80</v>
      </c>
      <c r="J152" s="510">
        <f>SUMIFS(APUS!$Y$9:$Y$1486,APUS!$M$9:$M$1486,INSUMOS!C152)</f>
        <v>0</v>
      </c>
      <c r="K152" s="511">
        <f t="shared" si="6"/>
        <v>0</v>
      </c>
      <c r="N152" s="533">
        <f>IFERROR(SUMIFS(APUS!$Z$10:$Z$62,APUS!$N$62:Q175,INSUMOS!D152),0)</f>
        <v>0</v>
      </c>
      <c r="O152" s="546">
        <f t="shared" si="8"/>
        <v>0</v>
      </c>
      <c r="Q152" s="341" t="str">
        <f t="shared" si="7"/>
        <v>SI</v>
      </c>
    </row>
    <row r="153" spans="3:17" hidden="1" x14ac:dyDescent="0.25">
      <c r="C153" s="358">
        <v>139</v>
      </c>
      <c r="D153" s="718"/>
      <c r="E153" s="718"/>
      <c r="F153" s="718"/>
      <c r="G153" s="314"/>
      <c r="H153" s="355">
        <v>4.87</v>
      </c>
      <c r="I153" s="515">
        <v>80</v>
      </c>
      <c r="J153" s="510">
        <f>SUMIFS(APUS!$Y$9:$Y$1486,APUS!$M$9:$M$1486,INSUMOS!C153)</f>
        <v>0</v>
      </c>
      <c r="K153" s="511">
        <f t="shared" si="6"/>
        <v>0</v>
      </c>
      <c r="N153" s="533">
        <f>IFERROR(SUMIFS(APUS!$Z$10:$Z$62,APUS!$N$62:Q176,INSUMOS!D153),0)</f>
        <v>0</v>
      </c>
      <c r="O153" s="546">
        <f t="shared" si="8"/>
        <v>0</v>
      </c>
      <c r="Q153" s="341" t="str">
        <f t="shared" si="7"/>
        <v>SI</v>
      </c>
    </row>
    <row r="154" spans="3:17" hidden="1" x14ac:dyDescent="0.25">
      <c r="C154" s="358">
        <v>140</v>
      </c>
      <c r="D154" s="776"/>
      <c r="E154" s="776"/>
      <c r="F154" s="776"/>
      <c r="G154" s="326"/>
      <c r="H154" s="355">
        <v>4.87</v>
      </c>
      <c r="I154" s="515">
        <v>80</v>
      </c>
      <c r="J154" s="510">
        <f>SUMIFS(APUS!$Y$9:$Y$1486,APUS!$M$9:$M$1486,INSUMOS!C154)</f>
        <v>0</v>
      </c>
      <c r="K154" s="511">
        <f t="shared" si="6"/>
        <v>0</v>
      </c>
      <c r="N154" s="533">
        <f>IFERROR(SUMIFS(APUS!$Z$10:$Z$62,APUS!$N$62:Q177,INSUMOS!D154),0)</f>
        <v>0</v>
      </c>
      <c r="O154" s="546">
        <f t="shared" si="8"/>
        <v>0</v>
      </c>
      <c r="Q154" s="341" t="str">
        <f t="shared" si="7"/>
        <v>SI</v>
      </c>
    </row>
    <row r="155" spans="3:17" hidden="1" x14ac:dyDescent="0.25">
      <c r="C155" s="358">
        <v>141</v>
      </c>
      <c r="D155" s="776"/>
      <c r="E155" s="776"/>
      <c r="F155" s="776"/>
      <c r="G155" s="326"/>
      <c r="H155" s="355">
        <v>4.87</v>
      </c>
      <c r="I155" s="515">
        <v>80</v>
      </c>
      <c r="J155" s="510">
        <f>SUMIFS(APUS!$Y$9:$Y$1486,APUS!$M$9:$M$1486,INSUMOS!C155)</f>
        <v>0</v>
      </c>
      <c r="K155" s="511">
        <f t="shared" si="6"/>
        <v>0</v>
      </c>
      <c r="N155" s="533">
        <f>IFERROR(SUMIFS(APUS!$Z$10:$Z$62,APUS!$N$62:Q178,INSUMOS!D155),0)</f>
        <v>0</v>
      </c>
      <c r="O155" s="546">
        <f t="shared" si="8"/>
        <v>0</v>
      </c>
      <c r="Q155" s="341" t="str">
        <f t="shared" si="7"/>
        <v>SI</v>
      </c>
    </row>
    <row r="156" spans="3:17" hidden="1" x14ac:dyDescent="0.25">
      <c r="C156" s="358">
        <v>142</v>
      </c>
      <c r="D156" s="776"/>
      <c r="E156" s="776"/>
      <c r="F156" s="776"/>
      <c r="G156" s="326"/>
      <c r="H156" s="355">
        <v>4.87</v>
      </c>
      <c r="I156" s="515">
        <v>80</v>
      </c>
      <c r="J156" s="510">
        <f>SUMIFS(APUS!$Y$9:$Y$1486,APUS!$M$9:$M$1486,INSUMOS!C156)</f>
        <v>0</v>
      </c>
      <c r="K156" s="511">
        <f t="shared" si="6"/>
        <v>0</v>
      </c>
      <c r="N156" s="533">
        <f>IFERROR(SUMIFS(APUS!$Z$10:$Z$62,APUS!$N$62:Q179,INSUMOS!D156),0)</f>
        <v>0</v>
      </c>
      <c r="O156" s="546">
        <f t="shared" si="8"/>
        <v>0</v>
      </c>
      <c r="Q156" s="341" t="str">
        <f t="shared" si="7"/>
        <v>SI</v>
      </c>
    </row>
    <row r="157" spans="3:17" hidden="1" x14ac:dyDescent="0.25">
      <c r="C157" s="358">
        <v>143</v>
      </c>
      <c r="D157" s="776"/>
      <c r="E157" s="776"/>
      <c r="F157" s="776"/>
      <c r="G157" s="326"/>
      <c r="H157" s="355">
        <v>4.87</v>
      </c>
      <c r="I157" s="515">
        <v>80</v>
      </c>
      <c r="J157" s="510">
        <f>SUMIFS(APUS!$Y$9:$Y$1486,APUS!$M$9:$M$1486,INSUMOS!C157)</f>
        <v>0</v>
      </c>
      <c r="K157" s="511">
        <f t="shared" si="6"/>
        <v>0</v>
      </c>
      <c r="N157" s="533">
        <f>IFERROR(SUMIFS(APUS!$Z$10:$Z$62,APUS!$N$62:Q180,INSUMOS!D157),0)</f>
        <v>0</v>
      </c>
      <c r="O157" s="546">
        <f t="shared" si="8"/>
        <v>0</v>
      </c>
      <c r="Q157" s="341" t="str">
        <f t="shared" si="7"/>
        <v>SI</v>
      </c>
    </row>
    <row r="158" spans="3:17" hidden="1" x14ac:dyDescent="0.25">
      <c r="C158" s="358">
        <v>144</v>
      </c>
      <c r="D158" s="776"/>
      <c r="E158" s="776"/>
      <c r="F158" s="776"/>
      <c r="G158" s="326"/>
      <c r="H158" s="355">
        <v>4.87</v>
      </c>
      <c r="I158" s="515">
        <v>80</v>
      </c>
      <c r="J158" s="510">
        <f>SUMIFS(APUS!$Y$9:$Y$1486,APUS!$M$9:$M$1486,INSUMOS!C158)</f>
        <v>0</v>
      </c>
      <c r="K158" s="511">
        <f t="shared" si="6"/>
        <v>0</v>
      </c>
      <c r="N158" s="533">
        <f>IFERROR(SUMIFS(APUS!$Z$10:$Z$62,APUS!$N$62:Q181,INSUMOS!D158),0)</f>
        <v>0</v>
      </c>
      <c r="O158" s="546">
        <f t="shared" si="8"/>
        <v>0</v>
      </c>
      <c r="Q158" s="341" t="str">
        <f t="shared" si="7"/>
        <v>SI</v>
      </c>
    </row>
    <row r="159" spans="3:17" hidden="1" x14ac:dyDescent="0.25">
      <c r="C159" s="358">
        <v>145</v>
      </c>
      <c r="D159" s="776"/>
      <c r="E159" s="776"/>
      <c r="F159" s="776"/>
      <c r="G159" s="326"/>
      <c r="H159" s="355">
        <v>4.87</v>
      </c>
      <c r="I159" s="515">
        <v>80</v>
      </c>
      <c r="J159" s="510">
        <f>SUMIFS(APUS!$Y$9:$Y$1486,APUS!$M$9:$M$1486,INSUMOS!C159)</f>
        <v>0</v>
      </c>
      <c r="K159" s="511">
        <f t="shared" si="6"/>
        <v>0</v>
      </c>
      <c r="N159" s="533">
        <f>IFERROR(SUMIFS(APUS!$Z$10:$Z$62,APUS!$N$62:Q182,INSUMOS!D159),0)</f>
        <v>0</v>
      </c>
      <c r="O159" s="546">
        <f t="shared" si="8"/>
        <v>0</v>
      </c>
      <c r="Q159" s="341" t="str">
        <f t="shared" si="7"/>
        <v>SI</v>
      </c>
    </row>
    <row r="160" spans="3:17" hidden="1" x14ac:dyDescent="0.25">
      <c r="C160" s="358">
        <v>146</v>
      </c>
      <c r="D160" s="776"/>
      <c r="E160" s="776"/>
      <c r="F160" s="776"/>
      <c r="G160" s="326"/>
      <c r="H160" s="355">
        <v>4.87</v>
      </c>
      <c r="I160" s="515">
        <v>80</v>
      </c>
      <c r="J160" s="510">
        <f>SUMIFS(APUS!$Y$9:$Y$1486,APUS!$M$9:$M$1486,INSUMOS!C160)</f>
        <v>0</v>
      </c>
      <c r="K160" s="511">
        <f t="shared" si="6"/>
        <v>0</v>
      </c>
      <c r="N160" s="533">
        <f>IFERROR(SUMIFS(APUS!$Z$10:$Z$62,APUS!$N$62:Q183,INSUMOS!D160),0)</f>
        <v>0</v>
      </c>
      <c r="O160" s="546">
        <f t="shared" si="8"/>
        <v>0</v>
      </c>
      <c r="Q160" s="341" t="str">
        <f t="shared" si="7"/>
        <v>SI</v>
      </c>
    </row>
    <row r="161" spans="3:17" hidden="1" x14ac:dyDescent="0.25">
      <c r="C161" s="358">
        <v>147</v>
      </c>
      <c r="D161" s="776"/>
      <c r="E161" s="776"/>
      <c r="F161" s="776"/>
      <c r="G161" s="326"/>
      <c r="H161" s="355">
        <v>4.87</v>
      </c>
      <c r="I161" s="515">
        <v>80</v>
      </c>
      <c r="J161" s="510">
        <f>SUMIFS(APUS!$Y$9:$Y$1486,APUS!$M$9:$M$1486,INSUMOS!C161)</f>
        <v>0</v>
      </c>
      <c r="K161" s="511">
        <f t="shared" si="6"/>
        <v>0</v>
      </c>
      <c r="N161" s="533">
        <f>IFERROR(SUMIFS(APUS!$Z$10:$Z$62,APUS!$N$62:Q184,INSUMOS!D161),0)</f>
        <v>0</v>
      </c>
      <c r="O161" s="546">
        <f t="shared" si="8"/>
        <v>0</v>
      </c>
      <c r="Q161" s="341" t="str">
        <f t="shared" si="7"/>
        <v>SI</v>
      </c>
    </row>
    <row r="162" spans="3:17" hidden="1" x14ac:dyDescent="0.25">
      <c r="C162" s="358">
        <v>148</v>
      </c>
      <c r="D162" s="776"/>
      <c r="E162" s="776"/>
      <c r="F162" s="776"/>
      <c r="G162" s="326"/>
      <c r="H162" s="355">
        <v>4.87</v>
      </c>
      <c r="I162" s="515">
        <v>80</v>
      </c>
      <c r="J162" s="510">
        <f>SUMIFS(APUS!$Y$9:$Y$1486,APUS!$M$9:$M$1486,INSUMOS!C162)</f>
        <v>0</v>
      </c>
      <c r="K162" s="511">
        <f t="shared" si="6"/>
        <v>0</v>
      </c>
      <c r="N162" s="533">
        <f>IFERROR(SUMIFS(APUS!$Z$10:$Z$62,APUS!$N$62:Q185,INSUMOS!D162),0)</f>
        <v>0</v>
      </c>
      <c r="O162" s="546">
        <f t="shared" si="8"/>
        <v>0</v>
      </c>
      <c r="Q162" s="341" t="str">
        <f t="shared" si="7"/>
        <v>SI</v>
      </c>
    </row>
    <row r="163" spans="3:17" hidden="1" x14ac:dyDescent="0.25">
      <c r="C163" s="358">
        <v>149</v>
      </c>
      <c r="D163" s="776"/>
      <c r="E163" s="776"/>
      <c r="F163" s="776"/>
      <c r="G163" s="326"/>
      <c r="H163" s="355">
        <v>4.87</v>
      </c>
      <c r="I163" s="515">
        <v>80</v>
      </c>
      <c r="J163" s="510">
        <f>SUMIFS(APUS!$Y$9:$Y$1486,APUS!$M$9:$M$1486,INSUMOS!C163)</f>
        <v>0</v>
      </c>
      <c r="K163" s="511">
        <f t="shared" si="6"/>
        <v>0</v>
      </c>
      <c r="N163" s="533">
        <f>IFERROR(SUMIFS(APUS!$Z$10:$Z$62,APUS!$N$62:Q186,INSUMOS!D163),0)</f>
        <v>0</v>
      </c>
      <c r="O163" s="546">
        <f t="shared" si="8"/>
        <v>0</v>
      </c>
      <c r="Q163" s="341" t="str">
        <f t="shared" si="7"/>
        <v>SI</v>
      </c>
    </row>
    <row r="164" spans="3:17" hidden="1" x14ac:dyDescent="0.25">
      <c r="C164" s="358">
        <v>150</v>
      </c>
      <c r="D164" s="718" t="s">
        <v>220</v>
      </c>
      <c r="E164" s="718"/>
      <c r="F164" s="718"/>
      <c r="G164" s="314" t="s">
        <v>216</v>
      </c>
      <c r="H164" s="355">
        <v>4.87</v>
      </c>
      <c r="I164" s="515">
        <v>80</v>
      </c>
      <c r="J164" s="510">
        <f>SUMIFS(APUS!$Y$9:$Y$1486,APUS!$M$9:$M$1486,INSUMOS!C164)</f>
        <v>0</v>
      </c>
      <c r="K164" s="511">
        <f t="shared" si="6"/>
        <v>0</v>
      </c>
      <c r="N164" s="533">
        <f>IFERROR(SUMIFS(APUS!$Z$10:$Z$62,APUS!$N$62:Q187,INSUMOS!D164),0)</f>
        <v>0</v>
      </c>
      <c r="O164" s="546">
        <f t="shared" si="8"/>
        <v>0</v>
      </c>
      <c r="Q164" s="341" t="str">
        <f t="shared" si="7"/>
        <v>SI</v>
      </c>
    </row>
    <row r="165" spans="3:17" hidden="1" x14ac:dyDescent="0.25">
      <c r="C165" s="358">
        <v>151</v>
      </c>
      <c r="D165" s="776"/>
      <c r="E165" s="776"/>
      <c r="F165" s="776"/>
      <c r="G165" s="326"/>
      <c r="H165" s="355">
        <v>4.87</v>
      </c>
      <c r="I165" s="515">
        <v>80</v>
      </c>
      <c r="J165" s="510">
        <f>SUMIFS(APUS!$Y$9:$Y$1486,APUS!$M$9:$M$1486,INSUMOS!C165)</f>
        <v>0</v>
      </c>
      <c r="K165" s="511">
        <f t="shared" si="6"/>
        <v>0</v>
      </c>
      <c r="N165" s="533">
        <f>IFERROR(SUMIFS(APUS!$Z$10:$Z$62,APUS!$N$62:Q188,INSUMOS!D165),0)</f>
        <v>0</v>
      </c>
      <c r="O165" s="546">
        <f t="shared" si="8"/>
        <v>0</v>
      </c>
      <c r="Q165" s="341" t="str">
        <f t="shared" si="7"/>
        <v>SI</v>
      </c>
    </row>
    <row r="166" spans="3:17" hidden="1" x14ac:dyDescent="0.25">
      <c r="C166" s="358">
        <v>152</v>
      </c>
      <c r="D166" s="776"/>
      <c r="E166" s="776"/>
      <c r="F166" s="776"/>
      <c r="G166" s="326"/>
      <c r="H166" s="355">
        <v>4.87</v>
      </c>
      <c r="I166" s="515">
        <v>80</v>
      </c>
      <c r="J166" s="510">
        <f>SUMIFS(APUS!$Y$9:$Y$1486,APUS!$M$9:$M$1486,INSUMOS!C166)</f>
        <v>0</v>
      </c>
      <c r="K166" s="511">
        <f t="shared" si="6"/>
        <v>0</v>
      </c>
      <c r="N166" s="533">
        <f>IFERROR(SUMIFS(APUS!$Z$10:$Z$62,APUS!$N$62:Q189,INSUMOS!D166),0)</f>
        <v>0</v>
      </c>
      <c r="O166" s="546">
        <f t="shared" si="8"/>
        <v>0</v>
      </c>
      <c r="Q166" s="341" t="str">
        <f t="shared" si="7"/>
        <v>SI</v>
      </c>
    </row>
    <row r="167" spans="3:17" hidden="1" x14ac:dyDescent="0.25">
      <c r="C167" s="358">
        <v>153</v>
      </c>
      <c r="D167" s="776"/>
      <c r="E167" s="776"/>
      <c r="F167" s="776"/>
      <c r="G167" s="326"/>
      <c r="H167" s="355">
        <v>4.87</v>
      </c>
      <c r="I167" s="515">
        <v>80</v>
      </c>
      <c r="J167" s="510">
        <f>SUMIFS(APUS!$Y$9:$Y$1486,APUS!$M$9:$M$1486,INSUMOS!C167)</f>
        <v>0</v>
      </c>
      <c r="K167" s="511">
        <f t="shared" si="6"/>
        <v>0</v>
      </c>
      <c r="N167" s="533">
        <f>IFERROR(SUMIFS(APUS!$Z$10:$Z$62,APUS!$N$62:Q190,INSUMOS!D167),0)</f>
        <v>0</v>
      </c>
      <c r="O167" s="546">
        <f t="shared" si="8"/>
        <v>0</v>
      </c>
      <c r="Q167" s="341" t="str">
        <f t="shared" si="7"/>
        <v>SI</v>
      </c>
    </row>
    <row r="168" spans="3:17" hidden="1" x14ac:dyDescent="0.25">
      <c r="C168" s="358">
        <v>154</v>
      </c>
      <c r="D168" s="776"/>
      <c r="E168" s="776"/>
      <c r="F168" s="776"/>
      <c r="G168" s="326"/>
      <c r="H168" s="355">
        <v>4.87</v>
      </c>
      <c r="I168" s="515">
        <v>80</v>
      </c>
      <c r="J168" s="510">
        <f>SUMIFS(APUS!$Y$9:$Y$1486,APUS!$M$9:$M$1486,INSUMOS!C168)</f>
        <v>0</v>
      </c>
      <c r="K168" s="511">
        <f t="shared" si="6"/>
        <v>0</v>
      </c>
      <c r="N168" s="533">
        <f>IFERROR(SUMIFS(APUS!$Z$10:$Z$62,APUS!$N$62:Q191,INSUMOS!D168),0)</f>
        <v>0</v>
      </c>
      <c r="O168" s="546">
        <f t="shared" si="8"/>
        <v>0</v>
      </c>
      <c r="Q168" s="341" t="str">
        <f t="shared" si="7"/>
        <v>SI</v>
      </c>
    </row>
    <row r="169" spans="3:17" hidden="1" x14ac:dyDescent="0.25">
      <c r="C169" s="358">
        <v>155</v>
      </c>
      <c r="D169" s="776"/>
      <c r="E169" s="776"/>
      <c r="F169" s="776"/>
      <c r="G169" s="326"/>
      <c r="H169" s="355">
        <v>4.87</v>
      </c>
      <c r="I169" s="515">
        <v>80</v>
      </c>
      <c r="J169" s="510">
        <f>SUMIFS(APUS!$Y$9:$Y$1486,APUS!$M$9:$M$1486,INSUMOS!C169)</f>
        <v>0</v>
      </c>
      <c r="K169" s="511">
        <f t="shared" si="6"/>
        <v>0</v>
      </c>
      <c r="N169" s="533">
        <f>IFERROR(SUMIFS(APUS!$Z$10:$Z$62,APUS!$N$62:Q192,INSUMOS!D169),0)</f>
        <v>0</v>
      </c>
      <c r="O169" s="546">
        <f t="shared" si="8"/>
        <v>0</v>
      </c>
      <c r="Q169" s="341" t="str">
        <f t="shared" si="7"/>
        <v>SI</v>
      </c>
    </row>
    <row r="170" spans="3:17" hidden="1" x14ac:dyDescent="0.25">
      <c r="C170" s="358">
        <v>156</v>
      </c>
      <c r="D170" s="776"/>
      <c r="E170" s="776"/>
      <c r="F170" s="776"/>
      <c r="G170" s="326"/>
      <c r="H170" s="355">
        <v>4.87</v>
      </c>
      <c r="I170" s="515">
        <v>80</v>
      </c>
      <c r="J170" s="510">
        <f>SUMIFS(APUS!$Y$9:$Y$1486,APUS!$M$9:$M$1486,INSUMOS!C170)</f>
        <v>0</v>
      </c>
      <c r="K170" s="511">
        <f t="shared" si="6"/>
        <v>0</v>
      </c>
      <c r="N170" s="533">
        <f>IFERROR(SUMIFS(APUS!$Z$10:$Z$62,APUS!$N$62:Q193,INSUMOS!D170),0)</f>
        <v>0</v>
      </c>
      <c r="O170" s="546">
        <f t="shared" si="8"/>
        <v>0</v>
      </c>
      <c r="Q170" s="341" t="str">
        <f t="shared" si="7"/>
        <v>SI</v>
      </c>
    </row>
    <row r="171" spans="3:17" hidden="1" x14ac:dyDescent="0.25">
      <c r="C171" s="358">
        <v>157</v>
      </c>
      <c r="D171" s="776"/>
      <c r="E171" s="776"/>
      <c r="F171" s="776"/>
      <c r="G171" s="326"/>
      <c r="H171" s="355">
        <v>4.87</v>
      </c>
      <c r="I171" s="515">
        <v>80</v>
      </c>
      <c r="J171" s="510">
        <f>SUMIFS(APUS!$Y$9:$Y$1486,APUS!$M$9:$M$1486,INSUMOS!C171)</f>
        <v>0</v>
      </c>
      <c r="K171" s="511">
        <f t="shared" si="6"/>
        <v>0</v>
      </c>
      <c r="N171" s="533">
        <f>IFERROR(SUMIFS(APUS!$Z$10:$Z$62,APUS!$N$62:Q194,INSUMOS!D171),0)</f>
        <v>0</v>
      </c>
      <c r="O171" s="546">
        <f t="shared" si="8"/>
        <v>0</v>
      </c>
      <c r="Q171" s="341" t="str">
        <f t="shared" si="7"/>
        <v>SI</v>
      </c>
    </row>
    <row r="172" spans="3:17" hidden="1" x14ac:dyDescent="0.25">
      <c r="C172" s="358">
        <v>158</v>
      </c>
      <c r="D172" s="776"/>
      <c r="E172" s="776"/>
      <c r="F172" s="776"/>
      <c r="G172" s="326"/>
      <c r="H172" s="355">
        <v>4.87</v>
      </c>
      <c r="I172" s="515">
        <v>80</v>
      </c>
      <c r="J172" s="510">
        <f>SUMIFS(APUS!$Y$9:$Y$1486,APUS!$M$9:$M$1486,INSUMOS!C172)</f>
        <v>0</v>
      </c>
      <c r="K172" s="511">
        <f t="shared" si="6"/>
        <v>0</v>
      </c>
      <c r="N172" s="533">
        <f>IFERROR(SUMIFS(APUS!$Z$10:$Z$62,APUS!$N$62:Q195,INSUMOS!D172),0)</f>
        <v>0</v>
      </c>
      <c r="O172" s="546">
        <f t="shared" si="8"/>
        <v>0</v>
      </c>
      <c r="Q172" s="341" t="str">
        <f t="shared" si="7"/>
        <v>SI</v>
      </c>
    </row>
    <row r="173" spans="3:17" hidden="1" x14ac:dyDescent="0.25">
      <c r="C173" s="358">
        <v>159</v>
      </c>
      <c r="D173" s="718" t="s">
        <v>219</v>
      </c>
      <c r="E173" s="718"/>
      <c r="F173" s="718"/>
      <c r="G173" s="314" t="s">
        <v>216</v>
      </c>
      <c r="H173" s="355">
        <v>4.87</v>
      </c>
      <c r="I173" s="515">
        <v>250</v>
      </c>
      <c r="J173" s="510">
        <f>SUMIFS(APUS!$Y$9:$Y$1486,APUS!$M$9:$M$1486,INSUMOS!C173)</f>
        <v>0</v>
      </c>
      <c r="K173" s="511">
        <f t="shared" si="6"/>
        <v>0</v>
      </c>
      <c r="N173" s="533">
        <f>IFERROR(SUMIFS(APUS!$Z$10:$Z$62,APUS!$N$62:Q196,INSUMOS!D173),0)</f>
        <v>0</v>
      </c>
      <c r="O173" s="546">
        <f t="shared" si="8"/>
        <v>0</v>
      </c>
      <c r="Q173" s="341" t="str">
        <f t="shared" si="7"/>
        <v>SI</v>
      </c>
    </row>
    <row r="174" spans="3:17" hidden="1" x14ac:dyDescent="0.25">
      <c r="C174" s="358">
        <v>160</v>
      </c>
      <c r="D174" s="791" t="s">
        <v>787</v>
      </c>
      <c r="E174" s="791"/>
      <c r="F174" s="791"/>
      <c r="G174" s="326" t="s">
        <v>217</v>
      </c>
      <c r="H174" s="355">
        <v>4.87</v>
      </c>
      <c r="I174" s="515">
        <v>200</v>
      </c>
      <c r="J174" s="510">
        <f>SUMIFS(APUS!$Y$9:$Y$1486,APUS!$M$9:$M$1486,INSUMOS!C174)</f>
        <v>0</v>
      </c>
      <c r="K174" s="511">
        <f t="shared" si="6"/>
        <v>0</v>
      </c>
      <c r="N174" s="533">
        <f>IFERROR(SUMIFS(APUS!$Z$10:$Z$62,APUS!$N$62:Q197,INSUMOS!D174),0)</f>
        <v>0</v>
      </c>
      <c r="O174" s="546">
        <f t="shared" si="8"/>
        <v>0</v>
      </c>
      <c r="Q174" s="341" t="str">
        <f t="shared" si="7"/>
        <v>SI</v>
      </c>
    </row>
    <row r="175" spans="3:17" x14ac:dyDescent="0.25">
      <c r="C175" s="358">
        <v>161</v>
      </c>
      <c r="D175" s="718" t="s">
        <v>686</v>
      </c>
      <c r="E175" s="718"/>
      <c r="F175" s="718"/>
      <c r="G175" s="326" t="s">
        <v>217</v>
      </c>
      <c r="H175" s="355">
        <v>4.87</v>
      </c>
      <c r="I175" s="515">
        <v>1250</v>
      </c>
      <c r="J175" s="510">
        <f>SUMIFS(APUS!$Y$9:$Y$1486,APUS!$M$9:$M$1486,INSUMOS!C175)</f>
        <v>528.88199999999995</v>
      </c>
      <c r="K175" s="511">
        <f t="shared" si="6"/>
        <v>661102.49999999988</v>
      </c>
      <c r="N175" s="533">
        <f>IFERROR(SUMIFS(APUS!$Z$10:$Z$62,APUS!$N$62:Q198,INSUMOS!D175),0)</f>
        <v>0</v>
      </c>
      <c r="O175" s="546">
        <f t="shared" si="8"/>
        <v>-661102.49999999988</v>
      </c>
      <c r="Q175" s="341" t="str">
        <f t="shared" si="7"/>
        <v>NO</v>
      </c>
    </row>
    <row r="176" spans="3:17" hidden="1" x14ac:dyDescent="0.25">
      <c r="C176" s="358">
        <v>162</v>
      </c>
      <c r="D176" s="791" t="s">
        <v>799</v>
      </c>
      <c r="E176" s="791"/>
      <c r="F176" s="791"/>
      <c r="G176" s="314" t="s">
        <v>216</v>
      </c>
      <c r="H176" s="355">
        <v>300</v>
      </c>
      <c r="I176" s="515">
        <v>50</v>
      </c>
      <c r="J176" s="510">
        <f>SUMIFS(APUS!$Y$9:$Y$1486,APUS!$M$9:$M$1486,INSUMOS!C176)</f>
        <v>0</v>
      </c>
      <c r="K176" s="511">
        <f t="shared" si="6"/>
        <v>0</v>
      </c>
      <c r="N176" s="533">
        <f>IFERROR(SUMIFS(APUS!$Z$10:$Z$62,APUS!$N$62:Q199,INSUMOS!D176),0)</f>
        <v>0</v>
      </c>
      <c r="O176" s="546">
        <f t="shared" si="8"/>
        <v>0</v>
      </c>
      <c r="Q176" s="341" t="str">
        <f t="shared" si="7"/>
        <v>SI</v>
      </c>
    </row>
    <row r="177" spans="3:17" hidden="1" x14ac:dyDescent="0.25">
      <c r="C177" s="358">
        <v>163</v>
      </c>
      <c r="D177" s="791"/>
      <c r="E177" s="791"/>
      <c r="F177" s="791"/>
      <c r="G177" s="326"/>
      <c r="H177" s="355">
        <v>27</v>
      </c>
      <c r="I177" s="515">
        <v>500</v>
      </c>
      <c r="J177" s="510">
        <f>SUMIFS(APUS!$Y$9:$Y$1486,APUS!$M$9:$M$1486,INSUMOS!C177)</f>
        <v>0</v>
      </c>
      <c r="K177" s="511">
        <f t="shared" si="6"/>
        <v>0</v>
      </c>
      <c r="N177" s="533">
        <f>IFERROR(SUMIFS(APUS!$Z$10:$Z$62,APUS!$N$62:Q200,INSUMOS!D177),0)</f>
        <v>0</v>
      </c>
      <c r="O177" s="546">
        <f t="shared" si="8"/>
        <v>0</v>
      </c>
      <c r="Q177" s="341" t="str">
        <f t="shared" si="7"/>
        <v>SI</v>
      </c>
    </row>
    <row r="178" spans="3:17" hidden="1" x14ac:dyDescent="0.25">
      <c r="C178" s="358">
        <v>164</v>
      </c>
      <c r="D178" s="791"/>
      <c r="E178" s="791"/>
      <c r="F178" s="791"/>
      <c r="G178" s="326"/>
      <c r="H178" s="355">
        <v>27</v>
      </c>
      <c r="I178" s="515">
        <v>500</v>
      </c>
      <c r="J178" s="510">
        <f>SUMIFS(APUS!$Y$9:$Y$1486,APUS!$M$9:$M$1486,INSUMOS!C178)</f>
        <v>0</v>
      </c>
      <c r="K178" s="511">
        <f t="shared" ref="K178:K198" si="9">+J178*I178</f>
        <v>0</v>
      </c>
      <c r="N178" s="533">
        <f>IFERROR(SUMIFS(APUS!$Z$10:$Z$62,APUS!$N$62:Q201,INSUMOS!D178),0)</f>
        <v>0</v>
      </c>
      <c r="O178" s="546">
        <f t="shared" si="8"/>
        <v>0</v>
      </c>
      <c r="Q178" s="341" t="str">
        <f t="shared" ref="Q178:Q213" si="10">+IF(K178=0,"SI","NO")</f>
        <v>SI</v>
      </c>
    </row>
    <row r="179" spans="3:17" hidden="1" x14ac:dyDescent="0.25">
      <c r="C179" s="358">
        <v>165</v>
      </c>
      <c r="D179" s="791"/>
      <c r="E179" s="791"/>
      <c r="F179" s="791"/>
      <c r="G179" s="326"/>
      <c r="H179" s="355">
        <v>27</v>
      </c>
      <c r="I179" s="515">
        <v>500</v>
      </c>
      <c r="J179" s="510">
        <f>SUMIFS(APUS!$Y$9:$Y$1486,APUS!$M$9:$M$1486,INSUMOS!C179)</f>
        <v>0</v>
      </c>
      <c r="K179" s="511">
        <f t="shared" si="9"/>
        <v>0</v>
      </c>
      <c r="N179" s="533">
        <f>IFERROR(SUMIFS(APUS!$Z$10:$Z$62,APUS!$N$62:Q202,INSUMOS!D179),0)</f>
        <v>0</v>
      </c>
      <c r="O179" s="546">
        <f t="shared" ref="O179:O213" si="11">+N179-K179</f>
        <v>0</v>
      </c>
      <c r="Q179" s="341" t="str">
        <f t="shared" si="10"/>
        <v>SI</v>
      </c>
    </row>
    <row r="180" spans="3:17" hidden="1" x14ac:dyDescent="0.25">
      <c r="C180" s="358">
        <v>166</v>
      </c>
      <c r="D180" s="791"/>
      <c r="E180" s="791"/>
      <c r="F180" s="791"/>
      <c r="G180" s="326"/>
      <c r="H180" s="355">
        <v>27</v>
      </c>
      <c r="I180" s="515">
        <v>500</v>
      </c>
      <c r="J180" s="510">
        <f>SUMIFS(APUS!$Y$9:$Y$1486,APUS!$M$9:$M$1486,INSUMOS!C180)</f>
        <v>0</v>
      </c>
      <c r="K180" s="511">
        <f t="shared" si="9"/>
        <v>0</v>
      </c>
      <c r="N180" s="533">
        <f>IFERROR(SUMIFS(APUS!$Z$10:$Z$62,APUS!$N$62:Q210,INSUMOS!D180),0)</f>
        <v>0</v>
      </c>
      <c r="O180" s="546">
        <f t="shared" si="11"/>
        <v>0</v>
      </c>
      <c r="Q180" s="341" t="str">
        <f t="shared" si="10"/>
        <v>SI</v>
      </c>
    </row>
    <row r="181" spans="3:17" hidden="1" x14ac:dyDescent="0.25">
      <c r="C181" s="358">
        <v>167</v>
      </c>
      <c r="D181" s="791"/>
      <c r="E181" s="791"/>
      <c r="F181" s="791"/>
      <c r="G181" s="326"/>
      <c r="H181" s="355">
        <v>27</v>
      </c>
      <c r="I181" s="515">
        <v>500</v>
      </c>
      <c r="J181" s="510">
        <f>SUMIFS(APUS!$Y$9:$Y$1486,APUS!$M$9:$M$1486,INSUMOS!C181)</f>
        <v>0</v>
      </c>
      <c r="K181" s="511">
        <f t="shared" si="9"/>
        <v>0</v>
      </c>
      <c r="N181" s="533">
        <f>IFERROR(SUMIFS(APUS!$Z$10:$Z$62,APUS!$N$62:Q211,INSUMOS!D181),0)</f>
        <v>0</v>
      </c>
      <c r="O181" s="546">
        <f t="shared" si="11"/>
        <v>0</v>
      </c>
      <c r="Q181" s="341" t="str">
        <f t="shared" si="10"/>
        <v>SI</v>
      </c>
    </row>
    <row r="182" spans="3:17" hidden="1" x14ac:dyDescent="0.25">
      <c r="C182" s="358">
        <v>168</v>
      </c>
      <c r="D182" s="791"/>
      <c r="E182" s="791"/>
      <c r="F182" s="791"/>
      <c r="G182" s="326"/>
      <c r="H182" s="355">
        <v>27</v>
      </c>
      <c r="I182" s="515">
        <v>500</v>
      </c>
      <c r="J182" s="510">
        <f>SUMIFS(APUS!$Y$9:$Y$1486,APUS!$M$9:$M$1486,INSUMOS!C182)</f>
        <v>0</v>
      </c>
      <c r="K182" s="511">
        <f t="shared" si="9"/>
        <v>0</v>
      </c>
      <c r="N182" s="533">
        <f>IFERROR(SUMIFS(APUS!$Z$10:$Z$62,APUS!$N$62:Q212,INSUMOS!D182),0)</f>
        <v>0</v>
      </c>
      <c r="O182" s="546">
        <f t="shared" si="11"/>
        <v>0</v>
      </c>
      <c r="Q182" s="341" t="str">
        <f t="shared" si="10"/>
        <v>SI</v>
      </c>
    </row>
    <row r="183" spans="3:17" hidden="1" x14ac:dyDescent="0.25">
      <c r="C183" s="358">
        <v>169</v>
      </c>
      <c r="D183" s="791"/>
      <c r="E183" s="791"/>
      <c r="F183" s="791"/>
      <c r="G183" s="326"/>
      <c r="H183" s="355">
        <v>27</v>
      </c>
      <c r="I183" s="515">
        <v>500</v>
      </c>
      <c r="J183" s="510">
        <f>SUMIFS(APUS!$Y$9:$Y$1486,APUS!$M$9:$M$1486,INSUMOS!C183)</f>
        <v>0</v>
      </c>
      <c r="K183" s="511">
        <f t="shared" si="9"/>
        <v>0</v>
      </c>
      <c r="N183" s="533">
        <f>IFERROR(SUMIFS(APUS!$Z$10:$Z$62,APUS!$N$62:Q213,INSUMOS!D183),0)</f>
        <v>0</v>
      </c>
      <c r="O183" s="546">
        <f t="shared" si="11"/>
        <v>0</v>
      </c>
      <c r="Q183" s="341" t="str">
        <f t="shared" si="10"/>
        <v>SI</v>
      </c>
    </row>
    <row r="184" spans="3:17" hidden="1" x14ac:dyDescent="0.25">
      <c r="C184" s="358">
        <v>170</v>
      </c>
      <c r="D184" s="718" t="s">
        <v>221</v>
      </c>
      <c r="E184" s="718"/>
      <c r="F184" s="718"/>
      <c r="G184" s="326" t="s">
        <v>218</v>
      </c>
      <c r="H184" s="355">
        <v>27</v>
      </c>
      <c r="I184" s="515">
        <v>80</v>
      </c>
      <c r="J184" s="510">
        <f>SUMIFS(APUS!$Y$9:$Y$1486,APUS!$M$9:$M$1486,INSUMOS!C184)</f>
        <v>0</v>
      </c>
      <c r="K184" s="511">
        <f t="shared" si="9"/>
        <v>0</v>
      </c>
      <c r="N184" s="533">
        <f>IFERROR(SUMIFS(APUS!$Z$10:$Z$62,APUS!$N$62:Q214,INSUMOS!D184),0)</f>
        <v>0</v>
      </c>
      <c r="O184" s="546">
        <f t="shared" si="11"/>
        <v>0</v>
      </c>
      <c r="Q184" s="341" t="str">
        <f t="shared" si="10"/>
        <v>SI</v>
      </c>
    </row>
    <row r="185" spans="3:17" hidden="1" x14ac:dyDescent="0.25">
      <c r="C185" s="358">
        <v>171</v>
      </c>
      <c r="D185" s="791"/>
      <c r="E185" s="791"/>
      <c r="F185" s="791"/>
      <c r="G185" s="326"/>
      <c r="H185" s="355">
        <v>27</v>
      </c>
      <c r="I185" s="515">
        <v>50</v>
      </c>
      <c r="J185" s="510">
        <f>SUMIFS(APUS!$Y$9:$Y$1486,APUS!$M$9:$M$1486,INSUMOS!C185)</f>
        <v>0</v>
      </c>
      <c r="K185" s="511">
        <f t="shared" si="9"/>
        <v>0</v>
      </c>
      <c r="N185" s="533">
        <f>IFERROR(SUMIFS(APUS!$Z$10:$Z$62,APUS!$N$62:Q215,INSUMOS!D185),0)</f>
        <v>0</v>
      </c>
      <c r="O185" s="546">
        <f t="shared" si="11"/>
        <v>0</v>
      </c>
      <c r="Q185" s="341" t="str">
        <f t="shared" si="10"/>
        <v>SI</v>
      </c>
    </row>
    <row r="186" spans="3:17" hidden="1" x14ac:dyDescent="0.25">
      <c r="C186" s="358">
        <v>172</v>
      </c>
      <c r="D186" s="791"/>
      <c r="E186" s="791"/>
      <c r="F186" s="791"/>
      <c r="G186" s="326"/>
      <c r="H186" s="355">
        <v>27</v>
      </c>
      <c r="I186" s="515">
        <v>50</v>
      </c>
      <c r="J186" s="510">
        <f>SUMIFS(APUS!$Y$9:$Y$1486,APUS!$M$9:$M$1486,INSUMOS!C186)</f>
        <v>0</v>
      </c>
      <c r="K186" s="511">
        <f t="shared" si="9"/>
        <v>0</v>
      </c>
      <c r="N186" s="533">
        <f>IFERROR(SUMIFS(APUS!$Z$10:$Z$62,APUS!$N$62:Q216,INSUMOS!D186),0)</f>
        <v>0</v>
      </c>
      <c r="O186" s="546">
        <f t="shared" si="11"/>
        <v>0</v>
      </c>
      <c r="Q186" s="341" t="str">
        <f t="shared" si="10"/>
        <v>SI</v>
      </c>
    </row>
    <row r="187" spans="3:17" hidden="1" x14ac:dyDescent="0.25">
      <c r="C187" s="358">
        <v>173</v>
      </c>
      <c r="D187" s="791"/>
      <c r="E187" s="791"/>
      <c r="F187" s="791"/>
      <c r="G187" s="326"/>
      <c r="H187" s="355">
        <v>27</v>
      </c>
      <c r="I187" s="515">
        <v>50</v>
      </c>
      <c r="J187" s="510">
        <f>SUMIFS(APUS!$Y$9:$Y$1486,APUS!$M$9:$M$1486,INSUMOS!C187)</f>
        <v>0</v>
      </c>
      <c r="K187" s="511">
        <f t="shared" si="9"/>
        <v>0</v>
      </c>
      <c r="N187" s="533">
        <f>IFERROR(SUMIFS(APUS!$Z$10:$Z$62,APUS!$N$62:Q217,INSUMOS!D187),0)</f>
        <v>0</v>
      </c>
      <c r="O187" s="546">
        <f t="shared" si="11"/>
        <v>0</v>
      </c>
      <c r="Q187" s="341" t="str">
        <f t="shared" si="10"/>
        <v>SI</v>
      </c>
    </row>
    <row r="188" spans="3:17" hidden="1" x14ac:dyDescent="0.25">
      <c r="C188" s="358">
        <v>174</v>
      </c>
      <c r="D188" s="791"/>
      <c r="E188" s="791"/>
      <c r="F188" s="791"/>
      <c r="G188" s="326"/>
      <c r="H188" s="355">
        <v>27</v>
      </c>
      <c r="I188" s="515">
        <v>50</v>
      </c>
      <c r="J188" s="510">
        <f>SUMIFS(APUS!$Y$9:$Y$1486,APUS!$M$9:$M$1486,INSUMOS!C188)</f>
        <v>0</v>
      </c>
      <c r="K188" s="511">
        <f t="shared" si="9"/>
        <v>0</v>
      </c>
      <c r="N188" s="533">
        <f>IFERROR(SUMIFS(APUS!$Z$10:$Z$62,APUS!$N$62:Q218,INSUMOS!D188),0)</f>
        <v>0</v>
      </c>
      <c r="O188" s="546">
        <f t="shared" si="11"/>
        <v>0</v>
      </c>
      <c r="Q188" s="341" t="str">
        <f t="shared" si="10"/>
        <v>SI</v>
      </c>
    </row>
    <row r="189" spans="3:17" hidden="1" x14ac:dyDescent="0.25">
      <c r="C189" s="358">
        <v>175</v>
      </c>
      <c r="D189" s="791"/>
      <c r="E189" s="791"/>
      <c r="F189" s="791"/>
      <c r="G189" s="326"/>
      <c r="H189" s="355">
        <v>27</v>
      </c>
      <c r="I189" s="515">
        <v>50</v>
      </c>
      <c r="J189" s="510">
        <f>SUMIFS(APUS!$Y$9:$Y$1486,APUS!$M$9:$M$1486,INSUMOS!C189)</f>
        <v>0</v>
      </c>
      <c r="K189" s="511">
        <f t="shared" si="9"/>
        <v>0</v>
      </c>
      <c r="N189" s="533">
        <f>IFERROR(SUMIFS(APUS!$Z$10:$Z$62,APUS!$N$62:Q219,INSUMOS!D189),0)</f>
        <v>0</v>
      </c>
      <c r="O189" s="546">
        <f t="shared" si="11"/>
        <v>0</v>
      </c>
      <c r="Q189" s="341" t="str">
        <f t="shared" si="10"/>
        <v>SI</v>
      </c>
    </row>
    <row r="190" spans="3:17" hidden="1" x14ac:dyDescent="0.25">
      <c r="C190" s="358">
        <v>176</v>
      </c>
      <c r="D190" s="791"/>
      <c r="E190" s="791"/>
      <c r="F190" s="791"/>
      <c r="G190" s="326"/>
      <c r="H190" s="355">
        <v>27</v>
      </c>
      <c r="I190" s="515">
        <v>50</v>
      </c>
      <c r="J190" s="510">
        <f>SUMIFS(APUS!$Y$9:$Y$1486,APUS!$M$9:$M$1486,INSUMOS!C190)</f>
        <v>0</v>
      </c>
      <c r="K190" s="511">
        <f t="shared" si="9"/>
        <v>0</v>
      </c>
      <c r="N190" s="533">
        <f>IFERROR(SUMIFS(APUS!$Z$10:$Z$62,APUS!$N$62:Q220,INSUMOS!D190),0)</f>
        <v>0</v>
      </c>
      <c r="O190" s="546">
        <f t="shared" si="11"/>
        <v>0</v>
      </c>
      <c r="Q190" s="341" t="str">
        <f t="shared" si="10"/>
        <v>SI</v>
      </c>
    </row>
    <row r="191" spans="3:17" hidden="1" x14ac:dyDescent="0.25">
      <c r="C191" s="358">
        <v>177</v>
      </c>
      <c r="D191" s="791"/>
      <c r="E191" s="791"/>
      <c r="F191" s="791"/>
      <c r="G191" s="326"/>
      <c r="H191" s="355">
        <v>27</v>
      </c>
      <c r="I191" s="515">
        <v>50</v>
      </c>
      <c r="J191" s="510">
        <f>SUMIFS(APUS!$Y$9:$Y$1486,APUS!$M$9:$M$1486,INSUMOS!C191)</f>
        <v>0</v>
      </c>
      <c r="K191" s="511">
        <f t="shared" si="9"/>
        <v>0</v>
      </c>
      <c r="N191" s="533">
        <f>IFERROR(SUMIFS(APUS!$Z$10:$Z$62,APUS!$N$62:Q221,INSUMOS!D191),0)</f>
        <v>0</v>
      </c>
      <c r="O191" s="546">
        <f t="shared" si="11"/>
        <v>0</v>
      </c>
      <c r="Q191" s="341" t="str">
        <f t="shared" si="10"/>
        <v>SI</v>
      </c>
    </row>
    <row r="192" spans="3:17" hidden="1" x14ac:dyDescent="0.25">
      <c r="C192" s="358">
        <v>178</v>
      </c>
      <c r="D192" s="791"/>
      <c r="E192" s="791"/>
      <c r="F192" s="791"/>
      <c r="G192" s="326"/>
      <c r="H192" s="355">
        <v>27</v>
      </c>
      <c r="I192" s="515">
        <v>50</v>
      </c>
      <c r="J192" s="510">
        <f>SUMIFS(APUS!$Y$9:$Y$1486,APUS!$M$9:$M$1486,INSUMOS!C192)</f>
        <v>0</v>
      </c>
      <c r="K192" s="511">
        <f t="shared" si="9"/>
        <v>0</v>
      </c>
      <c r="N192" s="533">
        <f>IFERROR(SUMIFS(APUS!$Z$10:$Z$62,APUS!$N$62:Q222,INSUMOS!D192),0)</f>
        <v>0</v>
      </c>
      <c r="O192" s="546">
        <f t="shared" si="11"/>
        <v>0</v>
      </c>
      <c r="Q192" s="341" t="str">
        <f t="shared" si="10"/>
        <v>SI</v>
      </c>
    </row>
    <row r="193" spans="3:17" hidden="1" x14ac:dyDescent="0.25">
      <c r="C193" s="358">
        <v>179</v>
      </c>
      <c r="D193" s="791"/>
      <c r="E193" s="791"/>
      <c r="F193" s="791"/>
      <c r="G193" s="326"/>
      <c r="H193" s="355">
        <v>27</v>
      </c>
      <c r="I193" s="515">
        <v>50</v>
      </c>
      <c r="J193" s="510">
        <f>SUMIFS(APUS!$Y$9:$Y$1486,APUS!$M$9:$M$1486,INSUMOS!C193)</f>
        <v>0</v>
      </c>
      <c r="K193" s="511">
        <f t="shared" si="9"/>
        <v>0</v>
      </c>
      <c r="N193" s="533">
        <f>IFERROR(SUMIFS(APUS!$Z$10:$Z$62,APUS!$N$62:Q223,INSUMOS!D193),0)</f>
        <v>0</v>
      </c>
      <c r="O193" s="546">
        <f t="shared" si="11"/>
        <v>0</v>
      </c>
      <c r="Q193" s="341" t="str">
        <f t="shared" si="10"/>
        <v>SI</v>
      </c>
    </row>
    <row r="194" spans="3:17" hidden="1" x14ac:dyDescent="0.25">
      <c r="C194" s="358">
        <v>180</v>
      </c>
      <c r="D194" s="718"/>
      <c r="E194" s="718"/>
      <c r="F194" s="718"/>
      <c r="G194" s="326"/>
      <c r="H194" s="355">
        <v>27</v>
      </c>
      <c r="I194" s="515">
        <v>50</v>
      </c>
      <c r="J194" s="510">
        <f>SUMIFS(APUS!$Y$9:$Y$1486,APUS!$M$9:$M$1486,INSUMOS!C194)</f>
        <v>0</v>
      </c>
      <c r="K194" s="511">
        <f t="shared" si="9"/>
        <v>0</v>
      </c>
      <c r="N194" s="533">
        <f>IFERROR(SUMIFS(APUS!$Z$10:$Z$62,APUS!$N$62:Q224,INSUMOS!D194),0)</f>
        <v>0</v>
      </c>
      <c r="O194" s="546">
        <f t="shared" si="11"/>
        <v>0</v>
      </c>
      <c r="Q194" s="341" t="str">
        <f t="shared" si="10"/>
        <v>SI</v>
      </c>
    </row>
    <row r="195" spans="3:17" hidden="1" x14ac:dyDescent="0.25">
      <c r="C195" s="358">
        <v>181</v>
      </c>
      <c r="D195" s="791"/>
      <c r="E195" s="791"/>
      <c r="F195" s="791"/>
      <c r="G195" s="326"/>
      <c r="H195" s="355">
        <v>27</v>
      </c>
      <c r="I195" s="515">
        <v>50</v>
      </c>
      <c r="J195" s="510">
        <f>SUMIFS(APUS!$Y$9:$Y$1486,APUS!$M$9:$M$1486,INSUMOS!C195)</f>
        <v>0</v>
      </c>
      <c r="K195" s="511">
        <f t="shared" si="9"/>
        <v>0</v>
      </c>
      <c r="N195" s="533">
        <f>IFERROR(SUMIFS(APUS!$Z$10:$Z$62,APUS!$N$62:Q225,INSUMOS!D195),0)</f>
        <v>0</v>
      </c>
      <c r="O195" s="546">
        <f t="shared" si="11"/>
        <v>0</v>
      </c>
      <c r="Q195" s="341" t="str">
        <f t="shared" si="10"/>
        <v>SI</v>
      </c>
    </row>
    <row r="196" spans="3:17" hidden="1" x14ac:dyDescent="0.25">
      <c r="C196" s="358">
        <v>182</v>
      </c>
      <c r="D196" s="718"/>
      <c r="E196" s="718"/>
      <c r="F196" s="718"/>
      <c r="G196" s="314"/>
      <c r="H196" s="355">
        <v>27</v>
      </c>
      <c r="I196" s="515">
        <v>50</v>
      </c>
      <c r="J196" s="510">
        <f>SUMIFS(APUS!$Y$9:$Y$1486,APUS!$M$9:$M$1486,INSUMOS!C196)</f>
        <v>0</v>
      </c>
      <c r="K196" s="511">
        <f t="shared" si="9"/>
        <v>0</v>
      </c>
      <c r="N196" s="533">
        <f>IFERROR(SUMIFS(APUS!$Z$10:$Z$62,APUS!$N$62:Q226,INSUMOS!D196),0)</f>
        <v>0</v>
      </c>
      <c r="O196" s="546">
        <f t="shared" si="11"/>
        <v>0</v>
      </c>
      <c r="Q196" s="341" t="str">
        <f t="shared" si="10"/>
        <v>SI</v>
      </c>
    </row>
    <row r="197" spans="3:17" hidden="1" x14ac:dyDescent="0.25">
      <c r="C197" s="358">
        <v>183</v>
      </c>
      <c r="D197" s="718"/>
      <c r="E197" s="718"/>
      <c r="F197" s="718"/>
      <c r="G197" s="314"/>
      <c r="H197" s="355">
        <v>27</v>
      </c>
      <c r="I197" s="515">
        <v>50</v>
      </c>
      <c r="J197" s="510">
        <f>SUMIFS(APUS!$Y$9:$Y$1486,APUS!$M$9:$M$1486,INSUMOS!C197)</f>
        <v>0</v>
      </c>
      <c r="K197" s="511">
        <f t="shared" si="9"/>
        <v>0</v>
      </c>
      <c r="N197" s="533">
        <f>IFERROR(SUMIFS(APUS!$Z$10:$Z$62,APUS!$N$62:Q227,INSUMOS!D197),0)</f>
        <v>0</v>
      </c>
      <c r="O197" s="546">
        <f t="shared" si="11"/>
        <v>0</v>
      </c>
      <c r="Q197" s="341" t="str">
        <f t="shared" si="10"/>
        <v>SI</v>
      </c>
    </row>
    <row r="198" spans="3:17" hidden="1" x14ac:dyDescent="0.25">
      <c r="C198" s="358">
        <v>184</v>
      </c>
      <c r="D198" s="718"/>
      <c r="E198" s="718"/>
      <c r="F198" s="718"/>
      <c r="G198" s="314"/>
      <c r="H198" s="355">
        <v>27</v>
      </c>
      <c r="I198" s="515">
        <v>50</v>
      </c>
      <c r="J198" s="510">
        <f>SUMIFS(APUS!$Y$9:$Y$1486,APUS!$M$9:$M$1486,INSUMOS!C198)</f>
        <v>0</v>
      </c>
      <c r="K198" s="511">
        <f t="shared" si="9"/>
        <v>0</v>
      </c>
      <c r="N198" s="533">
        <f>IFERROR(SUMIFS(APUS!$Z$10:$Z$62,APUS!$N$62:Q228,INSUMOS!D198),0)</f>
        <v>0</v>
      </c>
      <c r="O198" s="546">
        <f t="shared" si="11"/>
        <v>0</v>
      </c>
      <c r="Q198" s="341" t="str">
        <f t="shared" si="10"/>
        <v>SI</v>
      </c>
    </row>
    <row r="199" spans="3:17" hidden="1" x14ac:dyDescent="0.25">
      <c r="C199" s="358">
        <v>185</v>
      </c>
      <c r="D199" s="718" t="s">
        <v>222</v>
      </c>
      <c r="E199" s="718"/>
      <c r="F199" s="718"/>
      <c r="G199" s="314" t="s">
        <v>216</v>
      </c>
      <c r="H199" s="355">
        <v>27</v>
      </c>
      <c r="I199" s="515">
        <v>80</v>
      </c>
      <c r="J199" s="510">
        <f>SUMIFS(APUS!$Y$9:$Y$1486,APUS!$M$9:$M$1486,INSUMOS!C199)</f>
        <v>0</v>
      </c>
      <c r="K199" s="511">
        <f>+J199*I199</f>
        <v>0</v>
      </c>
      <c r="N199" s="533">
        <f>IFERROR(SUMIFS(APUS!$Z$10:$Z$62,APUS!$N$62:Q229,INSUMOS!D199),0)</f>
        <v>0</v>
      </c>
      <c r="O199" s="546">
        <f t="shared" si="11"/>
        <v>0</v>
      </c>
      <c r="Q199" s="341" t="str">
        <f t="shared" si="10"/>
        <v>SI</v>
      </c>
    </row>
    <row r="200" spans="3:17" hidden="1" x14ac:dyDescent="0.25">
      <c r="C200" s="358">
        <v>186</v>
      </c>
      <c r="D200" s="718"/>
      <c r="E200" s="718"/>
      <c r="F200" s="718"/>
      <c r="G200" s="314"/>
      <c r="H200" s="355">
        <v>5</v>
      </c>
      <c r="I200" s="515">
        <v>50</v>
      </c>
      <c r="J200" s="510">
        <f>SUMIFS(APUS!$Y$9:$Y$1486,APUS!$M$9:$M$1486,INSUMOS!C200)</f>
        <v>0</v>
      </c>
      <c r="K200" s="511">
        <f t="shared" ref="K200:K213" si="12">+J200*I200</f>
        <v>0</v>
      </c>
      <c r="N200" s="533">
        <f>IFERROR(SUMIFS(APUS!$Z$10:$Z$62,APUS!$N$62:Q230,INSUMOS!D200),0)</f>
        <v>0</v>
      </c>
      <c r="O200" s="546">
        <f t="shared" si="11"/>
        <v>0</v>
      </c>
      <c r="Q200" s="341" t="str">
        <f t="shared" si="10"/>
        <v>SI</v>
      </c>
    </row>
    <row r="201" spans="3:17" hidden="1" x14ac:dyDescent="0.25">
      <c r="C201" s="358">
        <v>187</v>
      </c>
      <c r="D201" s="718"/>
      <c r="E201" s="718"/>
      <c r="F201" s="718"/>
      <c r="G201" s="314"/>
      <c r="H201" s="355">
        <v>5</v>
      </c>
      <c r="I201" s="515">
        <v>50</v>
      </c>
      <c r="J201" s="510">
        <f>SUMIFS(APUS!$Y$9:$Y$1486,APUS!$M$9:$M$1486,INSUMOS!C201)</f>
        <v>0</v>
      </c>
      <c r="K201" s="511">
        <f t="shared" si="12"/>
        <v>0</v>
      </c>
      <c r="N201" s="533">
        <f>IFERROR(SUMIFS(APUS!$Z$10:$Z$62,APUS!$N$62:Q231,INSUMOS!D201),0)</f>
        <v>0</v>
      </c>
      <c r="O201" s="546">
        <f t="shared" si="11"/>
        <v>0</v>
      </c>
      <c r="Q201" s="341" t="str">
        <f t="shared" si="10"/>
        <v>SI</v>
      </c>
    </row>
    <row r="202" spans="3:17" hidden="1" x14ac:dyDescent="0.25">
      <c r="C202" s="358">
        <v>188</v>
      </c>
      <c r="D202" s="718"/>
      <c r="E202" s="718"/>
      <c r="F202" s="718"/>
      <c r="G202" s="314"/>
      <c r="H202" s="355">
        <v>5</v>
      </c>
      <c r="I202" s="515">
        <v>50</v>
      </c>
      <c r="J202" s="510">
        <f>SUMIFS(APUS!$Y$9:$Y$1486,APUS!$M$9:$M$1486,INSUMOS!C202)</f>
        <v>0</v>
      </c>
      <c r="K202" s="511">
        <f t="shared" si="12"/>
        <v>0</v>
      </c>
      <c r="N202" s="533">
        <f>IFERROR(SUMIFS(APUS!$Z$10:$Z$62,APUS!$N$62:Q232,INSUMOS!D202),0)</f>
        <v>0</v>
      </c>
      <c r="O202" s="546">
        <f t="shared" si="11"/>
        <v>0</v>
      </c>
      <c r="Q202" s="341" t="str">
        <f t="shared" si="10"/>
        <v>SI</v>
      </c>
    </row>
    <row r="203" spans="3:17" hidden="1" x14ac:dyDescent="0.25">
      <c r="C203" s="358">
        <v>189</v>
      </c>
      <c r="D203" s="718"/>
      <c r="E203" s="718"/>
      <c r="F203" s="718"/>
      <c r="G203" s="314"/>
      <c r="H203" s="355">
        <v>5</v>
      </c>
      <c r="I203" s="515">
        <v>50</v>
      </c>
      <c r="J203" s="510">
        <f>SUMIFS(APUS!$Y$9:$Y$1486,APUS!$M$9:$M$1486,INSUMOS!C203)</f>
        <v>0</v>
      </c>
      <c r="K203" s="511">
        <f t="shared" si="12"/>
        <v>0</v>
      </c>
      <c r="N203" s="533">
        <f>IFERROR(SUMIFS(APUS!$Z$10:$Z$62,APUS!$N$62:Q233,INSUMOS!D203),0)</f>
        <v>0</v>
      </c>
      <c r="O203" s="546">
        <f t="shared" si="11"/>
        <v>0</v>
      </c>
      <c r="Q203" s="341" t="str">
        <f t="shared" si="10"/>
        <v>SI</v>
      </c>
    </row>
    <row r="204" spans="3:17" hidden="1" x14ac:dyDescent="0.25">
      <c r="C204" s="358">
        <v>190</v>
      </c>
      <c r="D204" s="718"/>
      <c r="E204" s="718"/>
      <c r="F204" s="718"/>
      <c r="G204" s="314"/>
      <c r="H204" s="355">
        <v>5</v>
      </c>
      <c r="I204" s="515">
        <v>50</v>
      </c>
      <c r="J204" s="510">
        <f>SUMIFS(APUS!$Y$9:$Y$1486,APUS!$M$9:$M$1486,INSUMOS!C204)</f>
        <v>0</v>
      </c>
      <c r="K204" s="511">
        <f t="shared" si="12"/>
        <v>0</v>
      </c>
      <c r="N204" s="533">
        <f>IFERROR(SUMIFS(APUS!$Z$10:$Z$62,APUS!$N$62:Q234,INSUMOS!D204),0)</f>
        <v>0</v>
      </c>
      <c r="O204" s="546">
        <f t="shared" si="11"/>
        <v>0</v>
      </c>
      <c r="Q204" s="341" t="str">
        <f t="shared" si="10"/>
        <v>SI</v>
      </c>
    </row>
    <row r="205" spans="3:17" hidden="1" x14ac:dyDescent="0.25">
      <c r="C205" s="358">
        <v>191</v>
      </c>
      <c r="D205" s="718"/>
      <c r="E205" s="718"/>
      <c r="F205" s="718"/>
      <c r="G205" s="314"/>
      <c r="H205" s="355">
        <v>5</v>
      </c>
      <c r="I205" s="515">
        <v>50</v>
      </c>
      <c r="J205" s="510">
        <f>SUMIFS(APUS!$Y$9:$Y$1486,APUS!$M$9:$M$1486,INSUMOS!C205)</f>
        <v>0</v>
      </c>
      <c r="K205" s="511">
        <f t="shared" si="12"/>
        <v>0</v>
      </c>
      <c r="N205" s="533">
        <f>IFERROR(SUMIFS(APUS!$Z$10:$Z$62,APUS!$N$62:Q235,INSUMOS!D205),0)</f>
        <v>0</v>
      </c>
      <c r="O205" s="546">
        <f t="shared" si="11"/>
        <v>0</v>
      </c>
      <c r="Q205" s="341" t="str">
        <f t="shared" si="10"/>
        <v>SI</v>
      </c>
    </row>
    <row r="206" spans="3:17" hidden="1" x14ac:dyDescent="0.25">
      <c r="C206" s="358">
        <v>192</v>
      </c>
      <c r="D206" s="718"/>
      <c r="E206" s="718"/>
      <c r="F206" s="718"/>
      <c r="G206" s="314"/>
      <c r="H206" s="355">
        <v>5</v>
      </c>
      <c r="I206" s="515">
        <v>50</v>
      </c>
      <c r="J206" s="510">
        <f>SUMIFS(APUS!$Y$9:$Y$1486,APUS!$M$9:$M$1486,INSUMOS!C206)</f>
        <v>0</v>
      </c>
      <c r="K206" s="511">
        <f t="shared" si="12"/>
        <v>0</v>
      </c>
      <c r="N206" s="533">
        <f>IFERROR(SUMIFS(APUS!$Z$10:$Z$62,APUS!$N$62:Q236,INSUMOS!D206),0)</f>
        <v>0</v>
      </c>
      <c r="O206" s="546">
        <f t="shared" si="11"/>
        <v>0</v>
      </c>
      <c r="Q206" s="341" t="str">
        <f t="shared" si="10"/>
        <v>SI</v>
      </c>
    </row>
    <row r="207" spans="3:17" hidden="1" x14ac:dyDescent="0.25">
      <c r="C207" s="358">
        <v>193</v>
      </c>
      <c r="D207" s="718"/>
      <c r="E207" s="718"/>
      <c r="F207" s="718"/>
      <c r="G207" s="314"/>
      <c r="H207" s="355">
        <v>5</v>
      </c>
      <c r="I207" s="515">
        <v>50</v>
      </c>
      <c r="J207" s="510">
        <f>SUMIFS(APUS!$Y$9:$Y$1486,APUS!$M$9:$M$1486,INSUMOS!C207)</f>
        <v>0</v>
      </c>
      <c r="K207" s="511">
        <f t="shared" si="12"/>
        <v>0</v>
      </c>
      <c r="N207" s="533">
        <f>IFERROR(SUMIFS(APUS!$Z$10:$Z$62,APUS!$N$62:Q237,INSUMOS!D207),0)</f>
        <v>0</v>
      </c>
      <c r="O207" s="546">
        <f t="shared" si="11"/>
        <v>0</v>
      </c>
      <c r="Q207" s="341" t="str">
        <f t="shared" si="10"/>
        <v>SI</v>
      </c>
    </row>
    <row r="208" spans="3:17" hidden="1" x14ac:dyDescent="0.25">
      <c r="C208" s="358">
        <v>194</v>
      </c>
      <c r="D208" s="718"/>
      <c r="E208" s="718"/>
      <c r="F208" s="718"/>
      <c r="G208" s="314"/>
      <c r="H208" s="355">
        <v>5</v>
      </c>
      <c r="I208" s="515">
        <v>50</v>
      </c>
      <c r="J208" s="510">
        <f>SUMIFS(APUS!$Y$9:$Y$1486,APUS!$M$9:$M$1486,INSUMOS!C208)</f>
        <v>0</v>
      </c>
      <c r="K208" s="511">
        <f t="shared" si="12"/>
        <v>0</v>
      </c>
      <c r="N208" s="533">
        <f>IFERROR(SUMIFS(APUS!$Z$10:$Z$62,APUS!$N$62:Q238,INSUMOS!D208),0)</f>
        <v>0</v>
      </c>
      <c r="O208" s="546">
        <f t="shared" si="11"/>
        <v>0</v>
      </c>
      <c r="Q208" s="341" t="str">
        <f t="shared" si="10"/>
        <v>SI</v>
      </c>
    </row>
    <row r="209" spans="3:17" hidden="1" x14ac:dyDescent="0.25">
      <c r="C209" s="358">
        <v>195</v>
      </c>
      <c r="D209" s="718"/>
      <c r="E209" s="718"/>
      <c r="F209" s="718"/>
      <c r="G209" s="314"/>
      <c r="H209" s="355">
        <v>5</v>
      </c>
      <c r="I209" s="515">
        <v>50</v>
      </c>
      <c r="J209" s="510">
        <f>SUMIFS(APUS!$Y$9:$Y$1486,APUS!$M$9:$M$1486,INSUMOS!C209)</f>
        <v>0</v>
      </c>
      <c r="K209" s="511">
        <f t="shared" si="12"/>
        <v>0</v>
      </c>
      <c r="N209" s="533">
        <f>IFERROR(SUMIFS(APUS!$Z$10:$Z$62,APUS!$N$62:Q239,INSUMOS!D209),0)</f>
        <v>0</v>
      </c>
      <c r="O209" s="546">
        <f t="shared" si="11"/>
        <v>0</v>
      </c>
      <c r="Q209" s="341" t="str">
        <f t="shared" si="10"/>
        <v>SI</v>
      </c>
    </row>
    <row r="210" spans="3:17" hidden="1" x14ac:dyDescent="0.25">
      <c r="C210" s="358">
        <v>196</v>
      </c>
      <c r="D210" s="718"/>
      <c r="E210" s="718"/>
      <c r="F210" s="718"/>
      <c r="G210" s="314"/>
      <c r="H210" s="355">
        <v>5</v>
      </c>
      <c r="I210" s="515">
        <v>50</v>
      </c>
      <c r="J210" s="510">
        <f>SUMIFS(APUS!$Y$9:$Y$1486,APUS!$M$9:$M$1486,INSUMOS!C210)</f>
        <v>0</v>
      </c>
      <c r="K210" s="511">
        <f t="shared" si="12"/>
        <v>0</v>
      </c>
      <c r="N210" s="533">
        <f>IFERROR(SUMIFS(APUS!$Z$10:$Z$62,APUS!$N$62:Q240,INSUMOS!D210),0)</f>
        <v>0</v>
      </c>
      <c r="O210" s="546">
        <f t="shared" si="11"/>
        <v>0</v>
      </c>
      <c r="Q210" s="341" t="str">
        <f t="shared" si="10"/>
        <v>SI</v>
      </c>
    </row>
    <row r="211" spans="3:17" hidden="1" x14ac:dyDescent="0.25">
      <c r="C211" s="358">
        <v>197</v>
      </c>
      <c r="D211" s="718"/>
      <c r="E211" s="718"/>
      <c r="F211" s="718"/>
      <c r="G211" s="314"/>
      <c r="H211" s="355">
        <v>5</v>
      </c>
      <c r="I211" s="515">
        <v>50</v>
      </c>
      <c r="J211" s="510">
        <f>SUMIFS(APUS!$Y$9:$Y$1486,APUS!$M$9:$M$1486,INSUMOS!C211)</f>
        <v>0</v>
      </c>
      <c r="K211" s="511">
        <f t="shared" si="12"/>
        <v>0</v>
      </c>
      <c r="N211" s="533">
        <f>IFERROR(SUMIFS(APUS!$Z$10:$Z$62,APUS!$N$62:Q241,INSUMOS!D211),0)</f>
        <v>0</v>
      </c>
      <c r="O211" s="546">
        <f t="shared" si="11"/>
        <v>0</v>
      </c>
      <c r="Q211" s="341" t="str">
        <f t="shared" si="10"/>
        <v>SI</v>
      </c>
    </row>
    <row r="212" spans="3:17" hidden="1" x14ac:dyDescent="0.25">
      <c r="C212" s="358">
        <v>198</v>
      </c>
      <c r="D212" s="718"/>
      <c r="E212" s="718"/>
      <c r="F212" s="718"/>
      <c r="G212" s="314"/>
      <c r="H212" s="355">
        <v>5</v>
      </c>
      <c r="I212" s="515">
        <v>50</v>
      </c>
      <c r="J212" s="510">
        <f>SUMIFS(APUS!$Y$9:$Y$1486,APUS!$M$9:$M$1486,INSUMOS!C212)</f>
        <v>0</v>
      </c>
      <c r="K212" s="511">
        <f t="shared" si="12"/>
        <v>0</v>
      </c>
      <c r="N212" s="533">
        <f>IFERROR(SUMIFS(APUS!$Z$10:$Z$62,APUS!$N$62:Q242,INSUMOS!D212),0)</f>
        <v>0</v>
      </c>
      <c r="O212" s="546">
        <f t="shared" si="11"/>
        <v>0</v>
      </c>
      <c r="Q212" s="341" t="str">
        <f t="shared" si="10"/>
        <v>SI</v>
      </c>
    </row>
    <row r="213" spans="3:17" hidden="1" x14ac:dyDescent="0.25">
      <c r="C213" s="358">
        <v>199</v>
      </c>
      <c r="D213" s="776"/>
      <c r="E213" s="776"/>
      <c r="F213" s="776"/>
      <c r="G213" s="314"/>
      <c r="H213" s="355">
        <v>5</v>
      </c>
      <c r="I213" s="515">
        <v>50</v>
      </c>
      <c r="J213" s="510">
        <f>SUMIFS(APUS!$Y$9:$Y$1486,APUS!$M$9:$M$1486,INSUMOS!C213)</f>
        <v>0</v>
      </c>
      <c r="K213" s="511">
        <f t="shared" si="12"/>
        <v>0</v>
      </c>
      <c r="N213" s="533">
        <f>IFERROR(SUMIFS(APUS!$Z$10:$Z$62,APUS!$N$62:Q243,INSUMOS!D213),0)</f>
        <v>0</v>
      </c>
      <c r="O213" s="546">
        <f t="shared" si="11"/>
        <v>0</v>
      </c>
      <c r="Q213" s="341" t="str">
        <f t="shared" si="10"/>
        <v>SI</v>
      </c>
    </row>
    <row r="214" spans="3:17" x14ac:dyDescent="0.25">
      <c r="C214" s="358"/>
      <c r="D214" s="791"/>
      <c r="E214" s="791"/>
      <c r="F214" s="791"/>
      <c r="G214" s="379"/>
      <c r="H214" s="314"/>
      <c r="I214" s="515"/>
      <c r="J214" s="510"/>
      <c r="K214" s="518"/>
      <c r="N214" s="412"/>
      <c r="O214" s="546"/>
      <c r="Q214" s="412"/>
    </row>
    <row r="215" spans="3:17" ht="14.4" x14ac:dyDescent="0.3">
      <c r="C215" s="726" t="str">
        <f>+"SUBTOTAL "&amp;C112</f>
        <v>SUBTOTAL TRANSPORTES</v>
      </c>
      <c r="D215" s="726"/>
      <c r="E215" s="726"/>
      <c r="F215" s="726"/>
      <c r="G215" s="726"/>
      <c r="H215" s="726"/>
      <c r="I215" s="726"/>
      <c r="J215" s="726"/>
      <c r="K215" s="525">
        <f>+SUM(K113:K214)</f>
        <v>28083831.023671947</v>
      </c>
      <c r="N215" s="547">
        <f>SUM(N113:N214)</f>
        <v>0</v>
      </c>
      <c r="O215" s="546">
        <f t="shared" ref="O215" si="13">+N215-K215</f>
        <v>-28083831.023671947</v>
      </c>
      <c r="Q215" s="412"/>
    </row>
    <row r="217" spans="3:17" x14ac:dyDescent="0.25">
      <c r="C217" s="723" t="s">
        <v>152</v>
      </c>
      <c r="D217" s="723"/>
      <c r="E217" s="723"/>
      <c r="F217" s="723"/>
      <c r="G217" s="723"/>
      <c r="H217" s="723"/>
      <c r="I217" s="723"/>
      <c r="J217" s="723"/>
      <c r="K217" s="723"/>
      <c r="N217" s="326"/>
      <c r="O217" s="430"/>
      <c r="P217" s="348"/>
      <c r="Q217" s="326"/>
    </row>
    <row r="218" spans="3:17" ht="27.6" x14ac:dyDescent="0.25">
      <c r="C218" s="526" t="s">
        <v>148</v>
      </c>
      <c r="D218" s="307" t="s">
        <v>98</v>
      </c>
      <c r="E218" s="527" t="s">
        <v>6</v>
      </c>
      <c r="F218" s="527" t="s">
        <v>153</v>
      </c>
      <c r="G218" s="527" t="s">
        <v>154</v>
      </c>
      <c r="H218" s="528" t="s">
        <v>155</v>
      </c>
      <c r="I218" s="504" t="s">
        <v>156</v>
      </c>
      <c r="J218" s="505" t="s">
        <v>107</v>
      </c>
      <c r="K218" s="429" t="s">
        <v>9</v>
      </c>
      <c r="N218" s="429" t="s">
        <v>9</v>
      </c>
      <c r="O218" s="429" t="s">
        <v>151</v>
      </c>
      <c r="P218" s="403"/>
      <c r="Q218" s="429"/>
    </row>
    <row r="219" spans="3:17" x14ac:dyDescent="0.25">
      <c r="C219" s="358">
        <v>201</v>
      </c>
      <c r="D219" s="427" t="str">
        <f>'DESGLOCE DE PERSONAL'!C28</f>
        <v>Oficial Albañileria</v>
      </c>
      <c r="E219" s="314" t="s">
        <v>122</v>
      </c>
      <c r="F219" s="529">
        <f>ROUND(VLOOKUP(D219,'DESGLOCE DE PERSONAL'!$C$26:$J$55,4,0)+VLOOKUP(D219,'DESGLOCE DE PERSONAL'!$C$26:$J$55,5,0),0)</f>
        <v>114970</v>
      </c>
      <c r="G219" s="529">
        <f>ROUND(VLOOKUP(D219,'DESGLOCE DE PERSONAL'!$C$26:$J$55,6,0),0)</f>
        <v>0</v>
      </c>
      <c r="H219" s="529">
        <f>ROUND(VLOOKUP(D219,'DESGLOCE DE PERSONAL'!$C$26:$J$55,7,0),0)</f>
        <v>91976</v>
      </c>
      <c r="I219" s="515">
        <f>SUM(F219:H219)</f>
        <v>206946</v>
      </c>
      <c r="J219" s="510">
        <f>SUMIFS(APUS!$Y$9:$Y$1486,APUS!$M$9:$M$1486,INSUMOS!C219)</f>
        <v>107.32561447835495</v>
      </c>
      <c r="K219" s="511">
        <f>+J219*I219</f>
        <v>22210606.613837644</v>
      </c>
      <c r="N219" s="533">
        <f>IFERROR(SUMIFS(APUS!$Z$10:$Z$62,APUS!$N$62:Q80,INSUMOS!D219),0)</f>
        <v>0</v>
      </c>
      <c r="O219" s="546">
        <f>+N219-K219</f>
        <v>-22210606.613837644</v>
      </c>
      <c r="P219" s="348"/>
      <c r="Q219" s="341" t="str">
        <f t="shared" ref="Q219:Q226" si="14">+IF(K219=0,"SI","NO")</f>
        <v>NO</v>
      </c>
    </row>
    <row r="220" spans="3:17" x14ac:dyDescent="0.25">
      <c r="C220" s="358">
        <v>202</v>
      </c>
      <c r="D220" s="427" t="str">
        <f>'DESGLOCE DE PERSONAL'!C29</f>
        <v>Ayudante Albañileria</v>
      </c>
      <c r="E220" s="314" t="s">
        <v>122</v>
      </c>
      <c r="F220" s="529">
        <f>ROUND(VLOOKUP(D220,'DESGLOCE DE PERSONAL'!$C$26:$J$55,4,0)+VLOOKUP(D220,'DESGLOCE DE PERSONAL'!$C$26:$J$55,5,0),0)</f>
        <v>94970</v>
      </c>
      <c r="G220" s="529">
        <f>ROUND(VLOOKUP(D220,'DESGLOCE DE PERSONAL'!$C$26:$J$55,6,0),0)</f>
        <v>0</v>
      </c>
      <c r="H220" s="529">
        <f>ROUND(VLOOKUP(D220,'DESGLOCE DE PERSONAL'!$C$26:$J$55,7,0),0)</f>
        <v>75976</v>
      </c>
      <c r="I220" s="515">
        <f t="shared" ref="I220:I232" si="15">SUM(F220:H220)</f>
        <v>170946</v>
      </c>
      <c r="J220" s="510">
        <f>SUMIFS(APUS!$Y$9:$Y$1486,APUS!$M$9:$M$1486,INSUMOS!C220)</f>
        <v>385.69834798268391</v>
      </c>
      <c r="K220" s="511">
        <f t="shared" ref="K220:K232" si="16">+J220*I220</f>
        <v>65933589.794247881</v>
      </c>
      <c r="N220" s="533">
        <f>IFERROR(SUMIFS(APUS!$Z$10:$Z$62,APUS!$N$62:Q81,INSUMOS!D220),0)</f>
        <v>0</v>
      </c>
      <c r="O220" s="546">
        <f t="shared" ref="O220:O226" si="17">+N220-K220</f>
        <v>-65933589.794247881</v>
      </c>
      <c r="P220" s="348"/>
      <c r="Q220" s="341" t="str">
        <f t="shared" si="14"/>
        <v>NO</v>
      </c>
    </row>
    <row r="221" spans="3:17" hidden="1" x14ac:dyDescent="0.25">
      <c r="C221" s="358">
        <v>203</v>
      </c>
      <c r="D221" s="427" t="str">
        <f>'DESGLOCE DE PERSONAL'!C32</f>
        <v>Oficial Acabados</v>
      </c>
      <c r="E221" s="314" t="s">
        <v>122</v>
      </c>
      <c r="F221" s="529">
        <f>ROUND(VLOOKUP(D221,'DESGLOCE DE PERSONAL'!$C$26:$J$55,4,0)+VLOOKUP(D221,'DESGLOCE DE PERSONAL'!$C$26:$J$55,5,0),0)</f>
        <v>109803</v>
      </c>
      <c r="G221" s="529">
        <f>ROUND(VLOOKUP(D221,'DESGLOCE DE PERSONAL'!$C$26:$J$55,6,0),0)</f>
        <v>0</v>
      </c>
      <c r="H221" s="529">
        <f>ROUND(VLOOKUP(D221,'DESGLOCE DE PERSONAL'!$C$26:$J$55,7,0),0)</f>
        <v>87843</v>
      </c>
      <c r="I221" s="515">
        <f t="shared" si="15"/>
        <v>197646</v>
      </c>
      <c r="J221" s="510">
        <f>SUMIFS(APUS!$Y$9:$Y$1486,APUS!$M$9:$M$1486,INSUMOS!C221)</f>
        <v>0</v>
      </c>
      <c r="K221" s="511">
        <f t="shared" si="16"/>
        <v>0</v>
      </c>
      <c r="N221" s="533">
        <f>IFERROR(SUMIFS(APUS!$Z$10:$Z$62,APUS!$N$62:Q82,INSUMOS!D221),0)</f>
        <v>0</v>
      </c>
      <c r="O221" s="546">
        <f t="shared" si="17"/>
        <v>0</v>
      </c>
      <c r="P221" s="348"/>
      <c r="Q221" s="341" t="str">
        <f t="shared" si="14"/>
        <v>SI</v>
      </c>
    </row>
    <row r="222" spans="3:17" hidden="1" x14ac:dyDescent="0.25">
      <c r="C222" s="358">
        <v>204</v>
      </c>
      <c r="D222" s="427" t="str">
        <f>'DESGLOCE DE PERSONAL'!C33</f>
        <v>Ayudante Acabados</v>
      </c>
      <c r="E222" s="314" t="s">
        <v>122</v>
      </c>
      <c r="F222" s="529">
        <f>ROUND(VLOOKUP(D222,'DESGLOCE DE PERSONAL'!$C$26:$J$55,4,0)+VLOOKUP(D222,'DESGLOCE DE PERSONAL'!$C$26:$J$55,5,0),0)</f>
        <v>81803</v>
      </c>
      <c r="G222" s="529">
        <f>ROUND(VLOOKUP(D222,'DESGLOCE DE PERSONAL'!$C$26:$J$55,6,0),0)</f>
        <v>0</v>
      </c>
      <c r="H222" s="529">
        <f>ROUND(VLOOKUP(D222,'DESGLOCE DE PERSONAL'!$C$26:$J$55,7,0),0)</f>
        <v>65443</v>
      </c>
      <c r="I222" s="515">
        <f t="shared" si="15"/>
        <v>147246</v>
      </c>
      <c r="J222" s="510">
        <f>SUMIFS(APUS!$Y$9:$Y$1486,APUS!$M$9:$M$1486,INSUMOS!C222)</f>
        <v>0</v>
      </c>
      <c r="K222" s="511">
        <f t="shared" si="16"/>
        <v>0</v>
      </c>
      <c r="N222" s="533">
        <f>IFERROR(SUMIFS(APUS!$Z$10:$Z$62,APUS!$N$62:Q83,INSUMOS!D222),0)</f>
        <v>0</v>
      </c>
      <c r="O222" s="546">
        <f t="shared" si="17"/>
        <v>0</v>
      </c>
      <c r="P222" s="348"/>
      <c r="Q222" s="341" t="str">
        <f t="shared" si="14"/>
        <v>SI</v>
      </c>
    </row>
    <row r="223" spans="3:17" hidden="1" x14ac:dyDescent="0.25">
      <c r="C223" s="358">
        <v>205</v>
      </c>
      <c r="D223" s="427" t="str">
        <f>'DESGLOCE DE PERSONAL'!C36</f>
        <v>Oficial Soldador</v>
      </c>
      <c r="E223" s="314" t="s">
        <v>122</v>
      </c>
      <c r="F223" s="529">
        <f>ROUND(VLOOKUP(D223,'DESGLOCE DE PERSONAL'!$C$26:$J$55,4,0)+VLOOKUP(D223,'DESGLOCE DE PERSONAL'!$C$26:$J$55,5,0),0)</f>
        <v>172636</v>
      </c>
      <c r="G223" s="529">
        <f>ROUND(VLOOKUP(D223,'DESGLOCE DE PERSONAL'!$C$26:$J$55,6,0),0)</f>
        <v>0</v>
      </c>
      <c r="H223" s="529">
        <f>ROUND(VLOOKUP(D223,'DESGLOCE DE PERSONAL'!$C$26:$J$55,7,0),0)</f>
        <v>138109</v>
      </c>
      <c r="I223" s="515">
        <f t="shared" si="15"/>
        <v>310745</v>
      </c>
      <c r="J223" s="510">
        <f>SUMIFS(APUS!$Y$9:$Y$1486,APUS!$M$9:$M$1486,INSUMOS!C223)</f>
        <v>0</v>
      </c>
      <c r="K223" s="511">
        <f t="shared" si="16"/>
        <v>0</v>
      </c>
      <c r="N223" s="533">
        <f>IFERROR(SUMIFS(APUS!$Z$10:$Z$62,APUS!$N$62:Q84,INSUMOS!D223),0)</f>
        <v>0</v>
      </c>
      <c r="O223" s="546">
        <f t="shared" si="17"/>
        <v>0</v>
      </c>
      <c r="P223" s="348"/>
      <c r="Q223" s="341" t="str">
        <f t="shared" si="14"/>
        <v>SI</v>
      </c>
    </row>
    <row r="224" spans="3:17" hidden="1" x14ac:dyDescent="0.25">
      <c r="C224" s="358">
        <v>206</v>
      </c>
      <c r="D224" s="427" t="str">
        <f>'DESGLOCE DE PERSONAL'!C37</f>
        <v>Ayudante Soldador</v>
      </c>
      <c r="E224" s="314" t="s">
        <v>122</v>
      </c>
      <c r="F224" s="529">
        <f>ROUND(VLOOKUP(D224,'DESGLOCE DE PERSONAL'!$C$26:$J$55,4,0)+VLOOKUP(D224,'DESGLOCE DE PERSONAL'!$C$26:$J$55,5,0),0)</f>
        <v>106303</v>
      </c>
      <c r="G224" s="529">
        <f>ROUND(VLOOKUP(D224,'DESGLOCE DE PERSONAL'!$C$26:$J$55,6,0),0)</f>
        <v>0</v>
      </c>
      <c r="H224" s="529">
        <f>ROUND(VLOOKUP(D224,'DESGLOCE DE PERSONAL'!$C$26:$J$55,7,0),0)</f>
        <v>85043</v>
      </c>
      <c r="I224" s="515">
        <f t="shared" si="15"/>
        <v>191346</v>
      </c>
      <c r="J224" s="510">
        <f>SUMIFS(APUS!$Y$9:$Y$1486,APUS!$M$9:$M$1486,INSUMOS!C224)</f>
        <v>0</v>
      </c>
      <c r="K224" s="511">
        <f t="shared" si="16"/>
        <v>0</v>
      </c>
      <c r="N224" s="533">
        <f>IFERROR(SUMIFS(APUS!$Z$10:$Z$62,APUS!$N$62:Q85,INSUMOS!D224),0)</f>
        <v>0</v>
      </c>
      <c r="O224" s="546">
        <f t="shared" si="17"/>
        <v>0</v>
      </c>
      <c r="P224" s="348"/>
      <c r="Q224" s="341" t="str">
        <f t="shared" si="14"/>
        <v>SI</v>
      </c>
    </row>
    <row r="225" spans="3:17" hidden="1" x14ac:dyDescent="0.25">
      <c r="C225" s="358">
        <v>207</v>
      </c>
      <c r="D225" s="427" t="str">
        <f>'DESGLOCE DE PERSONAL'!C40</f>
        <v>Oficial Hidrosanitario</v>
      </c>
      <c r="E225" s="314" t="s">
        <v>122</v>
      </c>
      <c r="F225" s="529">
        <f>ROUND(VLOOKUP(D225,'DESGLOCE DE PERSONAL'!$C$26:$J$55,4,0)+VLOOKUP(D225,'DESGLOCE DE PERSONAL'!$C$26:$J$55,5,0),0)</f>
        <v>114636</v>
      </c>
      <c r="G225" s="529">
        <f>ROUND(VLOOKUP(D225,'DESGLOCE DE PERSONAL'!$C$26:$J$55,6,0),0)</f>
        <v>0</v>
      </c>
      <c r="H225" s="529">
        <f>ROUND(VLOOKUP(D225,'DESGLOCE DE PERSONAL'!$C$26:$J$55,7,0),0)</f>
        <v>91709</v>
      </c>
      <c r="I225" s="515">
        <f t="shared" si="15"/>
        <v>206345</v>
      </c>
      <c r="J225" s="510">
        <f>SUMIFS(APUS!$Y$9:$Y$1486,APUS!$M$9:$M$1486,INSUMOS!C225)</f>
        <v>0</v>
      </c>
      <c r="K225" s="511">
        <f t="shared" si="16"/>
        <v>0</v>
      </c>
      <c r="N225" s="533">
        <f>IFERROR(SUMIFS(APUS!$Z$10:$Z$62,APUS!$N$62:Q86,INSUMOS!D225),0)</f>
        <v>0</v>
      </c>
      <c r="O225" s="546">
        <f t="shared" si="17"/>
        <v>0</v>
      </c>
      <c r="P225" s="348"/>
      <c r="Q225" s="341" t="str">
        <f t="shared" si="14"/>
        <v>SI</v>
      </c>
    </row>
    <row r="226" spans="3:17" ht="27.6" hidden="1" x14ac:dyDescent="0.25">
      <c r="C226" s="358">
        <v>208</v>
      </c>
      <c r="D226" s="427" t="str">
        <f>'DESGLOCE DE PERSONAL'!C41</f>
        <v>Ayudante Hidrosanitario</v>
      </c>
      <c r="E226" s="314" t="s">
        <v>122</v>
      </c>
      <c r="F226" s="529">
        <f>ROUND(VLOOKUP(D226,'DESGLOCE DE PERSONAL'!$C$26:$J$55,4,0)+VLOOKUP(D226,'DESGLOCE DE PERSONAL'!$C$26:$J$55,5,0),0)</f>
        <v>85303</v>
      </c>
      <c r="G226" s="529">
        <f>ROUND(VLOOKUP(D226,'DESGLOCE DE PERSONAL'!$C$26:$J$55,6,0),0)</f>
        <v>0</v>
      </c>
      <c r="H226" s="529">
        <f>ROUND(VLOOKUP(D226,'DESGLOCE DE PERSONAL'!$C$26:$J$55,7,0),0)</f>
        <v>68243</v>
      </c>
      <c r="I226" s="515">
        <f t="shared" si="15"/>
        <v>153546</v>
      </c>
      <c r="J226" s="510">
        <f>SUMIFS(APUS!$Y$9:$Y$1486,APUS!$M$9:$M$1486,INSUMOS!C226)</f>
        <v>0</v>
      </c>
      <c r="K226" s="511">
        <f t="shared" si="16"/>
        <v>0</v>
      </c>
      <c r="N226" s="533">
        <f>IFERROR(SUMIFS(APUS!$Z$10:$Z$62,APUS!$N$62:Q87,INSUMOS!D226),0)</f>
        <v>0</v>
      </c>
      <c r="O226" s="546">
        <f t="shared" si="17"/>
        <v>0</v>
      </c>
      <c r="P226" s="348"/>
      <c r="Q226" s="341" t="str">
        <f t="shared" si="14"/>
        <v>SI</v>
      </c>
    </row>
    <row r="227" spans="3:17" hidden="1" x14ac:dyDescent="0.25">
      <c r="C227" s="358">
        <v>209</v>
      </c>
      <c r="D227" s="427" t="str">
        <f>'DESGLOCE DE PERSONAL'!C44</f>
        <v>Oficial Electrico</v>
      </c>
      <c r="E227" s="314" t="s">
        <v>122</v>
      </c>
      <c r="F227" s="529">
        <f>ROUND(VLOOKUP(D227,'DESGLOCE DE PERSONAL'!$C$26:$J$55,4,0)+VLOOKUP(D227,'DESGLOCE DE PERSONAL'!$C$26:$J$55,5,0),0)</f>
        <v>124303</v>
      </c>
      <c r="G227" s="529">
        <f>ROUND(VLOOKUP(D227,'DESGLOCE DE PERSONAL'!$C$26:$J$55,6,0),0)</f>
        <v>0</v>
      </c>
      <c r="H227" s="529">
        <f>ROUND(VLOOKUP(D227,'DESGLOCE DE PERSONAL'!$C$26:$J$55,7,0),0)</f>
        <v>99443</v>
      </c>
      <c r="I227" s="515">
        <f t="shared" si="15"/>
        <v>223746</v>
      </c>
      <c r="J227" s="510">
        <f>SUMIFS(APUS!$Y$9:$Y$1486,APUS!$M$9:$M$1486,INSUMOS!C227)</f>
        <v>0</v>
      </c>
      <c r="K227" s="511">
        <f t="shared" si="16"/>
        <v>0</v>
      </c>
      <c r="N227" s="533">
        <f>IFERROR(SUMIFS(APUS!$Z$10:$Z$62,APUS!$N$62:Q88,INSUMOS!D227),0)</f>
        <v>0</v>
      </c>
      <c r="O227" s="546">
        <f t="shared" ref="O227:O232" si="18">+N227-K227</f>
        <v>0</v>
      </c>
      <c r="P227" s="348"/>
      <c r="Q227" s="341" t="str">
        <f t="shared" ref="Q227:Q232" si="19">+IF(K227=0,"SI","NO")</f>
        <v>SI</v>
      </c>
    </row>
    <row r="228" spans="3:17" hidden="1" x14ac:dyDescent="0.25">
      <c r="C228" s="358">
        <v>210</v>
      </c>
      <c r="D228" s="427" t="str">
        <f>'DESGLOCE DE PERSONAL'!C45</f>
        <v>Ayudante Electrico</v>
      </c>
      <c r="E228" s="314" t="s">
        <v>122</v>
      </c>
      <c r="F228" s="529">
        <f>ROUND(VLOOKUP(D228,'DESGLOCE DE PERSONAL'!$C$26:$J$55,4,0)+VLOOKUP(D228,'DESGLOCE DE PERSONAL'!$C$26:$J$55,5,0),0)</f>
        <v>92303</v>
      </c>
      <c r="G228" s="529">
        <f>ROUND(VLOOKUP(D228,'DESGLOCE DE PERSONAL'!$C$26:$J$55,6,0),0)</f>
        <v>0</v>
      </c>
      <c r="H228" s="529">
        <f>ROUND(VLOOKUP(D228,'DESGLOCE DE PERSONAL'!$C$26:$J$55,7,0),0)</f>
        <v>73843</v>
      </c>
      <c r="I228" s="515">
        <f t="shared" si="15"/>
        <v>166146</v>
      </c>
      <c r="J228" s="510">
        <f>SUMIFS(APUS!$Y$9:$Y$1486,APUS!$M$9:$M$1486,INSUMOS!C228)</f>
        <v>0</v>
      </c>
      <c r="K228" s="511">
        <f t="shared" si="16"/>
        <v>0</v>
      </c>
      <c r="N228" s="533">
        <f>IFERROR(SUMIFS(APUS!$Z$10:$Z$62,APUS!$N$62:Q89,INSUMOS!D228),0)</f>
        <v>0</v>
      </c>
      <c r="O228" s="546">
        <f t="shared" si="18"/>
        <v>0</v>
      </c>
      <c r="P228" s="348"/>
      <c r="Q228" s="341" t="str">
        <f t="shared" si="19"/>
        <v>SI</v>
      </c>
    </row>
    <row r="229" spans="3:17" hidden="1" x14ac:dyDescent="0.25">
      <c r="C229" s="358">
        <v>211</v>
      </c>
      <c r="D229" s="427" t="str">
        <f>'DESGLOCE DE PERSONAL'!C48</f>
        <v>Oficial PINTURA</v>
      </c>
      <c r="E229" s="314" t="s">
        <v>122</v>
      </c>
      <c r="F229" s="529">
        <f>ROUND(VLOOKUP(D229,'DESGLOCE DE PERSONAL'!$C$26:$J$55,4,0)+VLOOKUP(D229,'DESGLOCE DE PERSONAL'!$C$26:$J$55,5,0),0)</f>
        <v>114970</v>
      </c>
      <c r="G229" s="529">
        <f>ROUND(VLOOKUP(D229,'DESGLOCE DE PERSONAL'!$C$26:$J$55,6,0),0)</f>
        <v>0</v>
      </c>
      <c r="H229" s="529">
        <f>ROUND(VLOOKUP(D229,'DESGLOCE DE PERSONAL'!$C$26:$J$55,7,0),0)</f>
        <v>91976</v>
      </c>
      <c r="I229" s="515">
        <f t="shared" si="15"/>
        <v>206946</v>
      </c>
      <c r="J229" s="510">
        <f>SUMIFS(APUS!$Y$9:$Y$1486,APUS!$M$9:$M$1486,INSUMOS!C229)</f>
        <v>0</v>
      </c>
      <c r="K229" s="511">
        <f t="shared" si="16"/>
        <v>0</v>
      </c>
      <c r="N229" s="533">
        <f>IFERROR(SUMIFS(APUS!$Z$10:$Z$62,APUS!$N$62:Q90,INSUMOS!D229),0)</f>
        <v>0</v>
      </c>
      <c r="O229" s="546">
        <f t="shared" si="18"/>
        <v>0</v>
      </c>
      <c r="P229" s="348"/>
      <c r="Q229" s="341" t="str">
        <f t="shared" si="19"/>
        <v>SI</v>
      </c>
    </row>
    <row r="230" spans="3:17" hidden="1" x14ac:dyDescent="0.25">
      <c r="C230" s="358">
        <v>212</v>
      </c>
      <c r="D230" s="427" t="str">
        <f>'DESGLOCE DE PERSONAL'!C49</f>
        <v>Ayudante PINTURA</v>
      </c>
      <c r="E230" s="314" t="s">
        <v>122</v>
      </c>
      <c r="F230" s="529">
        <f>ROUND(VLOOKUP(D230,'DESGLOCE DE PERSONAL'!$C$26:$J$55,4,0)+VLOOKUP(D230,'DESGLOCE DE PERSONAL'!$C$26:$J$55,5,0),0)</f>
        <v>88303</v>
      </c>
      <c r="G230" s="529">
        <f>ROUND(VLOOKUP(D230,'DESGLOCE DE PERSONAL'!$C$26:$J$55,6,0),0)</f>
        <v>0</v>
      </c>
      <c r="H230" s="529">
        <f>ROUND(VLOOKUP(D230,'DESGLOCE DE PERSONAL'!$C$26:$J$55,7,0),0)</f>
        <v>70643</v>
      </c>
      <c r="I230" s="515">
        <f t="shared" si="15"/>
        <v>158946</v>
      </c>
      <c r="J230" s="510">
        <f>SUMIFS(APUS!$Y$9:$Y$1486,APUS!$M$9:$M$1486,INSUMOS!C230)</f>
        <v>0</v>
      </c>
      <c r="K230" s="511">
        <f t="shared" si="16"/>
        <v>0</v>
      </c>
      <c r="N230" s="533">
        <f>IFERROR(SUMIFS(APUS!$Z$10:$Z$62,APUS!$N$62:Q91,INSUMOS!D230),0)</f>
        <v>0</v>
      </c>
      <c r="O230" s="546">
        <f t="shared" si="18"/>
        <v>0</v>
      </c>
      <c r="P230" s="348"/>
      <c r="Q230" s="341" t="str">
        <f t="shared" si="19"/>
        <v>SI</v>
      </c>
    </row>
    <row r="231" spans="3:17" hidden="1" x14ac:dyDescent="0.25">
      <c r="C231" s="358">
        <v>213</v>
      </c>
      <c r="D231" s="427" t="str">
        <f>'DESGLOCE DE PERSONAL'!C52</f>
        <v>TOPOGRAFO</v>
      </c>
      <c r="E231" s="314" t="s">
        <v>122</v>
      </c>
      <c r="F231" s="529">
        <f>ROUND(VLOOKUP(D231,'DESGLOCE DE PERSONAL'!$C$26:$J$55,4,0)+VLOOKUP(D231,'DESGLOCE DE PERSONAL'!$C$26:$J$55,5,0),0)</f>
        <v>124970</v>
      </c>
      <c r="G231" s="529">
        <f>ROUND(VLOOKUP(D231,'DESGLOCE DE PERSONAL'!$C$26:$J$55,6,0),0)</f>
        <v>0</v>
      </c>
      <c r="H231" s="529">
        <f>ROUND(VLOOKUP(D231,'DESGLOCE DE PERSONAL'!$C$26:$J$55,7,0),0)</f>
        <v>99976</v>
      </c>
      <c r="I231" s="515">
        <f t="shared" si="15"/>
        <v>224946</v>
      </c>
      <c r="J231" s="510">
        <f>SUMIFS(APUS!$Y$9:$Y$1486,APUS!$M$9:$M$1486,INSUMOS!C231)</f>
        <v>0</v>
      </c>
      <c r="K231" s="511">
        <f t="shared" si="16"/>
        <v>0</v>
      </c>
      <c r="N231" s="533">
        <f>IFERROR(SUMIFS(APUS!$Z$10:$Z$62,APUS!$N$62:Q92,INSUMOS!D231),0)</f>
        <v>0</v>
      </c>
      <c r="O231" s="546">
        <f t="shared" si="18"/>
        <v>0</v>
      </c>
      <c r="P231" s="348"/>
      <c r="Q231" s="341" t="str">
        <f t="shared" si="19"/>
        <v>SI</v>
      </c>
    </row>
    <row r="232" spans="3:17" hidden="1" x14ac:dyDescent="0.25">
      <c r="C232" s="358">
        <v>214</v>
      </c>
      <c r="D232" s="427" t="str">
        <f>'DESGLOCE DE PERSONAL'!C53</f>
        <v>CADENERO</v>
      </c>
      <c r="E232" s="314" t="s">
        <v>122</v>
      </c>
      <c r="F232" s="529">
        <f>ROUND(VLOOKUP(D232,'DESGLOCE DE PERSONAL'!$C$26:$J$55,4,0)+VLOOKUP(D232,'DESGLOCE DE PERSONAL'!$C$26:$J$55,5,0),0)</f>
        <v>98303</v>
      </c>
      <c r="G232" s="529">
        <f>ROUND(VLOOKUP(D232,'DESGLOCE DE PERSONAL'!$C$26:$J$55,6,0),0)</f>
        <v>0</v>
      </c>
      <c r="H232" s="529">
        <f>ROUND(VLOOKUP(D232,'DESGLOCE DE PERSONAL'!$C$26:$J$55,7,0),0)</f>
        <v>78643</v>
      </c>
      <c r="I232" s="515">
        <f t="shared" si="15"/>
        <v>176946</v>
      </c>
      <c r="J232" s="510">
        <f>SUMIFS(APUS!$Y$9:$Y$1486,APUS!$M$9:$M$1486,INSUMOS!C232)</f>
        <v>0</v>
      </c>
      <c r="K232" s="511">
        <f t="shared" si="16"/>
        <v>0</v>
      </c>
      <c r="N232" s="533">
        <f>IFERROR(SUMIFS(APUS!$Z$10:$Z$62,APUS!$N$62:Q93,INSUMOS!D232),0)</f>
        <v>0</v>
      </c>
      <c r="O232" s="546">
        <f t="shared" si="18"/>
        <v>0</v>
      </c>
      <c r="P232" s="348"/>
      <c r="Q232" s="341" t="str">
        <f t="shared" si="19"/>
        <v>SI</v>
      </c>
    </row>
    <row r="233" spans="3:17" x14ac:dyDescent="0.25">
      <c r="C233" s="358"/>
      <c r="D233" s="427"/>
      <c r="E233" s="314"/>
      <c r="F233" s="428"/>
      <c r="G233" s="530"/>
      <c r="H233" s="516"/>
      <c r="I233" s="531"/>
      <c r="J233" s="510"/>
      <c r="K233" s="518"/>
      <c r="N233" s="412"/>
      <c r="O233" s="546"/>
      <c r="Q233" s="412"/>
    </row>
    <row r="234" spans="3:17" ht="14.4" x14ac:dyDescent="0.3">
      <c r="C234" s="726" t="str">
        <f>+"SUBTOTAL "&amp;C217</f>
        <v>SUBTOTAL MANO DE OBRA</v>
      </c>
      <c r="D234" s="726"/>
      <c r="E234" s="726"/>
      <c r="F234" s="726"/>
      <c r="G234" s="726"/>
      <c r="H234" s="726"/>
      <c r="I234" s="726"/>
      <c r="J234" s="726"/>
      <c r="K234" s="525">
        <f>+SUM(K218:K233)</f>
        <v>88144196.408085525</v>
      </c>
      <c r="N234" s="547">
        <f>SUM(N218:N233)</f>
        <v>0</v>
      </c>
      <c r="O234" s="533">
        <f t="shared" ref="O234" si="20">+N234-K234</f>
        <v>-88144196.408085525</v>
      </c>
      <c r="Q234" s="412"/>
    </row>
    <row r="236" spans="3:17" hidden="1" x14ac:dyDescent="0.25">
      <c r="C236" s="730" t="s">
        <v>211</v>
      </c>
      <c r="D236" s="730"/>
      <c r="E236" s="730"/>
      <c r="F236" s="730"/>
      <c r="G236" s="730"/>
      <c r="H236" s="730"/>
      <c r="I236" s="730"/>
      <c r="J236" s="730"/>
      <c r="K236" s="730"/>
      <c r="N236" s="500"/>
      <c r="O236" s="501"/>
      <c r="P236" s="348"/>
      <c r="Q236" s="502"/>
    </row>
    <row r="237" spans="3:17" hidden="1" x14ac:dyDescent="0.25">
      <c r="C237" s="503" t="s">
        <v>148</v>
      </c>
      <c r="D237" s="706" t="s">
        <v>98</v>
      </c>
      <c r="E237" s="706"/>
      <c r="F237" s="706"/>
      <c r="G237" s="706"/>
      <c r="H237" s="307" t="s">
        <v>112</v>
      </c>
      <c r="I237" s="504" t="s">
        <v>149</v>
      </c>
      <c r="J237" s="505" t="s">
        <v>107</v>
      </c>
      <c r="K237" s="429" t="s">
        <v>9</v>
      </c>
      <c r="N237" s="506" t="s">
        <v>9</v>
      </c>
      <c r="O237" s="507" t="s">
        <v>151</v>
      </c>
      <c r="P237" s="403"/>
      <c r="Q237" s="508"/>
    </row>
    <row r="238" spans="3:17" hidden="1" x14ac:dyDescent="0.25">
      <c r="C238" s="358">
        <v>301</v>
      </c>
      <c r="D238" s="718" t="s">
        <v>885</v>
      </c>
      <c r="E238" s="718"/>
      <c r="F238" s="718"/>
      <c r="G238" s="718"/>
      <c r="H238" s="516" t="s">
        <v>35</v>
      </c>
      <c r="I238" s="515">
        <v>215000</v>
      </c>
      <c r="J238" s="510">
        <f>SUMIFS(APUS!$Y$9:$Y$1486,APUS!$M$9:$M$1486,INSUMOS!C238)</f>
        <v>0</v>
      </c>
      <c r="K238" s="533">
        <f t="shared" ref="K238:K244" si="21">+J238*I238</f>
        <v>0</v>
      </c>
      <c r="N238" s="512">
        <f>IFERROR(SUMIFS(APUS!$Z$10:$Z$62,APUS!$N$62:Q99,INSUMOS!D238),0)</f>
        <v>0</v>
      </c>
      <c r="O238" s="513">
        <f>+N238-K238</f>
        <v>0</v>
      </c>
      <c r="P238" s="348"/>
      <c r="Q238" s="514" t="str">
        <f t="shared" ref="Q238:Q252" si="22">+IF(K238=0,"SI","NO")</f>
        <v>SI</v>
      </c>
    </row>
    <row r="239" spans="3:17" hidden="1" x14ac:dyDescent="0.25">
      <c r="C239" s="358">
        <v>302</v>
      </c>
      <c r="D239" s="718"/>
      <c r="E239" s="718"/>
      <c r="F239" s="718"/>
      <c r="G239" s="718"/>
      <c r="H239" s="516"/>
      <c r="I239" s="515"/>
      <c r="J239" s="510">
        <f>SUMIFS(APUS!$Y$9:$Y$1486,APUS!$M$9:$M$1486,INSUMOS!C239)</f>
        <v>0</v>
      </c>
      <c r="K239" s="533">
        <f t="shared" si="21"/>
        <v>0</v>
      </c>
      <c r="N239" s="512">
        <f>IFERROR(SUMIFS(APUS!$Z$10:$Z$62,APUS!$N$62:Q100,INSUMOS!D239),0)</f>
        <v>0</v>
      </c>
      <c r="O239" s="513">
        <f t="shared" ref="O239:O252" si="23">+N239-K239</f>
        <v>0</v>
      </c>
      <c r="P239" s="348"/>
      <c r="Q239" s="514" t="str">
        <f t="shared" si="22"/>
        <v>SI</v>
      </c>
    </row>
    <row r="240" spans="3:17" hidden="1" x14ac:dyDescent="0.25">
      <c r="C240" s="358">
        <v>303</v>
      </c>
      <c r="D240" s="718"/>
      <c r="E240" s="718"/>
      <c r="F240" s="718"/>
      <c r="G240" s="718"/>
      <c r="H240" s="516"/>
      <c r="I240" s="515"/>
      <c r="J240" s="510">
        <f>SUMIFS(APUS!$Y$9:$Y$1486,APUS!$M$9:$M$1486,INSUMOS!C240)</f>
        <v>0</v>
      </c>
      <c r="K240" s="533">
        <f t="shared" si="21"/>
        <v>0</v>
      </c>
      <c r="N240" s="512">
        <f>IFERROR(SUMIFS(APUS!$Z$10:$Z$62,APUS!$N$62:Q101,INSUMOS!D240),0)</f>
        <v>0</v>
      </c>
      <c r="O240" s="513">
        <f t="shared" si="23"/>
        <v>0</v>
      </c>
      <c r="P240" s="348"/>
      <c r="Q240" s="514" t="str">
        <f t="shared" si="22"/>
        <v>SI</v>
      </c>
    </row>
    <row r="241" spans="3:17" hidden="1" x14ac:dyDescent="0.25">
      <c r="C241" s="358">
        <v>304</v>
      </c>
      <c r="D241" s="718"/>
      <c r="E241" s="718"/>
      <c r="F241" s="718"/>
      <c r="G241" s="718"/>
      <c r="H241" s="516"/>
      <c r="I241" s="515"/>
      <c r="J241" s="510">
        <f>SUMIFS(APUS!$Y$9:$Y$1486,APUS!$M$9:$M$1486,INSUMOS!C241)</f>
        <v>0</v>
      </c>
      <c r="K241" s="533">
        <f t="shared" si="21"/>
        <v>0</v>
      </c>
      <c r="N241" s="512">
        <f>IFERROR(SUMIFS(APUS!$Z$10:$Z$62,APUS!$N$62:Q102,INSUMOS!D241),0)</f>
        <v>0</v>
      </c>
      <c r="O241" s="513">
        <f t="shared" si="23"/>
        <v>0</v>
      </c>
      <c r="P241" s="348"/>
      <c r="Q241" s="514" t="str">
        <f t="shared" si="22"/>
        <v>SI</v>
      </c>
    </row>
    <row r="242" spans="3:17" hidden="1" x14ac:dyDescent="0.25">
      <c r="C242" s="358">
        <v>305</v>
      </c>
      <c r="D242" s="718"/>
      <c r="E242" s="718"/>
      <c r="F242" s="718"/>
      <c r="G242" s="718"/>
      <c r="H242" s="516"/>
      <c r="I242" s="515"/>
      <c r="J242" s="510">
        <f>SUMIFS(APUS!$Y$9:$Y$1486,APUS!$M$9:$M$1486,INSUMOS!C242)</f>
        <v>0</v>
      </c>
      <c r="K242" s="533">
        <f t="shared" si="21"/>
        <v>0</v>
      </c>
      <c r="N242" s="512">
        <f>IFERROR(SUMIFS(APUS!$Z$10:$Z$62,APUS!$N$62:Q160,INSUMOS!D242),0)</f>
        <v>0</v>
      </c>
      <c r="O242" s="513">
        <f t="shared" si="23"/>
        <v>0</v>
      </c>
      <c r="P242" s="348"/>
      <c r="Q242" s="514" t="str">
        <f t="shared" si="22"/>
        <v>SI</v>
      </c>
    </row>
    <row r="243" spans="3:17" hidden="1" x14ac:dyDescent="0.25">
      <c r="C243" s="358">
        <v>306</v>
      </c>
      <c r="D243" s="718"/>
      <c r="E243" s="718"/>
      <c r="F243" s="718"/>
      <c r="G243" s="718"/>
      <c r="H243" s="516"/>
      <c r="I243" s="515"/>
      <c r="J243" s="510">
        <f>SUMIFS(APUS!$Y$9:$Y$1486,APUS!$M$9:$M$1486,INSUMOS!C243)</f>
        <v>0</v>
      </c>
      <c r="K243" s="533">
        <f t="shared" si="21"/>
        <v>0</v>
      </c>
      <c r="N243" s="512">
        <f>IFERROR(SUMIFS(APUS!$Z$10:$Z$62,APUS!$N$62:Q161,INSUMOS!D243),0)</f>
        <v>0</v>
      </c>
      <c r="O243" s="513">
        <f t="shared" si="23"/>
        <v>0</v>
      </c>
      <c r="P243" s="348"/>
      <c r="Q243" s="514" t="str">
        <f t="shared" si="22"/>
        <v>SI</v>
      </c>
    </row>
    <row r="244" spans="3:17" hidden="1" x14ac:dyDescent="0.25">
      <c r="C244" s="358">
        <v>307</v>
      </c>
      <c r="D244" s="718"/>
      <c r="E244" s="718"/>
      <c r="F244" s="718"/>
      <c r="G244" s="718"/>
      <c r="H244" s="516"/>
      <c r="I244" s="515"/>
      <c r="J244" s="510">
        <f>SUMIFS(APUS!$Y$9:$Y$1486,APUS!$M$9:$M$1486,INSUMOS!C244)</f>
        <v>0</v>
      </c>
      <c r="K244" s="533">
        <f t="shared" si="21"/>
        <v>0</v>
      </c>
      <c r="N244" s="512">
        <f>IFERROR(SUMIFS(APUS!$Z$10:$Z$62,APUS!$N$62:Q162,INSUMOS!D244),0)</f>
        <v>0</v>
      </c>
      <c r="O244" s="513">
        <f t="shared" si="23"/>
        <v>0</v>
      </c>
      <c r="P244" s="348"/>
      <c r="Q244" s="514" t="str">
        <f t="shared" si="22"/>
        <v>SI</v>
      </c>
    </row>
    <row r="245" spans="3:17" hidden="1" x14ac:dyDescent="0.25">
      <c r="C245" s="358">
        <v>308</v>
      </c>
      <c r="D245" s="718"/>
      <c r="E245" s="718"/>
      <c r="F245" s="718"/>
      <c r="G245" s="718"/>
      <c r="H245" s="516"/>
      <c r="I245" s="515"/>
      <c r="J245" s="510">
        <f>SUMIFS(APUS!$Y$9:$Y$1486,APUS!$M$9:$M$1486,INSUMOS!C245)</f>
        <v>0</v>
      </c>
      <c r="K245" s="341">
        <f t="shared" ref="K245:K258" si="24">+J245*I245</f>
        <v>0</v>
      </c>
      <c r="N245" s="512">
        <f>IFERROR(SUMIFS(APUS!$Z$10:$Z$62,APUS!$N$62:Q163,INSUMOS!D245),0)</f>
        <v>0</v>
      </c>
      <c r="O245" s="513">
        <f t="shared" si="23"/>
        <v>0</v>
      </c>
      <c r="P245" s="348"/>
      <c r="Q245" s="514" t="str">
        <f t="shared" si="22"/>
        <v>SI</v>
      </c>
    </row>
    <row r="246" spans="3:17" hidden="1" x14ac:dyDescent="0.25">
      <c r="C246" s="358">
        <v>309</v>
      </c>
      <c r="D246" s="718"/>
      <c r="E246" s="718"/>
      <c r="F246" s="718"/>
      <c r="G246" s="718"/>
      <c r="H246" s="516"/>
      <c r="I246" s="515"/>
      <c r="J246" s="510">
        <f>SUMIFS(APUS!$Y$9:$Y$1486,APUS!$M$9:$M$1486,INSUMOS!C246)</f>
        <v>0</v>
      </c>
      <c r="K246" s="341">
        <f t="shared" si="24"/>
        <v>0</v>
      </c>
      <c r="N246" s="512">
        <f>IFERROR(SUMIFS(APUS!$Z$10:$Z$62,APUS!$N$62:Q164,INSUMOS!D246),0)</f>
        <v>0</v>
      </c>
      <c r="O246" s="513">
        <f t="shared" si="23"/>
        <v>0</v>
      </c>
      <c r="P246" s="348"/>
      <c r="Q246" s="514" t="str">
        <f t="shared" si="22"/>
        <v>SI</v>
      </c>
    </row>
    <row r="247" spans="3:17" hidden="1" x14ac:dyDescent="0.25">
      <c r="C247" s="358">
        <v>310</v>
      </c>
      <c r="D247" s="718"/>
      <c r="E247" s="718"/>
      <c r="F247" s="718"/>
      <c r="G247" s="718"/>
      <c r="H247" s="516"/>
      <c r="I247" s="515"/>
      <c r="J247" s="510">
        <f>SUMIFS(APUS!$Y$9:$Y$1486,APUS!$M$9:$M$1486,INSUMOS!C247)</f>
        <v>0</v>
      </c>
      <c r="K247" s="341">
        <f t="shared" si="24"/>
        <v>0</v>
      </c>
      <c r="N247" s="512">
        <f>IFERROR(SUMIFS(APUS!$Z$10:$Z$62,APUS!$N$62:Q165,INSUMOS!D247),0)</f>
        <v>0</v>
      </c>
      <c r="O247" s="513">
        <f t="shared" si="23"/>
        <v>0</v>
      </c>
      <c r="P247" s="348"/>
      <c r="Q247" s="514" t="str">
        <f t="shared" si="22"/>
        <v>SI</v>
      </c>
    </row>
    <row r="248" spans="3:17" hidden="1" x14ac:dyDescent="0.25">
      <c r="C248" s="358">
        <v>311</v>
      </c>
      <c r="D248" s="718"/>
      <c r="E248" s="718"/>
      <c r="F248" s="718"/>
      <c r="G248" s="718"/>
      <c r="H248" s="516"/>
      <c r="I248" s="515"/>
      <c r="J248" s="510">
        <f>SUMIFS(APUS!$Y$9:$Y$1486,APUS!$M$9:$M$1486,INSUMOS!C248)</f>
        <v>0</v>
      </c>
      <c r="K248" s="341">
        <f t="shared" si="24"/>
        <v>0</v>
      </c>
      <c r="N248" s="512">
        <f>IFERROR(SUMIFS(APUS!$Z$10:$Z$62,APUS!$N$62:Q166,INSUMOS!D248),0)</f>
        <v>0</v>
      </c>
      <c r="O248" s="513">
        <f t="shared" si="23"/>
        <v>0</v>
      </c>
      <c r="P248" s="348"/>
      <c r="Q248" s="514" t="str">
        <f t="shared" si="22"/>
        <v>SI</v>
      </c>
    </row>
    <row r="249" spans="3:17" hidden="1" x14ac:dyDescent="0.25">
      <c r="C249" s="358">
        <v>312</v>
      </c>
      <c r="D249" s="718"/>
      <c r="E249" s="718"/>
      <c r="F249" s="718"/>
      <c r="G249" s="718"/>
      <c r="H249" s="516"/>
      <c r="I249" s="515"/>
      <c r="J249" s="510">
        <f>SUMIFS(APUS!$Y$9:$Y$1486,APUS!$M$9:$M$1486,INSUMOS!C249)</f>
        <v>0</v>
      </c>
      <c r="K249" s="341">
        <f t="shared" si="24"/>
        <v>0</v>
      </c>
      <c r="N249" s="512">
        <f>IFERROR(SUMIFS(APUS!$Z$10:$Z$62,APUS!$N$62:Q167,INSUMOS!D249),0)</f>
        <v>0</v>
      </c>
      <c r="O249" s="513">
        <f t="shared" si="23"/>
        <v>0</v>
      </c>
      <c r="P249" s="348"/>
      <c r="Q249" s="514" t="str">
        <f t="shared" si="22"/>
        <v>SI</v>
      </c>
    </row>
    <row r="250" spans="3:17" hidden="1" x14ac:dyDescent="0.25">
      <c r="C250" s="358">
        <v>313</v>
      </c>
      <c r="D250" s="718"/>
      <c r="E250" s="718"/>
      <c r="F250" s="718"/>
      <c r="G250" s="718"/>
      <c r="H250" s="516"/>
      <c r="I250" s="515"/>
      <c r="J250" s="510">
        <f>SUMIFS(APUS!$Y$9:$Y$1486,APUS!$M$9:$M$1486,INSUMOS!C250)</f>
        <v>0</v>
      </c>
      <c r="K250" s="341">
        <f t="shared" ref="K250:K251" si="25">+J250*I250</f>
        <v>0</v>
      </c>
      <c r="N250" s="512"/>
      <c r="O250" s="513"/>
      <c r="P250" s="348"/>
      <c r="Q250" s="514"/>
    </row>
    <row r="251" spans="3:17" hidden="1" x14ac:dyDescent="0.25">
      <c r="C251" s="358">
        <v>314</v>
      </c>
      <c r="D251" s="718"/>
      <c r="E251" s="718"/>
      <c r="F251" s="718"/>
      <c r="G251" s="718"/>
      <c r="H251" s="516"/>
      <c r="I251" s="515"/>
      <c r="J251" s="510">
        <f>SUMIFS(APUS!$Y$9:$Y$1486,APUS!$M$9:$M$1486,INSUMOS!C251)</f>
        <v>0</v>
      </c>
      <c r="K251" s="341">
        <f t="shared" si="25"/>
        <v>0</v>
      </c>
      <c r="N251" s="512">
        <f>IFERROR(SUMIFS(APUS!$Z$10:$Z$62,APUS!$N$62:Q168,INSUMOS!D251),0)</f>
        <v>0</v>
      </c>
      <c r="O251" s="513">
        <f t="shared" si="23"/>
        <v>0</v>
      </c>
      <c r="P251" s="348"/>
      <c r="Q251" s="514" t="str">
        <f t="shared" si="22"/>
        <v>SI</v>
      </c>
    </row>
    <row r="252" spans="3:17" hidden="1" x14ac:dyDescent="0.25">
      <c r="C252" s="358">
        <v>315</v>
      </c>
      <c r="D252" s="718"/>
      <c r="E252" s="718"/>
      <c r="F252" s="718"/>
      <c r="G252" s="718"/>
      <c r="H252" s="516"/>
      <c r="I252" s="515"/>
      <c r="J252" s="510">
        <f>SUMIFS(APUS!$Y$9:$Y$1486,APUS!$M$9:$M$1486,INSUMOS!C252)</f>
        <v>0</v>
      </c>
      <c r="K252" s="341">
        <f t="shared" si="24"/>
        <v>0</v>
      </c>
      <c r="N252" s="512">
        <f>IFERROR(SUMIFS(APUS!$Z$10:$Z$62,APUS!$N$62:Q169,INSUMOS!D252),0)</f>
        <v>0</v>
      </c>
      <c r="O252" s="513">
        <f t="shared" si="23"/>
        <v>0</v>
      </c>
      <c r="P252" s="348"/>
      <c r="Q252" s="514" t="str">
        <f t="shared" si="22"/>
        <v>SI</v>
      </c>
    </row>
    <row r="253" spans="3:17" hidden="1" x14ac:dyDescent="0.25">
      <c r="C253" s="358">
        <v>316</v>
      </c>
      <c r="D253" s="718"/>
      <c r="E253" s="718"/>
      <c r="F253" s="718"/>
      <c r="G253" s="718"/>
      <c r="H253" s="516"/>
      <c r="I253" s="515"/>
      <c r="J253" s="510">
        <f>SUMIFS(APUS!$Y$9:$Y$1486,APUS!$M$9:$M$1486,INSUMOS!C253)</f>
        <v>0</v>
      </c>
      <c r="K253" s="341">
        <f t="shared" si="24"/>
        <v>0</v>
      </c>
      <c r="N253" s="512">
        <f>IFERROR(SUMIFS(APUS!$Z$10:$Z$62,APUS!$N$62:Q170,INSUMOS!D253),0)</f>
        <v>0</v>
      </c>
      <c r="O253" s="513">
        <f t="shared" ref="O253:O258" si="26">+N253-K253</f>
        <v>0</v>
      </c>
      <c r="P253" s="348"/>
      <c r="Q253" s="514" t="str">
        <f t="shared" ref="Q253:Q258" si="27">+IF(K253=0,"SI","NO")</f>
        <v>SI</v>
      </c>
    </row>
    <row r="254" spans="3:17" hidden="1" x14ac:dyDescent="0.25">
      <c r="C254" s="358">
        <v>317</v>
      </c>
      <c r="D254" s="718"/>
      <c r="E254" s="718"/>
      <c r="F254" s="718"/>
      <c r="G254" s="718"/>
      <c r="H254" s="516"/>
      <c r="I254" s="515"/>
      <c r="J254" s="510">
        <f>SUMIFS(APUS!$Y$9:$Y$1486,APUS!$M$9:$M$1486,INSUMOS!C254)</f>
        <v>0</v>
      </c>
      <c r="K254" s="341">
        <f t="shared" si="24"/>
        <v>0</v>
      </c>
      <c r="N254" s="512">
        <f>IFERROR(SUMIFS(APUS!$Z$10:$Z$62,APUS!$N$62:Q171,INSUMOS!D254),0)</f>
        <v>0</v>
      </c>
      <c r="O254" s="513">
        <f t="shared" si="26"/>
        <v>0</v>
      </c>
      <c r="P254" s="348"/>
      <c r="Q254" s="514" t="str">
        <f t="shared" si="27"/>
        <v>SI</v>
      </c>
    </row>
    <row r="255" spans="3:17" hidden="1" x14ac:dyDescent="0.25">
      <c r="C255" s="358">
        <v>318</v>
      </c>
      <c r="D255" s="718"/>
      <c r="E255" s="718"/>
      <c r="F255" s="718"/>
      <c r="G255" s="718"/>
      <c r="H255" s="516"/>
      <c r="I255" s="515"/>
      <c r="J255" s="510">
        <f>SUMIFS(APUS!$Y$9:$Y$1486,APUS!$M$9:$M$1486,INSUMOS!C255)</f>
        <v>0</v>
      </c>
      <c r="K255" s="341">
        <f t="shared" si="24"/>
        <v>0</v>
      </c>
      <c r="N255" s="512">
        <f>IFERROR(SUMIFS(APUS!$Z$10:$Z$62,APUS!$N$62:Q172,INSUMOS!D255),0)</f>
        <v>0</v>
      </c>
      <c r="O255" s="513">
        <f t="shared" si="26"/>
        <v>0</v>
      </c>
      <c r="P255" s="348"/>
      <c r="Q255" s="514" t="str">
        <f t="shared" si="27"/>
        <v>SI</v>
      </c>
    </row>
    <row r="256" spans="3:17" hidden="1" x14ac:dyDescent="0.25">
      <c r="C256" s="358">
        <v>319</v>
      </c>
      <c r="D256" s="718"/>
      <c r="E256" s="718"/>
      <c r="F256" s="718"/>
      <c r="G256" s="718"/>
      <c r="H256" s="516"/>
      <c r="I256" s="515"/>
      <c r="J256" s="510">
        <f>SUMIFS(APUS!$Y$9:$Y$1486,APUS!$M$9:$M$1486,INSUMOS!C256)</f>
        <v>0</v>
      </c>
      <c r="K256" s="341">
        <f t="shared" si="24"/>
        <v>0</v>
      </c>
      <c r="N256" s="512">
        <f>IFERROR(SUMIFS(APUS!$Z$10:$Z$62,APUS!$N$62:Q173,INSUMOS!D256),0)</f>
        <v>0</v>
      </c>
      <c r="O256" s="513">
        <f t="shared" si="26"/>
        <v>0</v>
      </c>
      <c r="P256" s="348"/>
      <c r="Q256" s="514" t="str">
        <f t="shared" si="27"/>
        <v>SI</v>
      </c>
    </row>
    <row r="257" spans="3:17" hidden="1" x14ac:dyDescent="0.25">
      <c r="C257" s="358">
        <v>320</v>
      </c>
      <c r="D257" s="718"/>
      <c r="E257" s="718"/>
      <c r="F257" s="718"/>
      <c r="G257" s="718"/>
      <c r="H257" s="516"/>
      <c r="I257" s="515"/>
      <c r="J257" s="510">
        <f>SUMIFS(APUS!$Y$9:$Y$1486,APUS!$M$9:$M$1486,INSUMOS!C257)</f>
        <v>0</v>
      </c>
      <c r="K257" s="341">
        <f t="shared" si="24"/>
        <v>0</v>
      </c>
      <c r="N257" s="512">
        <f>IFERROR(SUMIFS(APUS!$Z$10:$Z$62,APUS!$N$62:Q174,INSUMOS!D257),0)</f>
        <v>0</v>
      </c>
      <c r="O257" s="513">
        <f t="shared" si="26"/>
        <v>0</v>
      </c>
      <c r="P257" s="348"/>
      <c r="Q257" s="514" t="str">
        <f t="shared" si="27"/>
        <v>SI</v>
      </c>
    </row>
    <row r="258" spans="3:17" hidden="1" x14ac:dyDescent="0.25">
      <c r="C258" s="358">
        <v>321</v>
      </c>
      <c r="D258" s="718"/>
      <c r="E258" s="718"/>
      <c r="F258" s="718"/>
      <c r="G258" s="718"/>
      <c r="H258" s="516"/>
      <c r="I258" s="515"/>
      <c r="J258" s="510">
        <f>SUMIFS(APUS!$Y$9:$Y$1486,APUS!$M$9:$M$1486,INSUMOS!C258)</f>
        <v>0</v>
      </c>
      <c r="K258" s="341">
        <f t="shared" si="24"/>
        <v>0</v>
      </c>
      <c r="N258" s="512">
        <f>IFERROR(SUMIFS(APUS!$Z$10:$Z$62,APUS!$N$62:Q175,INSUMOS!D258),0)</f>
        <v>0</v>
      </c>
      <c r="O258" s="513">
        <f t="shared" si="26"/>
        <v>0</v>
      </c>
      <c r="P258" s="348"/>
      <c r="Q258" s="514" t="str">
        <f t="shared" si="27"/>
        <v>SI</v>
      </c>
    </row>
    <row r="259" spans="3:17" hidden="1" x14ac:dyDescent="0.25">
      <c r="C259" s="358">
        <v>322</v>
      </c>
      <c r="D259" s="718"/>
      <c r="E259" s="718"/>
      <c r="F259" s="718"/>
      <c r="G259" s="718"/>
      <c r="H259" s="516"/>
      <c r="I259" s="515"/>
      <c r="J259" s="510">
        <f>SUMIFS(APUS!$Y$9:$Y$1486,APUS!$M$9:$M$1486,INSUMOS!C259)</f>
        <v>0</v>
      </c>
      <c r="K259" s="341">
        <f t="shared" ref="K259:K274" si="28">+J259*I259</f>
        <v>0</v>
      </c>
      <c r="N259" s="512">
        <f>IFERROR(SUMIFS(APUS!$Z$10:$Z$62,APUS!$N$62:Q176,INSUMOS!D259),0)</f>
        <v>0</v>
      </c>
      <c r="O259" s="513">
        <f t="shared" ref="O259:O274" si="29">+N259-K259</f>
        <v>0</v>
      </c>
      <c r="P259" s="348"/>
      <c r="Q259" s="514" t="str">
        <f t="shared" ref="Q259:Q274" si="30">+IF(K259=0,"SI","NO")</f>
        <v>SI</v>
      </c>
    </row>
    <row r="260" spans="3:17" hidden="1" x14ac:dyDescent="0.25">
      <c r="C260" s="358">
        <v>323</v>
      </c>
      <c r="D260" s="718"/>
      <c r="E260" s="718"/>
      <c r="F260" s="718"/>
      <c r="G260" s="718"/>
      <c r="H260" s="516"/>
      <c r="I260" s="515"/>
      <c r="J260" s="510">
        <f>SUMIFS(APUS!$Y$9:$Y$1486,APUS!$M$9:$M$1486,INSUMOS!C260)</f>
        <v>0</v>
      </c>
      <c r="K260" s="341">
        <f t="shared" si="28"/>
        <v>0</v>
      </c>
      <c r="N260" s="512">
        <f>IFERROR(SUMIFS(APUS!$Z$10:$Z$62,APUS!$N$62:Q177,INSUMOS!D260),0)</f>
        <v>0</v>
      </c>
      <c r="O260" s="513">
        <f t="shared" si="29"/>
        <v>0</v>
      </c>
      <c r="P260" s="348"/>
      <c r="Q260" s="514" t="str">
        <f t="shared" si="30"/>
        <v>SI</v>
      </c>
    </row>
    <row r="261" spans="3:17" hidden="1" x14ac:dyDescent="0.25">
      <c r="C261" s="358">
        <v>324</v>
      </c>
      <c r="D261" s="718"/>
      <c r="E261" s="718"/>
      <c r="F261" s="718"/>
      <c r="G261" s="718"/>
      <c r="H261" s="516"/>
      <c r="I261" s="515"/>
      <c r="J261" s="510">
        <f>SUMIFS(APUS!$Y$9:$Y$1486,APUS!$M$9:$M$1486,INSUMOS!C261)</f>
        <v>0</v>
      </c>
      <c r="K261" s="341">
        <f t="shared" si="28"/>
        <v>0</v>
      </c>
      <c r="N261" s="512">
        <f>IFERROR(SUMIFS(APUS!$Z$10:$Z$62,APUS!$N$62:Q178,INSUMOS!D261),0)</f>
        <v>0</v>
      </c>
      <c r="O261" s="513">
        <f t="shared" si="29"/>
        <v>0</v>
      </c>
      <c r="P261" s="348"/>
      <c r="Q261" s="514" t="str">
        <f t="shared" si="30"/>
        <v>SI</v>
      </c>
    </row>
    <row r="262" spans="3:17" hidden="1" x14ac:dyDescent="0.25">
      <c r="C262" s="358">
        <v>325</v>
      </c>
      <c r="D262" s="718"/>
      <c r="E262" s="718"/>
      <c r="F262" s="718"/>
      <c r="G262" s="718"/>
      <c r="H262" s="516"/>
      <c r="I262" s="515"/>
      <c r="J262" s="510">
        <f>SUMIFS(APUS!$Y$9:$Y$1486,APUS!$M$9:$M$1486,INSUMOS!C262)</f>
        <v>0</v>
      </c>
      <c r="K262" s="341">
        <f t="shared" si="28"/>
        <v>0</v>
      </c>
      <c r="N262" s="512">
        <f>IFERROR(SUMIFS(APUS!$Z$10:$Z$62,APUS!$N$62:Q179,INSUMOS!D262),0)</f>
        <v>0</v>
      </c>
      <c r="O262" s="513">
        <f t="shared" si="29"/>
        <v>0</v>
      </c>
      <c r="P262" s="348"/>
      <c r="Q262" s="514" t="str">
        <f t="shared" si="30"/>
        <v>SI</v>
      </c>
    </row>
    <row r="263" spans="3:17" hidden="1" x14ac:dyDescent="0.25">
      <c r="C263" s="358">
        <v>326</v>
      </c>
      <c r="D263" s="718"/>
      <c r="E263" s="718"/>
      <c r="F263" s="718"/>
      <c r="G263" s="718"/>
      <c r="H263" s="516"/>
      <c r="I263" s="515"/>
      <c r="J263" s="510">
        <f>SUMIFS(APUS!$Y$9:$Y$1486,APUS!$M$9:$M$1486,INSUMOS!C263)</f>
        <v>0</v>
      </c>
      <c r="K263" s="341">
        <f t="shared" si="28"/>
        <v>0</v>
      </c>
      <c r="N263" s="512">
        <f>IFERROR(SUMIFS(APUS!$Z$10:$Z$62,APUS!$N$62:Q180,INSUMOS!D263),0)</f>
        <v>0</v>
      </c>
      <c r="O263" s="513">
        <f t="shared" si="29"/>
        <v>0</v>
      </c>
      <c r="P263" s="348"/>
      <c r="Q263" s="514" t="str">
        <f t="shared" si="30"/>
        <v>SI</v>
      </c>
    </row>
    <row r="264" spans="3:17" hidden="1" x14ac:dyDescent="0.25">
      <c r="C264" s="358">
        <v>327</v>
      </c>
      <c r="D264" s="718"/>
      <c r="E264" s="718"/>
      <c r="F264" s="718"/>
      <c r="G264" s="718"/>
      <c r="H264" s="516"/>
      <c r="I264" s="515"/>
      <c r="J264" s="510">
        <f>SUMIFS(APUS!$Y$9:$Y$1486,APUS!$M$9:$M$1486,INSUMOS!C264)</f>
        <v>0</v>
      </c>
      <c r="K264" s="341">
        <f t="shared" si="28"/>
        <v>0</v>
      </c>
      <c r="N264" s="512">
        <f>IFERROR(SUMIFS(APUS!$Z$10:$Z$62,APUS!$N$62:Q181,INSUMOS!D264),0)</f>
        <v>0</v>
      </c>
      <c r="O264" s="513">
        <f t="shared" si="29"/>
        <v>0</v>
      </c>
      <c r="P264" s="348"/>
      <c r="Q264" s="514" t="str">
        <f t="shared" si="30"/>
        <v>SI</v>
      </c>
    </row>
    <row r="265" spans="3:17" hidden="1" x14ac:dyDescent="0.25">
      <c r="C265" s="358">
        <v>328</v>
      </c>
      <c r="D265" s="718"/>
      <c r="E265" s="718"/>
      <c r="F265" s="718"/>
      <c r="G265" s="718"/>
      <c r="H265" s="516"/>
      <c r="I265" s="515"/>
      <c r="J265" s="510">
        <f>SUMIFS(APUS!$Y$9:$Y$1486,APUS!$M$9:$M$1486,INSUMOS!C265)</f>
        <v>0</v>
      </c>
      <c r="K265" s="341">
        <f t="shared" si="28"/>
        <v>0</v>
      </c>
      <c r="N265" s="512">
        <f>IFERROR(SUMIFS(APUS!$Z$10:$Z$62,APUS!$N$62:Q182,INSUMOS!D265),0)</f>
        <v>0</v>
      </c>
      <c r="O265" s="513">
        <f t="shared" si="29"/>
        <v>0</v>
      </c>
      <c r="P265" s="348"/>
      <c r="Q265" s="514" t="str">
        <f t="shared" si="30"/>
        <v>SI</v>
      </c>
    </row>
    <row r="266" spans="3:17" hidden="1" x14ac:dyDescent="0.25">
      <c r="C266" s="358">
        <v>329</v>
      </c>
      <c r="D266" s="718"/>
      <c r="E266" s="718"/>
      <c r="F266" s="718"/>
      <c r="G266" s="718"/>
      <c r="H266" s="516"/>
      <c r="I266" s="515"/>
      <c r="J266" s="510">
        <f>SUMIFS(APUS!$Y$9:$Y$1486,APUS!$M$9:$M$1486,INSUMOS!C266)</f>
        <v>0</v>
      </c>
      <c r="K266" s="341">
        <f t="shared" si="28"/>
        <v>0</v>
      </c>
      <c r="N266" s="512">
        <f>IFERROR(SUMIFS(APUS!$Z$10:$Z$62,APUS!$N$62:Q183,INSUMOS!D266),0)</f>
        <v>0</v>
      </c>
      <c r="O266" s="513">
        <f t="shared" si="29"/>
        <v>0</v>
      </c>
      <c r="P266" s="348"/>
      <c r="Q266" s="514" t="str">
        <f t="shared" si="30"/>
        <v>SI</v>
      </c>
    </row>
    <row r="267" spans="3:17" hidden="1" x14ac:dyDescent="0.25">
      <c r="C267" s="358">
        <v>330</v>
      </c>
      <c r="D267" s="718"/>
      <c r="E267" s="718"/>
      <c r="F267" s="718"/>
      <c r="G267" s="718"/>
      <c r="H267" s="516"/>
      <c r="I267" s="515"/>
      <c r="J267" s="510">
        <f>SUMIFS(APUS!$Y$9:$Y$1486,APUS!$M$9:$M$1486,INSUMOS!C267)</f>
        <v>0</v>
      </c>
      <c r="K267" s="341">
        <f t="shared" si="28"/>
        <v>0</v>
      </c>
      <c r="N267" s="512">
        <f>IFERROR(SUMIFS(APUS!$Z$10:$Z$62,APUS!$N$62:Q184,INSUMOS!D267),0)</f>
        <v>0</v>
      </c>
      <c r="O267" s="513">
        <f t="shared" si="29"/>
        <v>0</v>
      </c>
      <c r="P267" s="348"/>
      <c r="Q267" s="514" t="str">
        <f t="shared" si="30"/>
        <v>SI</v>
      </c>
    </row>
    <row r="268" spans="3:17" hidden="1" x14ac:dyDescent="0.25">
      <c r="C268" s="358">
        <v>331</v>
      </c>
      <c r="D268" s="718"/>
      <c r="E268" s="718"/>
      <c r="F268" s="718"/>
      <c r="G268" s="718"/>
      <c r="H268" s="516"/>
      <c r="I268" s="515"/>
      <c r="J268" s="510">
        <f>SUMIFS(APUS!$Y$9:$Y$1486,APUS!$M$9:$M$1486,INSUMOS!C268)</f>
        <v>0</v>
      </c>
      <c r="K268" s="341">
        <f t="shared" si="28"/>
        <v>0</v>
      </c>
      <c r="N268" s="512">
        <f>IFERROR(SUMIFS(APUS!$Z$10:$Z$62,APUS!$N$62:Q185,INSUMOS!D268),0)</f>
        <v>0</v>
      </c>
      <c r="O268" s="513">
        <f t="shared" si="29"/>
        <v>0</v>
      </c>
      <c r="P268" s="348"/>
      <c r="Q268" s="514" t="str">
        <f t="shared" si="30"/>
        <v>SI</v>
      </c>
    </row>
    <row r="269" spans="3:17" hidden="1" x14ac:dyDescent="0.25">
      <c r="C269" s="358">
        <v>332</v>
      </c>
      <c r="D269" s="718"/>
      <c r="E269" s="718"/>
      <c r="F269" s="718"/>
      <c r="G269" s="718"/>
      <c r="H269" s="516"/>
      <c r="I269" s="515"/>
      <c r="J269" s="510">
        <f>SUMIFS(APUS!$Y$9:$Y$1486,APUS!$M$9:$M$1486,INSUMOS!C269)</f>
        <v>0</v>
      </c>
      <c r="K269" s="341">
        <f t="shared" si="28"/>
        <v>0</v>
      </c>
      <c r="N269" s="512">
        <f>IFERROR(SUMIFS(APUS!$Z$10:$Z$62,APUS!$N$62:Q186,INSUMOS!D269),0)</f>
        <v>0</v>
      </c>
      <c r="O269" s="513">
        <f t="shared" si="29"/>
        <v>0</v>
      </c>
      <c r="P269" s="348"/>
      <c r="Q269" s="514" t="str">
        <f t="shared" si="30"/>
        <v>SI</v>
      </c>
    </row>
    <row r="270" spans="3:17" hidden="1" x14ac:dyDescent="0.25">
      <c r="C270" s="358">
        <v>333</v>
      </c>
      <c r="D270" s="718"/>
      <c r="E270" s="718"/>
      <c r="F270" s="718"/>
      <c r="G270" s="718"/>
      <c r="H270" s="516"/>
      <c r="I270" s="515"/>
      <c r="J270" s="510">
        <f>SUMIFS(APUS!$Y$9:$Y$1486,APUS!$M$9:$M$1486,INSUMOS!C270)</f>
        <v>0</v>
      </c>
      <c r="K270" s="341">
        <f t="shared" si="28"/>
        <v>0</v>
      </c>
      <c r="N270" s="512">
        <f>IFERROR(SUMIFS(APUS!$Z$10:$Z$62,APUS!$N$62:Q187,INSUMOS!D270),0)</f>
        <v>0</v>
      </c>
      <c r="O270" s="513">
        <f t="shared" si="29"/>
        <v>0</v>
      </c>
      <c r="P270" s="348"/>
      <c r="Q270" s="514" t="str">
        <f t="shared" si="30"/>
        <v>SI</v>
      </c>
    </row>
    <row r="271" spans="3:17" hidden="1" x14ac:dyDescent="0.25">
      <c r="C271" s="358">
        <v>334</v>
      </c>
      <c r="D271" s="718"/>
      <c r="E271" s="718"/>
      <c r="F271" s="718"/>
      <c r="G271" s="718"/>
      <c r="H271" s="516"/>
      <c r="I271" s="515"/>
      <c r="J271" s="510">
        <f>SUMIFS(APUS!$Y$9:$Y$1486,APUS!$M$9:$M$1486,INSUMOS!C271)</f>
        <v>0</v>
      </c>
      <c r="K271" s="341">
        <f t="shared" si="28"/>
        <v>0</v>
      </c>
      <c r="N271" s="512">
        <f>IFERROR(SUMIFS(APUS!$Z$10:$Z$62,APUS!$N$62:Q188,INSUMOS!D271),0)</f>
        <v>0</v>
      </c>
      <c r="O271" s="513">
        <f t="shared" si="29"/>
        <v>0</v>
      </c>
      <c r="P271" s="348"/>
      <c r="Q271" s="514" t="str">
        <f t="shared" si="30"/>
        <v>SI</v>
      </c>
    </row>
    <row r="272" spans="3:17" hidden="1" x14ac:dyDescent="0.25">
      <c r="C272" s="358">
        <v>335</v>
      </c>
      <c r="D272" s="718"/>
      <c r="E272" s="718"/>
      <c r="F272" s="718"/>
      <c r="G272" s="718"/>
      <c r="H272" s="516"/>
      <c r="I272" s="515"/>
      <c r="J272" s="510">
        <f>SUMIFS(APUS!$Y$9:$Y$1486,APUS!$M$9:$M$1486,INSUMOS!C272)</f>
        <v>0</v>
      </c>
      <c r="K272" s="341">
        <f t="shared" si="28"/>
        <v>0</v>
      </c>
      <c r="N272" s="512">
        <f>IFERROR(SUMIFS(APUS!$Z$10:$Z$62,APUS!$N$62:Q189,INSUMOS!D272),0)</f>
        <v>0</v>
      </c>
      <c r="O272" s="513">
        <f t="shared" si="29"/>
        <v>0</v>
      </c>
      <c r="P272" s="348"/>
      <c r="Q272" s="514" t="str">
        <f t="shared" si="30"/>
        <v>SI</v>
      </c>
    </row>
    <row r="273" spans="3:17" hidden="1" x14ac:dyDescent="0.25">
      <c r="C273" s="358">
        <v>336</v>
      </c>
      <c r="D273" s="718"/>
      <c r="E273" s="718"/>
      <c r="F273" s="718"/>
      <c r="G273" s="718"/>
      <c r="H273" s="516"/>
      <c r="I273" s="515"/>
      <c r="J273" s="510">
        <f>SUMIFS(APUS!$Y$9:$Y$1486,APUS!$M$9:$M$1486,INSUMOS!C273)</f>
        <v>0</v>
      </c>
      <c r="K273" s="341">
        <f t="shared" si="28"/>
        <v>0</v>
      </c>
      <c r="N273" s="512">
        <f>IFERROR(SUMIFS(APUS!$Z$10:$Z$62,APUS!$N$62:Q190,INSUMOS!D273),0)</f>
        <v>0</v>
      </c>
      <c r="O273" s="513">
        <f t="shared" si="29"/>
        <v>0</v>
      </c>
      <c r="P273" s="348"/>
      <c r="Q273" s="514" t="str">
        <f t="shared" si="30"/>
        <v>SI</v>
      </c>
    </row>
    <row r="274" spans="3:17" hidden="1" x14ac:dyDescent="0.25">
      <c r="C274" s="358">
        <v>337</v>
      </c>
      <c r="D274" s="718"/>
      <c r="E274" s="718"/>
      <c r="F274" s="718"/>
      <c r="G274" s="718"/>
      <c r="H274" s="516"/>
      <c r="I274" s="515"/>
      <c r="J274" s="510">
        <f>SUMIFS(APUS!$Y$9:$Y$1486,APUS!$M$9:$M$1486,INSUMOS!C274)</f>
        <v>0</v>
      </c>
      <c r="K274" s="341">
        <f t="shared" si="28"/>
        <v>0</v>
      </c>
      <c r="N274" s="512">
        <f>IFERROR(SUMIFS(APUS!$Z$10:$Z$62,APUS!$N$62:Q191,INSUMOS!D274),0)</f>
        <v>0</v>
      </c>
      <c r="O274" s="513">
        <f t="shared" si="29"/>
        <v>0</v>
      </c>
      <c r="P274" s="348"/>
      <c r="Q274" s="514" t="str">
        <f t="shared" si="30"/>
        <v>SI</v>
      </c>
    </row>
    <row r="275" spans="3:17" hidden="1" x14ac:dyDescent="0.25">
      <c r="C275" s="358">
        <v>338</v>
      </c>
      <c r="D275" s="718"/>
      <c r="E275" s="718"/>
      <c r="F275" s="718"/>
      <c r="G275" s="718"/>
      <c r="H275" s="516"/>
      <c r="I275" s="515"/>
      <c r="J275" s="510">
        <f>SUMIFS(APUS!$Y$9:$Y$1486,APUS!$M$9:$M$1486,INSUMOS!C275)</f>
        <v>0</v>
      </c>
      <c r="K275" s="341">
        <f t="shared" ref="K275:K283" si="31">+J275*I275</f>
        <v>0</v>
      </c>
      <c r="N275" s="512"/>
      <c r="O275" s="513"/>
      <c r="P275" s="348"/>
      <c r="Q275" s="514"/>
    </row>
    <row r="276" spans="3:17" hidden="1" x14ac:dyDescent="0.25">
      <c r="C276" s="358">
        <v>339</v>
      </c>
      <c r="D276" s="718"/>
      <c r="E276" s="718"/>
      <c r="F276" s="718"/>
      <c r="G276" s="718"/>
      <c r="H276" s="516"/>
      <c r="I276" s="515"/>
      <c r="J276" s="510">
        <f>SUMIFS(APUS!$Y$9:$Y$1486,APUS!$M$9:$M$1486,INSUMOS!C276)</f>
        <v>0</v>
      </c>
      <c r="K276" s="341">
        <f t="shared" si="31"/>
        <v>0</v>
      </c>
      <c r="N276" s="512"/>
      <c r="O276" s="513"/>
      <c r="P276" s="348"/>
      <c r="Q276" s="514"/>
    </row>
    <row r="277" spans="3:17" hidden="1" x14ac:dyDescent="0.25">
      <c r="C277" s="358">
        <v>340</v>
      </c>
      <c r="D277" s="718"/>
      <c r="E277" s="718"/>
      <c r="F277" s="718"/>
      <c r="G277" s="718"/>
      <c r="H277" s="516"/>
      <c r="I277" s="515"/>
      <c r="J277" s="510">
        <f>SUMIFS(APUS!$Y$9:$Y$1486,APUS!$M$9:$M$1486,INSUMOS!C277)</f>
        <v>0</v>
      </c>
      <c r="K277" s="341">
        <f t="shared" si="31"/>
        <v>0</v>
      </c>
      <c r="N277" s="512"/>
      <c r="O277" s="513"/>
      <c r="P277" s="348"/>
      <c r="Q277" s="514"/>
    </row>
    <row r="278" spans="3:17" hidden="1" x14ac:dyDescent="0.25">
      <c r="C278" s="358">
        <v>341</v>
      </c>
      <c r="D278" s="718"/>
      <c r="E278" s="718"/>
      <c r="F278" s="718"/>
      <c r="G278" s="718"/>
      <c r="H278" s="516"/>
      <c r="I278" s="515"/>
      <c r="J278" s="510">
        <f>SUMIFS(APUS!$Y$9:$Y$1486,APUS!$M$9:$M$1486,INSUMOS!C278)</f>
        <v>0</v>
      </c>
      <c r="K278" s="341">
        <f t="shared" si="31"/>
        <v>0</v>
      </c>
      <c r="N278" s="512"/>
      <c r="O278" s="513"/>
      <c r="P278" s="348"/>
      <c r="Q278" s="514"/>
    </row>
    <row r="279" spans="3:17" hidden="1" x14ac:dyDescent="0.25">
      <c r="C279" s="358">
        <v>342</v>
      </c>
      <c r="D279" s="718"/>
      <c r="E279" s="718"/>
      <c r="F279" s="718"/>
      <c r="G279" s="718"/>
      <c r="H279" s="516"/>
      <c r="I279" s="515"/>
      <c r="J279" s="510">
        <f>SUMIFS(APUS!$Y$9:$Y$1486,APUS!$M$9:$M$1486,INSUMOS!C279)</f>
        <v>0</v>
      </c>
      <c r="K279" s="341">
        <f t="shared" si="31"/>
        <v>0</v>
      </c>
      <c r="N279" s="512"/>
      <c r="O279" s="513"/>
      <c r="P279" s="348"/>
      <c r="Q279" s="514"/>
    </row>
    <row r="280" spans="3:17" hidden="1" x14ac:dyDescent="0.25">
      <c r="C280" s="358">
        <v>343</v>
      </c>
      <c r="D280" s="718"/>
      <c r="E280" s="718"/>
      <c r="F280" s="718"/>
      <c r="G280" s="718"/>
      <c r="H280" s="516"/>
      <c r="I280" s="515"/>
      <c r="J280" s="510">
        <f>SUMIFS(APUS!$Y$9:$Y$1486,APUS!$M$9:$M$1486,INSUMOS!C280)</f>
        <v>0</v>
      </c>
      <c r="K280" s="341">
        <f t="shared" si="31"/>
        <v>0</v>
      </c>
      <c r="N280" s="512"/>
      <c r="O280" s="513"/>
      <c r="P280" s="348"/>
      <c r="Q280" s="514"/>
    </row>
    <row r="281" spans="3:17" hidden="1" x14ac:dyDescent="0.25">
      <c r="C281" s="358">
        <v>344</v>
      </c>
      <c r="D281" s="718"/>
      <c r="E281" s="718"/>
      <c r="F281" s="718"/>
      <c r="G281" s="718"/>
      <c r="H281" s="516"/>
      <c r="I281" s="515"/>
      <c r="J281" s="510">
        <f>SUMIFS(APUS!$Y$9:$Y$1486,APUS!$M$9:$M$1486,INSUMOS!C281)</f>
        <v>0</v>
      </c>
      <c r="K281" s="341">
        <f t="shared" si="31"/>
        <v>0</v>
      </c>
      <c r="N281" s="512"/>
      <c r="O281" s="513"/>
      <c r="P281" s="348"/>
      <c r="Q281" s="514"/>
    </row>
    <row r="282" spans="3:17" hidden="1" x14ac:dyDescent="0.25">
      <c r="C282" s="358">
        <v>345</v>
      </c>
      <c r="D282" s="718"/>
      <c r="E282" s="718"/>
      <c r="F282" s="718"/>
      <c r="G282" s="718"/>
      <c r="H282" s="516"/>
      <c r="I282" s="515"/>
      <c r="J282" s="510">
        <f>SUMIFS(APUS!$Y$9:$Y$1486,APUS!$M$9:$M$1486,INSUMOS!C282)</f>
        <v>0</v>
      </c>
      <c r="K282" s="341">
        <f t="shared" si="31"/>
        <v>0</v>
      </c>
      <c r="N282" s="512"/>
      <c r="O282" s="513"/>
      <c r="P282" s="348"/>
      <c r="Q282" s="514"/>
    </row>
    <row r="283" spans="3:17" hidden="1" x14ac:dyDescent="0.25">
      <c r="C283" s="358">
        <v>346</v>
      </c>
      <c r="D283" s="718"/>
      <c r="E283" s="718"/>
      <c r="F283" s="718"/>
      <c r="G283" s="718"/>
      <c r="H283" s="516"/>
      <c r="I283" s="515"/>
      <c r="J283" s="510">
        <f>SUMIFS(APUS!$Y$9:$Y$1486,APUS!$M$9:$M$1486,INSUMOS!C283)</f>
        <v>0</v>
      </c>
      <c r="K283" s="341">
        <f t="shared" si="31"/>
        <v>0</v>
      </c>
      <c r="N283" s="512"/>
      <c r="O283" s="513"/>
      <c r="P283" s="348"/>
      <c r="Q283" s="514"/>
    </row>
    <row r="284" spans="3:17" hidden="1" x14ac:dyDescent="0.25">
      <c r="C284" s="358">
        <v>347</v>
      </c>
      <c r="D284" s="718"/>
      <c r="E284" s="718"/>
      <c r="F284" s="718"/>
      <c r="G284" s="718"/>
      <c r="H284" s="516"/>
      <c r="I284" s="515"/>
      <c r="J284" s="510">
        <f>SUMIFS(APUS!$Y$9:$Y$1486,APUS!$M$9:$M$1486,INSUMOS!C284)</f>
        <v>0</v>
      </c>
      <c r="K284" s="341">
        <f t="shared" ref="K284:K287" si="32">+J284*I284</f>
        <v>0</v>
      </c>
      <c r="N284" s="512"/>
      <c r="O284" s="513"/>
      <c r="P284" s="348"/>
      <c r="Q284" s="514"/>
    </row>
    <row r="285" spans="3:17" hidden="1" x14ac:dyDescent="0.25">
      <c r="C285" s="358">
        <v>348</v>
      </c>
      <c r="D285" s="718"/>
      <c r="E285" s="718"/>
      <c r="F285" s="718"/>
      <c r="G285" s="718"/>
      <c r="H285" s="516"/>
      <c r="I285" s="515"/>
      <c r="J285" s="510">
        <f>SUMIFS(APUS!$Y$9:$Y$1486,APUS!$M$9:$M$1486,INSUMOS!C285)</f>
        <v>0</v>
      </c>
      <c r="K285" s="341">
        <f t="shared" si="32"/>
        <v>0</v>
      </c>
      <c r="N285" s="512"/>
      <c r="O285" s="513"/>
      <c r="P285" s="348"/>
      <c r="Q285" s="514"/>
    </row>
    <row r="286" spans="3:17" hidden="1" x14ac:dyDescent="0.25">
      <c r="C286" s="358">
        <v>349</v>
      </c>
      <c r="D286" s="718"/>
      <c r="E286" s="718"/>
      <c r="F286" s="718"/>
      <c r="G286" s="718"/>
      <c r="H286" s="516"/>
      <c r="I286" s="515"/>
      <c r="J286" s="510">
        <f>SUMIFS(APUS!$Y$9:$Y$1486,APUS!$M$9:$M$1486,INSUMOS!C286)</f>
        <v>0</v>
      </c>
      <c r="K286" s="341">
        <f t="shared" si="32"/>
        <v>0</v>
      </c>
      <c r="N286" s="512"/>
      <c r="O286" s="513"/>
      <c r="P286" s="348"/>
      <c r="Q286" s="514"/>
    </row>
    <row r="287" spans="3:17" hidden="1" x14ac:dyDescent="0.25">
      <c r="C287" s="358">
        <v>350</v>
      </c>
      <c r="D287" s="718"/>
      <c r="E287" s="718"/>
      <c r="F287" s="718"/>
      <c r="G287" s="718"/>
      <c r="H287" s="516"/>
      <c r="I287" s="515"/>
      <c r="J287" s="510">
        <f>SUMIFS(APUS!$Y$9:$Y$1486,APUS!$M$9:$M$1486,INSUMOS!C287)</f>
        <v>0</v>
      </c>
      <c r="K287" s="341">
        <f t="shared" si="32"/>
        <v>0</v>
      </c>
      <c r="N287" s="512"/>
      <c r="O287" s="513"/>
      <c r="P287" s="348"/>
      <c r="Q287" s="514"/>
    </row>
    <row r="288" spans="3:17" hidden="1" x14ac:dyDescent="0.25">
      <c r="C288" s="358">
        <v>351</v>
      </c>
      <c r="D288" s="718"/>
      <c r="E288" s="718"/>
      <c r="F288" s="718"/>
      <c r="G288" s="718"/>
      <c r="H288" s="516"/>
      <c r="I288" s="515"/>
      <c r="J288" s="510">
        <f>SUMIFS(APUS!$Y$9:$Y$1486,APUS!$M$9:$M$1486,INSUMOS!C288)</f>
        <v>0</v>
      </c>
      <c r="K288" s="341">
        <f t="shared" ref="K288:K289" si="33">+J288*I288</f>
        <v>0</v>
      </c>
      <c r="N288" s="512"/>
      <c r="O288" s="513"/>
      <c r="P288" s="348"/>
      <c r="Q288" s="514"/>
    </row>
    <row r="289" spans="3:17" hidden="1" x14ac:dyDescent="0.25">
      <c r="C289" s="358">
        <v>352</v>
      </c>
      <c r="D289" s="718"/>
      <c r="E289" s="718"/>
      <c r="F289" s="718"/>
      <c r="G289" s="718"/>
      <c r="H289" s="516"/>
      <c r="I289" s="515"/>
      <c r="J289" s="510">
        <f>SUMIFS(APUS!$Y$9:$Y$1486,APUS!$M$9:$M$1486,INSUMOS!C289)</f>
        <v>0</v>
      </c>
      <c r="K289" s="341">
        <f t="shared" si="33"/>
        <v>0</v>
      </c>
      <c r="N289" s="512"/>
      <c r="O289" s="513"/>
      <c r="P289" s="348"/>
      <c r="Q289" s="514"/>
    </row>
    <row r="290" spans="3:17" hidden="1" x14ac:dyDescent="0.25">
      <c r="C290" s="358">
        <v>353</v>
      </c>
      <c r="D290" s="718"/>
      <c r="E290" s="718"/>
      <c r="F290" s="718"/>
      <c r="G290" s="718"/>
      <c r="H290" s="516"/>
      <c r="I290" s="515"/>
      <c r="J290" s="510">
        <f>SUMIFS(APUS!$Y$9:$Y$1486,APUS!$M$9:$M$1486,INSUMOS!C290)</f>
        <v>0</v>
      </c>
      <c r="K290" s="341">
        <f t="shared" ref="K290:K294" si="34">+J290*I290</f>
        <v>0</v>
      </c>
      <c r="N290" s="512"/>
      <c r="O290" s="513"/>
      <c r="P290" s="348"/>
      <c r="Q290" s="514"/>
    </row>
    <row r="291" spans="3:17" hidden="1" x14ac:dyDescent="0.25">
      <c r="C291" s="358">
        <v>354</v>
      </c>
      <c r="D291" s="718"/>
      <c r="E291" s="718"/>
      <c r="F291" s="718"/>
      <c r="G291" s="718"/>
      <c r="H291" s="516"/>
      <c r="I291" s="515"/>
      <c r="J291" s="510">
        <f>SUMIFS(APUS!$Y$9:$Y$1486,APUS!$M$9:$M$1486,INSUMOS!C291)</f>
        <v>0</v>
      </c>
      <c r="K291" s="341">
        <f t="shared" si="34"/>
        <v>0</v>
      </c>
      <c r="N291" s="512"/>
      <c r="O291" s="513"/>
      <c r="P291" s="348"/>
      <c r="Q291" s="514"/>
    </row>
    <row r="292" spans="3:17" hidden="1" x14ac:dyDescent="0.25">
      <c r="C292" s="358">
        <v>355</v>
      </c>
      <c r="D292" s="718"/>
      <c r="E292" s="718"/>
      <c r="F292" s="718"/>
      <c r="G292" s="718"/>
      <c r="H292" s="516"/>
      <c r="I292" s="515"/>
      <c r="J292" s="510">
        <f>SUMIFS(APUS!$Y$9:$Y$1486,APUS!$M$9:$M$1486,INSUMOS!C292)</f>
        <v>0</v>
      </c>
      <c r="K292" s="341">
        <f t="shared" si="34"/>
        <v>0</v>
      </c>
      <c r="N292" s="512"/>
      <c r="O292" s="513"/>
      <c r="P292" s="348"/>
      <c r="Q292" s="514"/>
    </row>
    <row r="293" spans="3:17" hidden="1" x14ac:dyDescent="0.25">
      <c r="C293" s="358">
        <v>356</v>
      </c>
      <c r="D293" s="718"/>
      <c r="E293" s="718"/>
      <c r="F293" s="718"/>
      <c r="G293" s="718"/>
      <c r="H293" s="516"/>
      <c r="I293" s="515"/>
      <c r="J293" s="510">
        <f>SUMIFS(APUS!$Y$9:$Y$1486,APUS!$M$9:$M$1486,INSUMOS!C293)</f>
        <v>0</v>
      </c>
      <c r="K293" s="341">
        <f t="shared" si="34"/>
        <v>0</v>
      </c>
      <c r="N293" s="512"/>
      <c r="O293" s="513"/>
      <c r="P293" s="348"/>
      <c r="Q293" s="514"/>
    </row>
    <row r="294" spans="3:17" hidden="1" x14ac:dyDescent="0.25">
      <c r="C294" s="358">
        <v>357</v>
      </c>
      <c r="D294" s="718"/>
      <c r="E294" s="718"/>
      <c r="F294" s="718"/>
      <c r="G294" s="718"/>
      <c r="H294" s="516"/>
      <c r="I294" s="515"/>
      <c r="J294" s="510">
        <f>SUMIFS(APUS!$Y$9:$Y$1486,APUS!$M$9:$M$1486,INSUMOS!C294)</f>
        <v>0</v>
      </c>
      <c r="K294" s="341">
        <f t="shared" si="34"/>
        <v>0</v>
      </c>
      <c r="N294" s="512"/>
      <c r="O294" s="513"/>
      <c r="P294" s="348"/>
      <c r="Q294" s="514"/>
    </row>
    <row r="295" spans="3:17" hidden="1" x14ac:dyDescent="0.25">
      <c r="C295" s="358">
        <v>358</v>
      </c>
      <c r="D295" s="718"/>
      <c r="E295" s="718"/>
      <c r="F295" s="718"/>
      <c r="G295" s="718"/>
      <c r="H295" s="516"/>
      <c r="I295" s="515"/>
      <c r="J295" s="510">
        <f>SUMIFS(APUS!$Y$9:$Y$1486,APUS!$M$9:$M$1486,INSUMOS!C295)</f>
        <v>0</v>
      </c>
      <c r="K295" s="341">
        <f t="shared" ref="K295:K304" si="35">+J295*I295</f>
        <v>0</v>
      </c>
      <c r="N295" s="512"/>
      <c r="O295" s="513"/>
      <c r="P295" s="348"/>
      <c r="Q295" s="514"/>
    </row>
    <row r="296" spans="3:17" hidden="1" x14ac:dyDescent="0.25">
      <c r="C296" s="358">
        <v>359</v>
      </c>
      <c r="D296" s="718"/>
      <c r="E296" s="718"/>
      <c r="F296" s="718"/>
      <c r="G296" s="718"/>
      <c r="H296" s="516"/>
      <c r="I296" s="515"/>
      <c r="J296" s="510">
        <f>SUMIFS(APUS!$Y$9:$Y$1486,APUS!$M$9:$M$1486,INSUMOS!C296)</f>
        <v>0</v>
      </c>
      <c r="K296" s="341">
        <f t="shared" si="35"/>
        <v>0</v>
      </c>
      <c r="N296" s="512"/>
      <c r="O296" s="513"/>
      <c r="P296" s="348"/>
      <c r="Q296" s="514"/>
    </row>
    <row r="297" spans="3:17" hidden="1" x14ac:dyDescent="0.25">
      <c r="C297" s="358">
        <v>360</v>
      </c>
      <c r="D297" s="718"/>
      <c r="E297" s="718"/>
      <c r="F297" s="718"/>
      <c r="G297" s="718"/>
      <c r="H297" s="516"/>
      <c r="I297" s="515"/>
      <c r="J297" s="510">
        <f>SUMIFS(APUS!$Y$9:$Y$1486,APUS!$M$9:$M$1486,INSUMOS!C297)</f>
        <v>0</v>
      </c>
      <c r="K297" s="341">
        <f t="shared" si="35"/>
        <v>0</v>
      </c>
      <c r="N297" s="512"/>
      <c r="O297" s="513"/>
      <c r="P297" s="348"/>
      <c r="Q297" s="514"/>
    </row>
    <row r="298" spans="3:17" hidden="1" x14ac:dyDescent="0.25">
      <c r="C298" s="358">
        <v>361</v>
      </c>
      <c r="D298" s="718"/>
      <c r="E298" s="718"/>
      <c r="F298" s="718"/>
      <c r="G298" s="718"/>
      <c r="H298" s="516"/>
      <c r="I298" s="515"/>
      <c r="J298" s="510">
        <f>SUMIFS(APUS!$Y$9:$Y$1486,APUS!$M$9:$M$1486,INSUMOS!C298)</f>
        <v>0</v>
      </c>
      <c r="K298" s="341">
        <f t="shared" si="35"/>
        <v>0</v>
      </c>
      <c r="N298" s="512"/>
      <c r="O298" s="513"/>
      <c r="P298" s="348"/>
      <c r="Q298" s="514"/>
    </row>
    <row r="299" spans="3:17" hidden="1" x14ac:dyDescent="0.25">
      <c r="C299" s="358">
        <v>362</v>
      </c>
      <c r="D299" s="718"/>
      <c r="E299" s="718"/>
      <c r="F299" s="718"/>
      <c r="G299" s="718"/>
      <c r="H299" s="516"/>
      <c r="I299" s="515"/>
      <c r="J299" s="510">
        <f>SUMIFS(APUS!$Y$9:$Y$1486,APUS!$M$9:$M$1486,INSUMOS!C299)</f>
        <v>0</v>
      </c>
      <c r="K299" s="341">
        <f t="shared" si="35"/>
        <v>0</v>
      </c>
      <c r="N299" s="512"/>
      <c r="O299" s="513"/>
      <c r="P299" s="348"/>
      <c r="Q299" s="514"/>
    </row>
    <row r="300" spans="3:17" hidden="1" x14ac:dyDescent="0.25">
      <c r="C300" s="358">
        <v>363</v>
      </c>
      <c r="D300" s="718"/>
      <c r="E300" s="718"/>
      <c r="F300" s="718"/>
      <c r="G300" s="718"/>
      <c r="H300" s="516"/>
      <c r="I300" s="515"/>
      <c r="J300" s="510">
        <f>SUMIFS(APUS!$Y$9:$Y$1486,APUS!$M$9:$M$1486,INSUMOS!C300)</f>
        <v>0</v>
      </c>
      <c r="K300" s="341">
        <f t="shared" si="35"/>
        <v>0</v>
      </c>
      <c r="N300" s="512"/>
      <c r="O300" s="513"/>
      <c r="P300" s="348"/>
      <c r="Q300" s="514"/>
    </row>
    <row r="301" spans="3:17" hidden="1" x14ac:dyDescent="0.25">
      <c r="C301" s="358">
        <v>364</v>
      </c>
      <c r="D301" s="718"/>
      <c r="E301" s="718"/>
      <c r="F301" s="718"/>
      <c r="G301" s="718"/>
      <c r="H301" s="516"/>
      <c r="I301" s="515"/>
      <c r="J301" s="510">
        <f>SUMIFS(APUS!$Y$9:$Y$1486,APUS!$M$9:$M$1486,INSUMOS!C301)</f>
        <v>0</v>
      </c>
      <c r="K301" s="341">
        <f t="shared" si="35"/>
        <v>0</v>
      </c>
      <c r="N301" s="512"/>
      <c r="O301" s="513"/>
      <c r="P301" s="348"/>
      <c r="Q301" s="514"/>
    </row>
    <row r="302" spans="3:17" hidden="1" x14ac:dyDescent="0.25">
      <c r="C302" s="358">
        <v>365</v>
      </c>
      <c r="D302" s="718"/>
      <c r="E302" s="718"/>
      <c r="F302" s="718"/>
      <c r="G302" s="718"/>
      <c r="H302" s="516"/>
      <c r="I302" s="515"/>
      <c r="J302" s="510">
        <f>SUMIFS(APUS!$Y$9:$Y$1486,APUS!$M$9:$M$1486,INSUMOS!C302)</f>
        <v>0</v>
      </c>
      <c r="K302" s="341">
        <f t="shared" si="35"/>
        <v>0</v>
      </c>
      <c r="N302" s="512"/>
      <c r="O302" s="513"/>
      <c r="P302" s="348"/>
      <c r="Q302" s="514"/>
    </row>
    <row r="303" spans="3:17" hidden="1" x14ac:dyDescent="0.25">
      <c r="C303" s="358">
        <v>366</v>
      </c>
      <c r="D303" s="718"/>
      <c r="E303" s="718"/>
      <c r="F303" s="718"/>
      <c r="G303" s="718"/>
      <c r="H303" s="516"/>
      <c r="I303" s="515"/>
      <c r="J303" s="510">
        <f>SUMIFS(APUS!$Y$9:$Y$1486,APUS!$M$9:$M$1486,INSUMOS!C303)</f>
        <v>0</v>
      </c>
      <c r="K303" s="341">
        <f t="shared" si="35"/>
        <v>0</v>
      </c>
      <c r="N303" s="512"/>
      <c r="O303" s="513"/>
      <c r="P303" s="348"/>
      <c r="Q303" s="514"/>
    </row>
    <row r="304" spans="3:17" hidden="1" x14ac:dyDescent="0.25">
      <c r="C304" s="358">
        <v>367</v>
      </c>
      <c r="D304" s="718"/>
      <c r="E304" s="718"/>
      <c r="F304" s="718"/>
      <c r="G304" s="718"/>
      <c r="H304" s="516"/>
      <c r="I304" s="515"/>
      <c r="J304" s="510">
        <f>SUMIFS(APUS!$Y$9:$Y$1486,APUS!$M$9:$M$1486,INSUMOS!C304)</f>
        <v>0</v>
      </c>
      <c r="K304" s="341">
        <f t="shared" si="35"/>
        <v>0</v>
      </c>
      <c r="N304" s="512"/>
      <c r="O304" s="513"/>
      <c r="P304" s="348"/>
      <c r="Q304" s="514"/>
    </row>
    <row r="305" spans="3:17" hidden="1" x14ac:dyDescent="0.25">
      <c r="C305" s="358">
        <v>368</v>
      </c>
      <c r="D305" s="718"/>
      <c r="E305" s="718"/>
      <c r="F305" s="718"/>
      <c r="G305" s="718"/>
      <c r="H305" s="516"/>
      <c r="I305" s="515"/>
      <c r="J305" s="510">
        <f>SUMIFS(APUS!$Y$9:$Y$1486,APUS!$M$9:$M$1486,INSUMOS!C305)</f>
        <v>0</v>
      </c>
      <c r="K305" s="341">
        <f t="shared" ref="K305" si="36">+J305*I305</f>
        <v>0</v>
      </c>
      <c r="N305" s="512"/>
      <c r="O305" s="513"/>
      <c r="P305" s="348"/>
      <c r="Q305" s="514"/>
    </row>
    <row r="306" spans="3:17" hidden="1" x14ac:dyDescent="0.25">
      <c r="C306" s="358"/>
      <c r="D306" s="718"/>
      <c r="E306" s="718"/>
      <c r="F306" s="718"/>
      <c r="G306" s="718"/>
      <c r="H306" s="516"/>
      <c r="I306" s="531"/>
      <c r="J306" s="510"/>
      <c r="K306" s="518"/>
      <c r="N306" s="519"/>
      <c r="O306" s="513"/>
      <c r="Q306" s="520"/>
    </row>
    <row r="307" spans="3:17" ht="15" hidden="1" thickBot="1" x14ac:dyDescent="0.35">
      <c r="C307" s="726" t="str">
        <f>+"SUBTOTAL "&amp;C236</f>
        <v>SUBTOTAL SUB-CONTRATOS</v>
      </c>
      <c r="D307" s="726"/>
      <c r="E307" s="726"/>
      <c r="F307" s="726"/>
      <c r="G307" s="726"/>
      <c r="H307" s="726"/>
      <c r="I307" s="726"/>
      <c r="J307" s="726"/>
      <c r="K307" s="555">
        <f>+SUM(K237:K306)</f>
        <v>0</v>
      </c>
      <c r="N307" s="522">
        <f>SUM(N243:N306)</f>
        <v>0</v>
      </c>
      <c r="O307" s="523">
        <f t="shared" ref="O307" si="37">+N307-K307</f>
        <v>0</v>
      </c>
      <c r="Q307" s="524"/>
    </row>
    <row r="308" spans="3:17" hidden="1" x14ac:dyDescent="0.25"/>
    <row r="309" spans="3:17" x14ac:dyDescent="0.25">
      <c r="C309" s="730" t="s">
        <v>223</v>
      </c>
      <c r="D309" s="730"/>
      <c r="E309" s="730"/>
      <c r="F309" s="730"/>
      <c r="G309" s="730"/>
      <c r="H309" s="730"/>
      <c r="I309" s="730"/>
      <c r="J309" s="730"/>
      <c r="K309" s="730"/>
      <c r="N309" s="326"/>
      <c r="O309" s="430"/>
      <c r="P309" s="348"/>
      <c r="Q309" s="326"/>
    </row>
    <row r="310" spans="3:17" x14ac:dyDescent="0.25">
      <c r="C310" s="503" t="s">
        <v>148</v>
      </c>
      <c r="D310" s="706" t="s">
        <v>98</v>
      </c>
      <c r="E310" s="706"/>
      <c r="F310" s="706"/>
      <c r="G310" s="706"/>
      <c r="H310" s="307" t="s">
        <v>112</v>
      </c>
      <c r="I310" s="504" t="s">
        <v>149</v>
      </c>
      <c r="J310" s="505" t="s">
        <v>107</v>
      </c>
      <c r="K310" s="429" t="s">
        <v>9</v>
      </c>
      <c r="N310" s="429" t="s">
        <v>9</v>
      </c>
      <c r="O310" s="429" t="s">
        <v>151</v>
      </c>
      <c r="P310" s="403"/>
      <c r="Q310" s="429"/>
    </row>
    <row r="311" spans="3:17" hidden="1" x14ac:dyDescent="0.25">
      <c r="C311" s="517" t="s">
        <v>345</v>
      </c>
      <c r="D311" s="718" t="s">
        <v>356</v>
      </c>
      <c r="E311" s="718"/>
      <c r="F311" s="718"/>
      <c r="G311" s="718"/>
      <c r="H311" s="314" t="s">
        <v>34</v>
      </c>
      <c r="I311" s="532"/>
      <c r="J311" s="510">
        <f>SUMIFS(APUS!$Y$9:$Y$1486,APUS!$M$9:$M$1486,INSUMOS!C311)</f>
        <v>0</v>
      </c>
      <c r="K311" s="533">
        <f t="shared" ref="K311:K376" si="38">+J311*I311</f>
        <v>0</v>
      </c>
      <c r="N311" s="533">
        <f>IFERROR(SUMIFS(APUS!$Z$10:$Z$62,APUS!$N$62:Q178,INSUMOS!D311),0)</f>
        <v>0</v>
      </c>
      <c r="O311" s="546">
        <f t="shared" ref="O311:O313" si="39">+N311-K311</f>
        <v>0</v>
      </c>
      <c r="P311" s="348"/>
      <c r="Q311" s="341" t="str">
        <f t="shared" ref="Q311:Q313" si="40">+IF(K311=0,"SI","NO")</f>
        <v>SI</v>
      </c>
    </row>
    <row r="312" spans="3:17" hidden="1" x14ac:dyDescent="0.25">
      <c r="C312" s="517" t="s">
        <v>556</v>
      </c>
      <c r="D312" s="718" t="s">
        <v>555</v>
      </c>
      <c r="E312" s="718"/>
      <c r="F312" s="718"/>
      <c r="G312" s="718"/>
      <c r="H312" s="314" t="s">
        <v>34</v>
      </c>
      <c r="I312" s="515"/>
      <c r="J312" s="510">
        <f>SUMIFS(APUS!$Y$9:$Y$1486,APUS!$M$9:$M$1486,INSUMOS!C312)</f>
        <v>0</v>
      </c>
      <c r="K312" s="533">
        <f t="shared" si="38"/>
        <v>0</v>
      </c>
      <c r="N312" s="533">
        <f>IFERROR(SUMIFS(APUS!$Z$10:$Z$62,APUS!$N$62:Q179,INSUMOS!D312),0)</f>
        <v>0</v>
      </c>
      <c r="O312" s="546">
        <f t="shared" si="39"/>
        <v>0</v>
      </c>
      <c r="P312" s="348"/>
      <c r="Q312" s="341" t="str">
        <f t="shared" si="40"/>
        <v>SI</v>
      </c>
    </row>
    <row r="313" spans="3:17" hidden="1" x14ac:dyDescent="0.25">
      <c r="C313" s="517" t="s">
        <v>346</v>
      </c>
      <c r="D313" s="718" t="s">
        <v>357</v>
      </c>
      <c r="E313" s="718"/>
      <c r="F313" s="718"/>
      <c r="G313" s="718"/>
      <c r="H313" s="314" t="s">
        <v>34</v>
      </c>
      <c r="I313" s="532"/>
      <c r="J313" s="510">
        <f>SUMIFS(APUS!$Y$9:$Y$1486,APUS!$M$9:$M$1486,INSUMOS!C313)</f>
        <v>0</v>
      </c>
      <c r="K313" s="533">
        <f t="shared" si="38"/>
        <v>0</v>
      </c>
      <c r="N313" s="533">
        <f>IFERROR(SUMIFS(APUS!$Z$10:$Z$62,APUS!$N$62:Q180,INSUMOS!D313),0)</f>
        <v>0</v>
      </c>
      <c r="O313" s="546">
        <f t="shared" si="39"/>
        <v>0</v>
      </c>
      <c r="P313" s="348"/>
      <c r="Q313" s="341" t="str">
        <f t="shared" si="40"/>
        <v>SI</v>
      </c>
    </row>
    <row r="314" spans="3:17" hidden="1" x14ac:dyDescent="0.25">
      <c r="C314" s="517" t="s">
        <v>224</v>
      </c>
      <c r="D314" s="718" t="s">
        <v>225</v>
      </c>
      <c r="E314" s="718"/>
      <c r="F314" s="718"/>
      <c r="G314" s="718"/>
      <c r="H314" s="314" t="s">
        <v>34</v>
      </c>
      <c r="I314" s="515"/>
      <c r="J314" s="510">
        <f>SUMIFS(APUS!$Y$9:$Y$1486,APUS!$M$9:$M$1486,INSUMOS!C314)</f>
        <v>0</v>
      </c>
      <c r="K314" s="511">
        <f t="shared" si="38"/>
        <v>0</v>
      </c>
      <c r="N314" s="533">
        <f>IFERROR(SUMIFS(APUS!$Z$10:$Z$62,APUS!$N$62:Q181,INSUMOS!D314),0)</f>
        <v>0</v>
      </c>
      <c r="O314" s="546">
        <f>+N314-K314</f>
        <v>0</v>
      </c>
      <c r="P314" s="348"/>
      <c r="Q314" s="341" t="str">
        <f t="shared" ref="Q314:Q323" si="41">+IF(K314=0,"SI","NO")</f>
        <v>SI</v>
      </c>
    </row>
    <row r="315" spans="3:17" hidden="1" x14ac:dyDescent="0.25">
      <c r="C315" s="517" t="s">
        <v>347</v>
      </c>
      <c r="D315" s="718" t="s">
        <v>358</v>
      </c>
      <c r="E315" s="718"/>
      <c r="F315" s="718"/>
      <c r="G315" s="718"/>
      <c r="H315" s="314" t="s">
        <v>34</v>
      </c>
      <c r="I315" s="515"/>
      <c r="J315" s="510">
        <f>SUMIFS(APUS!$Y$9:$Y$1486,APUS!$M$9:$M$1486,INSUMOS!C315)</f>
        <v>0</v>
      </c>
      <c r="K315" s="511">
        <f t="shared" si="38"/>
        <v>0</v>
      </c>
      <c r="N315" s="533">
        <f>IFERROR(SUMIFS(APUS!$Z$10:$Z$62,APUS!$N$62:Q182,INSUMOS!D315),0)</f>
        <v>0</v>
      </c>
      <c r="O315" s="546">
        <f t="shared" ref="O315:O319" si="42">+N315-K315</f>
        <v>0</v>
      </c>
      <c r="P315" s="348"/>
      <c r="Q315" s="341" t="str">
        <f t="shared" ref="Q315:Q319" si="43">+IF(K315=0,"SI","NO")</f>
        <v>SI</v>
      </c>
    </row>
    <row r="316" spans="3:17" hidden="1" x14ac:dyDescent="0.25">
      <c r="C316" s="517" t="s">
        <v>348</v>
      </c>
      <c r="D316" s="718" t="s">
        <v>359</v>
      </c>
      <c r="E316" s="718"/>
      <c r="F316" s="718"/>
      <c r="G316" s="718"/>
      <c r="H316" s="314" t="s">
        <v>34</v>
      </c>
      <c r="I316" s="515"/>
      <c r="J316" s="510">
        <f>SUMIFS(APUS!$Y$9:$Y$1486,APUS!$M$9:$M$1486,INSUMOS!C316)</f>
        <v>0</v>
      </c>
      <c r="K316" s="511">
        <f t="shared" si="38"/>
        <v>0</v>
      </c>
      <c r="N316" s="533">
        <f>IFERROR(SUMIFS(APUS!$Z$10:$Z$62,APUS!$N$62:Q183,INSUMOS!D316),0)</f>
        <v>0</v>
      </c>
      <c r="O316" s="546">
        <f t="shared" si="42"/>
        <v>0</v>
      </c>
      <c r="P316" s="348"/>
      <c r="Q316" s="341" t="str">
        <f t="shared" si="43"/>
        <v>SI</v>
      </c>
    </row>
    <row r="317" spans="3:17" hidden="1" x14ac:dyDescent="0.25">
      <c r="C317" s="517" t="s">
        <v>561</v>
      </c>
      <c r="D317" s="718" t="s">
        <v>562</v>
      </c>
      <c r="E317" s="718"/>
      <c r="F317" s="718"/>
      <c r="G317" s="718"/>
      <c r="H317" s="314" t="s">
        <v>34</v>
      </c>
      <c r="I317" s="515"/>
      <c r="J317" s="510">
        <f>SUMIFS(APUS!$Y$9:$Y$1486,APUS!$M$9:$M$1486,INSUMOS!C317)</f>
        <v>0</v>
      </c>
      <c r="K317" s="511">
        <f t="shared" ref="K317" si="44">+J317*I317</f>
        <v>0</v>
      </c>
      <c r="N317" s="533"/>
      <c r="O317" s="546"/>
      <c r="P317" s="348"/>
      <c r="Q317" s="341"/>
    </row>
    <row r="318" spans="3:17" hidden="1" x14ac:dyDescent="0.25">
      <c r="C318" s="517" t="s">
        <v>349</v>
      </c>
      <c r="D318" s="718" t="s">
        <v>360</v>
      </c>
      <c r="E318" s="718"/>
      <c r="F318" s="718"/>
      <c r="G318" s="718"/>
      <c r="H318" s="314" t="s">
        <v>34</v>
      </c>
      <c r="I318" s="515"/>
      <c r="J318" s="510">
        <f>SUMIFS(APUS!$Y$9:$Y$1486,APUS!$M$9:$M$1486,INSUMOS!C318)</f>
        <v>0</v>
      </c>
      <c r="K318" s="511">
        <f t="shared" si="38"/>
        <v>0</v>
      </c>
      <c r="N318" s="533">
        <f>IFERROR(SUMIFS(APUS!$Z$10:$Z$62,APUS!$N$62:Q184,INSUMOS!D318),0)</f>
        <v>0</v>
      </c>
      <c r="O318" s="546">
        <f t="shared" si="42"/>
        <v>0</v>
      </c>
      <c r="P318" s="348"/>
      <c r="Q318" s="341" t="str">
        <f t="shared" si="43"/>
        <v>SI</v>
      </c>
    </row>
    <row r="319" spans="3:17" hidden="1" x14ac:dyDescent="0.25">
      <c r="C319" s="517" t="s">
        <v>350</v>
      </c>
      <c r="D319" s="718" t="s">
        <v>361</v>
      </c>
      <c r="E319" s="718"/>
      <c r="F319" s="718"/>
      <c r="G319" s="718"/>
      <c r="H319" s="314" t="s">
        <v>34</v>
      </c>
      <c r="I319" s="515"/>
      <c r="J319" s="510">
        <f>SUMIFS(APUS!$Y$9:$Y$1486,APUS!$M$9:$M$1486,INSUMOS!C319)</f>
        <v>0</v>
      </c>
      <c r="K319" s="511">
        <f t="shared" si="38"/>
        <v>0</v>
      </c>
      <c r="N319" s="533">
        <f>IFERROR(SUMIFS(APUS!$Z$10:$Z$62,APUS!$N$62:Q185,INSUMOS!D319),0)</f>
        <v>0</v>
      </c>
      <c r="O319" s="546">
        <f t="shared" si="42"/>
        <v>0</v>
      </c>
      <c r="P319" s="348"/>
      <c r="Q319" s="341" t="str">
        <f t="shared" si="43"/>
        <v>SI</v>
      </c>
    </row>
    <row r="320" spans="3:17" x14ac:dyDescent="0.25">
      <c r="C320" s="517" t="s">
        <v>226</v>
      </c>
      <c r="D320" s="718" t="s">
        <v>826</v>
      </c>
      <c r="E320" s="718"/>
      <c r="F320" s="718"/>
      <c r="G320" s="718"/>
      <c r="H320" s="314" t="s">
        <v>34</v>
      </c>
      <c r="I320" s="515">
        <f>APUS!U51</f>
        <v>780085</v>
      </c>
      <c r="J320" s="510">
        <f>SUMIFS(APUS!$Y$9:$Y$1486,APUS!$M$9:$M$1486,INSUMOS!C320)</f>
        <v>72.020025000000004</v>
      </c>
      <c r="K320" s="511">
        <f t="shared" si="38"/>
        <v>56181741.202125005</v>
      </c>
      <c r="N320" s="533">
        <f>IFERROR(SUMIFS(APUS!$Z$10:$Z$62,APUS!$N$62:Q183,INSUMOS!D320),0)</f>
        <v>0</v>
      </c>
      <c r="O320" s="546">
        <f t="shared" ref="O320:O323" si="45">+N320-K320</f>
        <v>-56181741.202125005</v>
      </c>
      <c r="P320" s="348"/>
      <c r="Q320" s="341" t="str">
        <f t="shared" si="41"/>
        <v>NO</v>
      </c>
    </row>
    <row r="321" spans="3:17" hidden="1" x14ac:dyDescent="0.25">
      <c r="C321" s="517" t="s">
        <v>351</v>
      </c>
      <c r="D321" s="718" t="s">
        <v>362</v>
      </c>
      <c r="E321" s="718"/>
      <c r="F321" s="718"/>
      <c r="G321" s="718"/>
      <c r="H321" s="314" t="s">
        <v>34</v>
      </c>
      <c r="I321" s="515"/>
      <c r="J321" s="510">
        <f>SUMIFS(APUS!$Y$9:$Y$1486,APUS!$M$9:$M$1486,INSUMOS!C321)</f>
        <v>0</v>
      </c>
      <c r="K321" s="511">
        <f t="shared" si="38"/>
        <v>0</v>
      </c>
      <c r="N321" s="533">
        <f>IFERROR(SUMIFS(APUS!$Z$10:$Z$62,APUS!$N$62:Q187,INSUMOS!D321),0)</f>
        <v>0</v>
      </c>
      <c r="O321" s="546">
        <f t="shared" si="45"/>
        <v>0</v>
      </c>
      <c r="P321" s="348"/>
      <c r="Q321" s="341" t="str">
        <f t="shared" ref="Q321:Q322" si="46">+IF(K321=0,"SI","NO")</f>
        <v>SI</v>
      </c>
    </row>
    <row r="322" spans="3:17" hidden="1" x14ac:dyDescent="0.25">
      <c r="C322" s="517" t="s">
        <v>557</v>
      </c>
      <c r="D322" s="718" t="s">
        <v>559</v>
      </c>
      <c r="E322" s="718"/>
      <c r="F322" s="718"/>
      <c r="G322" s="718"/>
      <c r="H322" s="314" t="s">
        <v>34</v>
      </c>
      <c r="I322" s="515"/>
      <c r="J322" s="510">
        <f>SUMIFS(APUS!$Y$9:$Y$1486,APUS!$M$9:$M$1486,INSUMOS!C322)</f>
        <v>0</v>
      </c>
      <c r="K322" s="511">
        <f t="shared" si="38"/>
        <v>0</v>
      </c>
      <c r="N322" s="533">
        <f>IFERROR(SUMIFS(APUS!$Z$10:$Z$62,APUS!$N$62:Q188,INSUMOS!D322),0)</f>
        <v>0</v>
      </c>
      <c r="O322" s="546">
        <f t="shared" si="45"/>
        <v>0</v>
      </c>
      <c r="P322" s="348"/>
      <c r="Q322" s="341" t="str">
        <f t="shared" si="46"/>
        <v>SI</v>
      </c>
    </row>
    <row r="323" spans="3:17" hidden="1" x14ac:dyDescent="0.25">
      <c r="C323" s="517" t="s">
        <v>126</v>
      </c>
      <c r="D323" s="718" t="s">
        <v>95</v>
      </c>
      <c r="E323" s="718"/>
      <c r="F323" s="718"/>
      <c r="G323" s="718"/>
      <c r="H323" s="314" t="s">
        <v>34</v>
      </c>
      <c r="I323" s="515">
        <f>APUS!U101</f>
        <v>788664</v>
      </c>
      <c r="J323" s="510">
        <f>SUMIFS(APUS!$Y$9:$Y$1486,APUS!$M$9:$M$1486,INSUMOS!C323)</f>
        <v>0</v>
      </c>
      <c r="K323" s="511">
        <f t="shared" si="38"/>
        <v>0</v>
      </c>
      <c r="N323" s="533">
        <f>IFERROR(SUMIFS(APUS!$Z$10:$Z$62,APUS!$N$62:Q185,INSUMOS!D323),0)</f>
        <v>0</v>
      </c>
      <c r="O323" s="546">
        <f t="shared" si="45"/>
        <v>0</v>
      </c>
      <c r="P323" s="348"/>
      <c r="Q323" s="341" t="str">
        <f t="shared" si="41"/>
        <v>SI</v>
      </c>
    </row>
    <row r="324" spans="3:17" hidden="1" x14ac:dyDescent="0.25">
      <c r="C324" s="517" t="s">
        <v>641</v>
      </c>
      <c r="D324" s="718" t="s">
        <v>642</v>
      </c>
      <c r="E324" s="718"/>
      <c r="F324" s="718"/>
      <c r="G324" s="718"/>
      <c r="H324" s="314" t="s">
        <v>34</v>
      </c>
      <c r="I324" s="515">
        <f>APUS!U151</f>
        <v>822425</v>
      </c>
      <c r="J324" s="510">
        <f>SUMIFS(APUS!$Y$9:$Y$1486,APUS!$M$9:$M$1486,INSUMOS!C324)</f>
        <v>0</v>
      </c>
      <c r="K324" s="511">
        <f t="shared" ref="K324" si="47">+J324*I324</f>
        <v>0</v>
      </c>
      <c r="N324" s="533"/>
      <c r="O324" s="546"/>
      <c r="P324" s="348"/>
      <c r="Q324" s="341"/>
    </row>
    <row r="325" spans="3:17" hidden="1" x14ac:dyDescent="0.25">
      <c r="C325" s="517" t="s">
        <v>352</v>
      </c>
      <c r="D325" s="718" t="s">
        <v>353</v>
      </c>
      <c r="E325" s="718"/>
      <c r="F325" s="718"/>
      <c r="G325" s="718"/>
      <c r="H325" s="314" t="s">
        <v>34</v>
      </c>
      <c r="I325" s="515"/>
      <c r="J325" s="510">
        <f>SUMIFS(APUS!$Y$9:$Y$1486,APUS!$M$9:$M$1486,INSUMOS!C325)</f>
        <v>0</v>
      </c>
      <c r="K325" s="511">
        <f t="shared" si="38"/>
        <v>0</v>
      </c>
      <c r="N325" s="533">
        <f>IFERROR(SUMIFS(APUS!$Z$10:$Z$62,APUS!$N$62:Q190,INSUMOS!D325),0)</f>
        <v>0</v>
      </c>
      <c r="O325" s="546">
        <f>+N325-K325</f>
        <v>0</v>
      </c>
      <c r="P325" s="348"/>
      <c r="Q325" s="341" t="str">
        <f t="shared" ref="Q325" si="48">+IF(K325=0,"SI","NO")</f>
        <v>SI</v>
      </c>
    </row>
    <row r="326" spans="3:17" x14ac:dyDescent="0.25">
      <c r="C326" s="517" t="s">
        <v>290</v>
      </c>
      <c r="D326" s="718" t="s">
        <v>916</v>
      </c>
      <c r="E326" s="718"/>
      <c r="F326" s="718"/>
      <c r="G326" s="718"/>
      <c r="H326" s="314" t="s">
        <v>34</v>
      </c>
      <c r="I326" s="515">
        <f>APUS!U201</f>
        <v>812745</v>
      </c>
      <c r="J326" s="510">
        <f>SUMIFS(APUS!$Y$9:$Y$1486,APUS!$M$9:$M$1486,INSUMOS!C326)</f>
        <v>20.112089999999995</v>
      </c>
      <c r="K326" s="511">
        <f t="shared" si="38"/>
        <v>16346000.587049996</v>
      </c>
      <c r="N326" s="533">
        <f>IFERROR(SUMIFS(APUS!$Z$10:$Z$62,APUS!$N$62:Q186,INSUMOS!D326),0)</f>
        <v>0</v>
      </c>
      <c r="O326" s="546">
        <f t="shared" ref="O326:O359" si="49">+N326-K326</f>
        <v>-16346000.587049996</v>
      </c>
      <c r="P326" s="348"/>
      <c r="Q326" s="341" t="str">
        <f t="shared" ref="Q326:Q359" si="50">+IF(K326=0,"SI","NO")</f>
        <v>NO</v>
      </c>
    </row>
    <row r="327" spans="3:17" hidden="1" x14ac:dyDescent="0.25">
      <c r="C327" s="517" t="s">
        <v>227</v>
      </c>
      <c r="D327" s="718" t="s">
        <v>874</v>
      </c>
      <c r="E327" s="718"/>
      <c r="F327" s="718"/>
      <c r="G327" s="718"/>
      <c r="H327" s="314" t="s">
        <v>34</v>
      </c>
      <c r="I327" s="515">
        <f>APUS!U251</f>
        <v>751286</v>
      </c>
      <c r="J327" s="510">
        <f>SUMIFS(APUS!$Y$9:$Y$1486,APUS!$M$9:$M$1486,INSUMOS!C327)</f>
        <v>0</v>
      </c>
      <c r="K327" s="511">
        <f t="shared" si="38"/>
        <v>0</v>
      </c>
      <c r="N327" s="533">
        <f>IFERROR(SUMIFS(APUS!$Z$10:$Z$62,APUS!$N$62:Q187,INSUMOS!D327),0)</f>
        <v>0</v>
      </c>
      <c r="O327" s="546">
        <f t="shared" si="49"/>
        <v>0</v>
      </c>
      <c r="P327" s="348"/>
      <c r="Q327" s="341" t="str">
        <f t="shared" si="50"/>
        <v>SI</v>
      </c>
    </row>
    <row r="328" spans="3:17" x14ac:dyDescent="0.25">
      <c r="C328" s="517" t="s">
        <v>289</v>
      </c>
      <c r="D328" s="718" t="s">
        <v>841</v>
      </c>
      <c r="E328" s="718"/>
      <c r="F328" s="718"/>
      <c r="G328" s="718"/>
      <c r="H328" s="314" t="s">
        <v>34</v>
      </c>
      <c r="I328" s="515">
        <f>APUS!U301</f>
        <v>1025181</v>
      </c>
      <c r="J328" s="510">
        <f>SUMIFS(APUS!$Y$9:$Y$1486,APUS!$M$9:$M$1486,INSUMOS!C328)</f>
        <v>1</v>
      </c>
      <c r="K328" s="511">
        <f t="shared" si="38"/>
        <v>1025181</v>
      </c>
      <c r="N328" s="533">
        <f>IFERROR(SUMIFS(APUS!$Z$10:$Z$62,APUS!$N$62:Q188,INSUMOS!D328),0)</f>
        <v>0</v>
      </c>
      <c r="O328" s="546">
        <f t="shared" si="49"/>
        <v>-1025181</v>
      </c>
      <c r="P328" s="348"/>
      <c r="Q328" s="341" t="str">
        <f t="shared" si="50"/>
        <v>NO</v>
      </c>
    </row>
    <row r="329" spans="3:17" hidden="1" x14ac:dyDescent="0.25">
      <c r="C329" s="517" t="s">
        <v>354</v>
      </c>
      <c r="D329" s="718" t="s">
        <v>355</v>
      </c>
      <c r="E329" s="718"/>
      <c r="F329" s="718"/>
      <c r="G329" s="718"/>
      <c r="H329" s="314" t="s">
        <v>34</v>
      </c>
      <c r="I329" s="532"/>
      <c r="J329" s="510">
        <f>SUMIFS(APUS!$Y$9:$Y$1486,APUS!$M$9:$M$1486,INSUMOS!C329)</f>
        <v>0</v>
      </c>
      <c r="K329" s="511">
        <f t="shared" si="38"/>
        <v>0</v>
      </c>
      <c r="N329" s="533">
        <f>IFERROR(SUMIFS(APUS!$Z$10:$Z$62,APUS!$N$62:Q194,INSUMOS!D329),0)</f>
        <v>0</v>
      </c>
      <c r="O329" s="546">
        <f>+N329-K329</f>
        <v>0</v>
      </c>
      <c r="P329" s="348"/>
      <c r="Q329" s="341" t="str">
        <f t="shared" si="50"/>
        <v>SI</v>
      </c>
    </row>
    <row r="330" spans="3:17" x14ac:dyDescent="0.25">
      <c r="C330" s="358">
        <v>400</v>
      </c>
      <c r="D330" s="803" t="s">
        <v>828</v>
      </c>
      <c r="E330" s="803"/>
      <c r="F330" s="803"/>
      <c r="G330" s="803"/>
      <c r="H330" s="548" t="s">
        <v>212</v>
      </c>
      <c r="I330" s="549">
        <f>38824/50</f>
        <v>776.48</v>
      </c>
      <c r="J330" s="510">
        <f>SUMIFS(APUS!$Y$9:$Y$1486,APUS!$M$9:$M$1486,INSUMOS!C330)</f>
        <v>36531.492490499993</v>
      </c>
      <c r="K330" s="511">
        <f>+J330*I330</f>
        <v>28365973.289023437</v>
      </c>
      <c r="N330" s="533">
        <f>IFERROR(SUMIFS(APUS!$Z$10:$Z$62,APUS!$N$62:Q189,INSUMOS!D330),0)</f>
        <v>0</v>
      </c>
      <c r="O330" s="546">
        <f t="shared" si="49"/>
        <v>-28365973.289023437</v>
      </c>
      <c r="P330" s="348"/>
      <c r="Q330" s="341" t="str">
        <f t="shared" si="50"/>
        <v>NO</v>
      </c>
    </row>
    <row r="331" spans="3:17" x14ac:dyDescent="0.25">
      <c r="C331" s="358">
        <v>401</v>
      </c>
      <c r="D331" s="718" t="s">
        <v>827</v>
      </c>
      <c r="E331" s="718"/>
      <c r="F331" s="718"/>
      <c r="G331" s="718"/>
      <c r="H331" s="314" t="s">
        <v>231</v>
      </c>
      <c r="I331" s="515">
        <v>5</v>
      </c>
      <c r="J331" s="510">
        <f>SUMIFS(APUS!$Y$9:$Y$1486,APUS!$M$9:$M$1486,INSUMOS!C331)</f>
        <v>29523.854504999999</v>
      </c>
      <c r="K331" s="511">
        <f t="shared" si="38"/>
        <v>147619.27252500001</v>
      </c>
      <c r="N331" s="533">
        <f>IFERROR(SUMIFS(APUS!$Z$10:$Z$62,APUS!$N$62:Q190,INSUMOS!D331),0)</f>
        <v>0</v>
      </c>
      <c r="O331" s="546">
        <f t="shared" si="49"/>
        <v>-147619.27252500001</v>
      </c>
      <c r="P331" s="348"/>
      <c r="Q331" s="341" t="str">
        <f t="shared" si="50"/>
        <v>NO</v>
      </c>
    </row>
    <row r="332" spans="3:17" hidden="1" x14ac:dyDescent="0.25">
      <c r="C332" s="358">
        <v>402</v>
      </c>
      <c r="D332" s="718" t="s">
        <v>523</v>
      </c>
      <c r="E332" s="718"/>
      <c r="F332" s="718"/>
      <c r="G332" s="718"/>
      <c r="H332" s="314" t="s">
        <v>43</v>
      </c>
      <c r="I332" s="515">
        <v>18000</v>
      </c>
      <c r="J332" s="510">
        <f>SUMIFS(APUS!$Y$9:$Y$1486,APUS!$M$9:$M$1486,INSUMOS!C332)</f>
        <v>0</v>
      </c>
      <c r="K332" s="511">
        <f t="shared" si="38"/>
        <v>0</v>
      </c>
      <c r="N332" s="533">
        <f>IFERROR(SUMIFS(APUS!$Z$10:$Z$62,APUS!$N$62:Q191,INSUMOS!D332),0)</f>
        <v>0</v>
      </c>
      <c r="O332" s="546">
        <f t="shared" si="49"/>
        <v>0</v>
      </c>
      <c r="P332" s="348"/>
      <c r="Q332" s="341" t="str">
        <f t="shared" si="50"/>
        <v>SI</v>
      </c>
    </row>
    <row r="333" spans="3:17" hidden="1" x14ac:dyDescent="0.25">
      <c r="C333" s="358">
        <v>403</v>
      </c>
      <c r="D333" s="718" t="s">
        <v>524</v>
      </c>
      <c r="E333" s="718"/>
      <c r="F333" s="718"/>
      <c r="G333" s="718"/>
      <c r="H333" s="314" t="s">
        <v>212</v>
      </c>
      <c r="I333" s="515">
        <v>1208</v>
      </c>
      <c r="J333" s="510">
        <f>SUMIFS(APUS!$Y$9:$Y$1486,APUS!$M$9:$M$1486,INSUMOS!C333)</f>
        <v>0</v>
      </c>
      <c r="K333" s="511">
        <f t="shared" si="38"/>
        <v>0</v>
      </c>
      <c r="N333" s="533">
        <f>IFERROR(SUMIFS(APUS!$Z$10:$Z$62,APUS!$N$62:Q192,INSUMOS!D333),0)</f>
        <v>0</v>
      </c>
      <c r="O333" s="546">
        <f t="shared" si="49"/>
        <v>0</v>
      </c>
      <c r="P333" s="348"/>
      <c r="Q333" s="341" t="str">
        <f t="shared" si="50"/>
        <v>SI</v>
      </c>
    </row>
    <row r="334" spans="3:17" hidden="1" x14ac:dyDescent="0.25">
      <c r="C334" s="358">
        <v>404</v>
      </c>
      <c r="D334" s="718" t="s">
        <v>563</v>
      </c>
      <c r="E334" s="718"/>
      <c r="F334" s="718"/>
      <c r="G334" s="718"/>
      <c r="H334" s="314" t="s">
        <v>212</v>
      </c>
      <c r="I334" s="515">
        <v>9500</v>
      </c>
      <c r="J334" s="510">
        <f>SUMIFS(APUS!$Y$9:$Y$1486,APUS!$M$9:$M$1486,INSUMOS!C334)</f>
        <v>0</v>
      </c>
      <c r="K334" s="511">
        <f t="shared" si="38"/>
        <v>0</v>
      </c>
      <c r="N334" s="533">
        <f>IFERROR(SUMIFS(APUS!$Z$10:$Z$62,APUS!$N$62:Q193,INSUMOS!D334),0)</f>
        <v>0</v>
      </c>
      <c r="O334" s="546">
        <f t="shared" si="49"/>
        <v>0</v>
      </c>
      <c r="P334" s="348"/>
      <c r="Q334" s="341" t="str">
        <f t="shared" si="50"/>
        <v>SI</v>
      </c>
    </row>
    <row r="335" spans="3:17" x14ac:dyDescent="0.25">
      <c r="C335" s="358">
        <v>405</v>
      </c>
      <c r="D335" s="803" t="s">
        <v>829</v>
      </c>
      <c r="E335" s="803"/>
      <c r="F335" s="803"/>
      <c r="G335" s="803"/>
      <c r="H335" s="548" t="s">
        <v>34</v>
      </c>
      <c r="I335" s="549">
        <v>117647</v>
      </c>
      <c r="J335" s="510">
        <f>SUMIFS(APUS!$Y$9:$Y$1486,APUS!$M$9:$M$1486,INSUMOS!C335)</f>
        <v>73.550601705000005</v>
      </c>
      <c r="K335" s="511">
        <f t="shared" si="38"/>
        <v>8653007.6387881357</v>
      </c>
      <c r="N335" s="533">
        <f>IFERROR(SUMIFS(APUS!$Z$10:$Z$62,APUS!$N$62:Q194,INSUMOS!D335),0)</f>
        <v>0</v>
      </c>
      <c r="O335" s="546">
        <f t="shared" si="49"/>
        <v>-8653007.6387881357</v>
      </c>
      <c r="P335" s="348"/>
      <c r="Q335" s="341" t="str">
        <f t="shared" si="50"/>
        <v>NO</v>
      </c>
    </row>
    <row r="336" spans="3:17" hidden="1" x14ac:dyDescent="0.25">
      <c r="C336" s="358">
        <v>406</v>
      </c>
      <c r="D336" s="718"/>
      <c r="E336" s="718"/>
      <c r="F336" s="718"/>
      <c r="G336" s="718"/>
      <c r="H336" s="314"/>
      <c r="I336" s="515"/>
      <c r="J336" s="510">
        <f>SUMIFS(APUS!$Y$9:$Y$1486,APUS!$M$9:$M$1486,INSUMOS!C336)</f>
        <v>0</v>
      </c>
      <c r="K336" s="511">
        <f t="shared" si="38"/>
        <v>0</v>
      </c>
      <c r="N336" s="533">
        <f>IFERROR(SUMIFS(APUS!$Z$10:$Z$62,APUS!$N$62:Q195,INSUMOS!D336),0)</f>
        <v>0</v>
      </c>
      <c r="O336" s="546">
        <f t="shared" si="49"/>
        <v>0</v>
      </c>
      <c r="P336" s="348"/>
      <c r="Q336" s="341" t="str">
        <f t="shared" si="50"/>
        <v>SI</v>
      </c>
    </row>
    <row r="337" spans="3:17" hidden="1" x14ac:dyDescent="0.25">
      <c r="C337" s="358">
        <v>407</v>
      </c>
      <c r="D337" s="718"/>
      <c r="E337" s="718"/>
      <c r="F337" s="718"/>
      <c r="G337" s="718"/>
      <c r="H337" s="314"/>
      <c r="I337" s="515"/>
      <c r="J337" s="510">
        <f>SUMIFS(APUS!$Y$9:$Y$1486,APUS!$M$9:$M$1486,INSUMOS!C337)</f>
        <v>0</v>
      </c>
      <c r="K337" s="511">
        <f t="shared" si="38"/>
        <v>0</v>
      </c>
      <c r="N337" s="533">
        <f>IFERROR(SUMIFS(APUS!$Z$10:$Z$62,APUS!$N$62:Q196,INSUMOS!D337),0)</f>
        <v>0</v>
      </c>
      <c r="O337" s="546">
        <f t="shared" si="49"/>
        <v>0</v>
      </c>
      <c r="P337" s="348"/>
      <c r="Q337" s="341" t="str">
        <f t="shared" si="50"/>
        <v>SI</v>
      </c>
    </row>
    <row r="338" spans="3:17" hidden="1" x14ac:dyDescent="0.25">
      <c r="C338" s="358">
        <v>408</v>
      </c>
      <c r="D338" s="718"/>
      <c r="E338" s="718"/>
      <c r="F338" s="718"/>
      <c r="G338" s="718"/>
      <c r="H338" s="314"/>
      <c r="I338" s="515"/>
      <c r="J338" s="510">
        <f>SUMIFS(APUS!$Y$9:$Y$1486,APUS!$M$9:$M$1486,INSUMOS!C338)</f>
        <v>0</v>
      </c>
      <c r="K338" s="511">
        <f t="shared" si="38"/>
        <v>0</v>
      </c>
      <c r="N338" s="533">
        <f>IFERROR(SUMIFS(APUS!$Z$10:$Z$62,APUS!$N$62:Q197,INSUMOS!D338),0)</f>
        <v>0</v>
      </c>
      <c r="O338" s="546">
        <f t="shared" si="49"/>
        <v>0</v>
      </c>
      <c r="P338" s="348"/>
      <c r="Q338" s="341" t="str">
        <f t="shared" si="50"/>
        <v>SI</v>
      </c>
    </row>
    <row r="339" spans="3:17" hidden="1" x14ac:dyDescent="0.25">
      <c r="C339" s="358">
        <v>409</v>
      </c>
      <c r="D339" s="718"/>
      <c r="E339" s="718"/>
      <c r="F339" s="718"/>
      <c r="G339" s="718"/>
      <c r="H339" s="314"/>
      <c r="I339" s="515"/>
      <c r="J339" s="510">
        <f>SUMIFS(APUS!$Y$9:$Y$1486,APUS!$M$9:$M$1486,INSUMOS!C339)</f>
        <v>0</v>
      </c>
      <c r="K339" s="511">
        <f t="shared" si="38"/>
        <v>0</v>
      </c>
      <c r="N339" s="533">
        <f>IFERROR(SUMIFS(APUS!$Z$10:$Z$62,APUS!$N$62:Q198,INSUMOS!D339),0)</f>
        <v>0</v>
      </c>
      <c r="O339" s="546">
        <f t="shared" si="49"/>
        <v>0</v>
      </c>
      <c r="P339" s="348"/>
      <c r="Q339" s="341" t="str">
        <f t="shared" si="50"/>
        <v>SI</v>
      </c>
    </row>
    <row r="340" spans="3:17" hidden="1" x14ac:dyDescent="0.25">
      <c r="C340" s="358">
        <v>410</v>
      </c>
      <c r="D340" s="718" t="s">
        <v>843</v>
      </c>
      <c r="E340" s="718"/>
      <c r="F340" s="718"/>
      <c r="G340" s="718"/>
      <c r="H340" s="314" t="s">
        <v>34</v>
      </c>
      <c r="I340" s="515">
        <v>102340</v>
      </c>
      <c r="J340" s="510">
        <f>SUMIFS(APUS!$Y$9:$Y$1486,APUS!$M$9:$M$1486,INSUMOS!C340)</f>
        <v>0</v>
      </c>
      <c r="K340" s="511">
        <f t="shared" si="38"/>
        <v>0</v>
      </c>
      <c r="N340" s="533">
        <f>IFERROR(SUMIFS(APUS!$Z$10:$Z$62,APUS!$N$62:Q199,INSUMOS!D340),0)</f>
        <v>0</v>
      </c>
      <c r="O340" s="546">
        <f t="shared" si="49"/>
        <v>0</v>
      </c>
      <c r="P340" s="348"/>
      <c r="Q340" s="341" t="str">
        <f t="shared" si="50"/>
        <v>SI</v>
      </c>
    </row>
    <row r="341" spans="3:17" x14ac:dyDescent="0.25">
      <c r="C341" s="358">
        <v>411</v>
      </c>
      <c r="D341" s="718" t="s">
        <v>830</v>
      </c>
      <c r="E341" s="718"/>
      <c r="F341" s="718"/>
      <c r="G341" s="718"/>
      <c r="H341" s="314" t="s">
        <v>34</v>
      </c>
      <c r="I341" s="515">
        <v>128500</v>
      </c>
      <c r="J341" s="510">
        <f>SUMIFS(APUS!$Y$9:$Y$1486,APUS!$M$9:$M$1486,INSUMOS!C341)</f>
        <v>63.521662050000003</v>
      </c>
      <c r="K341" s="511">
        <f t="shared" si="38"/>
        <v>8162533.5734250005</v>
      </c>
      <c r="N341" s="533">
        <f>IFERROR(SUMIFS(APUS!$Z$10:$Z$62,APUS!$N$62:Q200,INSUMOS!D341),0)</f>
        <v>0</v>
      </c>
      <c r="O341" s="546">
        <f t="shared" si="49"/>
        <v>-8162533.5734250005</v>
      </c>
      <c r="P341" s="348"/>
      <c r="Q341" s="341" t="str">
        <f t="shared" si="50"/>
        <v>NO</v>
      </c>
    </row>
    <row r="342" spans="3:17" hidden="1" x14ac:dyDescent="0.25">
      <c r="C342" s="358">
        <v>412</v>
      </c>
      <c r="D342" s="718" t="s">
        <v>550</v>
      </c>
      <c r="E342" s="718"/>
      <c r="F342" s="718"/>
      <c r="G342" s="718"/>
      <c r="H342" s="314" t="s">
        <v>34</v>
      </c>
      <c r="I342" s="515">
        <v>25000</v>
      </c>
      <c r="J342" s="510">
        <f>SUMIFS(APUS!$Y$9:$Y$1486,APUS!$M$9:$M$1486,INSUMOS!C342)</f>
        <v>0</v>
      </c>
      <c r="K342" s="511">
        <f t="shared" si="38"/>
        <v>0</v>
      </c>
      <c r="N342" s="533">
        <f>IFERROR(SUMIFS(APUS!$Z$10:$Z$62,APUS!$N$62:Q201,INSUMOS!D342),0)</f>
        <v>0</v>
      </c>
      <c r="O342" s="546">
        <f t="shared" si="49"/>
        <v>0</v>
      </c>
      <c r="P342" s="348"/>
      <c r="Q342" s="341" t="str">
        <f t="shared" si="50"/>
        <v>SI</v>
      </c>
    </row>
    <row r="343" spans="3:17" x14ac:dyDescent="0.25">
      <c r="C343" s="358">
        <v>413</v>
      </c>
      <c r="D343" s="718" t="s">
        <v>840</v>
      </c>
      <c r="E343" s="718"/>
      <c r="F343" s="718"/>
      <c r="G343" s="718"/>
      <c r="H343" s="314" t="s">
        <v>34</v>
      </c>
      <c r="I343" s="515">
        <v>70000</v>
      </c>
      <c r="J343" s="510">
        <f>SUMIFS(APUS!$Y$9:$Y$1486,APUS!$M$9:$M$1486,INSUMOS!C343)</f>
        <v>26.920529999999999</v>
      </c>
      <c r="K343" s="511">
        <f t="shared" si="38"/>
        <v>1884437.0999999999</v>
      </c>
      <c r="N343" s="533">
        <f>IFERROR(SUMIFS(APUS!$Z$10:$Z$62,APUS!$N$62:Q202,INSUMOS!D343),0)</f>
        <v>0</v>
      </c>
      <c r="O343" s="546">
        <f t="shared" si="49"/>
        <v>-1884437.0999999999</v>
      </c>
      <c r="P343" s="348"/>
      <c r="Q343" s="341" t="str">
        <f t="shared" si="50"/>
        <v>NO</v>
      </c>
    </row>
    <row r="344" spans="3:17" hidden="1" x14ac:dyDescent="0.25">
      <c r="C344" s="358">
        <v>414</v>
      </c>
      <c r="D344" s="718" t="s">
        <v>519</v>
      </c>
      <c r="E344" s="718"/>
      <c r="F344" s="718"/>
      <c r="G344" s="718"/>
      <c r="H344" s="314" t="s">
        <v>43</v>
      </c>
      <c r="I344" s="515">
        <v>35000</v>
      </c>
      <c r="J344" s="510">
        <f>SUMIFS(APUS!$Y$9:$Y$1486,APUS!$M$9:$M$1486,INSUMOS!C344)</f>
        <v>0</v>
      </c>
      <c r="K344" s="511">
        <f t="shared" si="38"/>
        <v>0</v>
      </c>
      <c r="N344" s="533">
        <f>IFERROR(SUMIFS(APUS!$Z$10:$Z$62,APUS!$N$62:Q210,INSUMOS!D344),0)</f>
        <v>0</v>
      </c>
      <c r="O344" s="546">
        <f t="shared" si="49"/>
        <v>0</v>
      </c>
      <c r="P344" s="348"/>
      <c r="Q344" s="341" t="str">
        <f t="shared" si="50"/>
        <v>SI</v>
      </c>
    </row>
    <row r="345" spans="3:17" x14ac:dyDescent="0.25">
      <c r="C345" s="358">
        <v>415</v>
      </c>
      <c r="D345" s="718" t="s">
        <v>925</v>
      </c>
      <c r="E345" s="718"/>
      <c r="F345" s="718"/>
      <c r="G345" s="718"/>
      <c r="H345" s="314" t="s">
        <v>43</v>
      </c>
      <c r="I345" s="515">
        <v>86000</v>
      </c>
      <c r="J345" s="510">
        <f>SUMIFS(APUS!$Y$9:$Y$1486,APUS!$M$9:$M$1486,INSUMOS!C345)</f>
        <v>594.59999999999991</v>
      </c>
      <c r="K345" s="511">
        <f t="shared" si="38"/>
        <v>51135599.999999993</v>
      </c>
      <c r="N345" s="533">
        <f>IFERROR(SUMIFS(APUS!$Z$10:$Z$62,APUS!$N$62:Q211,INSUMOS!D345),0)</f>
        <v>0</v>
      </c>
      <c r="O345" s="546">
        <f t="shared" si="49"/>
        <v>-51135599.999999993</v>
      </c>
      <c r="P345" s="348"/>
      <c r="Q345" s="341" t="str">
        <f t="shared" si="50"/>
        <v>NO</v>
      </c>
    </row>
    <row r="346" spans="3:17" hidden="1" x14ac:dyDescent="0.25">
      <c r="C346" s="358">
        <v>416</v>
      </c>
      <c r="D346" s="803" t="s">
        <v>886</v>
      </c>
      <c r="E346" s="803"/>
      <c r="F346" s="803"/>
      <c r="G346" s="803"/>
      <c r="H346" s="548" t="s">
        <v>34</v>
      </c>
      <c r="I346" s="549">
        <v>95000</v>
      </c>
      <c r="J346" s="510">
        <f>SUMIFS(APUS!$Y$9:$Y$1486,APUS!$M$9:$M$1486,INSUMOS!C346)</f>
        <v>0</v>
      </c>
      <c r="K346" s="511">
        <f t="shared" si="38"/>
        <v>0</v>
      </c>
      <c r="N346" s="533">
        <f>IFERROR(SUMIFS(APUS!$Z$10:$Z$62,APUS!$N$62:Q212,INSUMOS!D346),0)</f>
        <v>0</v>
      </c>
      <c r="O346" s="546">
        <f t="shared" si="49"/>
        <v>0</v>
      </c>
      <c r="P346" s="348"/>
      <c r="Q346" s="341" t="str">
        <f t="shared" si="50"/>
        <v>SI</v>
      </c>
    </row>
    <row r="347" spans="3:17" x14ac:dyDescent="0.25">
      <c r="C347" s="358">
        <v>417</v>
      </c>
      <c r="D347" s="718" t="s">
        <v>922</v>
      </c>
      <c r="E347" s="718"/>
      <c r="F347" s="718"/>
      <c r="G347" s="718"/>
      <c r="H347" s="314" t="s">
        <v>34</v>
      </c>
      <c r="I347" s="515">
        <v>105000</v>
      </c>
      <c r="J347" s="510">
        <f>SUMIFS(APUS!$Y$9:$Y$1486,APUS!$M$9:$M$1486,INSUMOS!C347)</f>
        <v>115.94699999999999</v>
      </c>
      <c r="K347" s="511">
        <f t="shared" si="38"/>
        <v>12174434.999999998</v>
      </c>
      <c r="N347" s="533">
        <f>IFERROR(SUMIFS(APUS!$Z$10:$Z$62,APUS!$N$62:Q213,INSUMOS!D347),0)</f>
        <v>0</v>
      </c>
      <c r="O347" s="546">
        <f t="shared" si="49"/>
        <v>-12174434.999999998</v>
      </c>
      <c r="P347" s="348"/>
      <c r="Q347" s="341" t="str">
        <f t="shared" si="50"/>
        <v>NO</v>
      </c>
    </row>
    <row r="348" spans="3:17" hidden="1" x14ac:dyDescent="0.25">
      <c r="C348" s="358">
        <v>418</v>
      </c>
      <c r="D348" s="718" t="s">
        <v>293</v>
      </c>
      <c r="E348" s="718"/>
      <c r="F348" s="718"/>
      <c r="G348" s="718"/>
      <c r="H348" s="314" t="s">
        <v>34</v>
      </c>
      <c r="I348" s="515">
        <v>65000</v>
      </c>
      <c r="J348" s="510">
        <f>SUMIFS(APUS!$Y$9:$Y$1486,APUS!$M$9:$M$1486,INSUMOS!C348)</f>
        <v>0</v>
      </c>
      <c r="K348" s="511">
        <f t="shared" si="38"/>
        <v>0</v>
      </c>
      <c r="N348" s="533">
        <f>IFERROR(SUMIFS(APUS!$Z$10:$Z$62,APUS!$N$62:Q214,INSUMOS!D348),0)</f>
        <v>0</v>
      </c>
      <c r="O348" s="546">
        <f t="shared" si="49"/>
        <v>0</v>
      </c>
      <c r="P348" s="348"/>
      <c r="Q348" s="341" t="str">
        <f t="shared" si="50"/>
        <v>SI</v>
      </c>
    </row>
    <row r="349" spans="3:17" hidden="1" x14ac:dyDescent="0.25">
      <c r="C349" s="358">
        <v>419</v>
      </c>
      <c r="D349" s="791" t="s">
        <v>234</v>
      </c>
      <c r="E349" s="791"/>
      <c r="F349" s="791"/>
      <c r="G349" s="791"/>
      <c r="H349" s="314" t="s">
        <v>34</v>
      </c>
      <c r="I349" s="515">
        <v>35000</v>
      </c>
      <c r="J349" s="510">
        <f>SUMIFS(APUS!$Y$9:$Y$1486,APUS!$M$9:$M$1486,INSUMOS!C349)</f>
        <v>0</v>
      </c>
      <c r="K349" s="511">
        <f t="shared" si="38"/>
        <v>0</v>
      </c>
      <c r="N349" s="533">
        <f>IFERROR(SUMIFS(APUS!$Z$10:$Z$62,APUS!$N$62:Q215,INSUMOS!D349),0)</f>
        <v>0</v>
      </c>
      <c r="O349" s="546">
        <f t="shared" si="49"/>
        <v>0</v>
      </c>
      <c r="P349" s="348"/>
      <c r="Q349" s="341" t="str">
        <f t="shared" si="50"/>
        <v>SI</v>
      </c>
    </row>
    <row r="350" spans="3:17" hidden="1" x14ac:dyDescent="0.25">
      <c r="C350" s="358">
        <v>420</v>
      </c>
      <c r="D350" s="791" t="s">
        <v>291</v>
      </c>
      <c r="E350" s="791"/>
      <c r="F350" s="791"/>
      <c r="G350" s="791"/>
      <c r="H350" s="314" t="s">
        <v>233</v>
      </c>
      <c r="I350" s="515"/>
      <c r="J350" s="510">
        <f>SUMIFS(APUS!$Y$9:$Y$1486,APUS!$M$9:$M$1486,INSUMOS!C350)</f>
        <v>0</v>
      </c>
      <c r="K350" s="511">
        <f t="shared" si="38"/>
        <v>0</v>
      </c>
      <c r="N350" s="533">
        <f>IFERROR(SUMIFS(APUS!$Z$10:$Z$62,APUS!$N$62:Q216,INSUMOS!D350),0)</f>
        <v>0</v>
      </c>
      <c r="O350" s="546">
        <f t="shared" si="49"/>
        <v>0</v>
      </c>
      <c r="P350" s="348"/>
      <c r="Q350" s="341" t="str">
        <f t="shared" si="50"/>
        <v>SI</v>
      </c>
    </row>
    <row r="351" spans="3:17" hidden="1" x14ac:dyDescent="0.25">
      <c r="C351" s="358">
        <v>421</v>
      </c>
      <c r="D351" s="791" t="s">
        <v>292</v>
      </c>
      <c r="E351" s="791"/>
      <c r="F351" s="791"/>
      <c r="G351" s="791"/>
      <c r="H351" s="314" t="s">
        <v>233</v>
      </c>
      <c r="I351" s="515"/>
      <c r="J351" s="510">
        <f>SUMIFS(APUS!$Y$9:$Y$1486,APUS!$M$9:$M$1486,INSUMOS!C351)</f>
        <v>0</v>
      </c>
      <c r="K351" s="511">
        <f t="shared" si="38"/>
        <v>0</v>
      </c>
      <c r="N351" s="533">
        <f>IFERROR(SUMIFS(APUS!$Z$10:$Z$62,APUS!$N$62:Q217,INSUMOS!D351),0)</f>
        <v>0</v>
      </c>
      <c r="O351" s="546">
        <f t="shared" si="49"/>
        <v>0</v>
      </c>
      <c r="P351" s="348"/>
      <c r="Q351" s="341" t="str">
        <f t="shared" si="50"/>
        <v>SI</v>
      </c>
    </row>
    <row r="352" spans="3:17" x14ac:dyDescent="0.25">
      <c r="C352" s="358">
        <v>422</v>
      </c>
      <c r="D352" s="798" t="s">
        <v>821</v>
      </c>
      <c r="E352" s="798"/>
      <c r="F352" s="798"/>
      <c r="G352" s="798"/>
      <c r="H352" s="548" t="s">
        <v>233</v>
      </c>
      <c r="I352" s="549">
        <v>5171</v>
      </c>
      <c r="J352" s="510">
        <f>SUMIFS(APUS!$Y$9:$Y$1486,APUS!$M$9:$M$1486,INSUMOS!C352)</f>
        <v>1.982</v>
      </c>
      <c r="K352" s="511">
        <f t="shared" si="38"/>
        <v>10248.922</v>
      </c>
      <c r="N352" s="533">
        <f>IFERROR(SUMIFS(APUS!$Z$10:$Z$62,APUS!$N$62:Q218,INSUMOS!D352),0)</f>
        <v>0</v>
      </c>
      <c r="O352" s="546">
        <f t="shared" si="49"/>
        <v>-10248.922</v>
      </c>
      <c r="P352" s="348"/>
      <c r="Q352" s="341" t="str">
        <f t="shared" si="50"/>
        <v>NO</v>
      </c>
    </row>
    <row r="353" spans="3:17" hidden="1" x14ac:dyDescent="0.25">
      <c r="C353" s="358">
        <v>423</v>
      </c>
      <c r="D353" s="791" t="s">
        <v>232</v>
      </c>
      <c r="E353" s="791"/>
      <c r="F353" s="791"/>
      <c r="G353" s="791"/>
      <c r="H353" s="314" t="s">
        <v>233</v>
      </c>
      <c r="I353" s="515"/>
      <c r="J353" s="510">
        <f>SUMIFS(APUS!$Y$9:$Y$1486,APUS!$M$9:$M$1486,INSUMOS!C353)</f>
        <v>0</v>
      </c>
      <c r="K353" s="511">
        <f t="shared" si="38"/>
        <v>0</v>
      </c>
      <c r="N353" s="533">
        <f>IFERROR(SUMIFS(APUS!$Z$10:$Z$62,APUS!$N$62:Q219,INSUMOS!D353),0)</f>
        <v>0</v>
      </c>
      <c r="O353" s="546">
        <f t="shared" si="49"/>
        <v>0</v>
      </c>
      <c r="P353" s="348"/>
      <c r="Q353" s="341" t="str">
        <f t="shared" si="50"/>
        <v>SI</v>
      </c>
    </row>
    <row r="354" spans="3:17" x14ac:dyDescent="0.25">
      <c r="C354" s="358">
        <v>424</v>
      </c>
      <c r="D354" s="791" t="s">
        <v>923</v>
      </c>
      <c r="E354" s="791"/>
      <c r="F354" s="791"/>
      <c r="G354" s="791"/>
      <c r="H354" s="314" t="s">
        <v>35</v>
      </c>
      <c r="I354" s="515">
        <v>65000</v>
      </c>
      <c r="J354" s="510">
        <f>SUMIFS(APUS!$Y$9:$Y$1486,APUS!$M$9:$M$1486,INSUMOS!C354)</f>
        <v>92.820000000000007</v>
      </c>
      <c r="K354" s="511">
        <f t="shared" si="38"/>
        <v>6033300.0000000009</v>
      </c>
      <c r="N354" s="533">
        <f>IFERROR(SUMIFS(APUS!$Z$10:$Z$62,APUS!$N$62:Q220,INSUMOS!D354),0)</f>
        <v>0</v>
      </c>
      <c r="O354" s="546">
        <f t="shared" si="49"/>
        <v>-6033300.0000000009</v>
      </c>
      <c r="P354" s="348"/>
      <c r="Q354" s="341" t="str">
        <f t="shared" si="50"/>
        <v>NO</v>
      </c>
    </row>
    <row r="355" spans="3:17" x14ac:dyDescent="0.25">
      <c r="C355" s="358">
        <v>425</v>
      </c>
      <c r="D355" s="791" t="s">
        <v>924</v>
      </c>
      <c r="E355" s="791"/>
      <c r="F355" s="791"/>
      <c r="G355" s="791"/>
      <c r="H355" s="314" t="s">
        <v>43</v>
      </c>
      <c r="I355" s="515">
        <v>72500</v>
      </c>
      <c r="J355" s="510">
        <f>SUMIFS(APUS!$Y$9:$Y$1486,APUS!$M$9:$M$1486,INSUMOS!C355)</f>
        <v>60.332999999999998</v>
      </c>
      <c r="K355" s="511">
        <f t="shared" si="38"/>
        <v>4374142.5</v>
      </c>
      <c r="N355" s="533">
        <f>IFERROR(SUMIFS(APUS!$Z$10:$Z$62,APUS!$N$62:Q221,INSUMOS!D355),0)</f>
        <v>0</v>
      </c>
      <c r="O355" s="546">
        <f t="shared" si="49"/>
        <v>-4374142.5</v>
      </c>
      <c r="P355" s="348"/>
      <c r="Q355" s="341" t="str">
        <f t="shared" si="50"/>
        <v>NO</v>
      </c>
    </row>
    <row r="356" spans="3:17" hidden="1" x14ac:dyDescent="0.25">
      <c r="C356" s="358">
        <v>426</v>
      </c>
      <c r="D356" s="791"/>
      <c r="E356" s="791"/>
      <c r="F356" s="791"/>
      <c r="G356" s="791"/>
      <c r="H356" s="314"/>
      <c r="I356" s="515"/>
      <c r="J356" s="510">
        <f>SUMIFS(APUS!$Y$9:$Y$1486,APUS!$M$9:$M$1486,INSUMOS!C356)</f>
        <v>0</v>
      </c>
      <c r="K356" s="511">
        <f t="shared" si="38"/>
        <v>0</v>
      </c>
      <c r="N356" s="533">
        <f>IFERROR(SUMIFS(APUS!$Z$10:$Z$62,APUS!$N$62:Q222,INSUMOS!D356),0)</f>
        <v>0</v>
      </c>
      <c r="O356" s="546">
        <f t="shared" si="49"/>
        <v>0</v>
      </c>
      <c r="P356" s="348"/>
      <c r="Q356" s="341" t="str">
        <f t="shared" si="50"/>
        <v>SI</v>
      </c>
    </row>
    <row r="357" spans="3:17" hidden="1" x14ac:dyDescent="0.25">
      <c r="C357" s="358">
        <v>427</v>
      </c>
      <c r="D357" s="791"/>
      <c r="E357" s="791"/>
      <c r="F357" s="791"/>
      <c r="G357" s="791"/>
      <c r="H357" s="314"/>
      <c r="I357" s="515"/>
      <c r="J357" s="510">
        <f>SUMIFS(APUS!$Y$9:$Y$1486,APUS!$M$9:$M$1486,INSUMOS!C357)</f>
        <v>0</v>
      </c>
      <c r="K357" s="511">
        <f t="shared" si="38"/>
        <v>0</v>
      </c>
      <c r="N357" s="533">
        <f>IFERROR(SUMIFS(APUS!$Z$10:$Z$62,APUS!$N$62:Q223,INSUMOS!D357),0)</f>
        <v>0</v>
      </c>
      <c r="O357" s="546">
        <f t="shared" si="49"/>
        <v>0</v>
      </c>
      <c r="P357" s="348"/>
      <c r="Q357" s="341" t="str">
        <f t="shared" si="50"/>
        <v>SI</v>
      </c>
    </row>
    <row r="358" spans="3:17" x14ac:dyDescent="0.25">
      <c r="C358" s="358">
        <v>428</v>
      </c>
      <c r="D358" s="791" t="s">
        <v>819</v>
      </c>
      <c r="E358" s="791"/>
      <c r="F358" s="791"/>
      <c r="G358" s="791"/>
      <c r="H358" s="314" t="s">
        <v>35</v>
      </c>
      <c r="I358" s="515">
        <v>3500</v>
      </c>
      <c r="J358" s="510">
        <f>SUMIFS(APUS!$Y$9:$Y$1486,APUS!$M$9:$M$1486,INSUMOS!C358)</f>
        <v>29.729999999999997</v>
      </c>
      <c r="K358" s="511">
        <f t="shared" si="38"/>
        <v>104054.99999999999</v>
      </c>
      <c r="N358" s="533">
        <f>IFERROR(SUMIFS(APUS!$Z$10:$Z$62,APUS!$N$62:Q224,INSUMOS!D358),0)</f>
        <v>0</v>
      </c>
      <c r="O358" s="546">
        <f t="shared" si="49"/>
        <v>-104054.99999999999</v>
      </c>
      <c r="P358" s="348"/>
      <c r="Q358" s="341" t="str">
        <f t="shared" si="50"/>
        <v>NO</v>
      </c>
    </row>
    <row r="359" spans="3:17" ht="14.4" hidden="1" customHeight="1" x14ac:dyDescent="0.25">
      <c r="C359" s="358">
        <v>429</v>
      </c>
      <c r="D359" s="791" t="s">
        <v>820</v>
      </c>
      <c r="E359" s="791"/>
      <c r="F359" s="791"/>
      <c r="G359" s="791"/>
      <c r="H359" s="314" t="s">
        <v>35</v>
      </c>
      <c r="I359" s="515">
        <v>1000</v>
      </c>
      <c r="J359" s="510">
        <f>SUMIFS(APUS!$Y$9:$Y$1486,APUS!$M$9:$M$1486,INSUMOS!C359)</f>
        <v>0</v>
      </c>
      <c r="K359" s="511">
        <f t="shared" si="38"/>
        <v>0</v>
      </c>
      <c r="N359" s="533">
        <f>IFERROR(SUMIFS(APUS!$Z$10:$Z$62,APUS!$N$62:Q225,INSUMOS!D359),0)</f>
        <v>0</v>
      </c>
      <c r="O359" s="546">
        <f t="shared" si="49"/>
        <v>0</v>
      </c>
      <c r="P359" s="348"/>
      <c r="Q359" s="341" t="str">
        <f t="shared" si="50"/>
        <v>SI</v>
      </c>
    </row>
    <row r="360" spans="3:17" x14ac:dyDescent="0.25">
      <c r="C360" s="358">
        <v>430</v>
      </c>
      <c r="D360" s="791" t="s">
        <v>917</v>
      </c>
      <c r="E360" s="791"/>
      <c r="F360" s="791"/>
      <c r="G360" s="791"/>
      <c r="H360" s="314" t="s">
        <v>36</v>
      </c>
      <c r="I360" s="515">
        <v>1500</v>
      </c>
      <c r="J360" s="510">
        <f>SUMIFS(APUS!$Y$9:$Y$1486,APUS!$M$9:$M$1486,INSUMOS!C360)</f>
        <v>612</v>
      </c>
      <c r="K360" s="511">
        <f t="shared" si="38"/>
        <v>918000</v>
      </c>
      <c r="N360" s="533">
        <f>IFERROR(SUMIFS(APUS!$Z$10:$Z$62,APUS!$N$62:Q226,INSUMOS!D360),0)</f>
        <v>0</v>
      </c>
      <c r="O360" s="546">
        <f t="shared" ref="O360:O423" si="51">+N360-K360</f>
        <v>-918000</v>
      </c>
      <c r="P360" s="348"/>
      <c r="Q360" s="341" t="str">
        <f t="shared" ref="Q360:Q423" si="52">+IF(K360=0,"SI","NO")</f>
        <v>NO</v>
      </c>
    </row>
    <row r="361" spans="3:17" hidden="1" x14ac:dyDescent="0.25">
      <c r="C361" s="358">
        <v>431</v>
      </c>
      <c r="D361" s="798" t="s">
        <v>897</v>
      </c>
      <c r="E361" s="798"/>
      <c r="F361" s="798"/>
      <c r="G361" s="798"/>
      <c r="H361" s="548" t="s">
        <v>36</v>
      </c>
      <c r="I361" s="549">
        <v>1350</v>
      </c>
      <c r="J361" s="510">
        <f>SUMIFS(APUS!$Y$9:$Y$1486,APUS!$M$9:$M$1486,INSUMOS!C361)</f>
        <v>0</v>
      </c>
      <c r="K361" s="511">
        <f t="shared" si="38"/>
        <v>0</v>
      </c>
      <c r="N361" s="533">
        <f>IFERROR(SUMIFS(APUS!$Z$10:$Z$62,APUS!$N$62:Q227,INSUMOS!D361),0)</f>
        <v>0</v>
      </c>
      <c r="O361" s="546">
        <f t="shared" si="51"/>
        <v>0</v>
      </c>
      <c r="P361" s="348"/>
      <c r="Q361" s="341" t="str">
        <f t="shared" si="52"/>
        <v>SI</v>
      </c>
    </row>
    <row r="362" spans="3:17" hidden="1" x14ac:dyDescent="0.25">
      <c r="C362" s="358">
        <v>432</v>
      </c>
      <c r="D362" s="791" t="s">
        <v>242</v>
      </c>
      <c r="E362" s="791"/>
      <c r="F362" s="791"/>
      <c r="G362" s="791"/>
      <c r="H362" s="314" t="s">
        <v>36</v>
      </c>
      <c r="I362" s="515">
        <v>1200</v>
      </c>
      <c r="J362" s="510">
        <f>SUMIFS(APUS!$Y$9:$Y$1486,APUS!$M$9:$M$1486,INSUMOS!C362)</f>
        <v>0</v>
      </c>
      <c r="K362" s="511">
        <f t="shared" si="38"/>
        <v>0</v>
      </c>
      <c r="N362" s="533">
        <f>IFERROR(SUMIFS(APUS!$Z$10:$Z$62,APUS!$N$62:Q228,INSUMOS!D362),0)</f>
        <v>0</v>
      </c>
      <c r="O362" s="546">
        <f t="shared" si="51"/>
        <v>0</v>
      </c>
      <c r="P362" s="348"/>
      <c r="Q362" s="341" t="str">
        <f t="shared" si="52"/>
        <v>SI</v>
      </c>
    </row>
    <row r="363" spans="3:17" hidden="1" x14ac:dyDescent="0.25">
      <c r="C363" s="358">
        <v>433</v>
      </c>
      <c r="D363" s="791" t="s">
        <v>294</v>
      </c>
      <c r="E363" s="791"/>
      <c r="F363" s="791"/>
      <c r="G363" s="791"/>
      <c r="H363" s="314" t="s">
        <v>36</v>
      </c>
      <c r="I363" s="515">
        <v>1100</v>
      </c>
      <c r="J363" s="510">
        <f>SUMIFS(APUS!$Y$9:$Y$1486,APUS!$M$9:$M$1486,INSUMOS!C363)</f>
        <v>0</v>
      </c>
      <c r="K363" s="511">
        <f t="shared" si="38"/>
        <v>0</v>
      </c>
      <c r="N363" s="533">
        <f>IFERROR(SUMIFS(APUS!$Z$10:$Z$62,APUS!$N$62:Q229,INSUMOS!D363),0)</f>
        <v>0</v>
      </c>
      <c r="O363" s="546">
        <f t="shared" si="51"/>
        <v>0</v>
      </c>
      <c r="P363" s="348"/>
      <c r="Q363" s="341" t="str">
        <f t="shared" si="52"/>
        <v>SI</v>
      </c>
    </row>
    <row r="364" spans="3:17" hidden="1" x14ac:dyDescent="0.25">
      <c r="C364" s="358">
        <v>434</v>
      </c>
      <c r="D364" s="791" t="s">
        <v>522</v>
      </c>
      <c r="E364" s="791"/>
      <c r="F364" s="791"/>
      <c r="G364" s="791"/>
      <c r="H364" s="314" t="s">
        <v>36</v>
      </c>
      <c r="I364" s="515">
        <v>650</v>
      </c>
      <c r="J364" s="510">
        <f>SUMIFS(APUS!$Y$9:$Y$1486,APUS!$M$9:$M$1486,INSUMOS!C364)</f>
        <v>0</v>
      </c>
      <c r="K364" s="511">
        <f t="shared" si="38"/>
        <v>0</v>
      </c>
      <c r="N364" s="533">
        <f>IFERROR(SUMIFS(APUS!$Z$10:$Z$62,APUS!$N$62:Q230,INSUMOS!D364),0)</f>
        <v>0</v>
      </c>
      <c r="O364" s="546">
        <f t="shared" si="51"/>
        <v>0</v>
      </c>
      <c r="P364" s="348"/>
      <c r="Q364" s="341" t="str">
        <f t="shared" si="52"/>
        <v>SI</v>
      </c>
    </row>
    <row r="365" spans="3:17" hidden="1" x14ac:dyDescent="0.25">
      <c r="C365" s="358">
        <v>435</v>
      </c>
      <c r="D365" s="791" t="s">
        <v>842</v>
      </c>
      <c r="E365" s="791"/>
      <c r="F365" s="791"/>
      <c r="G365" s="791"/>
      <c r="H365" s="314" t="s">
        <v>36</v>
      </c>
      <c r="I365" s="515">
        <v>1850</v>
      </c>
      <c r="J365" s="510">
        <f>SUMIFS(APUS!$Y$9:$Y$1486,APUS!$M$9:$M$1486,INSUMOS!C365)</f>
        <v>0</v>
      </c>
      <c r="K365" s="511">
        <f t="shared" si="38"/>
        <v>0</v>
      </c>
      <c r="N365" s="533">
        <f>IFERROR(SUMIFS(APUS!$Z$10:$Z$62,APUS!$N$62:Q231,INSUMOS!D365),0)</f>
        <v>0</v>
      </c>
      <c r="O365" s="546">
        <f t="shared" si="51"/>
        <v>0</v>
      </c>
      <c r="P365" s="348"/>
      <c r="Q365" s="341" t="str">
        <f t="shared" si="52"/>
        <v>SI</v>
      </c>
    </row>
    <row r="366" spans="3:17" hidden="1" x14ac:dyDescent="0.25">
      <c r="C366" s="358">
        <v>436</v>
      </c>
      <c r="D366" s="791"/>
      <c r="E366" s="791"/>
      <c r="F366" s="791"/>
      <c r="G366" s="791"/>
      <c r="H366" s="314"/>
      <c r="I366" s="515"/>
      <c r="J366" s="510">
        <f>SUMIFS(APUS!$Y$9:$Y$1486,APUS!$M$9:$M$1486,INSUMOS!C366)</f>
        <v>0</v>
      </c>
      <c r="K366" s="511">
        <f t="shared" si="38"/>
        <v>0</v>
      </c>
      <c r="N366" s="533">
        <f>IFERROR(SUMIFS(APUS!$Z$10:$Z$62,APUS!$N$62:Q232,INSUMOS!D366),0)</f>
        <v>0</v>
      </c>
      <c r="O366" s="546">
        <f t="shared" si="51"/>
        <v>0</v>
      </c>
      <c r="P366" s="348"/>
      <c r="Q366" s="341" t="str">
        <f t="shared" si="52"/>
        <v>SI</v>
      </c>
    </row>
    <row r="367" spans="3:17" hidden="1" x14ac:dyDescent="0.25">
      <c r="C367" s="358">
        <v>437</v>
      </c>
      <c r="D367" s="791"/>
      <c r="E367" s="791"/>
      <c r="F367" s="791"/>
      <c r="G367" s="791"/>
      <c r="H367" s="314"/>
      <c r="I367" s="515"/>
      <c r="J367" s="510">
        <f>SUMIFS(APUS!$Y$9:$Y$1486,APUS!$M$9:$M$1486,INSUMOS!C367)</f>
        <v>0</v>
      </c>
      <c r="K367" s="511">
        <f t="shared" si="38"/>
        <v>0</v>
      </c>
      <c r="N367" s="533">
        <f>IFERROR(SUMIFS(APUS!$Z$10:$Z$62,APUS!$N$62:Q233,INSUMOS!D367),0)</f>
        <v>0</v>
      </c>
      <c r="O367" s="546">
        <f t="shared" si="51"/>
        <v>0</v>
      </c>
      <c r="P367" s="348"/>
      <c r="Q367" s="341" t="str">
        <f t="shared" si="52"/>
        <v>SI</v>
      </c>
    </row>
    <row r="368" spans="3:17" hidden="1" x14ac:dyDescent="0.25">
      <c r="C368" s="358">
        <v>438</v>
      </c>
      <c r="D368" s="798" t="s">
        <v>824</v>
      </c>
      <c r="E368" s="798"/>
      <c r="F368" s="798"/>
      <c r="G368" s="798"/>
      <c r="H368" s="548" t="s">
        <v>212</v>
      </c>
      <c r="I368" s="549">
        <f>281969/42.2</f>
        <v>6681.7298578199052</v>
      </c>
      <c r="J368" s="510">
        <f>SUMIFS(APUS!$Y$9:$Y$1486,APUS!$M$9:$M$1486,INSUMOS!C368)</f>
        <v>0</v>
      </c>
      <c r="K368" s="511">
        <f t="shared" si="38"/>
        <v>0</v>
      </c>
      <c r="N368" s="533">
        <f>IFERROR(SUMIFS(APUS!$Z$10:$Z$62,APUS!$N$62:Q234,INSUMOS!D368),0)</f>
        <v>0</v>
      </c>
      <c r="O368" s="546">
        <f t="shared" si="51"/>
        <v>0</v>
      </c>
      <c r="P368" s="348"/>
      <c r="Q368" s="341" t="str">
        <f t="shared" si="52"/>
        <v>SI</v>
      </c>
    </row>
    <row r="369" spans="3:17" hidden="1" x14ac:dyDescent="0.25">
      <c r="C369" s="358">
        <v>439</v>
      </c>
      <c r="D369" s="791" t="s">
        <v>669</v>
      </c>
      <c r="E369" s="791"/>
      <c r="F369" s="791"/>
      <c r="G369" s="791"/>
      <c r="H369" s="314" t="s">
        <v>212</v>
      </c>
      <c r="I369" s="515">
        <v>4984</v>
      </c>
      <c r="J369" s="510">
        <f>SUMIFS(APUS!$Y$9:$Y$1486,APUS!$M$9:$M$1486,INSUMOS!C369)</f>
        <v>0</v>
      </c>
      <c r="K369" s="511">
        <f t="shared" si="38"/>
        <v>0</v>
      </c>
      <c r="N369" s="533">
        <f>IFERROR(SUMIFS(APUS!$Z$10:$Z$62,APUS!$N$62:Q235,INSUMOS!D369),0)</f>
        <v>0</v>
      </c>
      <c r="O369" s="546">
        <f t="shared" si="51"/>
        <v>0</v>
      </c>
      <c r="P369" s="348"/>
      <c r="Q369" s="341" t="str">
        <f t="shared" si="52"/>
        <v>SI</v>
      </c>
    </row>
    <row r="370" spans="3:17" hidden="1" x14ac:dyDescent="0.25">
      <c r="C370" s="358">
        <v>440</v>
      </c>
      <c r="D370" s="798" t="s">
        <v>825</v>
      </c>
      <c r="E370" s="798"/>
      <c r="F370" s="798"/>
      <c r="G370" s="798"/>
      <c r="H370" s="548" t="s">
        <v>212</v>
      </c>
      <c r="I370" s="549">
        <f>29654/6</f>
        <v>4942.333333333333</v>
      </c>
      <c r="J370" s="510">
        <f>SUMIFS(APUS!$Y$9:$Y$1486,APUS!$M$9:$M$1486,INSUMOS!C370)</f>
        <v>0</v>
      </c>
      <c r="K370" s="511">
        <f t="shared" si="38"/>
        <v>0</v>
      </c>
      <c r="N370" s="533">
        <f>IFERROR(SUMIFS(APUS!$Z$10:$Z$62,APUS!$N$62:Q236,INSUMOS!D370),0)</f>
        <v>0</v>
      </c>
      <c r="O370" s="546">
        <f t="shared" si="51"/>
        <v>0</v>
      </c>
      <c r="P370" s="348"/>
      <c r="Q370" s="341" t="str">
        <f t="shared" si="52"/>
        <v>SI</v>
      </c>
    </row>
    <row r="371" spans="3:17" hidden="1" x14ac:dyDescent="0.25">
      <c r="C371" s="358">
        <v>441</v>
      </c>
      <c r="D371" s="791" t="s">
        <v>599</v>
      </c>
      <c r="E371" s="791"/>
      <c r="F371" s="791"/>
      <c r="G371" s="791"/>
      <c r="H371" s="314" t="s">
        <v>212</v>
      </c>
      <c r="I371" s="515">
        <v>4800</v>
      </c>
      <c r="J371" s="510">
        <f>SUMIFS(APUS!$Y$9:$Y$1486,APUS!$M$9:$M$1486,INSUMOS!C371)</f>
        <v>0</v>
      </c>
      <c r="K371" s="511">
        <f t="shared" si="38"/>
        <v>0</v>
      </c>
      <c r="N371" s="533">
        <f>IFERROR(SUMIFS(APUS!$Z$10:$Z$62,APUS!$N$62:Q237,INSUMOS!D371),0)</f>
        <v>0</v>
      </c>
      <c r="O371" s="546">
        <f t="shared" si="51"/>
        <v>0</v>
      </c>
      <c r="P371" s="348"/>
      <c r="Q371" s="341" t="str">
        <f t="shared" si="52"/>
        <v>SI</v>
      </c>
    </row>
    <row r="372" spans="3:17" hidden="1" x14ac:dyDescent="0.25">
      <c r="C372" s="358">
        <v>442</v>
      </c>
      <c r="D372" s="791" t="s">
        <v>725</v>
      </c>
      <c r="E372" s="791"/>
      <c r="F372" s="791"/>
      <c r="G372" s="791"/>
      <c r="H372" s="314" t="s">
        <v>212</v>
      </c>
      <c r="I372" s="515">
        <v>6000</v>
      </c>
      <c r="J372" s="510">
        <f>SUMIFS(APUS!$Y$9:$Y$1486,APUS!$M$9:$M$1486,INSUMOS!C372)</f>
        <v>0</v>
      </c>
      <c r="K372" s="511">
        <f t="shared" si="38"/>
        <v>0</v>
      </c>
      <c r="N372" s="533">
        <f>IFERROR(SUMIFS(APUS!$Z$10:$Z$62,APUS!$N$62:Q238,INSUMOS!D372),0)</f>
        <v>0</v>
      </c>
      <c r="O372" s="546">
        <f t="shared" si="51"/>
        <v>0</v>
      </c>
      <c r="P372" s="348"/>
      <c r="Q372" s="341" t="str">
        <f t="shared" si="52"/>
        <v>SI</v>
      </c>
    </row>
    <row r="373" spans="3:17" hidden="1" x14ac:dyDescent="0.25">
      <c r="C373" s="358">
        <v>443</v>
      </c>
      <c r="D373" s="791"/>
      <c r="E373" s="791"/>
      <c r="F373" s="791"/>
      <c r="G373" s="791"/>
      <c r="H373" s="314"/>
      <c r="I373" s="515"/>
      <c r="J373" s="510">
        <f>SUMIFS(APUS!$Y$9:$Y$1486,APUS!$M$9:$M$1486,INSUMOS!C373)</f>
        <v>0</v>
      </c>
      <c r="K373" s="511">
        <f t="shared" si="38"/>
        <v>0</v>
      </c>
      <c r="N373" s="533">
        <f>IFERROR(SUMIFS(APUS!$Z$10:$Z$62,APUS!$N$62:Q239,INSUMOS!D373),0)</f>
        <v>0</v>
      </c>
      <c r="O373" s="546">
        <f t="shared" si="51"/>
        <v>0</v>
      </c>
      <c r="P373" s="348"/>
      <c r="Q373" s="341" t="str">
        <f t="shared" si="52"/>
        <v>SI</v>
      </c>
    </row>
    <row r="374" spans="3:17" hidden="1" x14ac:dyDescent="0.25">
      <c r="C374" s="358">
        <v>444</v>
      </c>
      <c r="D374" s="791"/>
      <c r="E374" s="791"/>
      <c r="F374" s="791"/>
      <c r="G374" s="791"/>
      <c r="H374" s="314"/>
      <c r="I374" s="515"/>
      <c r="J374" s="510">
        <f>SUMIFS(APUS!$Y$9:$Y$1486,APUS!$M$9:$M$1486,INSUMOS!C374)</f>
        <v>0</v>
      </c>
      <c r="K374" s="511">
        <f t="shared" si="38"/>
        <v>0</v>
      </c>
      <c r="N374" s="533">
        <f>IFERROR(SUMIFS(APUS!$Z$10:$Z$62,APUS!$N$62:Q240,INSUMOS!D374),0)</f>
        <v>0</v>
      </c>
      <c r="O374" s="546">
        <f t="shared" si="51"/>
        <v>0</v>
      </c>
      <c r="P374" s="348"/>
      <c r="Q374" s="341" t="str">
        <f t="shared" si="52"/>
        <v>SI</v>
      </c>
    </row>
    <row r="375" spans="3:17" hidden="1" x14ac:dyDescent="0.25">
      <c r="C375" s="358">
        <v>445</v>
      </c>
      <c r="D375" s="791"/>
      <c r="E375" s="791"/>
      <c r="F375" s="791"/>
      <c r="G375" s="791"/>
      <c r="H375" s="314"/>
      <c r="I375" s="515"/>
      <c r="J375" s="510">
        <f>SUMIFS(APUS!$Y$9:$Y$1486,APUS!$M$9:$M$1486,INSUMOS!C375)</f>
        <v>0</v>
      </c>
      <c r="K375" s="511">
        <f t="shared" si="38"/>
        <v>0</v>
      </c>
      <c r="N375" s="533">
        <f>IFERROR(SUMIFS(APUS!$Z$10:$Z$62,APUS!$N$62:Q241,INSUMOS!D375),0)</f>
        <v>0</v>
      </c>
      <c r="O375" s="546">
        <f t="shared" si="51"/>
        <v>0</v>
      </c>
      <c r="P375" s="348"/>
      <c r="Q375" s="341" t="str">
        <f t="shared" si="52"/>
        <v>SI</v>
      </c>
    </row>
    <row r="376" spans="3:17" hidden="1" x14ac:dyDescent="0.25">
      <c r="C376" s="358">
        <v>446</v>
      </c>
      <c r="D376" s="791"/>
      <c r="E376" s="791"/>
      <c r="F376" s="791"/>
      <c r="G376" s="791"/>
      <c r="H376" s="314"/>
      <c r="I376" s="515"/>
      <c r="J376" s="510">
        <f>SUMIFS(APUS!$Y$9:$Y$1486,APUS!$M$9:$M$1486,INSUMOS!C376)</f>
        <v>0</v>
      </c>
      <c r="K376" s="511">
        <f t="shared" si="38"/>
        <v>0</v>
      </c>
      <c r="N376" s="533">
        <f>IFERROR(SUMIFS(APUS!$Z$10:$Z$62,APUS!$N$62:Q242,INSUMOS!D376),0)</f>
        <v>0</v>
      </c>
      <c r="O376" s="546">
        <f t="shared" si="51"/>
        <v>0</v>
      </c>
      <c r="P376" s="348"/>
      <c r="Q376" s="341" t="str">
        <f t="shared" si="52"/>
        <v>SI</v>
      </c>
    </row>
    <row r="377" spans="3:17" hidden="1" x14ac:dyDescent="0.25">
      <c r="C377" s="358">
        <v>447</v>
      </c>
      <c r="D377" s="798" t="s">
        <v>823</v>
      </c>
      <c r="E377" s="798"/>
      <c r="F377" s="798"/>
      <c r="G377" s="798"/>
      <c r="H377" s="548" t="s">
        <v>240</v>
      </c>
      <c r="I377" s="549">
        <v>7706</v>
      </c>
      <c r="J377" s="510">
        <f>SUMIFS(APUS!$Y$9:$Y$1486,APUS!$M$9:$M$1486,INSUMOS!C377)</f>
        <v>0</v>
      </c>
      <c r="K377" s="511">
        <f t="shared" ref="K377:K440" si="53">+J377*I377</f>
        <v>0</v>
      </c>
      <c r="N377" s="533">
        <f>IFERROR(SUMIFS(APUS!$Z$10:$Z$62,APUS!$N$62:Q243,INSUMOS!D377),0)</f>
        <v>0</v>
      </c>
      <c r="O377" s="546">
        <f t="shared" si="51"/>
        <v>0</v>
      </c>
      <c r="P377" s="348"/>
      <c r="Q377" s="341" t="str">
        <f t="shared" si="52"/>
        <v>SI</v>
      </c>
    </row>
    <row r="378" spans="3:17" hidden="1" x14ac:dyDescent="0.25">
      <c r="C378" s="358">
        <v>448</v>
      </c>
      <c r="D378" s="791"/>
      <c r="E378" s="791"/>
      <c r="F378" s="791"/>
      <c r="G378" s="791"/>
      <c r="H378" s="314"/>
      <c r="I378" s="515"/>
      <c r="J378" s="510">
        <f>SUMIFS(APUS!$Y$9:$Y$1486,APUS!$M$9:$M$1486,INSUMOS!C378)</f>
        <v>0</v>
      </c>
      <c r="K378" s="511">
        <f t="shared" si="53"/>
        <v>0</v>
      </c>
      <c r="N378" s="533">
        <f>IFERROR(SUMIFS(APUS!$Z$10:$Z$62,APUS!$N$62:Q244,INSUMOS!D378),0)</f>
        <v>0</v>
      </c>
      <c r="O378" s="546">
        <f t="shared" si="51"/>
        <v>0</v>
      </c>
      <c r="P378" s="348"/>
      <c r="Q378" s="341" t="str">
        <f t="shared" si="52"/>
        <v>SI</v>
      </c>
    </row>
    <row r="379" spans="3:17" hidden="1" x14ac:dyDescent="0.25">
      <c r="C379" s="358">
        <v>449</v>
      </c>
      <c r="D379" s="791"/>
      <c r="E379" s="791"/>
      <c r="F379" s="791"/>
      <c r="G379" s="791"/>
      <c r="H379" s="314"/>
      <c r="I379" s="515"/>
      <c r="J379" s="510">
        <f>SUMIFS(APUS!$Y$9:$Y$1486,APUS!$M$9:$M$1486,INSUMOS!C379)</f>
        <v>0</v>
      </c>
      <c r="K379" s="511">
        <f t="shared" si="53"/>
        <v>0</v>
      </c>
      <c r="N379" s="533">
        <f>IFERROR(SUMIFS(APUS!$Z$10:$Z$62,APUS!$N$62:Q245,INSUMOS!D379),0)</f>
        <v>0</v>
      </c>
      <c r="O379" s="546">
        <f t="shared" si="51"/>
        <v>0</v>
      </c>
      <c r="P379" s="348"/>
      <c r="Q379" s="341" t="str">
        <f t="shared" si="52"/>
        <v>SI</v>
      </c>
    </row>
    <row r="380" spans="3:17" hidden="1" x14ac:dyDescent="0.25">
      <c r="C380" s="358">
        <v>450</v>
      </c>
      <c r="D380" s="791" t="s">
        <v>236</v>
      </c>
      <c r="E380" s="791"/>
      <c r="F380" s="791"/>
      <c r="G380" s="791"/>
      <c r="H380" s="314" t="s">
        <v>43</v>
      </c>
      <c r="I380" s="515">
        <v>12145</v>
      </c>
      <c r="J380" s="510">
        <f>SUMIFS(APUS!$Y$9:$Y$1486,APUS!$M$9:$M$1486,INSUMOS!C380)</f>
        <v>0</v>
      </c>
      <c r="K380" s="511">
        <f t="shared" si="53"/>
        <v>0</v>
      </c>
      <c r="N380" s="533">
        <f>IFERROR(SUMIFS(APUS!$Z$10:$Z$62,APUS!$N$62:Q246,INSUMOS!#REF!),0)</f>
        <v>0</v>
      </c>
      <c r="O380" s="546">
        <f t="shared" si="51"/>
        <v>0</v>
      </c>
      <c r="P380" s="348"/>
      <c r="Q380" s="341" t="str">
        <f t="shared" si="52"/>
        <v>SI</v>
      </c>
    </row>
    <row r="381" spans="3:17" hidden="1" x14ac:dyDescent="0.25">
      <c r="C381" s="358">
        <v>451</v>
      </c>
      <c r="D381" s="791"/>
      <c r="E381" s="791"/>
      <c r="F381" s="791"/>
      <c r="G381" s="791"/>
      <c r="H381" s="314"/>
      <c r="I381" s="515"/>
      <c r="J381" s="510">
        <f>SUMIFS(APUS!$Y$9:$Y$1486,APUS!$M$9:$M$1486,INSUMOS!C381)</f>
        <v>0</v>
      </c>
      <c r="K381" s="511">
        <f t="shared" si="53"/>
        <v>0</v>
      </c>
      <c r="N381" s="533">
        <f>IFERROR(SUMIFS(APUS!$Z$10:$Z$62,APUS!$N$62:Q247,INSUMOS!#REF!),0)</f>
        <v>0</v>
      </c>
      <c r="O381" s="546">
        <f t="shared" si="51"/>
        <v>0</v>
      </c>
      <c r="P381" s="348"/>
      <c r="Q381" s="341" t="str">
        <f t="shared" si="52"/>
        <v>SI</v>
      </c>
    </row>
    <row r="382" spans="3:17" hidden="1" x14ac:dyDescent="0.25">
      <c r="C382" s="358">
        <v>452</v>
      </c>
      <c r="D382" s="791"/>
      <c r="E382" s="791"/>
      <c r="F382" s="791"/>
      <c r="G382" s="791"/>
      <c r="H382" s="314"/>
      <c r="I382" s="515"/>
      <c r="J382" s="510">
        <f>SUMIFS(APUS!$Y$9:$Y$1486,APUS!$M$9:$M$1486,INSUMOS!C382)</f>
        <v>0</v>
      </c>
      <c r="K382" s="511">
        <f t="shared" si="53"/>
        <v>0</v>
      </c>
      <c r="N382" s="533">
        <f>IFERROR(SUMIFS(APUS!$Z$10:$Z$62,APUS!$N$62:Q248,INSUMOS!D382),0)</f>
        <v>0</v>
      </c>
      <c r="O382" s="546">
        <f t="shared" si="51"/>
        <v>0</v>
      </c>
      <c r="P382" s="348"/>
      <c r="Q382" s="341" t="str">
        <f t="shared" si="52"/>
        <v>SI</v>
      </c>
    </row>
    <row r="383" spans="3:17" hidden="1" x14ac:dyDescent="0.25">
      <c r="C383" s="358">
        <v>453</v>
      </c>
      <c r="D383" s="791"/>
      <c r="E383" s="791"/>
      <c r="F383" s="791"/>
      <c r="G383" s="791"/>
      <c r="H383" s="314"/>
      <c r="I383" s="515"/>
      <c r="J383" s="510">
        <f>SUMIFS(APUS!$Y$9:$Y$1486,APUS!$M$9:$M$1486,INSUMOS!C383)</f>
        <v>0</v>
      </c>
      <c r="K383" s="511">
        <f t="shared" si="53"/>
        <v>0</v>
      </c>
      <c r="N383" s="533">
        <f>IFERROR(SUMIFS(APUS!$Z$10:$Z$62,APUS!$N$62:Q249,INSUMOS!D383),0)</f>
        <v>0</v>
      </c>
      <c r="O383" s="546">
        <f t="shared" si="51"/>
        <v>0</v>
      </c>
      <c r="P383" s="348"/>
      <c r="Q383" s="341" t="str">
        <f t="shared" si="52"/>
        <v>SI</v>
      </c>
    </row>
    <row r="384" spans="3:17" hidden="1" x14ac:dyDescent="0.25">
      <c r="C384" s="358">
        <v>454</v>
      </c>
      <c r="D384" s="791" t="s">
        <v>732</v>
      </c>
      <c r="E384" s="791"/>
      <c r="F384" s="791"/>
      <c r="G384" s="791"/>
      <c r="H384" s="314" t="s">
        <v>35</v>
      </c>
      <c r="I384" s="515">
        <v>155350</v>
      </c>
      <c r="J384" s="510">
        <f>SUMIFS(APUS!$Y$9:$Y$1486,APUS!$M$9:$M$1486,INSUMOS!C384)</f>
        <v>0</v>
      </c>
      <c r="K384" s="511">
        <f t="shared" si="53"/>
        <v>0</v>
      </c>
      <c r="N384" s="533">
        <f>IFERROR(SUMIFS(APUS!$Z$10:$Z$62,APUS!$N$62:Q250,INSUMOS!D384),0)</f>
        <v>0</v>
      </c>
      <c r="O384" s="546">
        <f t="shared" si="51"/>
        <v>0</v>
      </c>
      <c r="P384" s="348"/>
      <c r="Q384" s="341" t="str">
        <f t="shared" si="52"/>
        <v>SI</v>
      </c>
    </row>
    <row r="385" spans="3:17" hidden="1" x14ac:dyDescent="0.25">
      <c r="C385" s="358">
        <v>455</v>
      </c>
      <c r="D385" s="791" t="s">
        <v>237</v>
      </c>
      <c r="E385" s="791"/>
      <c r="F385" s="791"/>
      <c r="G385" s="791"/>
      <c r="H385" s="314" t="s">
        <v>35</v>
      </c>
      <c r="I385" s="515">
        <v>15300</v>
      </c>
      <c r="J385" s="510">
        <f>SUMIFS(APUS!$Y$9:$Y$1486,APUS!$M$9:$M$1486,INSUMOS!C385)</f>
        <v>0</v>
      </c>
      <c r="K385" s="511">
        <f t="shared" si="53"/>
        <v>0</v>
      </c>
      <c r="N385" s="533">
        <f>IFERROR(SUMIFS(APUS!$Z$10:$Z$62,APUS!$N$62:Q251,INSUMOS!D385),0)</f>
        <v>0</v>
      </c>
      <c r="O385" s="546">
        <f t="shared" si="51"/>
        <v>0</v>
      </c>
      <c r="P385" s="348"/>
      <c r="Q385" s="341" t="str">
        <f t="shared" si="52"/>
        <v>SI</v>
      </c>
    </row>
    <row r="386" spans="3:17" hidden="1" x14ac:dyDescent="0.25">
      <c r="C386" s="358">
        <v>456</v>
      </c>
      <c r="D386" s="791" t="s">
        <v>560</v>
      </c>
      <c r="E386" s="791"/>
      <c r="F386" s="791"/>
      <c r="G386" s="791"/>
      <c r="H386" s="314" t="s">
        <v>35</v>
      </c>
      <c r="I386" s="515">
        <v>17800</v>
      </c>
      <c r="J386" s="510">
        <f>SUMIFS(APUS!$Y$9:$Y$1486,APUS!$M$9:$M$1486,INSUMOS!C386)</f>
        <v>0</v>
      </c>
      <c r="K386" s="511">
        <f t="shared" si="53"/>
        <v>0</v>
      </c>
      <c r="N386" s="533">
        <f>IFERROR(SUMIFS(APUS!$Z$10:$Z$62,APUS!$N$62:Q252,INSUMOS!D386),0)</f>
        <v>0</v>
      </c>
      <c r="O386" s="546">
        <f t="shared" si="51"/>
        <v>0</v>
      </c>
      <c r="P386" s="348"/>
      <c r="Q386" s="341" t="str">
        <f t="shared" si="52"/>
        <v>SI</v>
      </c>
    </row>
    <row r="387" spans="3:17" hidden="1" x14ac:dyDescent="0.25">
      <c r="C387" s="358">
        <v>457</v>
      </c>
      <c r="D387" s="791"/>
      <c r="E387" s="791"/>
      <c r="F387" s="791"/>
      <c r="G387" s="791"/>
      <c r="H387" s="314"/>
      <c r="I387" s="515"/>
      <c r="J387" s="510">
        <f>SUMIFS(APUS!$Y$9:$Y$1486,APUS!$M$9:$M$1486,INSUMOS!C387)</f>
        <v>0</v>
      </c>
      <c r="K387" s="511">
        <f t="shared" si="53"/>
        <v>0</v>
      </c>
      <c r="N387" s="533">
        <f>IFERROR(SUMIFS(APUS!$Z$10:$Z$62,APUS!$N$62:Q260,INSUMOS!D387),0)</f>
        <v>0</v>
      </c>
      <c r="O387" s="546">
        <f t="shared" si="51"/>
        <v>0</v>
      </c>
      <c r="P387" s="348"/>
      <c r="Q387" s="341" t="str">
        <f t="shared" si="52"/>
        <v>SI</v>
      </c>
    </row>
    <row r="388" spans="3:17" hidden="1" x14ac:dyDescent="0.25">
      <c r="C388" s="358">
        <v>458</v>
      </c>
      <c r="D388" s="791"/>
      <c r="E388" s="791"/>
      <c r="F388" s="791"/>
      <c r="G388" s="791"/>
      <c r="H388" s="314"/>
      <c r="I388" s="515"/>
      <c r="J388" s="510">
        <f>SUMIFS(APUS!$Y$9:$Y$1486,APUS!$M$9:$M$1486,INSUMOS!C388)</f>
        <v>0</v>
      </c>
      <c r="K388" s="511">
        <f t="shared" si="53"/>
        <v>0</v>
      </c>
      <c r="N388" s="533">
        <f>IFERROR(SUMIFS(APUS!$Z$10:$Z$62,APUS!$N$62:Q261,INSUMOS!D388),0)</f>
        <v>0</v>
      </c>
      <c r="O388" s="546">
        <f t="shared" si="51"/>
        <v>0</v>
      </c>
      <c r="P388" s="348"/>
      <c r="Q388" s="341" t="str">
        <f t="shared" si="52"/>
        <v>SI</v>
      </c>
    </row>
    <row r="389" spans="3:17" hidden="1" x14ac:dyDescent="0.25">
      <c r="C389" s="358">
        <v>459</v>
      </c>
      <c r="D389" s="791"/>
      <c r="E389" s="791"/>
      <c r="F389" s="791"/>
      <c r="G389" s="791"/>
      <c r="H389" s="314"/>
      <c r="I389" s="515"/>
      <c r="J389" s="510">
        <f>SUMIFS(APUS!$Y$9:$Y$1486,APUS!$M$9:$M$1486,INSUMOS!C389)</f>
        <v>0</v>
      </c>
      <c r="K389" s="511">
        <f t="shared" si="53"/>
        <v>0</v>
      </c>
      <c r="N389" s="533">
        <f>IFERROR(SUMIFS(APUS!$Z$10:$Z$62,APUS!$N$62:Q262,INSUMOS!D389),0)</f>
        <v>0</v>
      </c>
      <c r="O389" s="546">
        <f t="shared" si="51"/>
        <v>0</v>
      </c>
      <c r="P389" s="348"/>
      <c r="Q389" s="341" t="str">
        <f t="shared" si="52"/>
        <v>SI</v>
      </c>
    </row>
    <row r="390" spans="3:17" hidden="1" x14ac:dyDescent="0.25">
      <c r="C390" s="358">
        <v>460</v>
      </c>
      <c r="D390" s="791" t="s">
        <v>873</v>
      </c>
      <c r="E390" s="791"/>
      <c r="F390" s="791"/>
      <c r="G390" s="791"/>
      <c r="H390" s="314" t="s">
        <v>212</v>
      </c>
      <c r="I390" s="515">
        <v>8050</v>
      </c>
      <c r="J390" s="510">
        <f>SUMIFS(APUS!$Y$9:$Y$1486,APUS!$M$9:$M$1486,INSUMOS!C390)</f>
        <v>0</v>
      </c>
      <c r="K390" s="511">
        <f t="shared" si="53"/>
        <v>0</v>
      </c>
      <c r="N390" s="533">
        <f>IFERROR(SUMIFS(APUS!$Z$10:$Z$62,APUS!$N$62:Q263,INSUMOS!#REF!),0)</f>
        <v>0</v>
      </c>
      <c r="O390" s="546">
        <f t="shared" si="51"/>
        <v>0</v>
      </c>
      <c r="P390" s="348"/>
      <c r="Q390" s="341" t="str">
        <f t="shared" si="52"/>
        <v>SI</v>
      </c>
    </row>
    <row r="391" spans="3:17" hidden="1" x14ac:dyDescent="0.25">
      <c r="C391" s="358">
        <v>461</v>
      </c>
      <c r="D391" s="791"/>
      <c r="E391" s="791"/>
      <c r="F391" s="791"/>
      <c r="G391" s="791"/>
      <c r="H391" s="314"/>
      <c r="I391" s="515"/>
      <c r="J391" s="510">
        <f>SUMIFS(APUS!$Y$9:$Y$1486,APUS!$M$9:$M$1486,INSUMOS!C391)</f>
        <v>0</v>
      </c>
      <c r="K391" s="511">
        <f t="shared" si="53"/>
        <v>0</v>
      </c>
      <c r="N391" s="533">
        <f>IFERROR(SUMIFS(APUS!$Z$10:$Z$62,APUS!$N$62:Q264,INSUMOS!D391),0)</f>
        <v>0</v>
      </c>
      <c r="O391" s="546">
        <f t="shared" si="51"/>
        <v>0</v>
      </c>
      <c r="P391" s="348"/>
      <c r="Q391" s="341" t="str">
        <f t="shared" si="52"/>
        <v>SI</v>
      </c>
    </row>
    <row r="392" spans="3:17" hidden="1" x14ac:dyDescent="0.25">
      <c r="C392" s="358">
        <v>462</v>
      </c>
      <c r="D392" s="791"/>
      <c r="E392" s="791"/>
      <c r="F392" s="791"/>
      <c r="G392" s="791"/>
      <c r="H392" s="314"/>
      <c r="I392" s="515"/>
      <c r="J392" s="510">
        <f>SUMIFS(APUS!$Y$9:$Y$1486,APUS!$M$9:$M$1486,INSUMOS!C392)</f>
        <v>0</v>
      </c>
      <c r="K392" s="511">
        <f t="shared" si="53"/>
        <v>0</v>
      </c>
      <c r="N392" s="533">
        <f>IFERROR(SUMIFS(APUS!$Z$10:$Z$62,APUS!$N$62:Q265,INSUMOS!D392),0)</f>
        <v>0</v>
      </c>
      <c r="O392" s="546">
        <f t="shared" si="51"/>
        <v>0</v>
      </c>
      <c r="P392" s="348"/>
      <c r="Q392" s="341" t="str">
        <f t="shared" si="52"/>
        <v>SI</v>
      </c>
    </row>
    <row r="393" spans="3:17" hidden="1" x14ac:dyDescent="0.25">
      <c r="C393" s="358">
        <v>463</v>
      </c>
      <c r="D393" s="791"/>
      <c r="E393" s="791"/>
      <c r="F393" s="791"/>
      <c r="G393" s="791"/>
      <c r="H393" s="314"/>
      <c r="I393" s="515"/>
      <c r="J393" s="510">
        <f>SUMIFS(APUS!$Y$9:$Y$1486,APUS!$M$9:$M$1486,INSUMOS!C393)</f>
        <v>0</v>
      </c>
      <c r="K393" s="511">
        <f t="shared" si="53"/>
        <v>0</v>
      </c>
      <c r="N393" s="533">
        <f>IFERROR(SUMIFS(APUS!$Z$10:$Z$62,APUS!$N$62:Q266,INSUMOS!D393),0)</f>
        <v>0</v>
      </c>
      <c r="O393" s="546">
        <f t="shared" si="51"/>
        <v>0</v>
      </c>
      <c r="P393" s="348"/>
      <c r="Q393" s="341" t="str">
        <f t="shared" si="52"/>
        <v>SI</v>
      </c>
    </row>
    <row r="394" spans="3:17" hidden="1" x14ac:dyDescent="0.25">
      <c r="C394" s="358">
        <v>464</v>
      </c>
      <c r="D394" s="791" t="s">
        <v>243</v>
      </c>
      <c r="E394" s="791"/>
      <c r="F394" s="791"/>
      <c r="G394" s="791"/>
      <c r="H394" s="314" t="s">
        <v>35</v>
      </c>
      <c r="I394" s="515">
        <v>19600</v>
      </c>
      <c r="J394" s="510">
        <f>SUMIFS(APUS!$Y$9:$Y$1486,APUS!$M$9:$M$1486,INSUMOS!C394)</f>
        <v>0</v>
      </c>
      <c r="K394" s="511">
        <f t="shared" si="53"/>
        <v>0</v>
      </c>
      <c r="N394" s="533">
        <f>IFERROR(SUMIFS(APUS!$Z$10:$Z$62,APUS!$N$62:Q267,INSUMOS!D394),0)</f>
        <v>0</v>
      </c>
      <c r="O394" s="546">
        <f t="shared" si="51"/>
        <v>0</v>
      </c>
      <c r="P394" s="348"/>
      <c r="Q394" s="341" t="str">
        <f t="shared" si="52"/>
        <v>SI</v>
      </c>
    </row>
    <row r="395" spans="3:17" hidden="1" x14ac:dyDescent="0.25">
      <c r="C395" s="358">
        <v>465</v>
      </c>
      <c r="D395" s="791"/>
      <c r="E395" s="791"/>
      <c r="F395" s="791"/>
      <c r="G395" s="791"/>
      <c r="H395" s="314"/>
      <c r="I395" s="515"/>
      <c r="J395" s="510">
        <f>SUMIFS(APUS!$Y$9:$Y$1486,APUS!$M$9:$M$1486,INSUMOS!C395)</f>
        <v>0</v>
      </c>
      <c r="K395" s="511">
        <f t="shared" si="53"/>
        <v>0</v>
      </c>
      <c r="N395" s="533">
        <f>IFERROR(SUMIFS(APUS!$Z$10:$Z$62,APUS!$N$62:Q268,INSUMOS!D395),0)</f>
        <v>0</v>
      </c>
      <c r="O395" s="546">
        <f t="shared" si="51"/>
        <v>0</v>
      </c>
      <c r="P395" s="348"/>
      <c r="Q395" s="341" t="str">
        <f t="shared" si="52"/>
        <v>SI</v>
      </c>
    </row>
    <row r="396" spans="3:17" hidden="1" x14ac:dyDescent="0.25">
      <c r="C396" s="358">
        <v>466</v>
      </c>
      <c r="D396" s="791"/>
      <c r="E396" s="791"/>
      <c r="F396" s="791"/>
      <c r="G396" s="791"/>
      <c r="H396" s="314"/>
      <c r="I396" s="515"/>
      <c r="J396" s="510">
        <f>SUMIFS(APUS!$Y$9:$Y$1486,APUS!$M$9:$M$1486,INSUMOS!C396)</f>
        <v>0</v>
      </c>
      <c r="K396" s="511">
        <f t="shared" si="53"/>
        <v>0</v>
      </c>
      <c r="N396" s="533">
        <f>IFERROR(SUMIFS(APUS!$Z$10:$Z$62,APUS!$N$62:Q269,INSUMOS!D396),0)</f>
        <v>0</v>
      </c>
      <c r="O396" s="546">
        <f t="shared" si="51"/>
        <v>0</v>
      </c>
      <c r="P396" s="348"/>
      <c r="Q396" s="341" t="str">
        <f t="shared" si="52"/>
        <v>SI</v>
      </c>
    </row>
    <row r="397" spans="3:17" hidden="1" x14ac:dyDescent="0.25">
      <c r="C397" s="358">
        <v>467</v>
      </c>
      <c r="D397" s="791"/>
      <c r="E397" s="791"/>
      <c r="F397" s="791"/>
      <c r="G397" s="791"/>
      <c r="H397" s="314"/>
      <c r="I397" s="515"/>
      <c r="J397" s="510">
        <f>SUMIFS(APUS!$Y$9:$Y$1486,APUS!$M$9:$M$1486,INSUMOS!C397)</f>
        <v>0</v>
      </c>
      <c r="K397" s="511">
        <f t="shared" si="53"/>
        <v>0</v>
      </c>
      <c r="N397" s="533">
        <f>IFERROR(SUMIFS(APUS!$Z$10:$Z$62,APUS!$N$62:Q270,INSUMOS!D397),0)</f>
        <v>0</v>
      </c>
      <c r="O397" s="546">
        <f t="shared" si="51"/>
        <v>0</v>
      </c>
      <c r="P397" s="348"/>
      <c r="Q397" s="341" t="str">
        <f t="shared" si="52"/>
        <v>SI</v>
      </c>
    </row>
    <row r="398" spans="3:17" hidden="1" x14ac:dyDescent="0.25">
      <c r="C398" s="358">
        <v>468</v>
      </c>
      <c r="D398" s="791"/>
      <c r="E398" s="791"/>
      <c r="F398" s="791"/>
      <c r="G398" s="791"/>
      <c r="H398" s="314"/>
      <c r="I398" s="515"/>
      <c r="J398" s="510">
        <f>SUMIFS(APUS!$Y$9:$Y$1486,APUS!$M$9:$M$1486,INSUMOS!C398)</f>
        <v>0</v>
      </c>
      <c r="K398" s="511">
        <f t="shared" si="53"/>
        <v>0</v>
      </c>
      <c r="N398" s="533">
        <f>IFERROR(SUMIFS(APUS!$Z$10:$Z$62,APUS!$N$62:Q271,INSUMOS!D398),0)</f>
        <v>0</v>
      </c>
      <c r="O398" s="546">
        <f t="shared" si="51"/>
        <v>0</v>
      </c>
      <c r="P398" s="348"/>
      <c r="Q398" s="341" t="str">
        <f t="shared" si="52"/>
        <v>SI</v>
      </c>
    </row>
    <row r="399" spans="3:17" hidden="1" x14ac:dyDescent="0.25">
      <c r="C399" s="358">
        <v>469</v>
      </c>
      <c r="D399" s="791" t="s">
        <v>728</v>
      </c>
      <c r="E399" s="791"/>
      <c r="F399" s="791"/>
      <c r="G399" s="791"/>
      <c r="H399" s="314" t="s">
        <v>36</v>
      </c>
      <c r="I399" s="515">
        <v>3500</v>
      </c>
      <c r="J399" s="510">
        <f>SUMIFS(APUS!$Y$9:$Y$1486,APUS!$M$9:$M$1486,INSUMOS!C399)</f>
        <v>0</v>
      </c>
      <c r="K399" s="511">
        <f t="shared" si="53"/>
        <v>0</v>
      </c>
      <c r="N399" s="533">
        <f>IFERROR(SUMIFS(APUS!$Z$10:$Z$62,APUS!$N$62:Q272,INSUMOS!D399),0)</f>
        <v>0</v>
      </c>
      <c r="O399" s="546">
        <f t="shared" si="51"/>
        <v>0</v>
      </c>
      <c r="P399" s="348"/>
      <c r="Q399" s="341" t="str">
        <f t="shared" si="52"/>
        <v>SI</v>
      </c>
    </row>
    <row r="400" spans="3:17" hidden="1" x14ac:dyDescent="0.25">
      <c r="C400" s="358">
        <v>470</v>
      </c>
      <c r="D400" s="791" t="s">
        <v>726</v>
      </c>
      <c r="E400" s="791"/>
      <c r="F400" s="791"/>
      <c r="G400" s="791"/>
      <c r="H400" s="314" t="s">
        <v>35</v>
      </c>
      <c r="I400" s="515">
        <v>19992</v>
      </c>
      <c r="J400" s="510">
        <f>SUMIFS(APUS!$Y$9:$Y$1486,APUS!$M$9:$M$1486,INSUMOS!C400)</f>
        <v>0</v>
      </c>
      <c r="K400" s="511">
        <f t="shared" si="53"/>
        <v>0</v>
      </c>
      <c r="N400" s="533">
        <f>IFERROR(SUMIFS(APUS!$Z$10:$Z$62,APUS!$N$62:Q273,INSUMOS!D400),0)</f>
        <v>0</v>
      </c>
      <c r="O400" s="546">
        <f t="shared" si="51"/>
        <v>0</v>
      </c>
      <c r="P400" s="348"/>
      <c r="Q400" s="341" t="str">
        <f t="shared" si="52"/>
        <v>SI</v>
      </c>
    </row>
    <row r="401" spans="3:17" hidden="1" x14ac:dyDescent="0.25">
      <c r="C401" s="358">
        <v>471</v>
      </c>
      <c r="D401" s="791" t="s">
        <v>241</v>
      </c>
      <c r="E401" s="791"/>
      <c r="F401" s="791"/>
      <c r="G401" s="791"/>
      <c r="H401" s="314" t="s">
        <v>36</v>
      </c>
      <c r="I401" s="515">
        <v>7500</v>
      </c>
      <c r="J401" s="510">
        <f>SUMIFS(APUS!$Y$9:$Y$1486,APUS!$M$9:$M$1486,INSUMOS!C401)</f>
        <v>0</v>
      </c>
      <c r="K401" s="511">
        <f t="shared" si="53"/>
        <v>0</v>
      </c>
      <c r="N401" s="533">
        <f>IFERROR(SUMIFS(APUS!$Z$10:$Z$62,APUS!$N$62:Q274,INSUMOS!D401),0)</f>
        <v>0</v>
      </c>
      <c r="O401" s="546">
        <f t="shared" si="51"/>
        <v>0</v>
      </c>
      <c r="P401" s="348"/>
      <c r="Q401" s="341" t="str">
        <f t="shared" si="52"/>
        <v>SI</v>
      </c>
    </row>
    <row r="402" spans="3:17" hidden="1" x14ac:dyDescent="0.25">
      <c r="C402" s="358">
        <v>472</v>
      </c>
      <c r="D402" s="727" t="s">
        <v>697</v>
      </c>
      <c r="E402" s="727"/>
      <c r="F402" s="727"/>
      <c r="G402" s="727"/>
      <c r="H402" s="516" t="s">
        <v>212</v>
      </c>
      <c r="I402" s="515">
        <v>26000</v>
      </c>
      <c r="J402" s="510">
        <f>SUMIFS(APUS!$Y$9:$Y$1486,APUS!$M$9:$M$1486,INSUMOS!C402)</f>
        <v>0</v>
      </c>
      <c r="K402" s="511">
        <f t="shared" si="53"/>
        <v>0</v>
      </c>
      <c r="N402" s="533">
        <f>IFERROR(SUMIFS(APUS!$Z$10:$Z$62,APUS!$N$62:Q275,INSUMOS!D402),0)</f>
        <v>0</v>
      </c>
      <c r="O402" s="546">
        <f t="shared" si="51"/>
        <v>0</v>
      </c>
      <c r="P402" s="348"/>
      <c r="Q402" s="341" t="str">
        <f t="shared" si="52"/>
        <v>SI</v>
      </c>
    </row>
    <row r="403" spans="3:17" hidden="1" x14ac:dyDescent="0.25">
      <c r="C403" s="358">
        <v>473</v>
      </c>
      <c r="D403" s="727" t="s">
        <v>727</v>
      </c>
      <c r="E403" s="727"/>
      <c r="F403" s="727"/>
      <c r="G403" s="727"/>
      <c r="H403" s="516" t="s">
        <v>36</v>
      </c>
      <c r="I403" s="515">
        <v>28000</v>
      </c>
      <c r="J403" s="510">
        <f>SUMIFS(APUS!$Y$9:$Y$1486,APUS!$M$9:$M$1486,INSUMOS!C403)</f>
        <v>0</v>
      </c>
      <c r="K403" s="511">
        <f t="shared" si="53"/>
        <v>0</v>
      </c>
      <c r="N403" s="533">
        <f>IFERROR(SUMIFS(APUS!$Z$10:$Z$62,APUS!$N$62:Q276,INSUMOS!D403),0)</f>
        <v>0</v>
      </c>
      <c r="O403" s="546">
        <f t="shared" si="51"/>
        <v>0</v>
      </c>
      <c r="P403" s="348"/>
      <c r="Q403" s="341" t="str">
        <f t="shared" si="52"/>
        <v>SI</v>
      </c>
    </row>
    <row r="404" spans="3:17" hidden="1" x14ac:dyDescent="0.25">
      <c r="C404" s="358">
        <v>474</v>
      </c>
      <c r="D404" s="727" t="s">
        <v>698</v>
      </c>
      <c r="E404" s="727"/>
      <c r="F404" s="727"/>
      <c r="G404" s="727"/>
      <c r="H404" s="516" t="s">
        <v>36</v>
      </c>
      <c r="I404" s="515">
        <v>7000</v>
      </c>
      <c r="J404" s="510">
        <f>SUMIFS(APUS!$Y$9:$Y$1486,APUS!$M$9:$M$1486,INSUMOS!C404)</f>
        <v>0</v>
      </c>
      <c r="K404" s="511">
        <f t="shared" si="53"/>
        <v>0</v>
      </c>
      <c r="N404" s="533">
        <f>IFERROR(SUMIFS(APUS!$Z$10:$Z$62,APUS!$N$62:Q277,INSUMOS!D404),0)</f>
        <v>0</v>
      </c>
      <c r="O404" s="546">
        <f t="shared" si="51"/>
        <v>0</v>
      </c>
      <c r="P404" s="348"/>
      <c r="Q404" s="341" t="str">
        <f t="shared" si="52"/>
        <v>SI</v>
      </c>
    </row>
    <row r="405" spans="3:17" hidden="1" x14ac:dyDescent="0.25">
      <c r="C405" s="358">
        <v>475</v>
      </c>
      <c r="D405" s="727" t="s">
        <v>699</v>
      </c>
      <c r="E405" s="727"/>
      <c r="F405" s="727"/>
      <c r="G405" s="727"/>
      <c r="H405" s="516" t="s">
        <v>36</v>
      </c>
      <c r="I405" s="515">
        <v>10200</v>
      </c>
      <c r="J405" s="510">
        <f>SUMIFS(APUS!$Y$9:$Y$1486,APUS!$M$9:$M$1486,INSUMOS!C405)</f>
        <v>0</v>
      </c>
      <c r="K405" s="511">
        <f t="shared" si="53"/>
        <v>0</v>
      </c>
      <c r="N405" s="533">
        <f>IFERROR(SUMIFS(APUS!$Z$10:$Z$62,APUS!$N$62:Q278,INSUMOS!D405),0)</f>
        <v>0</v>
      </c>
      <c r="O405" s="546">
        <f t="shared" si="51"/>
        <v>0</v>
      </c>
      <c r="P405" s="348"/>
      <c r="Q405" s="341" t="str">
        <f t="shared" si="52"/>
        <v>SI</v>
      </c>
    </row>
    <row r="406" spans="3:17" hidden="1" x14ac:dyDescent="0.25">
      <c r="C406" s="358">
        <v>476</v>
      </c>
      <c r="D406" s="727" t="s">
        <v>700</v>
      </c>
      <c r="E406" s="727"/>
      <c r="F406" s="727"/>
      <c r="G406" s="727"/>
      <c r="H406" s="516" t="s">
        <v>701</v>
      </c>
      <c r="I406" s="515">
        <v>95000</v>
      </c>
      <c r="J406" s="510">
        <f>SUMIFS(APUS!$Y$9:$Y$1486,APUS!$M$9:$M$1486,INSUMOS!C406)</f>
        <v>0</v>
      </c>
      <c r="K406" s="511">
        <f t="shared" si="53"/>
        <v>0</v>
      </c>
      <c r="N406" s="533">
        <f>IFERROR(SUMIFS(APUS!$Z$10:$Z$62,APUS!$N$62:Q279,INSUMOS!D406),0)</f>
        <v>0</v>
      </c>
      <c r="O406" s="546">
        <f t="shared" si="51"/>
        <v>0</v>
      </c>
      <c r="P406" s="348"/>
      <c r="Q406" s="341" t="str">
        <f t="shared" si="52"/>
        <v>SI</v>
      </c>
    </row>
    <row r="407" spans="3:17" hidden="1" x14ac:dyDescent="0.25">
      <c r="C407" s="358">
        <v>477</v>
      </c>
      <c r="D407" s="791" t="s">
        <v>730</v>
      </c>
      <c r="E407" s="791"/>
      <c r="F407" s="791"/>
      <c r="G407" s="791"/>
      <c r="H407" s="314" t="s">
        <v>35</v>
      </c>
      <c r="I407" s="515">
        <v>14042</v>
      </c>
      <c r="J407" s="510">
        <f>SUMIFS(APUS!$Y$9:$Y$1486,APUS!$M$9:$M$1486,INSUMOS!C407)</f>
        <v>0</v>
      </c>
      <c r="K407" s="511">
        <f t="shared" si="53"/>
        <v>0</v>
      </c>
      <c r="N407" s="533">
        <f>IFERROR(SUMIFS(APUS!$Z$10:$Z$62,APUS!$N$62:Q280,INSUMOS!D407),0)</f>
        <v>0</v>
      </c>
      <c r="O407" s="546">
        <f t="shared" si="51"/>
        <v>0</v>
      </c>
      <c r="P407" s="348"/>
      <c r="Q407" s="341" t="str">
        <f t="shared" si="52"/>
        <v>SI</v>
      </c>
    </row>
    <row r="408" spans="3:17" hidden="1" x14ac:dyDescent="0.25">
      <c r="C408" s="358">
        <v>478</v>
      </c>
      <c r="D408" s="791" t="s">
        <v>731</v>
      </c>
      <c r="E408" s="791"/>
      <c r="F408" s="791"/>
      <c r="G408" s="791"/>
      <c r="H408" s="314" t="s">
        <v>35</v>
      </c>
      <c r="I408" s="515">
        <v>4165</v>
      </c>
      <c r="J408" s="510">
        <f>SUMIFS(APUS!$Y$9:$Y$1486,APUS!$M$9:$M$1486,INSUMOS!C408)</f>
        <v>0</v>
      </c>
      <c r="K408" s="511">
        <f t="shared" si="53"/>
        <v>0</v>
      </c>
      <c r="N408" s="533">
        <f>IFERROR(SUMIFS(APUS!$Z$10:$Z$62,APUS!$N$62:Q281,INSUMOS!D408),0)</f>
        <v>0</v>
      </c>
      <c r="O408" s="546">
        <f t="shared" si="51"/>
        <v>0</v>
      </c>
      <c r="P408" s="348"/>
      <c r="Q408" s="341" t="str">
        <f t="shared" si="52"/>
        <v>SI</v>
      </c>
    </row>
    <row r="409" spans="3:17" hidden="1" x14ac:dyDescent="0.25">
      <c r="C409" s="358">
        <v>479</v>
      </c>
      <c r="D409" s="791"/>
      <c r="E409" s="791"/>
      <c r="F409" s="791"/>
      <c r="G409" s="791"/>
      <c r="H409" s="314"/>
      <c r="I409" s="515"/>
      <c r="J409" s="510">
        <f>SUMIFS(APUS!$Y$9:$Y$1486,APUS!$M$9:$M$1486,INSUMOS!C409)</f>
        <v>0</v>
      </c>
      <c r="K409" s="511">
        <f t="shared" si="53"/>
        <v>0</v>
      </c>
      <c r="N409" s="533">
        <f>IFERROR(SUMIFS(APUS!$Z$10:$Z$62,APUS!$N$62:Q282,INSUMOS!D409),0)</f>
        <v>0</v>
      </c>
      <c r="O409" s="546">
        <f t="shared" si="51"/>
        <v>0</v>
      </c>
      <c r="P409" s="348"/>
      <c r="Q409" s="341" t="str">
        <f t="shared" si="52"/>
        <v>SI</v>
      </c>
    </row>
    <row r="410" spans="3:17" hidden="1" x14ac:dyDescent="0.25">
      <c r="C410" s="358">
        <v>480</v>
      </c>
      <c r="D410" s="727" t="s">
        <v>250</v>
      </c>
      <c r="E410" s="727"/>
      <c r="F410" s="727"/>
      <c r="G410" s="727"/>
      <c r="H410" s="314" t="s">
        <v>36</v>
      </c>
      <c r="I410" s="515">
        <v>1542</v>
      </c>
      <c r="J410" s="510">
        <f>SUMIFS(APUS!$Y$9:$Y$1486,APUS!$M$9:$M$1486,INSUMOS!C410)</f>
        <v>0</v>
      </c>
      <c r="K410" s="511">
        <f t="shared" si="53"/>
        <v>0</v>
      </c>
      <c r="N410" s="533">
        <f>IFERROR(SUMIFS(APUS!$Z$10:$Z$62,APUS!$N$62:Q283,INSUMOS!D410),0)</f>
        <v>0</v>
      </c>
      <c r="O410" s="546">
        <f t="shared" si="51"/>
        <v>0</v>
      </c>
      <c r="P410" s="348"/>
      <c r="Q410" s="341" t="str">
        <f t="shared" si="52"/>
        <v>SI</v>
      </c>
    </row>
    <row r="411" spans="3:17" hidden="1" x14ac:dyDescent="0.25">
      <c r="C411" s="358">
        <v>481</v>
      </c>
      <c r="D411" s="727" t="s">
        <v>295</v>
      </c>
      <c r="E411" s="727"/>
      <c r="F411" s="727"/>
      <c r="G411" s="727"/>
      <c r="H411" s="314" t="s">
        <v>36</v>
      </c>
      <c r="I411" s="515"/>
      <c r="J411" s="510">
        <f>SUMIFS(APUS!$Y$9:$Y$1486,APUS!$M$9:$M$1486,INSUMOS!C411)</f>
        <v>0</v>
      </c>
      <c r="K411" s="511">
        <f t="shared" si="53"/>
        <v>0</v>
      </c>
      <c r="N411" s="533">
        <f>IFERROR(SUMIFS(APUS!$Z$10:$Z$62,APUS!$N$62:Q284,INSUMOS!D411),0)</f>
        <v>0</v>
      </c>
      <c r="O411" s="546">
        <f t="shared" si="51"/>
        <v>0</v>
      </c>
      <c r="P411" s="348"/>
      <c r="Q411" s="341" t="str">
        <f t="shared" si="52"/>
        <v>SI</v>
      </c>
    </row>
    <row r="412" spans="3:17" hidden="1" x14ac:dyDescent="0.25">
      <c r="C412" s="358">
        <v>482</v>
      </c>
      <c r="D412" s="727" t="s">
        <v>251</v>
      </c>
      <c r="E412" s="727"/>
      <c r="F412" s="727"/>
      <c r="G412" s="727"/>
      <c r="H412" s="314" t="s">
        <v>36</v>
      </c>
      <c r="I412" s="515">
        <v>2921</v>
      </c>
      <c r="J412" s="510">
        <f>SUMIFS(APUS!$Y$9:$Y$1486,APUS!$M$9:$M$1486,INSUMOS!C412)</f>
        <v>0</v>
      </c>
      <c r="K412" s="511">
        <f t="shared" si="53"/>
        <v>0</v>
      </c>
      <c r="N412" s="533">
        <f>IFERROR(SUMIFS(APUS!$Z$10:$Z$62,APUS!$N$62:Q285,INSUMOS!D412),0)</f>
        <v>0</v>
      </c>
      <c r="O412" s="546">
        <f t="shared" si="51"/>
        <v>0</v>
      </c>
      <c r="P412" s="348"/>
      <c r="Q412" s="341" t="str">
        <f t="shared" si="52"/>
        <v>SI</v>
      </c>
    </row>
    <row r="413" spans="3:17" hidden="1" x14ac:dyDescent="0.25">
      <c r="C413" s="358">
        <v>483</v>
      </c>
      <c r="D413" s="727" t="s">
        <v>302</v>
      </c>
      <c r="E413" s="727"/>
      <c r="F413" s="727"/>
      <c r="G413" s="727"/>
      <c r="H413" s="314" t="s">
        <v>36</v>
      </c>
      <c r="I413" s="515"/>
      <c r="J413" s="510">
        <f>SUMIFS(APUS!$Y$9:$Y$1486,APUS!$M$9:$M$1486,INSUMOS!C413)</f>
        <v>0</v>
      </c>
      <c r="K413" s="511">
        <f t="shared" si="53"/>
        <v>0</v>
      </c>
      <c r="N413" s="533">
        <f>IFERROR(SUMIFS(APUS!$Z$10:$Z$62,APUS!$N$62:Q286,INSUMOS!D413),0)</f>
        <v>0</v>
      </c>
      <c r="O413" s="546">
        <f t="shared" si="51"/>
        <v>0</v>
      </c>
      <c r="P413" s="348"/>
      <c r="Q413" s="341" t="str">
        <f t="shared" si="52"/>
        <v>SI</v>
      </c>
    </row>
    <row r="414" spans="3:17" hidden="1" x14ac:dyDescent="0.25">
      <c r="C414" s="358">
        <v>484</v>
      </c>
      <c r="D414" s="727" t="s">
        <v>296</v>
      </c>
      <c r="E414" s="727"/>
      <c r="F414" s="727"/>
      <c r="G414" s="727"/>
      <c r="H414" s="314" t="s">
        <v>36</v>
      </c>
      <c r="I414" s="515"/>
      <c r="J414" s="510">
        <f>SUMIFS(APUS!$Y$9:$Y$1486,APUS!$M$9:$M$1486,INSUMOS!C414)</f>
        <v>0</v>
      </c>
      <c r="K414" s="511">
        <f t="shared" si="53"/>
        <v>0</v>
      </c>
      <c r="N414" s="533">
        <f>IFERROR(SUMIFS(APUS!$Z$10:$Z$62,APUS!$N$62:Q287,INSUMOS!D414),0)</f>
        <v>0</v>
      </c>
      <c r="O414" s="546">
        <f t="shared" si="51"/>
        <v>0</v>
      </c>
      <c r="P414" s="348"/>
      <c r="Q414" s="341" t="str">
        <f t="shared" si="52"/>
        <v>SI</v>
      </c>
    </row>
    <row r="415" spans="3:17" hidden="1" x14ac:dyDescent="0.25">
      <c r="C415" s="358">
        <v>485</v>
      </c>
      <c r="D415" s="727" t="s">
        <v>297</v>
      </c>
      <c r="E415" s="727"/>
      <c r="F415" s="727"/>
      <c r="G415" s="727"/>
      <c r="H415" s="314" t="s">
        <v>36</v>
      </c>
      <c r="I415" s="515">
        <v>17160</v>
      </c>
      <c r="J415" s="510">
        <f>SUMIFS(APUS!$Y$9:$Y$1486,APUS!$M$9:$M$1486,INSUMOS!C415)</f>
        <v>0</v>
      </c>
      <c r="K415" s="511">
        <f t="shared" si="53"/>
        <v>0</v>
      </c>
      <c r="N415" s="533">
        <f>IFERROR(SUMIFS(APUS!$Z$10:$Z$62,APUS!$N$62:Q288,INSUMOS!D415),0)</f>
        <v>0</v>
      </c>
      <c r="O415" s="546">
        <f t="shared" si="51"/>
        <v>0</v>
      </c>
      <c r="P415" s="348"/>
      <c r="Q415" s="341" t="str">
        <f t="shared" si="52"/>
        <v>SI</v>
      </c>
    </row>
    <row r="416" spans="3:17" hidden="1" x14ac:dyDescent="0.25">
      <c r="C416" s="358">
        <v>486</v>
      </c>
      <c r="D416" s="727" t="s">
        <v>298</v>
      </c>
      <c r="E416" s="727"/>
      <c r="F416" s="727"/>
      <c r="G416" s="727"/>
      <c r="H416" s="314" t="s">
        <v>36</v>
      </c>
      <c r="I416" s="515"/>
      <c r="J416" s="510">
        <f>SUMIFS(APUS!$Y$9:$Y$1486,APUS!$M$9:$M$1486,INSUMOS!C416)</f>
        <v>0</v>
      </c>
      <c r="K416" s="511">
        <f t="shared" si="53"/>
        <v>0</v>
      </c>
      <c r="N416" s="533">
        <f>IFERROR(SUMIFS(APUS!$Z$10:$Z$62,APUS!$N$62:Q289,INSUMOS!D416),0)</f>
        <v>0</v>
      </c>
      <c r="O416" s="546">
        <f t="shared" si="51"/>
        <v>0</v>
      </c>
      <c r="P416" s="348"/>
      <c r="Q416" s="341" t="str">
        <f t="shared" si="52"/>
        <v>SI</v>
      </c>
    </row>
    <row r="417" spans="3:17" hidden="1" x14ac:dyDescent="0.25">
      <c r="C417" s="358">
        <v>487</v>
      </c>
      <c r="D417" s="727" t="s">
        <v>299</v>
      </c>
      <c r="E417" s="727"/>
      <c r="F417" s="727"/>
      <c r="G417" s="727"/>
      <c r="H417" s="314" t="s">
        <v>36</v>
      </c>
      <c r="I417" s="515"/>
      <c r="J417" s="510">
        <f>SUMIFS(APUS!$Y$9:$Y$1486,APUS!$M$9:$M$1486,INSUMOS!C417)</f>
        <v>0</v>
      </c>
      <c r="K417" s="511">
        <f t="shared" si="53"/>
        <v>0</v>
      </c>
      <c r="N417" s="533">
        <f>IFERROR(SUMIFS(APUS!$Z$10:$Z$62,APUS!$N$62:Q290,INSUMOS!D417),0)</f>
        <v>0</v>
      </c>
      <c r="O417" s="546">
        <f t="shared" si="51"/>
        <v>0</v>
      </c>
      <c r="P417" s="348"/>
      <c r="Q417" s="341" t="str">
        <f t="shared" si="52"/>
        <v>SI</v>
      </c>
    </row>
    <row r="418" spans="3:17" hidden="1" x14ac:dyDescent="0.25">
      <c r="C418" s="358">
        <v>488</v>
      </c>
      <c r="D418" s="727" t="s">
        <v>300</v>
      </c>
      <c r="E418" s="727"/>
      <c r="F418" s="727"/>
      <c r="G418" s="727"/>
      <c r="H418" s="314" t="s">
        <v>36</v>
      </c>
      <c r="I418" s="515"/>
      <c r="J418" s="510">
        <f>SUMIFS(APUS!$Y$9:$Y$1486,APUS!$M$9:$M$1486,INSUMOS!C418)</f>
        <v>0</v>
      </c>
      <c r="K418" s="511">
        <f t="shared" si="53"/>
        <v>0</v>
      </c>
      <c r="N418" s="533">
        <f>IFERROR(SUMIFS(APUS!$Z$10:$Z$62,APUS!$N$62:Q291,INSUMOS!D418),0)</f>
        <v>0</v>
      </c>
      <c r="O418" s="546">
        <f t="shared" si="51"/>
        <v>0</v>
      </c>
      <c r="P418" s="348"/>
      <c r="Q418" s="341" t="str">
        <f t="shared" si="52"/>
        <v>SI</v>
      </c>
    </row>
    <row r="419" spans="3:17" hidden="1" x14ac:dyDescent="0.25">
      <c r="C419" s="358">
        <v>489</v>
      </c>
      <c r="D419" s="727" t="s">
        <v>309</v>
      </c>
      <c r="E419" s="727"/>
      <c r="F419" s="727"/>
      <c r="G419" s="727"/>
      <c r="H419" s="314" t="s">
        <v>36</v>
      </c>
      <c r="I419" s="515">
        <v>47411</v>
      </c>
      <c r="J419" s="510">
        <f>SUMIFS(APUS!$Y$9:$Y$1486,APUS!$M$9:$M$1486,INSUMOS!C419)</f>
        <v>0</v>
      </c>
      <c r="K419" s="511">
        <f t="shared" si="53"/>
        <v>0</v>
      </c>
      <c r="N419" s="533">
        <f>IFERROR(SUMIFS(APUS!$Z$10:$Z$62,APUS!$N$62:Q292,INSUMOS!D419),0)</f>
        <v>0</v>
      </c>
      <c r="O419" s="546">
        <f t="shared" si="51"/>
        <v>0</v>
      </c>
      <c r="P419" s="348"/>
      <c r="Q419" s="341" t="str">
        <f t="shared" si="52"/>
        <v>SI</v>
      </c>
    </row>
    <row r="420" spans="3:17" ht="15" hidden="1" customHeight="1" x14ac:dyDescent="0.25">
      <c r="C420" s="358">
        <v>490</v>
      </c>
      <c r="D420" s="727" t="s">
        <v>310</v>
      </c>
      <c r="E420" s="727"/>
      <c r="F420" s="727"/>
      <c r="G420" s="727"/>
      <c r="H420" s="314" t="s">
        <v>36</v>
      </c>
      <c r="I420" s="515">
        <v>51093</v>
      </c>
      <c r="J420" s="510">
        <f>SUMIFS(APUS!$Y$9:$Y$1486,APUS!$M$9:$M$1486,INSUMOS!C420)</f>
        <v>0</v>
      </c>
      <c r="K420" s="511">
        <f t="shared" si="53"/>
        <v>0</v>
      </c>
      <c r="N420" s="533">
        <f>IFERROR(SUMIFS(APUS!$Z$10:$Z$62,APUS!$N$62:Q293,INSUMOS!D420),0)</f>
        <v>0</v>
      </c>
      <c r="O420" s="546">
        <f t="shared" si="51"/>
        <v>0</v>
      </c>
      <c r="P420" s="348"/>
      <c r="Q420" s="341" t="str">
        <f t="shared" si="52"/>
        <v>SI</v>
      </c>
    </row>
    <row r="421" spans="3:17" ht="15" hidden="1" customHeight="1" x14ac:dyDescent="0.25">
      <c r="C421" s="358">
        <v>491</v>
      </c>
      <c r="D421" s="727" t="s">
        <v>311</v>
      </c>
      <c r="E421" s="727"/>
      <c r="F421" s="727"/>
      <c r="G421" s="727"/>
      <c r="H421" s="314" t="s">
        <v>36</v>
      </c>
      <c r="I421" s="515">
        <v>74249</v>
      </c>
      <c r="J421" s="510">
        <f>SUMIFS(APUS!$Y$9:$Y$1486,APUS!$M$9:$M$1486,INSUMOS!C421)</f>
        <v>0</v>
      </c>
      <c r="K421" s="511">
        <f t="shared" si="53"/>
        <v>0</v>
      </c>
      <c r="N421" s="533">
        <f>IFERROR(SUMIFS(APUS!$Z$10:$Z$62,APUS!$N$62:Q294,INSUMOS!D421),0)</f>
        <v>0</v>
      </c>
      <c r="O421" s="546">
        <f t="shared" si="51"/>
        <v>0</v>
      </c>
      <c r="P421" s="348"/>
      <c r="Q421" s="341" t="str">
        <f t="shared" si="52"/>
        <v>SI</v>
      </c>
    </row>
    <row r="422" spans="3:17" ht="15" hidden="1" customHeight="1" x14ac:dyDescent="0.25">
      <c r="C422" s="358">
        <v>492</v>
      </c>
      <c r="D422" s="727" t="s">
        <v>312</v>
      </c>
      <c r="E422" s="727"/>
      <c r="F422" s="727"/>
      <c r="G422" s="727"/>
      <c r="H422" s="314" t="s">
        <v>36</v>
      </c>
      <c r="I422" s="515">
        <v>109775</v>
      </c>
      <c r="J422" s="510">
        <f>SUMIFS(APUS!$Y$9:$Y$1486,APUS!$M$9:$M$1486,INSUMOS!C422)</f>
        <v>0</v>
      </c>
      <c r="K422" s="511">
        <f t="shared" si="53"/>
        <v>0</v>
      </c>
      <c r="N422" s="533">
        <f>IFERROR(SUMIFS(APUS!$Z$10:$Z$62,APUS!$N$62:Q295,INSUMOS!D422),0)</f>
        <v>0</v>
      </c>
      <c r="O422" s="546">
        <f t="shared" si="51"/>
        <v>0</v>
      </c>
      <c r="P422" s="348"/>
      <c r="Q422" s="341" t="str">
        <f t="shared" si="52"/>
        <v>SI</v>
      </c>
    </row>
    <row r="423" spans="3:17" hidden="1" x14ac:dyDescent="0.25">
      <c r="C423" s="358">
        <v>493</v>
      </c>
      <c r="D423" s="727" t="s">
        <v>313</v>
      </c>
      <c r="E423" s="727"/>
      <c r="F423" s="727"/>
      <c r="G423" s="727"/>
      <c r="H423" s="314" t="s">
        <v>36</v>
      </c>
      <c r="I423" s="515">
        <v>224466</v>
      </c>
      <c r="J423" s="510">
        <f>SUMIFS(APUS!$Y$9:$Y$1486,APUS!$M$9:$M$1486,INSUMOS!C423)</f>
        <v>0</v>
      </c>
      <c r="K423" s="511">
        <f t="shared" si="53"/>
        <v>0</v>
      </c>
      <c r="N423" s="533">
        <f>IFERROR(SUMIFS(APUS!$Z$10:$Z$62,APUS!$N$62:Q296,INSUMOS!D423),0)</f>
        <v>0</v>
      </c>
      <c r="O423" s="546">
        <f t="shared" si="51"/>
        <v>0</v>
      </c>
      <c r="P423" s="348"/>
      <c r="Q423" s="341" t="str">
        <f t="shared" si="52"/>
        <v>SI</v>
      </c>
    </row>
    <row r="424" spans="3:17" ht="15" hidden="1" customHeight="1" x14ac:dyDescent="0.25">
      <c r="C424" s="358">
        <v>494</v>
      </c>
      <c r="D424" s="727" t="s">
        <v>314</v>
      </c>
      <c r="E424" s="727"/>
      <c r="F424" s="727"/>
      <c r="G424" s="727"/>
      <c r="H424" s="314" t="s">
        <v>36</v>
      </c>
      <c r="I424" s="515">
        <v>807585</v>
      </c>
      <c r="J424" s="510">
        <f>SUMIFS(APUS!$Y$9:$Y$1486,APUS!$M$9:$M$1486,INSUMOS!C424)</f>
        <v>0</v>
      </c>
      <c r="K424" s="511">
        <f t="shared" si="53"/>
        <v>0</v>
      </c>
      <c r="N424" s="533">
        <f>IFERROR(SUMIFS(APUS!$Z$10:$Z$62,APUS!$N$62:Q297,INSUMOS!D424),0)</f>
        <v>0</v>
      </c>
      <c r="O424" s="546">
        <f t="shared" ref="O424:O487" si="54">+N424-K424</f>
        <v>0</v>
      </c>
      <c r="P424" s="348"/>
      <c r="Q424" s="341" t="str">
        <f t="shared" ref="Q424:Q487" si="55">+IF(K424=0,"SI","NO")</f>
        <v>SI</v>
      </c>
    </row>
    <row r="425" spans="3:17" hidden="1" x14ac:dyDescent="0.25">
      <c r="C425" s="358">
        <v>495</v>
      </c>
      <c r="D425" s="727" t="s">
        <v>315</v>
      </c>
      <c r="E425" s="727"/>
      <c r="F425" s="727"/>
      <c r="G425" s="727"/>
      <c r="H425" s="314" t="s">
        <v>36</v>
      </c>
      <c r="I425" s="515">
        <v>1756458</v>
      </c>
      <c r="J425" s="510">
        <f>SUMIFS(APUS!$Y$9:$Y$1486,APUS!$M$9:$M$1486,INSUMOS!C425)</f>
        <v>0</v>
      </c>
      <c r="K425" s="511">
        <f t="shared" si="53"/>
        <v>0</v>
      </c>
      <c r="N425" s="533">
        <f>IFERROR(SUMIFS(APUS!$Z$10:$Z$62,APUS!$N$62:Q298,INSUMOS!D425),0)</f>
        <v>0</v>
      </c>
      <c r="O425" s="546">
        <f t="shared" si="54"/>
        <v>0</v>
      </c>
      <c r="P425" s="348"/>
      <c r="Q425" s="341" t="str">
        <f t="shared" si="55"/>
        <v>SI</v>
      </c>
    </row>
    <row r="426" spans="3:17" hidden="1" x14ac:dyDescent="0.25">
      <c r="C426" s="358">
        <v>496</v>
      </c>
      <c r="D426" s="727" t="s">
        <v>316</v>
      </c>
      <c r="E426" s="727"/>
      <c r="F426" s="727"/>
      <c r="G426" s="727"/>
      <c r="H426" s="314" t="s">
        <v>36</v>
      </c>
      <c r="I426" s="515">
        <v>2383833</v>
      </c>
      <c r="J426" s="510">
        <f>SUMIFS(APUS!$Y$9:$Y$1486,APUS!$M$9:$M$1486,INSUMOS!C426)</f>
        <v>0</v>
      </c>
      <c r="K426" s="511">
        <f t="shared" si="53"/>
        <v>0</v>
      </c>
      <c r="N426" s="533">
        <f>IFERROR(SUMIFS(APUS!$Z$10:$Z$62,APUS!$N$62:Q299,INSUMOS!D426),0)</f>
        <v>0</v>
      </c>
      <c r="O426" s="546">
        <f t="shared" si="54"/>
        <v>0</v>
      </c>
      <c r="P426" s="348"/>
      <c r="Q426" s="341" t="str">
        <f t="shared" si="55"/>
        <v>SI</v>
      </c>
    </row>
    <row r="427" spans="3:17" hidden="1" x14ac:dyDescent="0.25">
      <c r="C427" s="358">
        <v>497</v>
      </c>
      <c r="D427" s="727" t="s">
        <v>303</v>
      </c>
      <c r="E427" s="727"/>
      <c r="F427" s="727"/>
      <c r="G427" s="727"/>
      <c r="H427" s="314" t="s">
        <v>36</v>
      </c>
      <c r="I427" s="515">
        <v>1457</v>
      </c>
      <c r="J427" s="510">
        <f>SUMIFS(APUS!$Y$9:$Y$1486,APUS!$M$9:$M$1486,INSUMOS!C427)</f>
        <v>0</v>
      </c>
      <c r="K427" s="511">
        <f t="shared" si="53"/>
        <v>0</v>
      </c>
      <c r="N427" s="533">
        <f>IFERROR(SUMIFS(APUS!$Z$10:$Z$62,APUS!$N$62:Q300,INSUMOS!D427),0)</f>
        <v>0</v>
      </c>
      <c r="O427" s="546">
        <f t="shared" si="54"/>
        <v>0</v>
      </c>
      <c r="P427" s="348"/>
      <c r="Q427" s="341" t="str">
        <f t="shared" si="55"/>
        <v>SI</v>
      </c>
    </row>
    <row r="428" spans="3:17" hidden="1" x14ac:dyDescent="0.25">
      <c r="C428" s="358">
        <v>498</v>
      </c>
      <c r="D428" s="727" t="s">
        <v>304</v>
      </c>
      <c r="E428" s="727"/>
      <c r="F428" s="727"/>
      <c r="G428" s="727"/>
      <c r="H428" s="314" t="s">
        <v>36</v>
      </c>
      <c r="I428" s="515">
        <v>2633</v>
      </c>
      <c r="J428" s="510">
        <f>SUMIFS(APUS!$Y$9:$Y$1486,APUS!$M$9:$M$1486,INSUMOS!C428)</f>
        <v>0</v>
      </c>
      <c r="K428" s="511">
        <f t="shared" si="53"/>
        <v>0</v>
      </c>
      <c r="N428" s="533">
        <f>IFERROR(SUMIFS(APUS!$Z$10:$Z$62,APUS!$N$62:Q301,INSUMOS!D428),0)</f>
        <v>0</v>
      </c>
      <c r="O428" s="546">
        <f t="shared" si="54"/>
        <v>0</v>
      </c>
      <c r="P428" s="348"/>
      <c r="Q428" s="341" t="str">
        <f t="shared" si="55"/>
        <v>SI</v>
      </c>
    </row>
    <row r="429" spans="3:17" hidden="1" x14ac:dyDescent="0.25">
      <c r="C429" s="358">
        <v>499</v>
      </c>
      <c r="D429" s="727" t="s">
        <v>305</v>
      </c>
      <c r="E429" s="727"/>
      <c r="F429" s="727"/>
      <c r="G429" s="727"/>
      <c r="H429" s="314" t="s">
        <v>36</v>
      </c>
      <c r="I429" s="515">
        <v>6927</v>
      </c>
      <c r="J429" s="510">
        <f>SUMIFS(APUS!$Y$9:$Y$1486,APUS!$M$9:$M$1486,INSUMOS!C429)</f>
        <v>0</v>
      </c>
      <c r="K429" s="511">
        <f t="shared" si="53"/>
        <v>0</v>
      </c>
      <c r="N429" s="533">
        <f>IFERROR(SUMIFS(APUS!$Z$10:$Z$62,APUS!$N$62:Q302,INSUMOS!D429),0)</f>
        <v>0</v>
      </c>
      <c r="O429" s="546">
        <f t="shared" si="54"/>
        <v>0</v>
      </c>
      <c r="P429" s="348"/>
      <c r="Q429" s="341" t="str">
        <f t="shared" si="55"/>
        <v>SI</v>
      </c>
    </row>
    <row r="430" spans="3:17" hidden="1" x14ac:dyDescent="0.25">
      <c r="C430" s="358">
        <v>500</v>
      </c>
      <c r="D430" s="727" t="s">
        <v>306</v>
      </c>
      <c r="E430" s="727"/>
      <c r="F430" s="727"/>
      <c r="G430" s="727"/>
      <c r="H430" s="314" t="s">
        <v>36</v>
      </c>
      <c r="I430" s="515">
        <v>17959</v>
      </c>
      <c r="J430" s="510">
        <f>SUMIFS(APUS!$Y$9:$Y$1486,APUS!$M$9:$M$1486,INSUMOS!C430)</f>
        <v>0</v>
      </c>
      <c r="K430" s="511">
        <f t="shared" si="53"/>
        <v>0</v>
      </c>
      <c r="N430" s="533">
        <f>IFERROR(SUMIFS(APUS!$Z$10:$Z$62,APUS!$N$62:Q302,INSUMOS!D430),0)</f>
        <v>0</v>
      </c>
      <c r="O430" s="546">
        <f t="shared" si="54"/>
        <v>0</v>
      </c>
      <c r="P430" s="348"/>
      <c r="Q430" s="341" t="str">
        <f t="shared" si="55"/>
        <v>SI</v>
      </c>
    </row>
    <row r="431" spans="3:17" hidden="1" x14ac:dyDescent="0.25">
      <c r="C431" s="358">
        <v>501</v>
      </c>
      <c r="D431" s="727" t="s">
        <v>307</v>
      </c>
      <c r="E431" s="727"/>
      <c r="F431" s="727"/>
      <c r="G431" s="727"/>
      <c r="H431" s="314" t="s">
        <v>36</v>
      </c>
      <c r="I431" s="515">
        <v>25441</v>
      </c>
      <c r="J431" s="510">
        <f>SUMIFS(APUS!$Y$9:$Y$1486,APUS!$M$9:$M$1486,INSUMOS!C431)</f>
        <v>0</v>
      </c>
      <c r="K431" s="511">
        <f t="shared" si="53"/>
        <v>0</v>
      </c>
      <c r="N431" s="533">
        <f>IFERROR(SUMIFS(APUS!$Z$10:$Z$62,APUS!$N$62:Q302,INSUMOS!D431),0)</f>
        <v>0</v>
      </c>
      <c r="O431" s="546">
        <f t="shared" si="54"/>
        <v>0</v>
      </c>
      <c r="P431" s="348"/>
      <c r="Q431" s="341" t="str">
        <f t="shared" si="55"/>
        <v>SI</v>
      </c>
    </row>
    <row r="432" spans="3:17" hidden="1" x14ac:dyDescent="0.25">
      <c r="C432" s="358">
        <v>502</v>
      </c>
      <c r="D432" s="727" t="s">
        <v>308</v>
      </c>
      <c r="E432" s="727"/>
      <c r="F432" s="727"/>
      <c r="G432" s="727"/>
      <c r="H432" s="314" t="s">
        <v>36</v>
      </c>
      <c r="I432" s="515">
        <v>62276</v>
      </c>
      <c r="J432" s="510">
        <f>SUMIFS(APUS!$Y$9:$Y$1486,APUS!$M$9:$M$1486,INSUMOS!C432)</f>
        <v>0</v>
      </c>
      <c r="K432" s="511">
        <f t="shared" si="53"/>
        <v>0</v>
      </c>
      <c r="N432" s="533">
        <f>IFERROR(SUMIFS(APUS!$Z$10:$Z$62,APUS!$N$62:Q302,INSUMOS!D432),0)</f>
        <v>0</v>
      </c>
      <c r="O432" s="546">
        <f t="shared" si="54"/>
        <v>0</v>
      </c>
      <c r="P432" s="348"/>
      <c r="Q432" s="341" t="str">
        <f t="shared" si="55"/>
        <v>SI</v>
      </c>
    </row>
    <row r="433" spans="3:17" hidden="1" x14ac:dyDescent="0.25">
      <c r="C433" s="358">
        <v>503</v>
      </c>
      <c r="D433" s="727" t="s">
        <v>252</v>
      </c>
      <c r="E433" s="727"/>
      <c r="F433" s="727"/>
      <c r="G433" s="727"/>
      <c r="H433" s="314" t="s">
        <v>36</v>
      </c>
      <c r="I433" s="515">
        <v>44173</v>
      </c>
      <c r="J433" s="510">
        <f>SUMIFS(APUS!$Y$9:$Y$1486,APUS!$M$9:$M$1486,INSUMOS!C433)</f>
        <v>0</v>
      </c>
      <c r="K433" s="511">
        <f t="shared" si="53"/>
        <v>0</v>
      </c>
      <c r="N433" s="533">
        <f>IFERROR(SUMIFS(APUS!$Z$10:$Z$62,APUS!$N$62:Q302,INSUMOS!D433),0)</f>
        <v>0</v>
      </c>
      <c r="O433" s="546">
        <f t="shared" si="54"/>
        <v>0</v>
      </c>
      <c r="P433" s="348"/>
      <c r="Q433" s="341" t="str">
        <f t="shared" si="55"/>
        <v>SI</v>
      </c>
    </row>
    <row r="434" spans="3:17" hidden="1" x14ac:dyDescent="0.25">
      <c r="C434" s="358">
        <v>504</v>
      </c>
      <c r="D434" s="727" t="s">
        <v>301</v>
      </c>
      <c r="E434" s="727"/>
      <c r="F434" s="727"/>
      <c r="G434" s="727"/>
      <c r="H434" s="314" t="s">
        <v>36</v>
      </c>
      <c r="I434" s="515">
        <v>139000</v>
      </c>
      <c r="J434" s="510">
        <f>SUMIFS(APUS!$Y$9:$Y$1486,APUS!$M$9:$M$1486,INSUMOS!C434)</f>
        <v>0</v>
      </c>
      <c r="K434" s="511">
        <f t="shared" si="53"/>
        <v>0</v>
      </c>
      <c r="N434" s="533">
        <f>IFERROR(SUMIFS(APUS!$Z$10:$Z$62,APUS!$N$62:Q302,INSUMOS!D434),0)</f>
        <v>0</v>
      </c>
      <c r="O434" s="546">
        <f t="shared" si="54"/>
        <v>0</v>
      </c>
      <c r="P434" s="348"/>
      <c r="Q434" s="341" t="str">
        <f t="shared" si="55"/>
        <v>SI</v>
      </c>
    </row>
    <row r="435" spans="3:17" hidden="1" x14ac:dyDescent="0.25">
      <c r="C435" s="358">
        <v>505</v>
      </c>
      <c r="D435" s="727" t="s">
        <v>253</v>
      </c>
      <c r="E435" s="727"/>
      <c r="F435" s="727"/>
      <c r="G435" s="727"/>
      <c r="H435" s="314" t="s">
        <v>36</v>
      </c>
      <c r="I435" s="515">
        <v>79512</v>
      </c>
      <c r="J435" s="510">
        <f>SUMIFS(APUS!$Y$9:$Y$1486,APUS!$M$9:$M$1486,INSUMOS!C435)</f>
        <v>0</v>
      </c>
      <c r="K435" s="511">
        <f t="shared" si="53"/>
        <v>0</v>
      </c>
      <c r="N435" s="533">
        <f>IFERROR(SUMIFS(APUS!$Z$10:$Z$62,APUS!$N$62:Q302,INSUMOS!D435),0)</f>
        <v>0</v>
      </c>
      <c r="O435" s="546">
        <f t="shared" si="54"/>
        <v>0</v>
      </c>
      <c r="P435" s="348"/>
      <c r="Q435" s="341" t="str">
        <f t="shared" si="55"/>
        <v>SI</v>
      </c>
    </row>
    <row r="436" spans="3:17" hidden="1" x14ac:dyDescent="0.25">
      <c r="C436" s="358">
        <v>506</v>
      </c>
      <c r="D436" s="727" t="s">
        <v>248</v>
      </c>
      <c r="E436" s="727"/>
      <c r="F436" s="727"/>
      <c r="G436" s="727"/>
      <c r="H436" s="314" t="s">
        <v>36</v>
      </c>
      <c r="I436" s="515">
        <v>125000</v>
      </c>
      <c r="J436" s="510">
        <f>SUMIFS(APUS!$Y$9:$Y$1486,APUS!$M$9:$M$1486,INSUMOS!C436)</f>
        <v>0</v>
      </c>
      <c r="K436" s="511">
        <f t="shared" si="53"/>
        <v>0</v>
      </c>
      <c r="N436" s="533">
        <f>IFERROR(SUMIFS(APUS!$Z$10:$Z$62,APUS!$N$62:Q302,INSUMOS!D436),0)</f>
        <v>0</v>
      </c>
      <c r="O436" s="546">
        <f t="shared" si="54"/>
        <v>0</v>
      </c>
      <c r="P436" s="348"/>
      <c r="Q436" s="341" t="str">
        <f t="shared" si="55"/>
        <v>SI</v>
      </c>
    </row>
    <row r="437" spans="3:17" hidden="1" x14ac:dyDescent="0.25">
      <c r="C437" s="358">
        <v>507</v>
      </c>
      <c r="D437" s="727" t="s">
        <v>254</v>
      </c>
      <c r="E437" s="727"/>
      <c r="F437" s="727"/>
      <c r="G437" s="727"/>
      <c r="H437" s="314" t="s">
        <v>36</v>
      </c>
      <c r="I437" s="515">
        <v>189158</v>
      </c>
      <c r="J437" s="510">
        <f>SUMIFS(APUS!$Y$9:$Y$1486,APUS!$M$9:$M$1486,INSUMOS!C437)</f>
        <v>0</v>
      </c>
      <c r="K437" s="511">
        <f t="shared" si="53"/>
        <v>0</v>
      </c>
      <c r="N437" s="533">
        <f>IFERROR(SUMIFS(APUS!$Z$10:$Z$62,APUS!$N$62:Q302,INSUMOS!D437),0)</f>
        <v>0</v>
      </c>
      <c r="O437" s="546">
        <f t="shared" si="54"/>
        <v>0</v>
      </c>
      <c r="P437" s="348"/>
      <c r="Q437" s="341" t="str">
        <f t="shared" si="55"/>
        <v>SI</v>
      </c>
    </row>
    <row r="438" spans="3:17" hidden="1" x14ac:dyDescent="0.25">
      <c r="C438" s="358">
        <v>508</v>
      </c>
      <c r="D438" s="727" t="s">
        <v>255</v>
      </c>
      <c r="E438" s="727"/>
      <c r="F438" s="727"/>
      <c r="G438" s="727"/>
      <c r="H438" s="314" t="s">
        <v>36</v>
      </c>
      <c r="I438" s="515">
        <v>1179760</v>
      </c>
      <c r="J438" s="510">
        <f>SUMIFS(APUS!$Y$9:$Y$1486,APUS!$M$9:$M$1486,INSUMOS!C438)</f>
        <v>0</v>
      </c>
      <c r="K438" s="511">
        <f t="shared" si="53"/>
        <v>0</v>
      </c>
      <c r="N438" s="533">
        <f>IFERROR(SUMIFS(APUS!$Z$10:$Z$62,APUS!$N$62:Q302,INSUMOS!D438),0)</f>
        <v>0</v>
      </c>
      <c r="O438" s="546">
        <f t="shared" si="54"/>
        <v>0</v>
      </c>
      <c r="P438" s="348"/>
      <c r="Q438" s="341" t="str">
        <f t="shared" si="55"/>
        <v>SI</v>
      </c>
    </row>
    <row r="439" spans="3:17" hidden="1" x14ac:dyDescent="0.25">
      <c r="C439" s="358">
        <v>509</v>
      </c>
      <c r="D439" s="791" t="s">
        <v>382</v>
      </c>
      <c r="E439" s="791"/>
      <c r="F439" s="791"/>
      <c r="G439" s="791"/>
      <c r="H439" s="314" t="s">
        <v>36</v>
      </c>
      <c r="I439" s="515">
        <v>4040</v>
      </c>
      <c r="J439" s="510">
        <f>SUMIFS(APUS!$Y$9:$Y$1486,APUS!$M$9:$M$1486,INSUMOS!C439)</f>
        <v>0</v>
      </c>
      <c r="K439" s="511">
        <f t="shared" si="53"/>
        <v>0</v>
      </c>
      <c r="N439" s="533">
        <f>IFERROR(SUMIFS(APUS!$Z$10:$Z$62,APUS!$N$62:Q302,INSUMOS!D439),0)</f>
        <v>0</v>
      </c>
      <c r="O439" s="546">
        <f t="shared" si="54"/>
        <v>0</v>
      </c>
      <c r="P439" s="348"/>
      <c r="Q439" s="341" t="str">
        <f t="shared" si="55"/>
        <v>SI</v>
      </c>
    </row>
    <row r="440" spans="3:17" hidden="1" x14ac:dyDescent="0.25">
      <c r="C440" s="358">
        <v>510</v>
      </c>
      <c r="D440" s="791" t="s">
        <v>384</v>
      </c>
      <c r="E440" s="791"/>
      <c r="F440" s="791"/>
      <c r="G440" s="791"/>
      <c r="H440" s="314" t="s">
        <v>36</v>
      </c>
      <c r="I440" s="515">
        <v>19209</v>
      </c>
      <c r="J440" s="510">
        <f>SUMIFS(APUS!$Y$9:$Y$1486,APUS!$M$9:$M$1486,INSUMOS!C440)</f>
        <v>0</v>
      </c>
      <c r="K440" s="511">
        <f t="shared" si="53"/>
        <v>0</v>
      </c>
      <c r="N440" s="533">
        <f>IFERROR(SUMIFS(APUS!$Z$10:$Z$62,APUS!$N$62:Q302,INSUMOS!D440),0)</f>
        <v>0</v>
      </c>
      <c r="O440" s="546">
        <f t="shared" si="54"/>
        <v>0</v>
      </c>
      <c r="P440" s="348"/>
      <c r="Q440" s="341" t="str">
        <f t="shared" si="55"/>
        <v>SI</v>
      </c>
    </row>
    <row r="441" spans="3:17" hidden="1" x14ac:dyDescent="0.25">
      <c r="C441" s="358">
        <v>511</v>
      </c>
      <c r="D441" s="791" t="s">
        <v>579</v>
      </c>
      <c r="E441" s="791"/>
      <c r="F441" s="791"/>
      <c r="G441" s="791"/>
      <c r="H441" s="314" t="s">
        <v>36</v>
      </c>
      <c r="I441" s="515"/>
      <c r="J441" s="510">
        <f>SUMIFS(APUS!$Y$9:$Y$1486,APUS!$M$9:$M$1486,INSUMOS!C441)</f>
        <v>0</v>
      </c>
      <c r="K441" s="511">
        <f t="shared" ref="K441:K504" si="56">+J441*I441</f>
        <v>0</v>
      </c>
      <c r="N441" s="533">
        <f>IFERROR(SUMIFS(APUS!$Z$10:$Z$62,APUS!$N$62:Q302,INSUMOS!D441),0)</f>
        <v>0</v>
      </c>
      <c r="O441" s="546">
        <f t="shared" si="54"/>
        <v>0</v>
      </c>
      <c r="P441" s="348"/>
      <c r="Q441" s="341" t="str">
        <f t="shared" si="55"/>
        <v>SI</v>
      </c>
    </row>
    <row r="442" spans="3:17" hidden="1" x14ac:dyDescent="0.25">
      <c r="C442" s="358">
        <v>512</v>
      </c>
      <c r="D442" s="791" t="s">
        <v>580</v>
      </c>
      <c r="E442" s="791"/>
      <c r="F442" s="791"/>
      <c r="G442" s="791"/>
      <c r="H442" s="314" t="s">
        <v>36</v>
      </c>
      <c r="I442" s="515">
        <v>4100</v>
      </c>
      <c r="J442" s="510">
        <f>SUMIFS(APUS!$Y$9:$Y$1486,APUS!$M$9:$M$1486,INSUMOS!C442)</f>
        <v>0</v>
      </c>
      <c r="K442" s="511">
        <f t="shared" si="56"/>
        <v>0</v>
      </c>
      <c r="N442" s="533">
        <f>IFERROR(SUMIFS(APUS!$Z$10:$Z$62,APUS!$N$62:Q302,INSUMOS!D442),0)</f>
        <v>0</v>
      </c>
      <c r="O442" s="546">
        <f t="shared" si="54"/>
        <v>0</v>
      </c>
      <c r="P442" s="348"/>
      <c r="Q442" s="341" t="str">
        <f t="shared" si="55"/>
        <v>SI</v>
      </c>
    </row>
    <row r="443" spans="3:17" hidden="1" x14ac:dyDescent="0.25">
      <c r="C443" s="358">
        <v>513</v>
      </c>
      <c r="D443" s="791" t="s">
        <v>581</v>
      </c>
      <c r="E443" s="791"/>
      <c r="F443" s="791"/>
      <c r="G443" s="791"/>
      <c r="H443" s="314" t="s">
        <v>36</v>
      </c>
      <c r="I443" s="515">
        <v>5200</v>
      </c>
      <c r="J443" s="510">
        <f>SUMIFS(APUS!$Y$9:$Y$1486,APUS!$M$9:$M$1486,INSUMOS!C443)</f>
        <v>0</v>
      </c>
      <c r="K443" s="511">
        <f t="shared" si="56"/>
        <v>0</v>
      </c>
      <c r="N443" s="533">
        <f>IFERROR(SUMIFS(APUS!$Z$10:$Z$62,APUS!$N$62:Q302,INSUMOS!D443),0)</f>
        <v>0</v>
      </c>
      <c r="O443" s="546">
        <f t="shared" si="54"/>
        <v>0</v>
      </c>
      <c r="P443" s="348"/>
      <c r="Q443" s="341" t="str">
        <f t="shared" si="55"/>
        <v>SI</v>
      </c>
    </row>
    <row r="444" spans="3:17" hidden="1" x14ac:dyDescent="0.25">
      <c r="C444" s="358">
        <v>514</v>
      </c>
      <c r="D444" s="791" t="s">
        <v>582</v>
      </c>
      <c r="E444" s="791"/>
      <c r="F444" s="791"/>
      <c r="G444" s="791"/>
      <c r="H444" s="314" t="s">
        <v>36</v>
      </c>
      <c r="I444" s="515">
        <v>16161</v>
      </c>
      <c r="J444" s="510">
        <f>SUMIFS(APUS!$Y$9:$Y$1486,APUS!$M$9:$M$1486,INSUMOS!C444)</f>
        <v>0</v>
      </c>
      <c r="K444" s="511">
        <f t="shared" si="56"/>
        <v>0</v>
      </c>
      <c r="N444" s="533">
        <f>IFERROR(SUMIFS(APUS!$Z$10:$Z$62,APUS!$N$62:Q302,INSUMOS!D444),0)</f>
        <v>0</v>
      </c>
      <c r="O444" s="546">
        <f t="shared" si="54"/>
        <v>0</v>
      </c>
      <c r="P444" s="348"/>
      <c r="Q444" s="341" t="str">
        <f t="shared" si="55"/>
        <v>SI</v>
      </c>
    </row>
    <row r="445" spans="3:17" hidden="1" x14ac:dyDescent="0.25">
      <c r="C445" s="358">
        <v>515</v>
      </c>
      <c r="D445" s="791" t="s">
        <v>583</v>
      </c>
      <c r="E445" s="791"/>
      <c r="F445" s="791"/>
      <c r="G445" s="791"/>
      <c r="H445" s="314" t="s">
        <v>36</v>
      </c>
      <c r="I445" s="515"/>
      <c r="J445" s="510">
        <f>SUMIFS(APUS!$Y$9:$Y$1486,APUS!$M$9:$M$1486,INSUMOS!C445)</f>
        <v>0</v>
      </c>
      <c r="K445" s="511">
        <f t="shared" si="56"/>
        <v>0</v>
      </c>
      <c r="N445" s="533">
        <f>IFERROR(SUMIFS(APUS!$Z$10:$Z$62,APUS!$N$62:Q302,INSUMOS!D445),0)</f>
        <v>0</v>
      </c>
      <c r="O445" s="546">
        <f t="shared" si="54"/>
        <v>0</v>
      </c>
      <c r="P445" s="348"/>
      <c r="Q445" s="341" t="str">
        <f t="shared" si="55"/>
        <v>SI</v>
      </c>
    </row>
    <row r="446" spans="3:17" hidden="1" x14ac:dyDescent="0.25">
      <c r="C446" s="358">
        <v>516</v>
      </c>
      <c r="D446" s="791" t="s">
        <v>584</v>
      </c>
      <c r="E446" s="791"/>
      <c r="F446" s="791"/>
      <c r="G446" s="791"/>
      <c r="H446" s="314" t="s">
        <v>36</v>
      </c>
      <c r="I446" s="515"/>
      <c r="J446" s="510">
        <f>SUMIFS(APUS!$Y$9:$Y$1486,APUS!$M$9:$M$1486,INSUMOS!C446)</f>
        <v>0</v>
      </c>
      <c r="K446" s="511">
        <f t="shared" si="56"/>
        <v>0</v>
      </c>
      <c r="N446" s="533">
        <f>IFERROR(SUMIFS(APUS!$Z$10:$Z$62,APUS!$N$62:Q302,INSUMOS!D446),0)</f>
        <v>0</v>
      </c>
      <c r="O446" s="546">
        <f t="shared" si="54"/>
        <v>0</v>
      </c>
      <c r="P446" s="348"/>
      <c r="Q446" s="341" t="str">
        <f t="shared" si="55"/>
        <v>SI</v>
      </c>
    </row>
    <row r="447" spans="3:17" hidden="1" x14ac:dyDescent="0.25">
      <c r="C447" s="358">
        <v>517</v>
      </c>
      <c r="D447" s="791" t="s">
        <v>585</v>
      </c>
      <c r="E447" s="791"/>
      <c r="F447" s="791"/>
      <c r="G447" s="791"/>
      <c r="H447" s="314" t="s">
        <v>36</v>
      </c>
      <c r="I447" s="515"/>
      <c r="J447" s="510">
        <f>SUMIFS(APUS!$Y$9:$Y$1486,APUS!$M$9:$M$1486,INSUMOS!C447)</f>
        <v>0</v>
      </c>
      <c r="K447" s="511">
        <f t="shared" si="56"/>
        <v>0</v>
      </c>
      <c r="N447" s="533">
        <f>IFERROR(SUMIFS(APUS!$Z$10:$Z$62,APUS!$N$62:Q302,INSUMOS!D447),0)</f>
        <v>0</v>
      </c>
      <c r="O447" s="546">
        <f t="shared" si="54"/>
        <v>0</v>
      </c>
      <c r="P447" s="348"/>
      <c r="Q447" s="341" t="str">
        <f t="shared" si="55"/>
        <v>SI</v>
      </c>
    </row>
    <row r="448" spans="3:17" hidden="1" x14ac:dyDescent="0.25">
      <c r="C448" s="358">
        <v>518</v>
      </c>
      <c r="D448" s="791"/>
      <c r="E448" s="791"/>
      <c r="F448" s="791"/>
      <c r="G448" s="791"/>
      <c r="H448" s="314"/>
      <c r="I448" s="515"/>
      <c r="J448" s="510">
        <f>SUMIFS(APUS!$Y$9:$Y$1486,APUS!$M$9:$M$1486,INSUMOS!C448)</f>
        <v>0</v>
      </c>
      <c r="K448" s="511">
        <f t="shared" si="56"/>
        <v>0</v>
      </c>
      <c r="N448" s="533">
        <f>IFERROR(SUMIFS(APUS!$Z$10:$Z$62,APUS!$N$62:Q302,INSUMOS!D448),0)</f>
        <v>0</v>
      </c>
      <c r="O448" s="546">
        <f t="shared" si="54"/>
        <v>0</v>
      </c>
      <c r="P448" s="348"/>
      <c r="Q448" s="341" t="str">
        <f t="shared" si="55"/>
        <v>SI</v>
      </c>
    </row>
    <row r="449" spans="3:17" hidden="1" x14ac:dyDescent="0.25">
      <c r="C449" s="358">
        <v>519</v>
      </c>
      <c r="D449" s="791"/>
      <c r="E449" s="791"/>
      <c r="F449" s="791"/>
      <c r="G449" s="791"/>
      <c r="H449" s="314"/>
      <c r="I449" s="515"/>
      <c r="J449" s="510">
        <f>SUMIFS(APUS!$Y$9:$Y$1486,APUS!$M$9:$M$1486,INSUMOS!C449)</f>
        <v>0</v>
      </c>
      <c r="K449" s="511">
        <f t="shared" si="56"/>
        <v>0</v>
      </c>
      <c r="N449" s="533">
        <f>IFERROR(SUMIFS(APUS!$Z$10:$Z$62,APUS!$N$62:Q302,INSUMOS!D449),0)</f>
        <v>0</v>
      </c>
      <c r="O449" s="546">
        <f t="shared" si="54"/>
        <v>0</v>
      </c>
      <c r="P449" s="348"/>
      <c r="Q449" s="341" t="str">
        <f t="shared" si="55"/>
        <v>SI</v>
      </c>
    </row>
    <row r="450" spans="3:17" hidden="1" x14ac:dyDescent="0.25">
      <c r="C450" s="358">
        <v>520</v>
      </c>
      <c r="D450" s="791" t="s">
        <v>317</v>
      </c>
      <c r="E450" s="791"/>
      <c r="F450" s="791"/>
      <c r="G450" s="791"/>
      <c r="H450" s="516" t="s">
        <v>35</v>
      </c>
      <c r="I450" s="515">
        <v>4250</v>
      </c>
      <c r="J450" s="510">
        <f>SUMIFS(APUS!$Y$9:$Y$1486,APUS!$M$9:$M$1486,INSUMOS!C450)</f>
        <v>0</v>
      </c>
      <c r="K450" s="511">
        <f t="shared" si="56"/>
        <v>0</v>
      </c>
      <c r="N450" s="533">
        <f>IFERROR(SUMIFS(APUS!$Z$10:$Z$62,APUS!$N$62:Q302,INSUMOS!D450),0)</f>
        <v>0</v>
      </c>
      <c r="O450" s="546">
        <f t="shared" si="54"/>
        <v>0</v>
      </c>
      <c r="P450" s="348"/>
      <c r="Q450" s="341" t="str">
        <f t="shared" si="55"/>
        <v>SI</v>
      </c>
    </row>
    <row r="451" spans="3:17" hidden="1" x14ac:dyDescent="0.25">
      <c r="C451" s="358">
        <v>521</v>
      </c>
      <c r="D451" s="791" t="s">
        <v>318</v>
      </c>
      <c r="E451" s="791"/>
      <c r="F451" s="791"/>
      <c r="G451" s="791"/>
      <c r="H451" s="516" t="s">
        <v>35</v>
      </c>
      <c r="I451" s="515"/>
      <c r="J451" s="510">
        <f>SUMIFS(APUS!$Y$9:$Y$1486,APUS!$M$9:$M$1486,INSUMOS!C451)</f>
        <v>0</v>
      </c>
      <c r="K451" s="511">
        <f t="shared" si="56"/>
        <v>0</v>
      </c>
      <c r="N451" s="533">
        <f>IFERROR(SUMIFS(APUS!$Z$10:$Z$62,APUS!$N$62:Q302,INSUMOS!D451),0)</f>
        <v>0</v>
      </c>
      <c r="O451" s="546">
        <f t="shared" si="54"/>
        <v>0</v>
      </c>
      <c r="P451" s="348"/>
      <c r="Q451" s="341" t="str">
        <f t="shared" si="55"/>
        <v>SI</v>
      </c>
    </row>
    <row r="452" spans="3:17" hidden="1" x14ac:dyDescent="0.25">
      <c r="C452" s="358">
        <v>522</v>
      </c>
      <c r="D452" s="791" t="s">
        <v>319</v>
      </c>
      <c r="E452" s="791"/>
      <c r="F452" s="791"/>
      <c r="G452" s="791"/>
      <c r="H452" s="516" t="s">
        <v>35</v>
      </c>
      <c r="I452" s="515">
        <v>2367</v>
      </c>
      <c r="J452" s="510">
        <f>SUMIFS(APUS!$Y$9:$Y$1486,APUS!$M$9:$M$1486,INSUMOS!C452)</f>
        <v>0</v>
      </c>
      <c r="K452" s="511">
        <f t="shared" si="56"/>
        <v>0</v>
      </c>
      <c r="N452" s="533">
        <f>IFERROR(SUMIFS(APUS!$Z$10:$Z$62,APUS!$N$62:Q302,INSUMOS!D452),0)</f>
        <v>0</v>
      </c>
      <c r="O452" s="546">
        <f t="shared" si="54"/>
        <v>0</v>
      </c>
      <c r="P452" s="348"/>
      <c r="Q452" s="341" t="str">
        <f t="shared" si="55"/>
        <v>SI</v>
      </c>
    </row>
    <row r="453" spans="3:17" hidden="1" x14ac:dyDescent="0.25">
      <c r="C453" s="358">
        <v>523</v>
      </c>
      <c r="D453" s="791" t="s">
        <v>320</v>
      </c>
      <c r="E453" s="791"/>
      <c r="F453" s="791"/>
      <c r="G453" s="791"/>
      <c r="H453" s="516" t="s">
        <v>35</v>
      </c>
      <c r="I453" s="515"/>
      <c r="J453" s="510">
        <f>SUMIFS(APUS!$Y$9:$Y$1486,APUS!$M$9:$M$1486,INSUMOS!C453)</f>
        <v>0</v>
      </c>
      <c r="K453" s="511">
        <f t="shared" si="56"/>
        <v>0</v>
      </c>
      <c r="N453" s="533">
        <f>IFERROR(SUMIFS(APUS!$Z$10:$Z$62,APUS!$N$62:Q302,INSUMOS!D453),0)</f>
        <v>0</v>
      </c>
      <c r="O453" s="546">
        <f t="shared" si="54"/>
        <v>0</v>
      </c>
      <c r="P453" s="348"/>
      <c r="Q453" s="341" t="str">
        <f t="shared" si="55"/>
        <v>SI</v>
      </c>
    </row>
    <row r="454" spans="3:17" hidden="1" x14ac:dyDescent="0.25">
      <c r="C454" s="358">
        <v>524</v>
      </c>
      <c r="D454" s="791" t="s">
        <v>321</v>
      </c>
      <c r="E454" s="791"/>
      <c r="F454" s="791"/>
      <c r="G454" s="791"/>
      <c r="H454" s="516" t="s">
        <v>35</v>
      </c>
      <c r="I454" s="515"/>
      <c r="J454" s="510">
        <f>SUMIFS(APUS!$Y$9:$Y$1486,APUS!$M$9:$M$1486,INSUMOS!C454)</f>
        <v>0</v>
      </c>
      <c r="K454" s="511">
        <f t="shared" si="56"/>
        <v>0</v>
      </c>
      <c r="N454" s="533">
        <f>IFERROR(SUMIFS(APUS!$Z$10:$Z$62,APUS!$N$62:Q302,INSUMOS!D454),0)</f>
        <v>0</v>
      </c>
      <c r="O454" s="546">
        <f t="shared" si="54"/>
        <v>0</v>
      </c>
      <c r="P454" s="348"/>
      <c r="Q454" s="341" t="str">
        <f t="shared" si="55"/>
        <v>SI</v>
      </c>
    </row>
    <row r="455" spans="3:17" hidden="1" x14ac:dyDescent="0.25">
      <c r="C455" s="358">
        <v>525</v>
      </c>
      <c r="D455" s="791" t="s">
        <v>322</v>
      </c>
      <c r="E455" s="791"/>
      <c r="F455" s="791"/>
      <c r="G455" s="791"/>
      <c r="H455" s="516" t="s">
        <v>35</v>
      </c>
      <c r="I455" s="515">
        <v>5950</v>
      </c>
      <c r="J455" s="510">
        <f>SUMIFS(APUS!$Y$9:$Y$1486,APUS!$M$9:$M$1486,INSUMOS!C455)</f>
        <v>0</v>
      </c>
      <c r="K455" s="511">
        <f t="shared" si="56"/>
        <v>0</v>
      </c>
      <c r="N455" s="533">
        <f>IFERROR(SUMIFS(APUS!$Z$10:$Z$62,APUS!$N$62:Q302,INSUMOS!D455),0)</f>
        <v>0</v>
      </c>
      <c r="O455" s="546">
        <f t="shared" si="54"/>
        <v>0</v>
      </c>
      <c r="P455" s="348"/>
      <c r="Q455" s="341" t="str">
        <f t="shared" si="55"/>
        <v>SI</v>
      </c>
    </row>
    <row r="456" spans="3:17" hidden="1" x14ac:dyDescent="0.25">
      <c r="C456" s="358">
        <v>526</v>
      </c>
      <c r="D456" s="791" t="s">
        <v>323</v>
      </c>
      <c r="E456" s="791"/>
      <c r="F456" s="791"/>
      <c r="G456" s="791"/>
      <c r="H456" s="516" t="s">
        <v>35</v>
      </c>
      <c r="I456" s="515"/>
      <c r="J456" s="510">
        <f>SUMIFS(APUS!$Y$9:$Y$1486,APUS!$M$9:$M$1486,INSUMOS!C456)</f>
        <v>0</v>
      </c>
      <c r="K456" s="511">
        <f t="shared" si="56"/>
        <v>0</v>
      </c>
      <c r="N456" s="533">
        <f>IFERROR(SUMIFS(APUS!$Z$10:$Z$62,APUS!$N$62:Q302,INSUMOS!D456),0)</f>
        <v>0</v>
      </c>
      <c r="O456" s="546">
        <f t="shared" si="54"/>
        <v>0</v>
      </c>
      <c r="P456" s="348"/>
      <c r="Q456" s="341" t="str">
        <f t="shared" si="55"/>
        <v>SI</v>
      </c>
    </row>
    <row r="457" spans="3:17" hidden="1" x14ac:dyDescent="0.25">
      <c r="C457" s="358">
        <v>527</v>
      </c>
      <c r="D457" s="791" t="s">
        <v>324</v>
      </c>
      <c r="E457" s="791"/>
      <c r="F457" s="791"/>
      <c r="G457" s="791"/>
      <c r="H457" s="516" t="s">
        <v>35</v>
      </c>
      <c r="I457" s="515"/>
      <c r="J457" s="510">
        <f>SUMIFS(APUS!$Y$9:$Y$1486,APUS!$M$9:$M$1486,INSUMOS!C457)</f>
        <v>0</v>
      </c>
      <c r="K457" s="511">
        <f t="shared" si="56"/>
        <v>0</v>
      </c>
      <c r="N457" s="533">
        <f>IFERROR(SUMIFS(APUS!$Z$10:$Z$62,APUS!$N$62:Q302,INSUMOS!D457),0)</f>
        <v>0</v>
      </c>
      <c r="O457" s="546">
        <f t="shared" si="54"/>
        <v>0</v>
      </c>
      <c r="P457" s="348"/>
      <c r="Q457" s="341" t="str">
        <f t="shared" si="55"/>
        <v>SI</v>
      </c>
    </row>
    <row r="458" spans="3:17" hidden="1" x14ac:dyDescent="0.25">
      <c r="C458" s="358">
        <v>528</v>
      </c>
      <c r="D458" s="791" t="s">
        <v>329</v>
      </c>
      <c r="E458" s="791"/>
      <c r="F458" s="791"/>
      <c r="G458" s="791"/>
      <c r="H458" s="516" t="s">
        <v>35</v>
      </c>
      <c r="I458" s="515">
        <v>14617</v>
      </c>
      <c r="J458" s="510">
        <f>SUMIFS(APUS!$Y$9:$Y$1486,APUS!$M$9:$M$1486,INSUMOS!C458)</f>
        <v>0</v>
      </c>
      <c r="K458" s="511">
        <f t="shared" si="56"/>
        <v>0</v>
      </c>
      <c r="N458" s="533">
        <f>IFERROR(SUMIFS(APUS!$Z$10:$Z$62,APUS!$N$62:Q302,INSUMOS!D458),0)</f>
        <v>0</v>
      </c>
      <c r="O458" s="546">
        <f t="shared" si="54"/>
        <v>0</v>
      </c>
      <c r="P458" s="348"/>
      <c r="Q458" s="341" t="str">
        <f t="shared" si="55"/>
        <v>SI</v>
      </c>
    </row>
    <row r="459" spans="3:17" hidden="1" x14ac:dyDescent="0.25">
      <c r="C459" s="358">
        <v>529</v>
      </c>
      <c r="D459" s="791" t="s">
        <v>328</v>
      </c>
      <c r="E459" s="791"/>
      <c r="F459" s="791"/>
      <c r="G459" s="791"/>
      <c r="H459" s="516" t="s">
        <v>35</v>
      </c>
      <c r="I459" s="515"/>
      <c r="J459" s="510">
        <f>SUMIFS(APUS!$Y$9:$Y$1486,APUS!$M$9:$M$1486,INSUMOS!C459)</f>
        <v>0</v>
      </c>
      <c r="K459" s="511">
        <f t="shared" si="56"/>
        <v>0</v>
      </c>
      <c r="N459" s="533">
        <f>IFERROR(SUMIFS(APUS!$Z$10:$Z$62,APUS!$N$62:Q302,INSUMOS!D459),0)</f>
        <v>0</v>
      </c>
      <c r="O459" s="546">
        <f t="shared" si="54"/>
        <v>0</v>
      </c>
      <c r="P459" s="348"/>
      <c r="Q459" s="341" t="str">
        <f t="shared" si="55"/>
        <v>SI</v>
      </c>
    </row>
    <row r="460" spans="3:17" hidden="1" x14ac:dyDescent="0.25">
      <c r="C460" s="358">
        <v>530</v>
      </c>
      <c r="D460" s="791" t="s">
        <v>327</v>
      </c>
      <c r="E460" s="791"/>
      <c r="F460" s="791"/>
      <c r="G460" s="791"/>
      <c r="H460" s="516" t="s">
        <v>35</v>
      </c>
      <c r="I460" s="515"/>
      <c r="J460" s="510">
        <f>SUMIFS(APUS!$Y$9:$Y$1486,APUS!$M$9:$M$1486,INSUMOS!C460)</f>
        <v>0</v>
      </c>
      <c r="K460" s="511">
        <f t="shared" si="56"/>
        <v>0</v>
      </c>
      <c r="N460" s="533">
        <f>IFERROR(SUMIFS(APUS!$Z$10:$Z$62,APUS!$N$62:Q302,INSUMOS!D460),0)</f>
        <v>0</v>
      </c>
      <c r="O460" s="546">
        <f t="shared" si="54"/>
        <v>0</v>
      </c>
      <c r="P460" s="348"/>
      <c r="Q460" s="341" t="str">
        <f t="shared" si="55"/>
        <v>SI</v>
      </c>
    </row>
    <row r="461" spans="3:17" hidden="1" x14ac:dyDescent="0.25">
      <c r="C461" s="358">
        <v>531</v>
      </c>
      <c r="D461" s="791" t="s">
        <v>326</v>
      </c>
      <c r="E461" s="791"/>
      <c r="F461" s="791"/>
      <c r="G461" s="791"/>
      <c r="H461" s="516" t="s">
        <v>35</v>
      </c>
      <c r="I461" s="515"/>
      <c r="J461" s="510">
        <f>SUMIFS(APUS!$Y$9:$Y$1486,APUS!$M$9:$M$1486,INSUMOS!C461)</f>
        <v>0</v>
      </c>
      <c r="K461" s="511">
        <f t="shared" si="56"/>
        <v>0</v>
      </c>
      <c r="N461" s="533">
        <f>IFERROR(SUMIFS(APUS!$Z$10:$Z$62,APUS!$N$62:Q302,INSUMOS!D461),0)</f>
        <v>0</v>
      </c>
      <c r="O461" s="546">
        <f t="shared" si="54"/>
        <v>0</v>
      </c>
      <c r="P461" s="348"/>
      <c r="Q461" s="341" t="str">
        <f t="shared" si="55"/>
        <v>SI</v>
      </c>
    </row>
    <row r="462" spans="3:17" hidden="1" x14ac:dyDescent="0.25">
      <c r="C462" s="358">
        <v>532</v>
      </c>
      <c r="D462" s="791" t="s">
        <v>325</v>
      </c>
      <c r="E462" s="791"/>
      <c r="F462" s="791"/>
      <c r="G462" s="791"/>
      <c r="H462" s="516" t="s">
        <v>35</v>
      </c>
      <c r="I462" s="515"/>
      <c r="J462" s="510">
        <f>SUMIFS(APUS!$Y$9:$Y$1486,APUS!$M$9:$M$1486,INSUMOS!C462)</f>
        <v>0</v>
      </c>
      <c r="K462" s="511">
        <f t="shared" si="56"/>
        <v>0</v>
      </c>
      <c r="N462" s="533">
        <f>IFERROR(SUMIFS(APUS!$Z$10:$Z$62,APUS!$N$62:Q302,INSUMOS!D462),0)</f>
        <v>0</v>
      </c>
      <c r="O462" s="546">
        <f t="shared" si="54"/>
        <v>0</v>
      </c>
      <c r="P462" s="348"/>
      <c r="Q462" s="341" t="str">
        <f t="shared" si="55"/>
        <v>SI</v>
      </c>
    </row>
    <row r="463" spans="3:17" hidden="1" x14ac:dyDescent="0.25">
      <c r="C463" s="358">
        <v>533</v>
      </c>
      <c r="D463" s="791" t="s">
        <v>330</v>
      </c>
      <c r="E463" s="791"/>
      <c r="F463" s="791"/>
      <c r="G463" s="791"/>
      <c r="H463" s="516" t="s">
        <v>35</v>
      </c>
      <c r="I463" s="515"/>
      <c r="J463" s="510">
        <f>SUMIFS(APUS!$Y$9:$Y$1486,APUS!$M$9:$M$1486,INSUMOS!C463)</f>
        <v>0</v>
      </c>
      <c r="K463" s="511">
        <f t="shared" si="56"/>
        <v>0</v>
      </c>
      <c r="N463" s="533">
        <f>IFERROR(SUMIFS(APUS!$Z$10:$Z$62,APUS!$N$62:Q302,INSUMOS!D463),0)</f>
        <v>0</v>
      </c>
      <c r="O463" s="546">
        <f t="shared" si="54"/>
        <v>0</v>
      </c>
      <c r="P463" s="348"/>
      <c r="Q463" s="341" t="str">
        <f t="shared" si="55"/>
        <v>SI</v>
      </c>
    </row>
    <row r="464" spans="3:17" hidden="1" x14ac:dyDescent="0.25">
      <c r="C464" s="358">
        <v>534</v>
      </c>
      <c r="D464" s="791" t="s">
        <v>331</v>
      </c>
      <c r="E464" s="791"/>
      <c r="F464" s="791"/>
      <c r="G464" s="791"/>
      <c r="H464" s="516" t="s">
        <v>35</v>
      </c>
      <c r="I464" s="515"/>
      <c r="J464" s="510">
        <f>SUMIFS(APUS!$Y$9:$Y$1486,APUS!$M$9:$M$1486,INSUMOS!C464)</f>
        <v>0</v>
      </c>
      <c r="K464" s="511">
        <f t="shared" si="56"/>
        <v>0</v>
      </c>
      <c r="N464" s="533">
        <f>IFERROR(SUMIFS(APUS!$Z$10:$Z$62,APUS!$N$62:Q302,INSUMOS!D464),0)</f>
        <v>0</v>
      </c>
      <c r="O464" s="546">
        <f t="shared" si="54"/>
        <v>0</v>
      </c>
      <c r="P464" s="348"/>
      <c r="Q464" s="341" t="str">
        <f t="shared" si="55"/>
        <v>SI</v>
      </c>
    </row>
    <row r="465" spans="3:17" hidden="1" x14ac:dyDescent="0.25">
      <c r="C465" s="358">
        <v>535</v>
      </c>
      <c r="D465" s="727"/>
      <c r="E465" s="727"/>
      <c r="F465" s="727"/>
      <c r="G465" s="727"/>
      <c r="H465" s="516"/>
      <c r="I465" s="531"/>
      <c r="J465" s="510">
        <f>SUMIFS(APUS!$Y$9:$Y$1486,APUS!$M$9:$M$1486,INSUMOS!C465)</f>
        <v>0</v>
      </c>
      <c r="K465" s="511">
        <f t="shared" si="56"/>
        <v>0</v>
      </c>
      <c r="N465" s="533">
        <f>IFERROR(SUMIFS(APUS!$Z$10:$Z$62,APUS!$N$62:Q302,INSUMOS!D465),0)</f>
        <v>0</v>
      </c>
      <c r="O465" s="546">
        <f t="shared" si="54"/>
        <v>0</v>
      </c>
      <c r="P465" s="348"/>
      <c r="Q465" s="341" t="str">
        <f t="shared" si="55"/>
        <v>SI</v>
      </c>
    </row>
    <row r="466" spans="3:17" hidden="1" x14ac:dyDescent="0.25">
      <c r="C466" s="358">
        <v>536</v>
      </c>
      <c r="D466" s="791"/>
      <c r="E466" s="791"/>
      <c r="F466" s="791"/>
      <c r="G466" s="791"/>
      <c r="H466" s="314"/>
      <c r="I466" s="515"/>
      <c r="J466" s="510">
        <f>SUMIFS(APUS!$Y$9:$Y$1486,APUS!$M$9:$M$1486,INSUMOS!C466)</f>
        <v>0</v>
      </c>
      <c r="K466" s="511">
        <f t="shared" si="56"/>
        <v>0</v>
      </c>
      <c r="N466" s="533">
        <f>IFERROR(SUMIFS(APUS!$Z$10:$Z$62,APUS!$N$62:Q302,INSUMOS!D466),0)</f>
        <v>0</v>
      </c>
      <c r="O466" s="546">
        <f t="shared" si="54"/>
        <v>0</v>
      </c>
      <c r="P466" s="348"/>
      <c r="Q466" s="341" t="str">
        <f t="shared" si="55"/>
        <v>SI</v>
      </c>
    </row>
    <row r="467" spans="3:17" hidden="1" x14ac:dyDescent="0.25">
      <c r="C467" s="358">
        <v>537</v>
      </c>
      <c r="D467" s="791"/>
      <c r="E467" s="791"/>
      <c r="F467" s="791"/>
      <c r="G467" s="791"/>
      <c r="H467" s="314"/>
      <c r="I467" s="515"/>
      <c r="J467" s="510">
        <f>SUMIFS(APUS!$Y$9:$Y$1486,APUS!$M$9:$M$1486,INSUMOS!C467)</f>
        <v>0</v>
      </c>
      <c r="K467" s="511">
        <f t="shared" si="56"/>
        <v>0</v>
      </c>
      <c r="N467" s="533">
        <f>IFERROR(SUMIFS(APUS!$Z$10:$Z$62,APUS!$N$62:Q302,INSUMOS!D467),0)</f>
        <v>0</v>
      </c>
      <c r="O467" s="546">
        <f t="shared" si="54"/>
        <v>0</v>
      </c>
      <c r="P467" s="348"/>
      <c r="Q467" s="341" t="str">
        <f t="shared" si="55"/>
        <v>SI</v>
      </c>
    </row>
    <row r="468" spans="3:17" hidden="1" x14ac:dyDescent="0.25">
      <c r="C468" s="358">
        <v>538</v>
      </c>
      <c r="D468" s="727"/>
      <c r="E468" s="727"/>
      <c r="F468" s="727"/>
      <c r="G468" s="727"/>
      <c r="H468" s="516"/>
      <c r="I468" s="531"/>
      <c r="J468" s="510">
        <f>SUMIFS(APUS!$Y$9:$Y$1486,APUS!$M$9:$M$1486,INSUMOS!C468)</f>
        <v>0</v>
      </c>
      <c r="K468" s="511">
        <f t="shared" si="56"/>
        <v>0</v>
      </c>
      <c r="N468" s="533">
        <f>IFERROR(SUMIFS(APUS!$Z$10:$Z$62,APUS!$N$62:Q302,INSUMOS!D468),0)</f>
        <v>0</v>
      </c>
      <c r="O468" s="546">
        <f t="shared" si="54"/>
        <v>0</v>
      </c>
      <c r="P468" s="348"/>
      <c r="Q468" s="341" t="str">
        <f t="shared" si="55"/>
        <v>SI</v>
      </c>
    </row>
    <row r="469" spans="3:17" hidden="1" x14ac:dyDescent="0.25">
      <c r="C469" s="358">
        <v>539</v>
      </c>
      <c r="D469" s="727"/>
      <c r="E469" s="727"/>
      <c r="F469" s="727"/>
      <c r="G469" s="727"/>
      <c r="H469" s="516"/>
      <c r="I469" s="531"/>
      <c r="J469" s="510">
        <f>SUMIFS(APUS!$Y$9:$Y$1486,APUS!$M$9:$M$1486,INSUMOS!C469)</f>
        <v>0</v>
      </c>
      <c r="K469" s="511">
        <f t="shared" si="56"/>
        <v>0</v>
      </c>
      <c r="N469" s="533">
        <f>IFERROR(SUMIFS(APUS!$Z$10:$Z$62,APUS!$N$62:Q302,INSUMOS!D469),0)</f>
        <v>0</v>
      </c>
      <c r="O469" s="546">
        <f t="shared" si="54"/>
        <v>0</v>
      </c>
      <c r="P469" s="348"/>
      <c r="Q469" s="341" t="str">
        <f t="shared" si="55"/>
        <v>SI</v>
      </c>
    </row>
    <row r="470" spans="3:17" hidden="1" x14ac:dyDescent="0.25">
      <c r="C470" s="358">
        <v>540</v>
      </c>
      <c r="D470" s="727"/>
      <c r="E470" s="727"/>
      <c r="F470" s="727"/>
      <c r="G470" s="727"/>
      <c r="H470" s="516"/>
      <c r="I470" s="531"/>
      <c r="J470" s="510">
        <f>SUMIFS(APUS!$Y$9:$Y$1486,APUS!$M$9:$M$1486,INSUMOS!C470)</f>
        <v>0</v>
      </c>
      <c r="K470" s="511">
        <f t="shared" si="56"/>
        <v>0</v>
      </c>
      <c r="N470" s="533">
        <f>IFERROR(SUMIFS(APUS!$Z$10:$Z$62,APUS!$N$62:Q302,INSUMOS!D470),0)</f>
        <v>0</v>
      </c>
      <c r="O470" s="546">
        <f t="shared" si="54"/>
        <v>0</v>
      </c>
      <c r="P470" s="348"/>
      <c r="Q470" s="341" t="str">
        <f t="shared" si="55"/>
        <v>SI</v>
      </c>
    </row>
    <row r="471" spans="3:17" hidden="1" x14ac:dyDescent="0.25">
      <c r="C471" s="358">
        <v>541</v>
      </c>
      <c r="D471" s="727"/>
      <c r="E471" s="727"/>
      <c r="F471" s="727"/>
      <c r="G471" s="727"/>
      <c r="H471" s="516"/>
      <c r="I471" s="531"/>
      <c r="J471" s="510">
        <f>SUMIFS(APUS!$Y$9:$Y$1486,APUS!$M$9:$M$1486,INSUMOS!C471)</f>
        <v>0</v>
      </c>
      <c r="K471" s="511">
        <f t="shared" si="56"/>
        <v>0</v>
      </c>
      <c r="N471" s="533">
        <f>IFERROR(SUMIFS(APUS!$Z$10:$Z$62,APUS!$N$62:Q302,INSUMOS!D471),0)</f>
        <v>0</v>
      </c>
      <c r="O471" s="546">
        <f t="shared" si="54"/>
        <v>0</v>
      </c>
      <c r="P471" s="348"/>
      <c r="Q471" s="341" t="str">
        <f t="shared" si="55"/>
        <v>SI</v>
      </c>
    </row>
    <row r="472" spans="3:17" hidden="1" x14ac:dyDescent="0.25">
      <c r="C472" s="358">
        <v>542</v>
      </c>
      <c r="D472" s="727"/>
      <c r="E472" s="727"/>
      <c r="F472" s="727"/>
      <c r="G472" s="727"/>
      <c r="H472" s="516"/>
      <c r="I472" s="531"/>
      <c r="J472" s="510">
        <f>SUMIFS(APUS!$Y$9:$Y$1486,APUS!$M$9:$M$1486,INSUMOS!C472)</f>
        <v>0</v>
      </c>
      <c r="K472" s="511">
        <f t="shared" si="56"/>
        <v>0</v>
      </c>
      <c r="N472" s="533">
        <f>IFERROR(SUMIFS(APUS!$Z$10:$Z$62,APUS!$N$62:Q302,INSUMOS!D472),0)</f>
        <v>0</v>
      </c>
      <c r="O472" s="546">
        <f t="shared" si="54"/>
        <v>0</v>
      </c>
      <c r="P472" s="348"/>
      <c r="Q472" s="341" t="str">
        <f t="shared" si="55"/>
        <v>SI</v>
      </c>
    </row>
    <row r="473" spans="3:17" hidden="1" x14ac:dyDescent="0.25">
      <c r="C473" s="358">
        <v>543</v>
      </c>
      <c r="D473" s="791"/>
      <c r="E473" s="791"/>
      <c r="F473" s="791"/>
      <c r="G473" s="791"/>
      <c r="H473" s="314"/>
      <c r="I473" s="515"/>
      <c r="J473" s="510">
        <f>SUMIFS(APUS!$Y$9:$Y$1486,APUS!$M$9:$M$1486,INSUMOS!C473)</f>
        <v>0</v>
      </c>
      <c r="K473" s="511">
        <f t="shared" si="56"/>
        <v>0</v>
      </c>
      <c r="N473" s="533">
        <f>IFERROR(SUMIFS(APUS!$Z$10:$Z$62,APUS!$N$62:Q302,INSUMOS!D473),0)</f>
        <v>0</v>
      </c>
      <c r="O473" s="546">
        <f t="shared" si="54"/>
        <v>0</v>
      </c>
      <c r="P473" s="348"/>
      <c r="Q473" s="341" t="str">
        <f t="shared" si="55"/>
        <v>SI</v>
      </c>
    </row>
    <row r="474" spans="3:17" hidden="1" x14ac:dyDescent="0.25">
      <c r="C474" s="358">
        <v>544</v>
      </c>
      <c r="D474" s="791"/>
      <c r="E474" s="791"/>
      <c r="F474" s="791"/>
      <c r="G474" s="791"/>
      <c r="H474" s="314"/>
      <c r="I474" s="515"/>
      <c r="J474" s="510">
        <f>SUMIFS(APUS!$Y$9:$Y$1486,APUS!$M$9:$M$1486,INSUMOS!C474)</f>
        <v>0</v>
      </c>
      <c r="K474" s="511">
        <f t="shared" si="56"/>
        <v>0</v>
      </c>
      <c r="N474" s="533">
        <f>IFERROR(SUMIFS(APUS!$Z$10:$Z$62,APUS!$N$62:Q302,INSUMOS!D474),0)</f>
        <v>0</v>
      </c>
      <c r="O474" s="546">
        <f t="shared" si="54"/>
        <v>0</v>
      </c>
      <c r="P474" s="348"/>
      <c r="Q474" s="341" t="str">
        <f t="shared" si="55"/>
        <v>SI</v>
      </c>
    </row>
    <row r="475" spans="3:17" hidden="1" x14ac:dyDescent="0.25">
      <c r="C475" s="358">
        <v>545</v>
      </c>
      <c r="D475" s="791"/>
      <c r="E475" s="791"/>
      <c r="F475" s="791"/>
      <c r="G475" s="791"/>
      <c r="H475" s="314"/>
      <c r="I475" s="515"/>
      <c r="J475" s="510">
        <f>SUMIFS(APUS!$Y$9:$Y$1486,APUS!$M$9:$M$1486,INSUMOS!C475)</f>
        <v>0</v>
      </c>
      <c r="K475" s="511">
        <f t="shared" si="56"/>
        <v>0</v>
      </c>
      <c r="N475" s="533">
        <f>IFERROR(SUMIFS(APUS!$Z$10:$Z$62,APUS!$N$62:Q302,INSUMOS!D475),0)</f>
        <v>0</v>
      </c>
      <c r="O475" s="546">
        <f t="shared" si="54"/>
        <v>0</v>
      </c>
      <c r="P475" s="348"/>
      <c r="Q475" s="341" t="str">
        <f t="shared" si="55"/>
        <v>SI</v>
      </c>
    </row>
    <row r="476" spans="3:17" hidden="1" x14ac:dyDescent="0.25">
      <c r="C476" s="358">
        <v>546</v>
      </c>
      <c r="D476" s="791"/>
      <c r="E476" s="791"/>
      <c r="F476" s="791"/>
      <c r="G476" s="791"/>
      <c r="H476" s="314"/>
      <c r="I476" s="515"/>
      <c r="J476" s="510">
        <f>SUMIFS(APUS!$Y$9:$Y$1486,APUS!$M$9:$M$1486,INSUMOS!C476)</f>
        <v>0</v>
      </c>
      <c r="K476" s="511">
        <f t="shared" si="56"/>
        <v>0</v>
      </c>
      <c r="N476" s="533">
        <f>IFERROR(SUMIFS(APUS!$Z$10:$Z$62,APUS!$N$62:Q302,INSUMOS!D476),0)</f>
        <v>0</v>
      </c>
      <c r="O476" s="546">
        <f t="shared" si="54"/>
        <v>0</v>
      </c>
      <c r="P476" s="348"/>
      <c r="Q476" s="341" t="str">
        <f t="shared" si="55"/>
        <v>SI</v>
      </c>
    </row>
    <row r="477" spans="3:17" hidden="1" x14ac:dyDescent="0.25">
      <c r="C477" s="358">
        <v>547</v>
      </c>
      <c r="D477" s="791"/>
      <c r="E477" s="791"/>
      <c r="F477" s="791"/>
      <c r="G477" s="791"/>
      <c r="H477" s="314"/>
      <c r="I477" s="515"/>
      <c r="J477" s="510">
        <f>SUMIFS(APUS!$Y$9:$Y$1486,APUS!$M$9:$M$1486,INSUMOS!C477)</f>
        <v>0</v>
      </c>
      <c r="K477" s="511">
        <f t="shared" si="56"/>
        <v>0</v>
      </c>
      <c r="N477" s="533">
        <f>IFERROR(SUMIFS(APUS!$Z$10:$Z$62,APUS!$N$62:Q302,INSUMOS!D477),0)</f>
        <v>0</v>
      </c>
      <c r="O477" s="546">
        <f t="shared" si="54"/>
        <v>0</v>
      </c>
      <c r="P477" s="348"/>
      <c r="Q477" s="341" t="str">
        <f t="shared" si="55"/>
        <v>SI</v>
      </c>
    </row>
    <row r="478" spans="3:17" hidden="1" x14ac:dyDescent="0.25">
      <c r="C478" s="358">
        <v>548</v>
      </c>
      <c r="D478" s="727" t="s">
        <v>332</v>
      </c>
      <c r="E478" s="727"/>
      <c r="F478" s="727"/>
      <c r="G478" s="727"/>
      <c r="H478" s="516" t="s">
        <v>35</v>
      </c>
      <c r="I478" s="515">
        <f>ROUNDUP(61406/6,0)</f>
        <v>10235</v>
      </c>
      <c r="J478" s="510">
        <f>SUMIFS(APUS!$Y$9:$Y$1486,APUS!$M$9:$M$1486,INSUMOS!C478)</f>
        <v>0</v>
      </c>
      <c r="K478" s="511">
        <f t="shared" si="56"/>
        <v>0</v>
      </c>
      <c r="N478" s="533">
        <f>IFERROR(SUMIFS(APUS!$Z$10:$Z$62,APUS!$N$62:Q302,INSUMOS!D478),0)</f>
        <v>0</v>
      </c>
      <c r="O478" s="546">
        <f t="shared" si="54"/>
        <v>0</v>
      </c>
      <c r="P478" s="348"/>
      <c r="Q478" s="341" t="str">
        <f t="shared" si="55"/>
        <v>SI</v>
      </c>
    </row>
    <row r="479" spans="3:17" hidden="1" x14ac:dyDescent="0.25">
      <c r="C479" s="358">
        <v>549</v>
      </c>
      <c r="D479" s="727" t="s">
        <v>333</v>
      </c>
      <c r="E479" s="727"/>
      <c r="F479" s="727"/>
      <c r="G479" s="727"/>
      <c r="H479" s="516" t="s">
        <v>35</v>
      </c>
      <c r="I479" s="515">
        <f>ROUNDUP(90076/6,0)</f>
        <v>15013</v>
      </c>
      <c r="J479" s="510">
        <f>SUMIFS(APUS!$Y$9:$Y$1486,APUS!$M$9:$M$1486,INSUMOS!C479)</f>
        <v>0</v>
      </c>
      <c r="K479" s="511">
        <f t="shared" si="56"/>
        <v>0</v>
      </c>
      <c r="N479" s="533">
        <f>IFERROR(SUMIFS(APUS!$Z$10:$Z$62,APUS!$N$62:Q302,INSUMOS!D479),0)</f>
        <v>0</v>
      </c>
      <c r="O479" s="546">
        <f t="shared" si="54"/>
        <v>0</v>
      </c>
      <c r="P479" s="348"/>
      <c r="Q479" s="341" t="str">
        <f t="shared" si="55"/>
        <v>SI</v>
      </c>
    </row>
    <row r="480" spans="3:17" hidden="1" x14ac:dyDescent="0.25">
      <c r="C480" s="358">
        <v>550</v>
      </c>
      <c r="D480" s="727" t="s">
        <v>334</v>
      </c>
      <c r="E480" s="727"/>
      <c r="F480" s="727"/>
      <c r="G480" s="727"/>
      <c r="H480" s="516" t="s">
        <v>35</v>
      </c>
      <c r="I480" s="515">
        <f>ROUNDUP(134391/6,0)</f>
        <v>22399</v>
      </c>
      <c r="J480" s="510">
        <f>SUMIFS(APUS!$Y$9:$Y$1486,APUS!$M$9:$M$1486,INSUMOS!C480)</f>
        <v>0</v>
      </c>
      <c r="K480" s="511">
        <f t="shared" si="56"/>
        <v>0</v>
      </c>
      <c r="N480" s="533">
        <f>IFERROR(SUMIFS(APUS!$Z$10:$Z$62,APUS!$N$62:Q302,INSUMOS!D480),0)</f>
        <v>0</v>
      </c>
      <c r="O480" s="546">
        <f t="shared" si="54"/>
        <v>0</v>
      </c>
      <c r="P480" s="348"/>
      <c r="Q480" s="341" t="str">
        <f t="shared" si="55"/>
        <v>SI</v>
      </c>
    </row>
    <row r="481" spans="3:17" hidden="1" x14ac:dyDescent="0.25">
      <c r="C481" s="358">
        <v>551</v>
      </c>
      <c r="D481" s="727" t="s">
        <v>335</v>
      </c>
      <c r="E481" s="727"/>
      <c r="F481" s="727"/>
      <c r="G481" s="727"/>
      <c r="H481" s="516" t="s">
        <v>35</v>
      </c>
      <c r="I481" s="515">
        <f>ROUNDUP(221737/6,0)</f>
        <v>36957</v>
      </c>
      <c r="J481" s="510">
        <f>SUMIFS(APUS!$Y$9:$Y$1486,APUS!$M$9:$M$1486,INSUMOS!C481)</f>
        <v>0</v>
      </c>
      <c r="K481" s="511">
        <f t="shared" si="56"/>
        <v>0</v>
      </c>
      <c r="N481" s="533">
        <f>IFERROR(SUMIFS(APUS!$Z$10:$Z$62,APUS!$N$62:Q302,INSUMOS!D481),0)</f>
        <v>0</v>
      </c>
      <c r="O481" s="546">
        <f t="shared" si="54"/>
        <v>0</v>
      </c>
      <c r="P481" s="348"/>
      <c r="Q481" s="341" t="str">
        <f t="shared" si="55"/>
        <v>SI</v>
      </c>
    </row>
    <row r="482" spans="3:17" hidden="1" x14ac:dyDescent="0.25">
      <c r="C482" s="358">
        <v>552</v>
      </c>
      <c r="D482" s="727" t="s">
        <v>336</v>
      </c>
      <c r="E482" s="727"/>
      <c r="F482" s="727"/>
      <c r="G482" s="727"/>
      <c r="H482" s="516" t="s">
        <v>35</v>
      </c>
      <c r="I482" s="515">
        <f>ROUNDUP(484167/6,0)</f>
        <v>80695</v>
      </c>
      <c r="J482" s="510">
        <f>SUMIFS(APUS!$Y$9:$Y$1486,APUS!$M$9:$M$1486,INSUMOS!C482)</f>
        <v>0</v>
      </c>
      <c r="K482" s="511">
        <f t="shared" si="56"/>
        <v>0</v>
      </c>
      <c r="N482" s="533">
        <f>IFERROR(SUMIFS(APUS!$Z$10:$Z$62,APUS!$N$62:Q310,INSUMOS!D482),0)</f>
        <v>0</v>
      </c>
      <c r="O482" s="546">
        <f t="shared" si="54"/>
        <v>0</v>
      </c>
      <c r="P482" s="348"/>
      <c r="Q482" s="341" t="str">
        <f t="shared" si="55"/>
        <v>SI</v>
      </c>
    </row>
    <row r="483" spans="3:17" hidden="1" x14ac:dyDescent="0.25">
      <c r="C483" s="358">
        <v>553</v>
      </c>
      <c r="D483" s="727" t="s">
        <v>337</v>
      </c>
      <c r="E483" s="727"/>
      <c r="F483" s="727"/>
      <c r="G483" s="727"/>
      <c r="H483" s="516" t="s">
        <v>35</v>
      </c>
      <c r="I483" s="515">
        <f>ROUNDUP(820122/6,0)</f>
        <v>136687</v>
      </c>
      <c r="J483" s="510">
        <f>SUMIFS(APUS!$Y$9:$Y$1486,APUS!$M$9:$M$1486,INSUMOS!C483)</f>
        <v>0</v>
      </c>
      <c r="K483" s="511">
        <f t="shared" si="56"/>
        <v>0</v>
      </c>
      <c r="N483" s="533">
        <f>IFERROR(SUMIFS(APUS!$Z$10:$Z$62,APUS!$N$62:Q310,INSUMOS!D483),0)</f>
        <v>0</v>
      </c>
      <c r="O483" s="546">
        <f t="shared" si="54"/>
        <v>0</v>
      </c>
      <c r="P483" s="348"/>
      <c r="Q483" s="341" t="str">
        <f t="shared" si="55"/>
        <v>SI</v>
      </c>
    </row>
    <row r="484" spans="3:17" hidden="1" x14ac:dyDescent="0.25">
      <c r="C484" s="358">
        <v>554</v>
      </c>
      <c r="D484" s="727" t="s">
        <v>338</v>
      </c>
      <c r="E484" s="727"/>
      <c r="F484" s="727"/>
      <c r="G484" s="727"/>
      <c r="H484" s="516" t="s">
        <v>35</v>
      </c>
      <c r="I484" s="515">
        <f>ROUNDUP(1291037/6,0)</f>
        <v>215173</v>
      </c>
      <c r="J484" s="510">
        <f>SUMIFS(APUS!$Y$9:$Y$1486,APUS!$M$9:$M$1486,INSUMOS!C484)</f>
        <v>0</v>
      </c>
      <c r="K484" s="511">
        <f t="shared" si="56"/>
        <v>0</v>
      </c>
      <c r="N484" s="533">
        <f>IFERROR(SUMIFS(APUS!$Z$10:$Z$62,APUS!$N$62:Q311,INSUMOS!D484),0)</f>
        <v>0</v>
      </c>
      <c r="O484" s="546">
        <f t="shared" si="54"/>
        <v>0</v>
      </c>
      <c r="P484" s="348"/>
      <c r="Q484" s="341" t="str">
        <f t="shared" si="55"/>
        <v>SI</v>
      </c>
    </row>
    <row r="485" spans="3:17" hidden="1" x14ac:dyDescent="0.25">
      <c r="C485" s="358">
        <v>555</v>
      </c>
      <c r="D485" s="791"/>
      <c r="E485" s="791"/>
      <c r="F485" s="791"/>
      <c r="G485" s="791"/>
      <c r="H485" s="314"/>
      <c r="I485" s="515"/>
      <c r="J485" s="510">
        <f>SUMIFS(APUS!$Y$9:$Y$1486,APUS!$M$9:$M$1486,INSUMOS!C485)</f>
        <v>0</v>
      </c>
      <c r="K485" s="511">
        <f t="shared" si="56"/>
        <v>0</v>
      </c>
      <c r="N485" s="533">
        <f>IFERROR(SUMIFS(APUS!$Z$10:$Z$62,APUS!$N$62:Q312,INSUMOS!D485),0)</f>
        <v>0</v>
      </c>
      <c r="O485" s="546">
        <f t="shared" si="54"/>
        <v>0</v>
      </c>
      <c r="P485" s="348"/>
      <c r="Q485" s="341" t="str">
        <f t="shared" si="55"/>
        <v>SI</v>
      </c>
    </row>
    <row r="486" spans="3:17" hidden="1" x14ac:dyDescent="0.25">
      <c r="C486" s="358">
        <v>556</v>
      </c>
      <c r="D486" s="791"/>
      <c r="E486" s="791"/>
      <c r="F486" s="791"/>
      <c r="G486" s="791"/>
      <c r="H486" s="314"/>
      <c r="I486" s="515"/>
      <c r="J486" s="510">
        <f>SUMIFS(APUS!$Y$9:$Y$1486,APUS!$M$9:$M$1486,INSUMOS!C486)</f>
        <v>0</v>
      </c>
      <c r="K486" s="511">
        <f t="shared" si="56"/>
        <v>0</v>
      </c>
      <c r="N486" s="533">
        <f>IFERROR(SUMIFS(APUS!$Z$10:$Z$62,APUS!$N$62:Q313,INSUMOS!D486),0)</f>
        <v>0</v>
      </c>
      <c r="O486" s="546">
        <f t="shared" si="54"/>
        <v>0</v>
      </c>
      <c r="P486" s="348"/>
      <c r="Q486" s="341" t="str">
        <f t="shared" si="55"/>
        <v>SI</v>
      </c>
    </row>
    <row r="487" spans="3:17" hidden="1" x14ac:dyDescent="0.25">
      <c r="C487" s="358">
        <v>557</v>
      </c>
      <c r="D487" s="791"/>
      <c r="E487" s="791"/>
      <c r="F487" s="791"/>
      <c r="G487" s="791"/>
      <c r="H487" s="314"/>
      <c r="I487" s="515"/>
      <c r="J487" s="510">
        <f>SUMIFS(APUS!$Y$9:$Y$1486,APUS!$M$9:$M$1486,INSUMOS!C487)</f>
        <v>0</v>
      </c>
      <c r="K487" s="511">
        <f t="shared" si="56"/>
        <v>0</v>
      </c>
      <c r="N487" s="533">
        <f>IFERROR(SUMIFS(APUS!$Z$10:$Z$62,APUS!$N$62:Q314,INSUMOS!D487),0)</f>
        <v>0</v>
      </c>
      <c r="O487" s="546">
        <f t="shared" si="54"/>
        <v>0</v>
      </c>
      <c r="P487" s="348"/>
      <c r="Q487" s="341" t="str">
        <f t="shared" si="55"/>
        <v>SI</v>
      </c>
    </row>
    <row r="488" spans="3:17" hidden="1" x14ac:dyDescent="0.25">
      <c r="C488" s="358">
        <v>558</v>
      </c>
      <c r="D488" s="791"/>
      <c r="E488" s="791"/>
      <c r="F488" s="791"/>
      <c r="G488" s="791"/>
      <c r="H488" s="314"/>
      <c r="I488" s="515"/>
      <c r="J488" s="510">
        <f>SUMIFS(APUS!$Y$9:$Y$1486,APUS!$M$9:$M$1486,INSUMOS!C488)</f>
        <v>0</v>
      </c>
      <c r="K488" s="511">
        <f t="shared" si="56"/>
        <v>0</v>
      </c>
      <c r="N488" s="533">
        <f>IFERROR(SUMIFS(APUS!$Z$10:$Z$62,APUS!$N$62:Q315,INSUMOS!D488),0)</f>
        <v>0</v>
      </c>
      <c r="O488" s="546">
        <f t="shared" ref="O488:O551" si="57">+N488-K488</f>
        <v>0</v>
      </c>
      <c r="P488" s="348"/>
      <c r="Q488" s="341" t="str">
        <f t="shared" ref="Q488:Q551" si="58">+IF(K488=0,"SI","NO")</f>
        <v>SI</v>
      </c>
    </row>
    <row r="489" spans="3:17" hidden="1" x14ac:dyDescent="0.25">
      <c r="C489" s="358">
        <v>559</v>
      </c>
      <c r="D489" s="791"/>
      <c r="E489" s="791"/>
      <c r="F489" s="791"/>
      <c r="G489" s="791"/>
      <c r="H489" s="314"/>
      <c r="I489" s="515"/>
      <c r="J489" s="510">
        <f>SUMIFS(APUS!$Y$9:$Y$1486,APUS!$M$9:$M$1486,INSUMOS!C489)</f>
        <v>0</v>
      </c>
      <c r="K489" s="511">
        <f t="shared" si="56"/>
        <v>0</v>
      </c>
      <c r="N489" s="533">
        <f>IFERROR(SUMIFS(APUS!$Z$10:$Z$62,APUS!$N$62:Q316,INSUMOS!D489),0)</f>
        <v>0</v>
      </c>
      <c r="O489" s="546">
        <f t="shared" si="57"/>
        <v>0</v>
      </c>
      <c r="P489" s="348"/>
      <c r="Q489" s="341" t="str">
        <f t="shared" si="58"/>
        <v>SI</v>
      </c>
    </row>
    <row r="490" spans="3:17" hidden="1" x14ac:dyDescent="0.25">
      <c r="C490" s="358">
        <v>560</v>
      </c>
      <c r="D490" s="791"/>
      <c r="E490" s="791"/>
      <c r="F490" s="791"/>
      <c r="G490" s="791"/>
      <c r="H490" s="314"/>
      <c r="I490" s="515"/>
      <c r="J490" s="510">
        <f>SUMIFS(APUS!$Y$9:$Y$1486,APUS!$M$9:$M$1486,INSUMOS!C490)</f>
        <v>0</v>
      </c>
      <c r="K490" s="511">
        <f t="shared" si="56"/>
        <v>0</v>
      </c>
      <c r="N490" s="533">
        <f>IFERROR(SUMIFS(APUS!$Z$10:$Z$62,APUS!$N$62:Q317,INSUMOS!D490),0)</f>
        <v>0</v>
      </c>
      <c r="O490" s="546">
        <f t="shared" si="57"/>
        <v>0</v>
      </c>
      <c r="P490" s="348"/>
      <c r="Q490" s="341" t="str">
        <f t="shared" si="58"/>
        <v>SI</v>
      </c>
    </row>
    <row r="491" spans="3:17" hidden="1" x14ac:dyDescent="0.25">
      <c r="C491" s="358">
        <v>561</v>
      </c>
      <c r="D491" s="791"/>
      <c r="E491" s="791"/>
      <c r="F491" s="791"/>
      <c r="G491" s="791"/>
      <c r="H491" s="314"/>
      <c r="I491" s="515"/>
      <c r="J491" s="510">
        <f>SUMIFS(APUS!$Y$9:$Y$1486,APUS!$M$9:$M$1486,INSUMOS!C491)</f>
        <v>0</v>
      </c>
      <c r="K491" s="511">
        <f t="shared" si="56"/>
        <v>0</v>
      </c>
      <c r="N491" s="533">
        <f>IFERROR(SUMIFS(APUS!$Z$10:$Z$62,APUS!$N$62:Q318,INSUMOS!D491),0)</f>
        <v>0</v>
      </c>
      <c r="O491" s="546">
        <f t="shared" si="57"/>
        <v>0</v>
      </c>
      <c r="P491" s="348"/>
      <c r="Q491" s="341" t="str">
        <f t="shared" si="58"/>
        <v>SI</v>
      </c>
    </row>
    <row r="492" spans="3:17" hidden="1" x14ac:dyDescent="0.25">
      <c r="C492" s="358">
        <v>562</v>
      </c>
      <c r="D492" s="791"/>
      <c r="E492" s="791"/>
      <c r="F492" s="791"/>
      <c r="G492" s="791"/>
      <c r="H492" s="314"/>
      <c r="I492" s="515"/>
      <c r="J492" s="510">
        <f>SUMIFS(APUS!$Y$9:$Y$1486,APUS!$M$9:$M$1486,INSUMOS!C492)</f>
        <v>0</v>
      </c>
      <c r="K492" s="511">
        <f t="shared" si="56"/>
        <v>0</v>
      </c>
      <c r="N492" s="533">
        <f>IFERROR(SUMIFS(APUS!$Z$10:$Z$62,APUS!$N$62:Q319,INSUMOS!D492),0)</f>
        <v>0</v>
      </c>
      <c r="O492" s="546">
        <f t="shared" si="57"/>
        <v>0</v>
      </c>
      <c r="P492" s="348"/>
      <c r="Q492" s="341" t="str">
        <f t="shared" si="58"/>
        <v>SI</v>
      </c>
    </row>
    <row r="493" spans="3:17" hidden="1" x14ac:dyDescent="0.25">
      <c r="C493" s="358">
        <v>563</v>
      </c>
      <c r="D493" s="791"/>
      <c r="E493" s="791"/>
      <c r="F493" s="791"/>
      <c r="G493" s="791"/>
      <c r="H493" s="314"/>
      <c r="I493" s="515"/>
      <c r="J493" s="510">
        <f>SUMIFS(APUS!$Y$9:$Y$1486,APUS!$M$9:$M$1486,INSUMOS!C493)</f>
        <v>0</v>
      </c>
      <c r="K493" s="511">
        <f t="shared" si="56"/>
        <v>0</v>
      </c>
      <c r="N493" s="533">
        <f>IFERROR(SUMIFS(APUS!$Z$10:$Z$62,APUS!$N$62:Q320,INSUMOS!D493),0)</f>
        <v>0</v>
      </c>
      <c r="O493" s="546">
        <f t="shared" si="57"/>
        <v>0</v>
      </c>
      <c r="P493" s="348"/>
      <c r="Q493" s="341" t="str">
        <f t="shared" si="58"/>
        <v>SI</v>
      </c>
    </row>
    <row r="494" spans="3:17" hidden="1" x14ac:dyDescent="0.25">
      <c r="C494" s="358">
        <v>564</v>
      </c>
      <c r="D494" s="791" t="s">
        <v>590</v>
      </c>
      <c r="E494" s="791"/>
      <c r="F494" s="791"/>
      <c r="G494" s="791"/>
      <c r="H494" s="314"/>
      <c r="I494" s="515"/>
      <c r="J494" s="510">
        <f>SUMIFS(APUS!$Y$9:$Y$1486,APUS!$M$9:$M$1486,INSUMOS!C494)</f>
        <v>0</v>
      </c>
      <c r="K494" s="511">
        <f t="shared" si="56"/>
        <v>0</v>
      </c>
      <c r="N494" s="533">
        <f>IFERROR(SUMIFS(APUS!$Z$10:$Z$62,APUS!$N$62:Q321,INSUMOS!D494),0)</f>
        <v>0</v>
      </c>
      <c r="O494" s="546">
        <f t="shared" si="57"/>
        <v>0</v>
      </c>
      <c r="P494" s="348"/>
      <c r="Q494" s="341" t="str">
        <f t="shared" si="58"/>
        <v>SI</v>
      </c>
    </row>
    <row r="495" spans="3:17" hidden="1" x14ac:dyDescent="0.25">
      <c r="C495" s="358">
        <v>565</v>
      </c>
      <c r="D495" s="791" t="s">
        <v>591</v>
      </c>
      <c r="E495" s="791"/>
      <c r="F495" s="791"/>
      <c r="G495" s="791"/>
      <c r="H495" s="314" t="s">
        <v>36</v>
      </c>
      <c r="I495" s="515">
        <v>27312</v>
      </c>
      <c r="J495" s="510">
        <f>SUMIFS(APUS!$Y$9:$Y$1486,APUS!$M$9:$M$1486,INSUMOS!C495)</f>
        <v>0</v>
      </c>
      <c r="K495" s="511">
        <f t="shared" si="56"/>
        <v>0</v>
      </c>
      <c r="N495" s="533">
        <f>IFERROR(SUMIFS(APUS!$Z$10:$Z$62,APUS!$N$62:Q322,INSUMOS!D495),0)</f>
        <v>0</v>
      </c>
      <c r="O495" s="546">
        <f t="shared" si="57"/>
        <v>0</v>
      </c>
      <c r="P495" s="348"/>
      <c r="Q495" s="341" t="str">
        <f t="shared" si="58"/>
        <v>SI</v>
      </c>
    </row>
    <row r="496" spans="3:17" hidden="1" x14ac:dyDescent="0.25">
      <c r="C496" s="358">
        <v>566</v>
      </c>
      <c r="D496" s="791" t="s">
        <v>589</v>
      </c>
      <c r="E496" s="791"/>
      <c r="F496" s="791"/>
      <c r="G496" s="791"/>
      <c r="H496" s="314"/>
      <c r="I496" s="515"/>
      <c r="J496" s="510">
        <f>SUMIFS(APUS!$Y$9:$Y$1486,APUS!$M$9:$M$1486,INSUMOS!C496)</f>
        <v>0</v>
      </c>
      <c r="K496" s="511">
        <f t="shared" si="56"/>
        <v>0</v>
      </c>
      <c r="N496" s="533">
        <f>IFERROR(SUMIFS(APUS!$Z$10:$Z$62,APUS!$N$62:Q323,INSUMOS!D496),0)</f>
        <v>0</v>
      </c>
      <c r="O496" s="546">
        <f t="shared" si="57"/>
        <v>0</v>
      </c>
      <c r="P496" s="348"/>
      <c r="Q496" s="341" t="str">
        <f t="shared" si="58"/>
        <v>SI</v>
      </c>
    </row>
    <row r="497" spans="3:17" hidden="1" x14ac:dyDescent="0.25">
      <c r="C497" s="358">
        <v>567</v>
      </c>
      <c r="D497" s="791"/>
      <c r="E497" s="791"/>
      <c r="F497" s="791"/>
      <c r="G497" s="791"/>
      <c r="H497" s="314"/>
      <c r="I497" s="515"/>
      <c r="J497" s="510">
        <f>SUMIFS(APUS!$Y$9:$Y$1486,APUS!$M$9:$M$1486,INSUMOS!C497)</f>
        <v>0</v>
      </c>
      <c r="K497" s="511">
        <f t="shared" si="56"/>
        <v>0</v>
      </c>
      <c r="N497" s="533">
        <f>IFERROR(SUMIFS(APUS!$Z$10:$Z$62,APUS!$N$62:Q324,INSUMOS!D497),0)</f>
        <v>0</v>
      </c>
      <c r="O497" s="546">
        <f t="shared" si="57"/>
        <v>0</v>
      </c>
      <c r="P497" s="348"/>
      <c r="Q497" s="341" t="str">
        <f t="shared" si="58"/>
        <v>SI</v>
      </c>
    </row>
    <row r="498" spans="3:17" hidden="1" x14ac:dyDescent="0.25">
      <c r="C498" s="358">
        <v>568</v>
      </c>
      <c r="D498" s="791"/>
      <c r="E498" s="791"/>
      <c r="F498" s="791"/>
      <c r="G498" s="791"/>
      <c r="H498" s="314"/>
      <c r="I498" s="515"/>
      <c r="J498" s="510">
        <f>SUMIFS(APUS!$Y$9:$Y$1486,APUS!$M$9:$M$1486,INSUMOS!C498)</f>
        <v>0</v>
      </c>
      <c r="K498" s="511">
        <f t="shared" si="56"/>
        <v>0</v>
      </c>
      <c r="N498" s="533">
        <f>IFERROR(SUMIFS(APUS!$Z$10:$Z$62,APUS!$N$62:Q325,INSUMOS!D498),0)</f>
        <v>0</v>
      </c>
      <c r="O498" s="546">
        <f t="shared" si="57"/>
        <v>0</v>
      </c>
      <c r="P498" s="348"/>
      <c r="Q498" s="341" t="str">
        <f t="shared" si="58"/>
        <v>SI</v>
      </c>
    </row>
    <row r="499" spans="3:17" hidden="1" x14ac:dyDescent="0.25">
      <c r="C499" s="358">
        <v>569</v>
      </c>
      <c r="D499" s="791"/>
      <c r="E499" s="791"/>
      <c r="F499" s="791"/>
      <c r="G499" s="791"/>
      <c r="H499" s="314"/>
      <c r="I499" s="515"/>
      <c r="J499" s="510">
        <f>SUMIFS(APUS!$Y$9:$Y$1486,APUS!$M$9:$M$1486,INSUMOS!C499)</f>
        <v>0</v>
      </c>
      <c r="K499" s="511">
        <f t="shared" si="56"/>
        <v>0</v>
      </c>
      <c r="N499" s="533">
        <f>IFERROR(SUMIFS(APUS!$Z$10:$Z$62,APUS!$N$62:Q326,INSUMOS!D499),0)</f>
        <v>0</v>
      </c>
      <c r="O499" s="546">
        <f t="shared" si="57"/>
        <v>0</v>
      </c>
      <c r="P499" s="348"/>
      <c r="Q499" s="341" t="str">
        <f t="shared" si="58"/>
        <v>SI</v>
      </c>
    </row>
    <row r="500" spans="3:17" hidden="1" x14ac:dyDescent="0.25">
      <c r="C500" s="358">
        <v>570</v>
      </c>
      <c r="D500" s="791"/>
      <c r="E500" s="791"/>
      <c r="F500" s="791"/>
      <c r="G500" s="791"/>
      <c r="H500" s="314"/>
      <c r="I500" s="515"/>
      <c r="J500" s="510">
        <f>SUMIFS(APUS!$Y$9:$Y$1486,APUS!$M$9:$M$1486,INSUMOS!C500)</f>
        <v>0</v>
      </c>
      <c r="K500" s="511">
        <f t="shared" si="56"/>
        <v>0</v>
      </c>
      <c r="N500" s="533">
        <f>IFERROR(SUMIFS(APUS!$Z$10:$Z$62,APUS!$N$62:Q327,INSUMOS!D500),0)</f>
        <v>0</v>
      </c>
      <c r="O500" s="546">
        <f t="shared" si="57"/>
        <v>0</v>
      </c>
      <c r="P500" s="348"/>
      <c r="Q500" s="341" t="str">
        <f t="shared" si="58"/>
        <v>SI</v>
      </c>
    </row>
    <row r="501" spans="3:17" hidden="1" x14ac:dyDescent="0.25">
      <c r="C501" s="358">
        <v>571</v>
      </c>
      <c r="D501" s="791"/>
      <c r="E501" s="791"/>
      <c r="F501" s="791"/>
      <c r="G501" s="791"/>
      <c r="H501" s="314"/>
      <c r="I501" s="515"/>
      <c r="J501" s="510">
        <f>SUMIFS(APUS!$Y$9:$Y$1486,APUS!$M$9:$M$1486,INSUMOS!C501)</f>
        <v>0</v>
      </c>
      <c r="K501" s="511">
        <f t="shared" si="56"/>
        <v>0</v>
      </c>
      <c r="N501" s="533">
        <f>IFERROR(SUMIFS(APUS!$Z$10:$Z$62,APUS!$N$62:Q328,INSUMOS!D501),0)</f>
        <v>0</v>
      </c>
      <c r="O501" s="546">
        <f t="shared" si="57"/>
        <v>0</v>
      </c>
      <c r="P501" s="348"/>
      <c r="Q501" s="341" t="str">
        <f t="shared" si="58"/>
        <v>SI</v>
      </c>
    </row>
    <row r="502" spans="3:17" hidden="1" x14ac:dyDescent="0.25">
      <c r="C502" s="358">
        <v>572</v>
      </c>
      <c r="D502" s="791"/>
      <c r="E502" s="791"/>
      <c r="F502" s="791"/>
      <c r="G502" s="791"/>
      <c r="H502" s="314"/>
      <c r="I502" s="515"/>
      <c r="J502" s="510">
        <f>SUMIFS(APUS!$Y$9:$Y$1486,APUS!$M$9:$M$1486,INSUMOS!C502)</f>
        <v>0</v>
      </c>
      <c r="K502" s="511">
        <f t="shared" si="56"/>
        <v>0</v>
      </c>
      <c r="N502" s="533">
        <f>IFERROR(SUMIFS(APUS!$Z$10:$Z$62,APUS!$N$62:Q329,INSUMOS!D502),0)</f>
        <v>0</v>
      </c>
      <c r="O502" s="546">
        <f t="shared" si="57"/>
        <v>0</v>
      </c>
      <c r="P502" s="348"/>
      <c r="Q502" s="341" t="str">
        <f t="shared" si="58"/>
        <v>SI</v>
      </c>
    </row>
    <row r="503" spans="3:17" hidden="1" x14ac:dyDescent="0.25">
      <c r="C503" s="358">
        <v>573</v>
      </c>
      <c r="D503" s="791"/>
      <c r="E503" s="791"/>
      <c r="F503" s="791"/>
      <c r="G503" s="791"/>
      <c r="H503" s="314"/>
      <c r="I503" s="515"/>
      <c r="J503" s="510">
        <f>SUMIFS(APUS!$Y$9:$Y$1486,APUS!$M$9:$M$1486,INSUMOS!C503)</f>
        <v>0</v>
      </c>
      <c r="K503" s="511">
        <f t="shared" si="56"/>
        <v>0</v>
      </c>
      <c r="N503" s="533">
        <f>IFERROR(SUMIFS(APUS!$Z$10:$Z$62,APUS!$N$62:Q330,INSUMOS!D503),0)</f>
        <v>0</v>
      </c>
      <c r="O503" s="546">
        <f t="shared" si="57"/>
        <v>0</v>
      </c>
      <c r="P503" s="348"/>
      <c r="Q503" s="341" t="str">
        <f t="shared" si="58"/>
        <v>SI</v>
      </c>
    </row>
    <row r="504" spans="3:17" hidden="1" x14ac:dyDescent="0.25">
      <c r="C504" s="358">
        <v>574</v>
      </c>
      <c r="D504" s="791"/>
      <c r="E504" s="791"/>
      <c r="F504" s="791"/>
      <c r="G504" s="791"/>
      <c r="H504" s="314"/>
      <c r="I504" s="515"/>
      <c r="J504" s="510">
        <f>SUMIFS(APUS!$Y$9:$Y$1486,APUS!$M$9:$M$1486,INSUMOS!C504)</f>
        <v>0</v>
      </c>
      <c r="K504" s="511">
        <f t="shared" si="56"/>
        <v>0</v>
      </c>
      <c r="N504" s="533">
        <f>IFERROR(SUMIFS(APUS!$Z$10:$Z$62,APUS!$N$62:Q331,INSUMOS!D504),0)</f>
        <v>0</v>
      </c>
      <c r="O504" s="546">
        <f t="shared" si="57"/>
        <v>0</v>
      </c>
      <c r="P504" s="348"/>
      <c r="Q504" s="341" t="str">
        <f t="shared" si="58"/>
        <v>SI</v>
      </c>
    </row>
    <row r="505" spans="3:17" hidden="1" x14ac:dyDescent="0.25">
      <c r="C505" s="358">
        <v>575</v>
      </c>
      <c r="D505" s="791"/>
      <c r="E505" s="791"/>
      <c r="F505" s="791"/>
      <c r="G505" s="791"/>
      <c r="H505" s="314"/>
      <c r="I505" s="515"/>
      <c r="J505" s="510">
        <f>SUMIFS(APUS!$Y$9:$Y$1486,APUS!$M$9:$M$1486,INSUMOS!C505)</f>
        <v>0</v>
      </c>
      <c r="K505" s="511">
        <f t="shared" ref="K505:K568" si="59">+J505*I505</f>
        <v>0</v>
      </c>
      <c r="N505" s="533">
        <f>IFERROR(SUMIFS(APUS!$Z$10:$Z$62,APUS!$N$62:Q332,INSUMOS!D505),0)</f>
        <v>0</v>
      </c>
      <c r="O505" s="546">
        <f t="shared" si="57"/>
        <v>0</v>
      </c>
      <c r="P505" s="348"/>
      <c r="Q505" s="341" t="str">
        <f t="shared" si="58"/>
        <v>SI</v>
      </c>
    </row>
    <row r="506" spans="3:17" hidden="1" x14ac:dyDescent="0.25">
      <c r="C506" s="358">
        <v>576</v>
      </c>
      <c r="D506" s="791"/>
      <c r="E506" s="791"/>
      <c r="F506" s="791"/>
      <c r="G506" s="791"/>
      <c r="H506" s="314"/>
      <c r="I506" s="515"/>
      <c r="J506" s="510">
        <f>SUMIFS(APUS!$Y$9:$Y$1486,APUS!$M$9:$M$1486,INSUMOS!C506)</f>
        <v>0</v>
      </c>
      <c r="K506" s="511">
        <f t="shared" si="59"/>
        <v>0</v>
      </c>
      <c r="N506" s="533">
        <f>IFERROR(SUMIFS(APUS!$Z$10:$Z$62,APUS!$N$62:Q333,INSUMOS!D506),0)</f>
        <v>0</v>
      </c>
      <c r="O506" s="546">
        <f t="shared" si="57"/>
        <v>0</v>
      </c>
      <c r="P506" s="348"/>
      <c r="Q506" s="341" t="str">
        <f t="shared" si="58"/>
        <v>SI</v>
      </c>
    </row>
    <row r="507" spans="3:17" hidden="1" x14ac:dyDescent="0.25">
      <c r="C507" s="358">
        <v>577</v>
      </c>
      <c r="D507" s="791"/>
      <c r="E507" s="791"/>
      <c r="F507" s="791"/>
      <c r="G507" s="791"/>
      <c r="H507" s="314"/>
      <c r="I507" s="515"/>
      <c r="J507" s="510">
        <f>SUMIFS(APUS!$Y$9:$Y$1486,APUS!$M$9:$M$1486,INSUMOS!C507)</f>
        <v>0</v>
      </c>
      <c r="K507" s="511">
        <f t="shared" si="59"/>
        <v>0</v>
      </c>
      <c r="N507" s="533">
        <f>IFERROR(SUMIFS(APUS!$Z$10:$Z$62,APUS!$N$62:Q334,INSUMOS!D507),0)</f>
        <v>0</v>
      </c>
      <c r="O507" s="546">
        <f t="shared" si="57"/>
        <v>0</v>
      </c>
      <c r="P507" s="348"/>
      <c r="Q507" s="341" t="str">
        <f t="shared" si="58"/>
        <v>SI</v>
      </c>
    </row>
    <row r="508" spans="3:17" hidden="1" x14ac:dyDescent="0.25">
      <c r="C508" s="358">
        <v>578</v>
      </c>
      <c r="D508" s="791"/>
      <c r="E508" s="791"/>
      <c r="F508" s="791"/>
      <c r="G508" s="791"/>
      <c r="H508" s="314"/>
      <c r="I508" s="515"/>
      <c r="J508" s="510">
        <f>SUMIFS(APUS!$Y$9:$Y$1486,APUS!$M$9:$M$1486,INSUMOS!C508)</f>
        <v>0</v>
      </c>
      <c r="K508" s="511">
        <f t="shared" si="59"/>
        <v>0</v>
      </c>
      <c r="N508" s="533">
        <f>IFERROR(SUMIFS(APUS!$Z$10:$Z$62,APUS!$N$62:Q335,INSUMOS!D508),0)</f>
        <v>0</v>
      </c>
      <c r="O508" s="546">
        <f t="shared" si="57"/>
        <v>0</v>
      </c>
      <c r="P508" s="348"/>
      <c r="Q508" s="341" t="str">
        <f t="shared" si="58"/>
        <v>SI</v>
      </c>
    </row>
    <row r="509" spans="3:17" hidden="1" x14ac:dyDescent="0.25">
      <c r="C509" s="358">
        <v>579</v>
      </c>
      <c r="D509" s="791"/>
      <c r="E509" s="791"/>
      <c r="F509" s="791"/>
      <c r="G509" s="791"/>
      <c r="H509" s="314"/>
      <c r="I509" s="515"/>
      <c r="J509" s="510">
        <f>SUMIFS(APUS!$Y$9:$Y$1486,APUS!$M$9:$M$1486,INSUMOS!C509)</f>
        <v>0</v>
      </c>
      <c r="K509" s="511">
        <f t="shared" si="59"/>
        <v>0</v>
      </c>
      <c r="N509" s="533">
        <f>IFERROR(SUMIFS(APUS!$Z$10:$Z$62,APUS!$N$62:Q336,INSUMOS!D509),0)</f>
        <v>0</v>
      </c>
      <c r="O509" s="546">
        <f t="shared" si="57"/>
        <v>0</v>
      </c>
      <c r="P509" s="348"/>
      <c r="Q509" s="341" t="str">
        <f t="shared" si="58"/>
        <v>SI</v>
      </c>
    </row>
    <row r="510" spans="3:17" hidden="1" x14ac:dyDescent="0.25">
      <c r="C510" s="358">
        <v>580</v>
      </c>
      <c r="D510" s="791" t="s">
        <v>525</v>
      </c>
      <c r="E510" s="791"/>
      <c r="F510" s="791"/>
      <c r="G510" s="791"/>
      <c r="H510" s="516" t="s">
        <v>35</v>
      </c>
      <c r="I510" s="515"/>
      <c r="J510" s="510">
        <f>SUMIFS(APUS!$Y$9:$Y$1486,APUS!$M$9:$M$1486,INSUMOS!C510)</f>
        <v>0</v>
      </c>
      <c r="K510" s="511">
        <f t="shared" si="59"/>
        <v>0</v>
      </c>
      <c r="N510" s="533">
        <f>IFERROR(SUMIFS(APUS!$Z$10:$Z$62,APUS!$N$62:Q337,INSUMOS!D510),0)</f>
        <v>0</v>
      </c>
      <c r="O510" s="546">
        <f t="shared" si="57"/>
        <v>0</v>
      </c>
      <c r="P510" s="348"/>
      <c r="Q510" s="341" t="str">
        <f t="shared" si="58"/>
        <v>SI</v>
      </c>
    </row>
    <row r="511" spans="3:17" x14ac:dyDescent="0.25">
      <c r="C511" s="358">
        <v>581</v>
      </c>
      <c r="D511" s="791" t="s">
        <v>918</v>
      </c>
      <c r="E511" s="791"/>
      <c r="F511" s="791"/>
      <c r="G511" s="791"/>
      <c r="H511" s="516" t="s">
        <v>35</v>
      </c>
      <c r="I511" s="515">
        <v>52566</v>
      </c>
      <c r="J511" s="510">
        <f>SUMIFS(APUS!$Y$9:$Y$1486,APUS!$M$9:$M$1486,INSUMOS!C511)</f>
        <v>10</v>
      </c>
      <c r="K511" s="511">
        <f t="shared" si="59"/>
        <v>525660</v>
      </c>
      <c r="N511" s="533">
        <f>IFERROR(SUMIFS(APUS!$Z$10:$Z$62,APUS!$N$62:Q338,INSUMOS!D511),0)</f>
        <v>0</v>
      </c>
      <c r="O511" s="546">
        <f t="shared" si="57"/>
        <v>-525660</v>
      </c>
      <c r="P511" s="348"/>
      <c r="Q511" s="341" t="str">
        <f t="shared" si="58"/>
        <v>NO</v>
      </c>
    </row>
    <row r="512" spans="3:17" x14ac:dyDescent="0.25">
      <c r="C512" s="358">
        <v>582</v>
      </c>
      <c r="D512" s="791" t="s">
        <v>915</v>
      </c>
      <c r="E512" s="791"/>
      <c r="F512" s="791"/>
      <c r="G512" s="791"/>
      <c r="H512" s="516" t="s">
        <v>35</v>
      </c>
      <c r="I512" s="515">
        <v>96540</v>
      </c>
      <c r="J512" s="510">
        <f>SUMIFS(APUS!$Y$9:$Y$1486,APUS!$M$9:$M$1486,INSUMOS!C512)</f>
        <v>103.53</v>
      </c>
      <c r="K512" s="511">
        <f t="shared" si="59"/>
        <v>9994786.1999999993</v>
      </c>
      <c r="N512" s="533">
        <f>IFERROR(SUMIFS(APUS!$Z$10:$Z$62,APUS!$N$62:Q339,INSUMOS!D512),0)</f>
        <v>0</v>
      </c>
      <c r="O512" s="546">
        <f t="shared" si="57"/>
        <v>-9994786.1999999993</v>
      </c>
      <c r="P512" s="348"/>
      <c r="Q512" s="341" t="str">
        <f t="shared" si="58"/>
        <v>NO</v>
      </c>
    </row>
    <row r="513" spans="3:17" hidden="1" x14ac:dyDescent="0.25">
      <c r="C513" s="358">
        <v>583</v>
      </c>
      <c r="D513" s="791" t="s">
        <v>529</v>
      </c>
      <c r="E513" s="791"/>
      <c r="F513" s="791"/>
      <c r="G513" s="791"/>
      <c r="H513" s="516" t="s">
        <v>35</v>
      </c>
      <c r="I513" s="515"/>
      <c r="J513" s="510">
        <f>SUMIFS(APUS!$Y$9:$Y$1486,APUS!$M$9:$M$1486,INSUMOS!C513)</f>
        <v>0</v>
      </c>
      <c r="K513" s="511">
        <f t="shared" si="59"/>
        <v>0</v>
      </c>
      <c r="N513" s="533">
        <f>IFERROR(SUMIFS(APUS!$Z$10:$Z$62,APUS!$N$62:Q340,INSUMOS!D513),0)</f>
        <v>0</v>
      </c>
      <c r="O513" s="546">
        <f t="shared" si="57"/>
        <v>0</v>
      </c>
      <c r="P513" s="348"/>
      <c r="Q513" s="341" t="str">
        <f t="shared" si="58"/>
        <v>SI</v>
      </c>
    </row>
    <row r="514" spans="3:17" hidden="1" x14ac:dyDescent="0.25">
      <c r="C514" s="358">
        <v>584</v>
      </c>
      <c r="D514" s="791" t="s">
        <v>530</v>
      </c>
      <c r="E514" s="791"/>
      <c r="F514" s="791"/>
      <c r="G514" s="791"/>
      <c r="H514" s="516" t="s">
        <v>35</v>
      </c>
      <c r="I514" s="515">
        <v>128190</v>
      </c>
      <c r="J514" s="510">
        <f>SUMIFS(APUS!$Y$9:$Y$1486,APUS!$M$9:$M$1486,INSUMOS!C514)</f>
        <v>0</v>
      </c>
      <c r="K514" s="511">
        <f t="shared" si="59"/>
        <v>0</v>
      </c>
      <c r="N514" s="533">
        <f>IFERROR(SUMIFS(APUS!$Z$10:$Z$62,APUS!$N$62:Q341,INSUMOS!D514),0)</f>
        <v>0</v>
      </c>
      <c r="O514" s="546">
        <f t="shared" si="57"/>
        <v>0</v>
      </c>
      <c r="P514" s="348"/>
      <c r="Q514" s="341" t="str">
        <f t="shared" si="58"/>
        <v>SI</v>
      </c>
    </row>
    <row r="515" spans="3:17" hidden="1" x14ac:dyDescent="0.25">
      <c r="C515" s="358">
        <v>585</v>
      </c>
      <c r="D515" s="791" t="s">
        <v>531</v>
      </c>
      <c r="E515" s="791"/>
      <c r="F515" s="791"/>
      <c r="G515" s="791"/>
      <c r="H515" s="516" t="s">
        <v>35</v>
      </c>
      <c r="I515" s="515">
        <v>192110</v>
      </c>
      <c r="J515" s="510">
        <f>SUMIFS(APUS!$Y$9:$Y$1486,APUS!$M$9:$M$1486,INSUMOS!C515)</f>
        <v>0</v>
      </c>
      <c r="K515" s="511">
        <f t="shared" si="59"/>
        <v>0</v>
      </c>
      <c r="N515" s="533">
        <f>IFERROR(SUMIFS(APUS!$Z$10:$Z$62,APUS!$N$62:Q342,INSUMOS!D515),0)</f>
        <v>0</v>
      </c>
      <c r="O515" s="546">
        <f t="shared" si="57"/>
        <v>0</v>
      </c>
      <c r="P515" s="348"/>
      <c r="Q515" s="341" t="str">
        <f t="shared" si="58"/>
        <v>SI</v>
      </c>
    </row>
    <row r="516" spans="3:17" hidden="1" x14ac:dyDescent="0.25">
      <c r="C516" s="358">
        <v>586</v>
      </c>
      <c r="D516" s="791" t="s">
        <v>532</v>
      </c>
      <c r="E516" s="791"/>
      <c r="F516" s="791"/>
      <c r="G516" s="791"/>
      <c r="H516" s="516" t="s">
        <v>35</v>
      </c>
      <c r="I516" s="515"/>
      <c r="J516" s="510">
        <f>SUMIFS(APUS!$Y$9:$Y$1486,APUS!$M$9:$M$1486,INSUMOS!C516)</f>
        <v>0</v>
      </c>
      <c r="K516" s="511">
        <f t="shared" si="59"/>
        <v>0</v>
      </c>
      <c r="N516" s="533">
        <f>IFERROR(SUMIFS(APUS!$Z$10:$Z$62,APUS!$N$62:Q343,INSUMOS!D516),0)</f>
        <v>0</v>
      </c>
      <c r="O516" s="546">
        <f t="shared" si="57"/>
        <v>0</v>
      </c>
      <c r="P516" s="348"/>
      <c r="Q516" s="341" t="str">
        <f t="shared" si="58"/>
        <v>SI</v>
      </c>
    </row>
    <row r="517" spans="3:17" hidden="1" x14ac:dyDescent="0.25">
      <c r="C517" s="358">
        <v>587</v>
      </c>
      <c r="D517" s="791" t="s">
        <v>533</v>
      </c>
      <c r="E517" s="791"/>
      <c r="F517" s="791"/>
      <c r="G517" s="791"/>
      <c r="H517" s="516" t="s">
        <v>35</v>
      </c>
      <c r="I517" s="515"/>
      <c r="J517" s="510">
        <f>SUMIFS(APUS!$Y$9:$Y$1486,APUS!$M$9:$M$1486,INSUMOS!C517)</f>
        <v>0</v>
      </c>
      <c r="K517" s="511">
        <f t="shared" si="59"/>
        <v>0</v>
      </c>
      <c r="N517" s="533">
        <f>IFERROR(SUMIFS(APUS!$Z$10:$Z$62,APUS!$N$62:Q344,INSUMOS!D517),0)</f>
        <v>0</v>
      </c>
      <c r="O517" s="546">
        <f t="shared" si="57"/>
        <v>0</v>
      </c>
      <c r="P517" s="348"/>
      <c r="Q517" s="341" t="str">
        <f t="shared" si="58"/>
        <v>SI</v>
      </c>
    </row>
    <row r="518" spans="3:17" hidden="1" x14ac:dyDescent="0.25">
      <c r="C518" s="358">
        <v>588</v>
      </c>
      <c r="D518" s="791" t="s">
        <v>534</v>
      </c>
      <c r="E518" s="791"/>
      <c r="F518" s="791"/>
      <c r="G518" s="791"/>
      <c r="H518" s="516" t="s">
        <v>35</v>
      </c>
      <c r="I518" s="515"/>
      <c r="J518" s="510">
        <f>SUMIFS(APUS!$Y$9:$Y$1486,APUS!$M$9:$M$1486,INSUMOS!C518)</f>
        <v>0</v>
      </c>
      <c r="K518" s="511">
        <f t="shared" si="59"/>
        <v>0</v>
      </c>
      <c r="N518" s="533">
        <f>IFERROR(SUMIFS(APUS!$Z$10:$Z$62,APUS!$N$62:Q345,INSUMOS!D518),0)</f>
        <v>0</v>
      </c>
      <c r="O518" s="546">
        <f t="shared" si="57"/>
        <v>0</v>
      </c>
      <c r="P518" s="348"/>
      <c r="Q518" s="341" t="str">
        <f t="shared" si="58"/>
        <v>SI</v>
      </c>
    </row>
    <row r="519" spans="3:17" hidden="1" x14ac:dyDescent="0.25">
      <c r="C519" s="358">
        <v>589</v>
      </c>
      <c r="D519" s="791" t="s">
        <v>535</v>
      </c>
      <c r="E519" s="791"/>
      <c r="F519" s="791"/>
      <c r="G519" s="791"/>
      <c r="H519" s="516" t="s">
        <v>35</v>
      </c>
      <c r="I519" s="515"/>
      <c r="J519" s="510">
        <f>SUMIFS(APUS!$Y$9:$Y$1486,APUS!$M$9:$M$1486,INSUMOS!C519)</f>
        <v>0</v>
      </c>
      <c r="K519" s="511">
        <f t="shared" si="59"/>
        <v>0</v>
      </c>
      <c r="N519" s="533">
        <f>IFERROR(SUMIFS(APUS!$Z$10:$Z$62,APUS!$N$62:Q346,INSUMOS!D519),0)</f>
        <v>0</v>
      </c>
      <c r="O519" s="546">
        <f t="shared" si="57"/>
        <v>0</v>
      </c>
      <c r="P519" s="348"/>
      <c r="Q519" s="341" t="str">
        <f t="shared" si="58"/>
        <v>SI</v>
      </c>
    </row>
    <row r="520" spans="3:17" hidden="1" x14ac:dyDescent="0.25">
      <c r="C520" s="358">
        <v>590</v>
      </c>
      <c r="D520" s="791" t="s">
        <v>536</v>
      </c>
      <c r="E520" s="791"/>
      <c r="F520" s="791"/>
      <c r="G520" s="791"/>
      <c r="H520" s="516" t="s">
        <v>35</v>
      </c>
      <c r="I520" s="515"/>
      <c r="J520" s="510">
        <f>SUMIFS(APUS!$Y$9:$Y$1486,APUS!$M$9:$M$1486,INSUMOS!C520)</f>
        <v>0</v>
      </c>
      <c r="K520" s="511">
        <f t="shared" si="59"/>
        <v>0</v>
      </c>
      <c r="N520" s="533">
        <f>IFERROR(SUMIFS(APUS!$Z$10:$Z$62,APUS!$N$62:Q347,INSUMOS!D520),0)</f>
        <v>0</v>
      </c>
      <c r="O520" s="546">
        <f t="shared" si="57"/>
        <v>0</v>
      </c>
      <c r="P520" s="348"/>
      <c r="Q520" s="341" t="str">
        <f t="shared" si="58"/>
        <v>SI</v>
      </c>
    </row>
    <row r="521" spans="3:17" hidden="1" x14ac:dyDescent="0.25">
      <c r="C521" s="358">
        <v>591</v>
      </c>
      <c r="D521" s="791" t="s">
        <v>537</v>
      </c>
      <c r="E521" s="791"/>
      <c r="F521" s="791"/>
      <c r="G521" s="791"/>
      <c r="H521" s="516" t="s">
        <v>35</v>
      </c>
      <c r="I521" s="515"/>
      <c r="J521" s="510">
        <f>SUMIFS(APUS!$Y$9:$Y$1486,APUS!$M$9:$M$1486,INSUMOS!C521)</f>
        <v>0</v>
      </c>
      <c r="K521" s="511">
        <f t="shared" si="59"/>
        <v>0</v>
      </c>
      <c r="N521" s="533">
        <f>IFERROR(SUMIFS(APUS!$Z$10:$Z$62,APUS!$N$62:Q348,INSUMOS!D521),0)</f>
        <v>0</v>
      </c>
      <c r="O521" s="546">
        <f t="shared" si="57"/>
        <v>0</v>
      </c>
      <c r="P521" s="348"/>
      <c r="Q521" s="341" t="str">
        <f t="shared" si="58"/>
        <v>SI</v>
      </c>
    </row>
    <row r="522" spans="3:17" hidden="1" x14ac:dyDescent="0.25">
      <c r="C522" s="358">
        <v>592</v>
      </c>
      <c r="D522" s="791" t="s">
        <v>538</v>
      </c>
      <c r="E522" s="791"/>
      <c r="F522" s="791"/>
      <c r="G522" s="791"/>
      <c r="H522" s="516" t="s">
        <v>35</v>
      </c>
      <c r="I522" s="515"/>
      <c r="J522" s="510">
        <f>SUMIFS(APUS!$Y$9:$Y$1486,APUS!$M$9:$M$1486,INSUMOS!C522)</f>
        <v>0</v>
      </c>
      <c r="K522" s="511">
        <f t="shared" si="59"/>
        <v>0</v>
      </c>
      <c r="N522" s="533">
        <f>IFERROR(SUMIFS(APUS!$Z$10:$Z$62,APUS!$N$62:Q349,INSUMOS!D522),0)</f>
        <v>0</v>
      </c>
      <c r="O522" s="546">
        <f t="shared" si="57"/>
        <v>0</v>
      </c>
      <c r="P522" s="348"/>
      <c r="Q522" s="341" t="str">
        <f t="shared" si="58"/>
        <v>SI</v>
      </c>
    </row>
    <row r="523" spans="3:17" hidden="1" x14ac:dyDescent="0.25">
      <c r="C523" s="358">
        <v>593</v>
      </c>
      <c r="D523" s="791" t="s">
        <v>539</v>
      </c>
      <c r="E523" s="791"/>
      <c r="F523" s="791"/>
      <c r="G523" s="791"/>
      <c r="H523" s="516" t="s">
        <v>35</v>
      </c>
      <c r="I523" s="515"/>
      <c r="J523" s="510">
        <f>SUMIFS(APUS!$Y$9:$Y$1486,APUS!$M$9:$M$1486,INSUMOS!C523)</f>
        <v>0</v>
      </c>
      <c r="K523" s="511">
        <f t="shared" si="59"/>
        <v>0</v>
      </c>
      <c r="N523" s="533">
        <f>IFERROR(SUMIFS(APUS!$Z$10:$Z$62,APUS!$N$62:Q350,INSUMOS!D523),0)</f>
        <v>0</v>
      </c>
      <c r="O523" s="546">
        <f t="shared" si="57"/>
        <v>0</v>
      </c>
      <c r="P523" s="348"/>
      <c r="Q523" s="341" t="str">
        <f t="shared" si="58"/>
        <v>SI</v>
      </c>
    </row>
    <row r="524" spans="3:17" hidden="1" x14ac:dyDescent="0.25">
      <c r="C524" s="358">
        <v>594</v>
      </c>
      <c r="D524" s="791" t="s">
        <v>540</v>
      </c>
      <c r="E524" s="791"/>
      <c r="F524" s="791"/>
      <c r="G524" s="791"/>
      <c r="H524" s="516" t="s">
        <v>35</v>
      </c>
      <c r="I524" s="515"/>
      <c r="J524" s="510">
        <f>SUMIFS(APUS!$Y$9:$Y$1486,APUS!$M$9:$M$1486,INSUMOS!C524)</f>
        <v>0</v>
      </c>
      <c r="K524" s="511">
        <f t="shared" si="59"/>
        <v>0</v>
      </c>
      <c r="N524" s="533">
        <f>IFERROR(SUMIFS(APUS!$Z$10:$Z$62,APUS!$N$62:Q351,INSUMOS!D524),0)</f>
        <v>0</v>
      </c>
      <c r="O524" s="546">
        <f t="shared" si="57"/>
        <v>0</v>
      </c>
      <c r="P524" s="348"/>
      <c r="Q524" s="341" t="str">
        <f t="shared" si="58"/>
        <v>SI</v>
      </c>
    </row>
    <row r="525" spans="3:17" hidden="1" x14ac:dyDescent="0.25">
      <c r="C525" s="358">
        <v>595</v>
      </c>
      <c r="D525" s="791" t="s">
        <v>541</v>
      </c>
      <c r="E525" s="791"/>
      <c r="F525" s="791"/>
      <c r="G525" s="791"/>
      <c r="H525" s="516" t="s">
        <v>35</v>
      </c>
      <c r="I525" s="515"/>
      <c r="J525" s="510">
        <f>SUMIFS(APUS!$Y$9:$Y$1486,APUS!$M$9:$M$1486,INSUMOS!C525)</f>
        <v>0</v>
      </c>
      <c r="K525" s="511">
        <f t="shared" si="59"/>
        <v>0</v>
      </c>
      <c r="N525" s="533">
        <f>IFERROR(SUMIFS(APUS!$Z$10:$Z$62,APUS!$N$62:Q352,INSUMOS!D525),0)</f>
        <v>0</v>
      </c>
      <c r="O525" s="546">
        <f t="shared" si="57"/>
        <v>0</v>
      </c>
      <c r="P525" s="348"/>
      <c r="Q525" s="341" t="str">
        <f t="shared" si="58"/>
        <v>SI</v>
      </c>
    </row>
    <row r="526" spans="3:17" hidden="1" x14ac:dyDescent="0.25">
      <c r="C526" s="358">
        <v>596</v>
      </c>
      <c r="D526" s="791" t="s">
        <v>339</v>
      </c>
      <c r="E526" s="791"/>
      <c r="F526" s="791"/>
      <c r="G526" s="791"/>
      <c r="H526" s="516" t="s">
        <v>35</v>
      </c>
      <c r="I526" s="515">
        <f>ROUNDUP(19564/3,0)</f>
        <v>6522</v>
      </c>
      <c r="J526" s="510">
        <f>SUMIFS(APUS!$Y$9:$Y$1486,APUS!$M$9:$M$1486,INSUMOS!C526)</f>
        <v>0</v>
      </c>
      <c r="K526" s="511">
        <f t="shared" si="59"/>
        <v>0</v>
      </c>
      <c r="N526" s="533">
        <f>IFERROR(SUMIFS(APUS!$Z$10:$Z$62,APUS!$N$62:Q353,INSUMOS!D526),0)</f>
        <v>0</v>
      </c>
      <c r="O526" s="546">
        <f t="shared" si="57"/>
        <v>0</v>
      </c>
      <c r="P526" s="348"/>
      <c r="Q526" s="341" t="str">
        <f t="shared" si="58"/>
        <v>SI</v>
      </c>
    </row>
    <row r="527" spans="3:17" hidden="1" x14ac:dyDescent="0.25">
      <c r="C527" s="358">
        <v>597</v>
      </c>
      <c r="D527" s="791" t="s">
        <v>340</v>
      </c>
      <c r="E527" s="791"/>
      <c r="F527" s="791"/>
      <c r="G527" s="791"/>
      <c r="H527" s="516" t="s">
        <v>35</v>
      </c>
      <c r="I527" s="515">
        <f>ROUNDUP(32150/3,0)</f>
        <v>10717</v>
      </c>
      <c r="J527" s="510">
        <f>SUMIFS(APUS!$Y$9:$Y$1486,APUS!$M$9:$M$1486,INSUMOS!C527)</f>
        <v>0</v>
      </c>
      <c r="K527" s="511">
        <f t="shared" si="59"/>
        <v>0</v>
      </c>
      <c r="N527" s="533">
        <f>IFERROR(SUMIFS(APUS!$Z$10:$Z$62,APUS!$N$62:Q354,INSUMOS!D527),0)</f>
        <v>0</v>
      </c>
      <c r="O527" s="546">
        <f t="shared" si="57"/>
        <v>0</v>
      </c>
      <c r="P527" s="348"/>
      <c r="Q527" s="341" t="str">
        <f t="shared" si="58"/>
        <v>SI</v>
      </c>
    </row>
    <row r="528" spans="3:17" hidden="1" x14ac:dyDescent="0.25">
      <c r="C528" s="358">
        <v>598</v>
      </c>
      <c r="D528" s="791" t="s">
        <v>341</v>
      </c>
      <c r="E528" s="791"/>
      <c r="F528" s="791"/>
      <c r="G528" s="791"/>
      <c r="H528" s="516" t="s">
        <v>35</v>
      </c>
      <c r="I528" s="515">
        <f>ROUNDUP(54390/3,0)</f>
        <v>18130</v>
      </c>
      <c r="J528" s="510">
        <f>SUMIFS(APUS!$Y$9:$Y$1486,APUS!$M$9:$M$1486,INSUMOS!C528)</f>
        <v>0</v>
      </c>
      <c r="K528" s="511">
        <f t="shared" si="59"/>
        <v>0</v>
      </c>
      <c r="N528" s="533">
        <f>IFERROR(SUMIFS(APUS!$Z$10:$Z$62,APUS!$N$62:Q355,INSUMOS!D528),0)</f>
        <v>0</v>
      </c>
      <c r="O528" s="546">
        <f t="shared" si="57"/>
        <v>0</v>
      </c>
      <c r="P528" s="348"/>
      <c r="Q528" s="341" t="str">
        <f t="shared" si="58"/>
        <v>SI</v>
      </c>
    </row>
    <row r="529" spans="3:17" hidden="1" x14ac:dyDescent="0.25">
      <c r="C529" s="358">
        <v>599</v>
      </c>
      <c r="D529" s="791" t="s">
        <v>342</v>
      </c>
      <c r="E529" s="791"/>
      <c r="F529" s="791"/>
      <c r="G529" s="791"/>
      <c r="H529" s="516" t="s">
        <v>35</v>
      </c>
      <c r="I529" s="515">
        <f>ROUNDUP(222766/3,0)</f>
        <v>74256</v>
      </c>
      <c r="J529" s="510">
        <f>SUMIFS(APUS!$Y$9:$Y$1486,APUS!$M$9:$M$1486,INSUMOS!C529)</f>
        <v>0</v>
      </c>
      <c r="K529" s="511">
        <f t="shared" si="59"/>
        <v>0</v>
      </c>
      <c r="N529" s="533">
        <f>IFERROR(SUMIFS(APUS!$Z$10:$Z$62,APUS!$N$62:Q356,INSUMOS!D529),0)</f>
        <v>0</v>
      </c>
      <c r="O529" s="546">
        <f t="shared" si="57"/>
        <v>0</v>
      </c>
      <c r="P529" s="348"/>
      <c r="Q529" s="341" t="str">
        <f t="shared" si="58"/>
        <v>SI</v>
      </c>
    </row>
    <row r="530" spans="3:17" hidden="1" x14ac:dyDescent="0.25">
      <c r="C530" s="358">
        <v>600</v>
      </c>
      <c r="D530" s="791" t="s">
        <v>343</v>
      </c>
      <c r="E530" s="791"/>
      <c r="F530" s="791"/>
      <c r="G530" s="791"/>
      <c r="H530" s="516" t="s">
        <v>35</v>
      </c>
      <c r="I530" s="515">
        <f>ROUNDUP(321066/3,0)</f>
        <v>107022</v>
      </c>
      <c r="J530" s="510">
        <f>SUMIFS(APUS!$Y$9:$Y$1486,APUS!$M$9:$M$1486,INSUMOS!C530)</f>
        <v>0</v>
      </c>
      <c r="K530" s="511">
        <f t="shared" si="59"/>
        <v>0</v>
      </c>
      <c r="N530" s="533">
        <f>IFERROR(SUMIFS(APUS!$Z$10:$Z$62,APUS!$N$62:Q357,INSUMOS!D530),0)</f>
        <v>0</v>
      </c>
      <c r="O530" s="546">
        <f t="shared" si="57"/>
        <v>0</v>
      </c>
      <c r="P530" s="348"/>
      <c r="Q530" s="341" t="str">
        <f t="shared" si="58"/>
        <v>SI</v>
      </c>
    </row>
    <row r="531" spans="3:17" hidden="1" x14ac:dyDescent="0.25">
      <c r="C531" s="358">
        <v>601</v>
      </c>
      <c r="D531" s="791" t="s">
        <v>344</v>
      </c>
      <c r="E531" s="791"/>
      <c r="F531" s="791"/>
      <c r="G531" s="791"/>
      <c r="H531" s="516" t="s">
        <v>35</v>
      </c>
      <c r="I531" s="515">
        <f>ROUNDUP(546494/3,0)</f>
        <v>182165</v>
      </c>
      <c r="J531" s="510">
        <f>SUMIFS(APUS!$Y$9:$Y$1486,APUS!$M$9:$M$1486,INSUMOS!C531)</f>
        <v>0</v>
      </c>
      <c r="K531" s="511">
        <f t="shared" si="59"/>
        <v>0</v>
      </c>
      <c r="N531" s="533">
        <f>IFERROR(SUMIFS(APUS!$Z$10:$Z$62,APUS!$N$62:Q358,INSUMOS!D531),0)</f>
        <v>0</v>
      </c>
      <c r="O531" s="546">
        <f t="shared" si="57"/>
        <v>0</v>
      </c>
      <c r="P531" s="348"/>
      <c r="Q531" s="341" t="str">
        <f t="shared" si="58"/>
        <v>SI</v>
      </c>
    </row>
    <row r="532" spans="3:17" hidden="1" x14ac:dyDescent="0.25">
      <c r="C532" s="358">
        <v>602</v>
      </c>
      <c r="D532" s="791"/>
      <c r="E532" s="791"/>
      <c r="F532" s="791"/>
      <c r="G532" s="791"/>
      <c r="H532" s="314"/>
      <c r="I532" s="515"/>
      <c r="J532" s="510">
        <f>SUMIFS(APUS!$Y$9:$Y$1486,APUS!$M$9:$M$1486,INSUMOS!C532)</f>
        <v>0</v>
      </c>
      <c r="K532" s="511">
        <f t="shared" si="59"/>
        <v>0</v>
      </c>
      <c r="N532" s="533">
        <f>IFERROR(SUMIFS(APUS!$Z$10:$Z$62,APUS!$N$62:Q411,INSUMOS!D532),0)</f>
        <v>0</v>
      </c>
      <c r="O532" s="546">
        <f t="shared" si="57"/>
        <v>0</v>
      </c>
      <c r="P532" s="348"/>
      <c r="Q532" s="341" t="str">
        <f t="shared" si="58"/>
        <v>SI</v>
      </c>
    </row>
    <row r="533" spans="3:17" hidden="1" x14ac:dyDescent="0.25">
      <c r="C533" s="358">
        <v>603</v>
      </c>
      <c r="D533" s="791"/>
      <c r="E533" s="791"/>
      <c r="F533" s="791"/>
      <c r="G533" s="791"/>
      <c r="H533" s="314"/>
      <c r="I533" s="515"/>
      <c r="J533" s="510">
        <f>SUMIFS(APUS!$Y$9:$Y$1486,APUS!$M$9:$M$1486,INSUMOS!C533)</f>
        <v>0</v>
      </c>
      <c r="K533" s="511">
        <f t="shared" si="59"/>
        <v>0</v>
      </c>
      <c r="N533" s="533">
        <f>IFERROR(SUMIFS(APUS!$Z$10:$Z$62,APUS!$N$62:Q411,INSUMOS!D533),0)</f>
        <v>0</v>
      </c>
      <c r="O533" s="546">
        <f t="shared" si="57"/>
        <v>0</v>
      </c>
      <c r="P533" s="348"/>
      <c r="Q533" s="341" t="str">
        <f t="shared" si="58"/>
        <v>SI</v>
      </c>
    </row>
    <row r="534" spans="3:17" hidden="1" x14ac:dyDescent="0.25">
      <c r="C534" s="358">
        <v>604</v>
      </c>
      <c r="D534" s="791"/>
      <c r="E534" s="791"/>
      <c r="F534" s="791"/>
      <c r="G534" s="791"/>
      <c r="H534" s="314"/>
      <c r="I534" s="515"/>
      <c r="J534" s="510">
        <f>SUMIFS(APUS!$Y$9:$Y$1486,APUS!$M$9:$M$1486,INSUMOS!C534)</f>
        <v>0</v>
      </c>
      <c r="K534" s="511">
        <f t="shared" si="59"/>
        <v>0</v>
      </c>
      <c r="N534" s="533">
        <f>IFERROR(SUMIFS(APUS!$Z$10:$Z$62,APUS!$N$62:Q411,INSUMOS!D534),0)</f>
        <v>0</v>
      </c>
      <c r="O534" s="546">
        <f t="shared" si="57"/>
        <v>0</v>
      </c>
      <c r="P534" s="348"/>
      <c r="Q534" s="341" t="str">
        <f t="shared" si="58"/>
        <v>SI</v>
      </c>
    </row>
    <row r="535" spans="3:17" hidden="1" x14ac:dyDescent="0.25">
      <c r="C535" s="358">
        <v>605</v>
      </c>
      <c r="D535" s="791"/>
      <c r="E535" s="791"/>
      <c r="F535" s="791"/>
      <c r="G535" s="791"/>
      <c r="H535" s="314"/>
      <c r="I535" s="515"/>
      <c r="J535" s="510">
        <f>SUMIFS(APUS!$Y$9:$Y$1486,APUS!$M$9:$M$1486,INSUMOS!C535)</f>
        <v>0</v>
      </c>
      <c r="K535" s="511">
        <f t="shared" si="59"/>
        <v>0</v>
      </c>
      <c r="N535" s="533">
        <f>IFERROR(SUMIFS(APUS!$Z$10:$Z$62,APUS!$N$62:Q411,INSUMOS!D535),0)</f>
        <v>0</v>
      </c>
      <c r="O535" s="546">
        <f t="shared" si="57"/>
        <v>0</v>
      </c>
      <c r="P535" s="348"/>
      <c r="Q535" s="341" t="str">
        <f t="shared" si="58"/>
        <v>SI</v>
      </c>
    </row>
    <row r="536" spans="3:17" hidden="1" x14ac:dyDescent="0.25">
      <c r="C536" s="358">
        <v>606</v>
      </c>
      <c r="D536" s="791"/>
      <c r="E536" s="791"/>
      <c r="F536" s="791"/>
      <c r="G536" s="791"/>
      <c r="H536" s="314"/>
      <c r="I536" s="515"/>
      <c r="J536" s="510">
        <f>SUMIFS(APUS!$Y$9:$Y$1486,APUS!$M$9:$M$1486,INSUMOS!C536)</f>
        <v>0</v>
      </c>
      <c r="K536" s="511">
        <f t="shared" si="59"/>
        <v>0</v>
      </c>
      <c r="N536" s="533">
        <f>IFERROR(SUMIFS(APUS!$Z$10:$Z$62,APUS!$N$62:Q411,INSUMOS!D536),0)</f>
        <v>0</v>
      </c>
      <c r="O536" s="546">
        <f t="shared" si="57"/>
        <v>0</v>
      </c>
      <c r="P536" s="348"/>
      <c r="Q536" s="341" t="str">
        <f t="shared" si="58"/>
        <v>SI</v>
      </c>
    </row>
    <row r="537" spans="3:17" hidden="1" x14ac:dyDescent="0.25">
      <c r="C537" s="358">
        <v>607</v>
      </c>
      <c r="D537" s="791"/>
      <c r="E537" s="791"/>
      <c r="F537" s="791"/>
      <c r="G537" s="791"/>
      <c r="H537" s="314"/>
      <c r="I537" s="515"/>
      <c r="J537" s="510">
        <f>SUMIFS(APUS!$Y$9:$Y$1486,APUS!$M$9:$M$1486,INSUMOS!C537)</f>
        <v>0</v>
      </c>
      <c r="K537" s="511">
        <f t="shared" si="59"/>
        <v>0</v>
      </c>
      <c r="N537" s="533">
        <f>IFERROR(SUMIFS(APUS!$Z$10:$Z$62,APUS!$N$62:Q411,INSUMOS!D537),0)</f>
        <v>0</v>
      </c>
      <c r="O537" s="546">
        <f t="shared" si="57"/>
        <v>0</v>
      </c>
      <c r="P537" s="348"/>
      <c r="Q537" s="341" t="str">
        <f t="shared" si="58"/>
        <v>SI</v>
      </c>
    </row>
    <row r="538" spans="3:17" hidden="1" x14ac:dyDescent="0.25">
      <c r="C538" s="358">
        <v>608</v>
      </c>
      <c r="D538" s="791"/>
      <c r="E538" s="791"/>
      <c r="F538" s="791"/>
      <c r="G538" s="791"/>
      <c r="H538" s="314"/>
      <c r="I538" s="515"/>
      <c r="J538" s="510">
        <f>SUMIFS(APUS!$Y$9:$Y$1486,APUS!$M$9:$M$1486,INSUMOS!C538)</f>
        <v>0</v>
      </c>
      <c r="K538" s="511">
        <f t="shared" si="59"/>
        <v>0</v>
      </c>
      <c r="N538" s="533">
        <f>IFERROR(SUMIFS(APUS!$Z$10:$Z$62,APUS!$N$62:Q411,INSUMOS!D538),0)</f>
        <v>0</v>
      </c>
      <c r="O538" s="546">
        <f t="shared" si="57"/>
        <v>0</v>
      </c>
      <c r="P538" s="348"/>
      <c r="Q538" s="341" t="str">
        <f t="shared" si="58"/>
        <v>SI</v>
      </c>
    </row>
    <row r="539" spans="3:17" hidden="1" x14ac:dyDescent="0.25">
      <c r="C539" s="358">
        <v>609</v>
      </c>
      <c r="D539" s="791"/>
      <c r="E539" s="791"/>
      <c r="F539" s="791"/>
      <c r="G539" s="791"/>
      <c r="H539" s="314"/>
      <c r="I539" s="515"/>
      <c r="J539" s="510">
        <f>SUMIFS(APUS!$Y$9:$Y$1486,APUS!$M$9:$M$1486,INSUMOS!C539)</f>
        <v>0</v>
      </c>
      <c r="K539" s="511">
        <f t="shared" si="59"/>
        <v>0</v>
      </c>
      <c r="N539" s="533">
        <f>IFERROR(SUMIFS(APUS!$Z$10:$Z$62,APUS!$N$62:Q411,INSUMOS!D539),0)</f>
        <v>0</v>
      </c>
      <c r="O539" s="546">
        <f t="shared" si="57"/>
        <v>0</v>
      </c>
      <c r="P539" s="348"/>
      <c r="Q539" s="341" t="str">
        <f t="shared" si="58"/>
        <v>SI</v>
      </c>
    </row>
    <row r="540" spans="3:17" hidden="1" x14ac:dyDescent="0.25">
      <c r="C540" s="358">
        <v>610</v>
      </c>
      <c r="D540" s="791" t="s">
        <v>381</v>
      </c>
      <c r="E540" s="791"/>
      <c r="F540" s="791"/>
      <c r="G540" s="791"/>
      <c r="H540" s="314" t="s">
        <v>35</v>
      </c>
      <c r="I540" s="515">
        <v>2297</v>
      </c>
      <c r="J540" s="510">
        <f>SUMIFS(APUS!$Y$9:$Y$1486,APUS!$M$9:$M$1486,INSUMOS!C540)</f>
        <v>0</v>
      </c>
      <c r="K540" s="511">
        <f t="shared" si="59"/>
        <v>0</v>
      </c>
      <c r="N540" s="533">
        <f>IFERROR(SUMIFS(APUS!$Z$10:$Z$62,APUS!$N$62:Q411,INSUMOS!D540),0)</f>
        <v>0</v>
      </c>
      <c r="O540" s="546">
        <f t="shared" si="57"/>
        <v>0</v>
      </c>
      <c r="P540" s="348"/>
      <c r="Q540" s="341" t="str">
        <f t="shared" si="58"/>
        <v>SI</v>
      </c>
    </row>
    <row r="541" spans="3:17" hidden="1" x14ac:dyDescent="0.25">
      <c r="C541" s="358">
        <v>611</v>
      </c>
      <c r="D541" s="791" t="s">
        <v>383</v>
      </c>
      <c r="E541" s="791"/>
      <c r="F541" s="791"/>
      <c r="G541" s="791"/>
      <c r="H541" s="314" t="s">
        <v>35</v>
      </c>
      <c r="I541" s="515">
        <v>4514</v>
      </c>
      <c r="J541" s="510">
        <f>SUMIFS(APUS!$Y$9:$Y$1486,APUS!$M$9:$M$1486,INSUMOS!C541)</f>
        <v>0</v>
      </c>
      <c r="K541" s="511">
        <f t="shared" si="59"/>
        <v>0</v>
      </c>
      <c r="N541" s="533">
        <f>IFERROR(SUMIFS(APUS!$Z$10:$Z$62,APUS!$N$62:Q411,INSUMOS!D541),0)</f>
        <v>0</v>
      </c>
      <c r="O541" s="546">
        <f t="shared" si="57"/>
        <v>0</v>
      </c>
      <c r="P541" s="348"/>
      <c r="Q541" s="341" t="str">
        <f t="shared" si="58"/>
        <v>SI</v>
      </c>
    </row>
    <row r="542" spans="3:17" hidden="1" x14ac:dyDescent="0.25">
      <c r="C542" s="358">
        <v>612</v>
      </c>
      <c r="D542" s="791"/>
      <c r="E542" s="791"/>
      <c r="F542" s="791"/>
      <c r="G542" s="791"/>
      <c r="H542" s="314"/>
      <c r="I542" s="515"/>
      <c r="J542" s="510">
        <f>SUMIFS(APUS!$Y$9:$Y$1486,APUS!$M$9:$M$1486,INSUMOS!C542)</f>
        <v>0</v>
      </c>
      <c r="K542" s="511">
        <f t="shared" si="59"/>
        <v>0</v>
      </c>
      <c r="N542" s="533">
        <f>IFERROR(SUMIFS(APUS!$Z$10:$Z$62,APUS!$N$62:Q411,INSUMOS!D542),0)</f>
        <v>0</v>
      </c>
      <c r="O542" s="546">
        <f t="shared" si="57"/>
        <v>0</v>
      </c>
      <c r="P542" s="348"/>
      <c r="Q542" s="341" t="str">
        <f t="shared" si="58"/>
        <v>SI</v>
      </c>
    </row>
    <row r="543" spans="3:17" hidden="1" x14ac:dyDescent="0.25">
      <c r="C543" s="358">
        <v>613</v>
      </c>
      <c r="D543" s="791"/>
      <c r="E543" s="791"/>
      <c r="F543" s="791"/>
      <c r="G543" s="791"/>
      <c r="H543" s="314"/>
      <c r="I543" s="515"/>
      <c r="J543" s="510">
        <f>SUMIFS(APUS!$Y$9:$Y$1486,APUS!$M$9:$M$1486,INSUMOS!C543)</f>
        <v>0</v>
      </c>
      <c r="K543" s="511">
        <f t="shared" si="59"/>
        <v>0</v>
      </c>
      <c r="N543" s="533">
        <f>IFERROR(SUMIFS(APUS!$Z$10:$Z$62,APUS!$N$62:Q411,INSUMOS!D543),0)</f>
        <v>0</v>
      </c>
      <c r="O543" s="546">
        <f t="shared" si="57"/>
        <v>0</v>
      </c>
      <c r="P543" s="348"/>
      <c r="Q543" s="341" t="str">
        <f t="shared" si="58"/>
        <v>SI</v>
      </c>
    </row>
    <row r="544" spans="3:17" hidden="1" x14ac:dyDescent="0.25">
      <c r="C544" s="358">
        <v>614</v>
      </c>
      <c r="D544" s="791"/>
      <c r="E544" s="791"/>
      <c r="F544" s="791"/>
      <c r="G544" s="791"/>
      <c r="H544" s="314"/>
      <c r="I544" s="515"/>
      <c r="J544" s="510">
        <f>SUMIFS(APUS!$Y$9:$Y$1486,APUS!$M$9:$M$1486,INSUMOS!C544)</f>
        <v>0</v>
      </c>
      <c r="K544" s="511">
        <f t="shared" si="59"/>
        <v>0</v>
      </c>
      <c r="N544" s="533">
        <f>IFERROR(SUMIFS(APUS!$Z$10:$Z$62,APUS!$N$62:Q411,INSUMOS!D544),0)</f>
        <v>0</v>
      </c>
      <c r="O544" s="546">
        <f t="shared" si="57"/>
        <v>0</v>
      </c>
      <c r="P544" s="348"/>
      <c r="Q544" s="341" t="str">
        <f t="shared" si="58"/>
        <v>SI</v>
      </c>
    </row>
    <row r="545" spans="3:17" hidden="1" x14ac:dyDescent="0.25">
      <c r="C545" s="358">
        <v>615</v>
      </c>
      <c r="D545" s="791"/>
      <c r="E545" s="791"/>
      <c r="F545" s="791"/>
      <c r="G545" s="791"/>
      <c r="H545" s="314"/>
      <c r="I545" s="515"/>
      <c r="J545" s="510">
        <f>SUMIFS(APUS!$Y$9:$Y$1486,APUS!$M$9:$M$1486,INSUMOS!C545)</f>
        <v>0</v>
      </c>
      <c r="K545" s="511">
        <f t="shared" si="59"/>
        <v>0</v>
      </c>
      <c r="N545" s="533">
        <f>IFERROR(SUMIFS(APUS!$Z$10:$Z$62,APUS!$N$62:Q411,INSUMOS!D545),0)</f>
        <v>0</v>
      </c>
      <c r="O545" s="546">
        <f t="shared" si="57"/>
        <v>0</v>
      </c>
      <c r="P545" s="348"/>
      <c r="Q545" s="341" t="str">
        <f t="shared" si="58"/>
        <v>SI</v>
      </c>
    </row>
    <row r="546" spans="3:17" hidden="1" x14ac:dyDescent="0.25">
      <c r="C546" s="358">
        <v>616</v>
      </c>
      <c r="D546" s="791"/>
      <c r="E546" s="791"/>
      <c r="F546" s="791"/>
      <c r="G546" s="791"/>
      <c r="H546" s="314"/>
      <c r="I546" s="515"/>
      <c r="J546" s="510">
        <f>SUMIFS(APUS!$Y$9:$Y$1486,APUS!$M$9:$M$1486,INSUMOS!C546)</f>
        <v>0</v>
      </c>
      <c r="K546" s="511">
        <f t="shared" si="59"/>
        <v>0</v>
      </c>
      <c r="N546" s="533">
        <f>IFERROR(SUMIFS(APUS!$Z$10:$Z$62,APUS!$N$62:Q411,INSUMOS!D546),0)</f>
        <v>0</v>
      </c>
      <c r="O546" s="546">
        <f t="shared" si="57"/>
        <v>0</v>
      </c>
      <c r="P546" s="348"/>
      <c r="Q546" s="341" t="str">
        <f t="shared" si="58"/>
        <v>SI</v>
      </c>
    </row>
    <row r="547" spans="3:17" hidden="1" x14ac:dyDescent="0.25">
      <c r="C547" s="358">
        <v>617</v>
      </c>
      <c r="D547" s="791" t="s">
        <v>588</v>
      </c>
      <c r="E547" s="791"/>
      <c r="F547" s="791"/>
      <c r="G547" s="791"/>
      <c r="H547" s="314" t="s">
        <v>36</v>
      </c>
      <c r="I547" s="515">
        <v>12500</v>
      </c>
      <c r="J547" s="510">
        <f>SUMIFS(APUS!$Y$9:$Y$1486,APUS!$M$9:$M$1486,INSUMOS!C547)</f>
        <v>0</v>
      </c>
      <c r="K547" s="511">
        <f t="shared" si="59"/>
        <v>0</v>
      </c>
      <c r="N547" s="533">
        <f>IFERROR(SUMIFS(APUS!$Z$10:$Z$62,APUS!$N$62:Q411,INSUMOS!D547),0)</f>
        <v>0</v>
      </c>
      <c r="O547" s="546">
        <f t="shared" si="57"/>
        <v>0</v>
      </c>
      <c r="P547" s="348"/>
      <c r="Q547" s="341" t="str">
        <f t="shared" si="58"/>
        <v>SI</v>
      </c>
    </row>
    <row r="548" spans="3:17" hidden="1" x14ac:dyDescent="0.25">
      <c r="C548" s="358">
        <v>618</v>
      </c>
      <c r="D548" s="791" t="s">
        <v>587</v>
      </c>
      <c r="E548" s="791"/>
      <c r="F548" s="791"/>
      <c r="G548" s="791"/>
      <c r="H548" s="314" t="s">
        <v>36</v>
      </c>
      <c r="I548" s="515">
        <v>250</v>
      </c>
      <c r="J548" s="510">
        <f>SUMIFS(APUS!$Y$9:$Y$1486,APUS!$M$9:$M$1486,INSUMOS!C548)</f>
        <v>0</v>
      </c>
      <c r="K548" s="511">
        <f t="shared" si="59"/>
        <v>0</v>
      </c>
      <c r="N548" s="533">
        <f>IFERROR(SUMIFS(APUS!$Z$10:$Z$62,APUS!$N$62:Q411,INSUMOS!D548),0)</f>
        <v>0</v>
      </c>
      <c r="O548" s="546">
        <f t="shared" si="57"/>
        <v>0</v>
      </c>
      <c r="P548" s="348"/>
      <c r="Q548" s="341" t="str">
        <f t="shared" si="58"/>
        <v>SI</v>
      </c>
    </row>
    <row r="549" spans="3:17" hidden="1" x14ac:dyDescent="0.25">
      <c r="C549" s="358">
        <v>619</v>
      </c>
      <c r="D549" s="791" t="s">
        <v>586</v>
      </c>
      <c r="E549" s="791"/>
      <c r="F549" s="791"/>
      <c r="G549" s="791"/>
      <c r="H549" s="314" t="s">
        <v>36</v>
      </c>
      <c r="I549" s="515">
        <v>270</v>
      </c>
      <c r="J549" s="510">
        <f>SUMIFS(APUS!$Y$9:$Y$1486,APUS!$M$9:$M$1486,INSUMOS!C549)</f>
        <v>0</v>
      </c>
      <c r="K549" s="511">
        <f t="shared" si="59"/>
        <v>0</v>
      </c>
      <c r="N549" s="533">
        <f>IFERROR(SUMIFS(APUS!$Z$10:$Z$62,APUS!$N$62:Q411,INSUMOS!D549),0)</f>
        <v>0</v>
      </c>
      <c r="O549" s="546">
        <f t="shared" si="57"/>
        <v>0</v>
      </c>
      <c r="P549" s="348"/>
      <c r="Q549" s="341" t="str">
        <f t="shared" si="58"/>
        <v>SI</v>
      </c>
    </row>
    <row r="550" spans="3:17" hidden="1" x14ac:dyDescent="0.25">
      <c r="C550" s="358">
        <v>620</v>
      </c>
      <c r="D550" s="727" t="s">
        <v>256</v>
      </c>
      <c r="E550" s="727"/>
      <c r="F550" s="727"/>
      <c r="G550" s="727"/>
      <c r="H550" s="516" t="s">
        <v>36</v>
      </c>
      <c r="I550" s="515">
        <v>34500</v>
      </c>
      <c r="J550" s="510">
        <f>SUMIFS(APUS!$Y$9:$Y$1486,APUS!$M$9:$M$1486,INSUMOS!C550)</f>
        <v>0</v>
      </c>
      <c r="K550" s="511">
        <f t="shared" si="59"/>
        <v>0</v>
      </c>
      <c r="N550" s="533">
        <f>IFERROR(SUMIFS(APUS!$Z$10:$Z$62,APUS!$N$62:Q411,INSUMOS!D550),0)</f>
        <v>0</v>
      </c>
      <c r="O550" s="546">
        <f t="shared" si="57"/>
        <v>0</v>
      </c>
      <c r="P550" s="348"/>
      <c r="Q550" s="341" t="str">
        <f t="shared" si="58"/>
        <v>SI</v>
      </c>
    </row>
    <row r="551" spans="3:17" hidden="1" x14ac:dyDescent="0.25">
      <c r="C551" s="358">
        <v>621</v>
      </c>
      <c r="D551" s="727" t="s">
        <v>257</v>
      </c>
      <c r="E551" s="727"/>
      <c r="F551" s="727"/>
      <c r="G551" s="727"/>
      <c r="H551" s="516" t="s">
        <v>258</v>
      </c>
      <c r="I551" s="515">
        <v>41950</v>
      </c>
      <c r="J551" s="510">
        <f>SUMIFS(APUS!$Y$9:$Y$1486,APUS!$M$9:$M$1486,INSUMOS!C551)</f>
        <v>0</v>
      </c>
      <c r="K551" s="511">
        <f t="shared" si="59"/>
        <v>0</v>
      </c>
      <c r="N551" s="533">
        <f>IFERROR(SUMIFS(APUS!$Z$10:$Z$62,APUS!$N$62:Q411,INSUMOS!D551),0)</f>
        <v>0</v>
      </c>
      <c r="O551" s="546">
        <f t="shared" si="57"/>
        <v>0</v>
      </c>
      <c r="P551" s="348"/>
      <c r="Q551" s="341" t="str">
        <f t="shared" si="58"/>
        <v>SI</v>
      </c>
    </row>
    <row r="552" spans="3:17" hidden="1" x14ac:dyDescent="0.25">
      <c r="C552" s="358">
        <v>622</v>
      </c>
      <c r="D552" s="727" t="s">
        <v>259</v>
      </c>
      <c r="E552" s="727"/>
      <c r="F552" s="727"/>
      <c r="G552" s="727"/>
      <c r="H552" s="516" t="s">
        <v>258</v>
      </c>
      <c r="I552" s="515">
        <v>87000</v>
      </c>
      <c r="J552" s="510">
        <f>SUMIFS(APUS!$Y$9:$Y$1486,APUS!$M$9:$M$1486,INSUMOS!C552)</f>
        <v>0</v>
      </c>
      <c r="K552" s="511">
        <f t="shared" si="59"/>
        <v>0</v>
      </c>
      <c r="N552" s="533">
        <f>IFERROR(SUMIFS(APUS!$Z$10:$Z$62,APUS!$N$62:Q411,INSUMOS!D552),0)</f>
        <v>0</v>
      </c>
      <c r="O552" s="546">
        <f t="shared" ref="O552:O560" si="60">+N552-K552</f>
        <v>0</v>
      </c>
      <c r="P552" s="348"/>
      <c r="Q552" s="341" t="str">
        <f t="shared" ref="Q552:Q560" si="61">+IF(K552=0,"SI","NO")</f>
        <v>SI</v>
      </c>
    </row>
    <row r="553" spans="3:17" hidden="1" x14ac:dyDescent="0.25">
      <c r="C553" s="358">
        <v>623</v>
      </c>
      <c r="D553" s="727" t="s">
        <v>632</v>
      </c>
      <c r="E553" s="727"/>
      <c r="F553" s="727"/>
      <c r="G553" s="727"/>
      <c r="H553" s="516" t="s">
        <v>35</v>
      </c>
      <c r="I553" s="515">
        <v>6917</v>
      </c>
      <c r="J553" s="510">
        <f>SUMIFS(APUS!$Y$9:$Y$1486,APUS!$M$9:$M$1486,INSUMOS!C553)</f>
        <v>0</v>
      </c>
      <c r="K553" s="511">
        <f t="shared" si="59"/>
        <v>0</v>
      </c>
      <c r="N553" s="533">
        <f>IFERROR(SUMIFS(APUS!$Z$10:$Z$62,APUS!$N$62:Q411,INSUMOS!D553),0)</f>
        <v>0</v>
      </c>
      <c r="O553" s="546">
        <f t="shared" si="60"/>
        <v>0</v>
      </c>
      <c r="P553" s="348"/>
      <c r="Q553" s="341" t="str">
        <f t="shared" si="61"/>
        <v>SI</v>
      </c>
    </row>
    <row r="554" spans="3:17" hidden="1" x14ac:dyDescent="0.25">
      <c r="C554" s="358">
        <v>624</v>
      </c>
      <c r="D554" s="727" t="s">
        <v>633</v>
      </c>
      <c r="E554" s="727"/>
      <c r="F554" s="727"/>
      <c r="G554" s="727"/>
      <c r="H554" s="516" t="s">
        <v>35</v>
      </c>
      <c r="I554" s="515">
        <v>8500</v>
      </c>
      <c r="J554" s="510">
        <f>SUMIFS(APUS!$Y$9:$Y$1486,APUS!$M$9:$M$1486,INSUMOS!C554)</f>
        <v>0</v>
      </c>
      <c r="K554" s="511">
        <f t="shared" si="59"/>
        <v>0</v>
      </c>
      <c r="N554" s="533">
        <f>IFERROR(SUMIFS(APUS!$Z$10:$Z$62,APUS!$N$62:Q411,INSUMOS!D554),0)</f>
        <v>0</v>
      </c>
      <c r="O554" s="546">
        <f t="shared" si="60"/>
        <v>0</v>
      </c>
      <c r="P554" s="348"/>
      <c r="Q554" s="341" t="str">
        <f t="shared" si="61"/>
        <v>SI</v>
      </c>
    </row>
    <row r="555" spans="3:17" x14ac:dyDescent="0.25">
      <c r="C555" s="358">
        <v>625</v>
      </c>
      <c r="D555" s="791" t="s">
        <v>919</v>
      </c>
      <c r="E555" s="791"/>
      <c r="F555" s="791"/>
      <c r="G555" s="791"/>
      <c r="H555" s="314" t="s">
        <v>36</v>
      </c>
      <c r="I555" s="515">
        <v>158621</v>
      </c>
      <c r="J555" s="510">
        <f>SUMIFS(APUS!$Y$9:$Y$1486,APUS!$M$9:$M$1486,INSUMOS!C555)</f>
        <v>5.0999999999999996</v>
      </c>
      <c r="K555" s="511">
        <f t="shared" si="59"/>
        <v>808967.1</v>
      </c>
      <c r="N555" s="533">
        <f>IFERROR(SUMIFS(APUS!$Z$10:$Z$62,APUS!$N$62:Q411,INSUMOS!D555),0)</f>
        <v>0</v>
      </c>
      <c r="O555" s="546">
        <f t="shared" si="60"/>
        <v>-808967.1</v>
      </c>
      <c r="P555" s="348"/>
      <c r="Q555" s="341" t="str">
        <f t="shared" si="61"/>
        <v>NO</v>
      </c>
    </row>
    <row r="556" spans="3:17" hidden="1" x14ac:dyDescent="0.25">
      <c r="C556" s="358">
        <v>626</v>
      </c>
      <c r="D556" s="791" t="s">
        <v>672</v>
      </c>
      <c r="E556" s="791"/>
      <c r="F556" s="791"/>
      <c r="G556" s="791"/>
      <c r="H556" s="516" t="s">
        <v>36</v>
      </c>
      <c r="I556" s="515">
        <v>206789</v>
      </c>
      <c r="J556" s="510">
        <f>SUMIFS(APUS!$Y$9:$Y$1486,APUS!$M$9:$M$1486,INSUMOS!C556)</f>
        <v>0</v>
      </c>
      <c r="K556" s="511">
        <f t="shared" si="59"/>
        <v>0</v>
      </c>
      <c r="N556" s="533">
        <f>IFERROR(SUMIFS(APUS!$Z$10:$Z$62,APUS!$N$62:Q411,INSUMOS!D556),0)</f>
        <v>0</v>
      </c>
      <c r="O556" s="546">
        <f t="shared" si="60"/>
        <v>0</v>
      </c>
      <c r="P556" s="348"/>
      <c r="Q556" s="341" t="str">
        <f t="shared" si="61"/>
        <v>SI</v>
      </c>
    </row>
    <row r="557" spans="3:17" hidden="1" x14ac:dyDescent="0.25">
      <c r="C557" s="358">
        <v>627</v>
      </c>
      <c r="D557" s="791" t="s">
        <v>673</v>
      </c>
      <c r="E557" s="791"/>
      <c r="F557" s="791"/>
      <c r="G557" s="791"/>
      <c r="H557" s="516" t="s">
        <v>36</v>
      </c>
      <c r="I557" s="515">
        <v>61422</v>
      </c>
      <c r="J557" s="510">
        <f>SUMIFS(APUS!$Y$9:$Y$1486,APUS!$M$9:$M$1486,INSUMOS!C557)</f>
        <v>0</v>
      </c>
      <c r="K557" s="511">
        <f t="shared" si="59"/>
        <v>0</v>
      </c>
      <c r="N557" s="533">
        <f>IFERROR(SUMIFS(APUS!$Z$10:$Z$62,APUS!$N$62:Q411,INSUMOS!D557),0)</f>
        <v>0</v>
      </c>
      <c r="O557" s="546">
        <f t="shared" si="60"/>
        <v>0</v>
      </c>
      <c r="P557" s="348"/>
      <c r="Q557" s="341" t="str">
        <f t="shared" si="61"/>
        <v>SI</v>
      </c>
    </row>
    <row r="558" spans="3:17" hidden="1" x14ac:dyDescent="0.25">
      <c r="C558" s="358">
        <v>628</v>
      </c>
      <c r="D558" s="791" t="s">
        <v>638</v>
      </c>
      <c r="E558" s="791"/>
      <c r="F558" s="791"/>
      <c r="G558" s="791"/>
      <c r="H558" s="516" t="s">
        <v>36</v>
      </c>
      <c r="I558" s="515">
        <v>23363</v>
      </c>
      <c r="J558" s="510">
        <f>SUMIFS(APUS!$Y$9:$Y$1486,APUS!$M$9:$M$1486,INSUMOS!C558)</f>
        <v>0</v>
      </c>
      <c r="K558" s="511">
        <f t="shared" si="59"/>
        <v>0</v>
      </c>
      <c r="N558" s="533">
        <f>IFERROR(SUMIFS(APUS!$Z$10:$Z$62,APUS!$N$62:Q411,INSUMOS!D558),0)</f>
        <v>0</v>
      </c>
      <c r="O558" s="546">
        <f t="shared" si="60"/>
        <v>0</v>
      </c>
      <c r="P558" s="348"/>
      <c r="Q558" s="341" t="str">
        <f t="shared" si="61"/>
        <v>SI</v>
      </c>
    </row>
    <row r="559" spans="3:17" hidden="1" x14ac:dyDescent="0.25">
      <c r="C559" s="358">
        <v>629</v>
      </c>
      <c r="D559" s="791" t="s">
        <v>666</v>
      </c>
      <c r="E559" s="791"/>
      <c r="F559" s="791"/>
      <c r="G559" s="791"/>
      <c r="H559" s="314" t="s">
        <v>212</v>
      </c>
      <c r="I559" s="515">
        <v>9612.5</v>
      </c>
      <c r="J559" s="510">
        <f>SUMIFS(APUS!$Y$9:$Y$1486,APUS!$M$9:$M$1486,INSUMOS!C559)</f>
        <v>0</v>
      </c>
      <c r="K559" s="511">
        <f t="shared" si="59"/>
        <v>0</v>
      </c>
      <c r="N559" s="533">
        <f>IFERROR(SUMIFS(APUS!$Z$10:$Z$62,APUS!$N$62:Q411,INSUMOS!D559),0)</f>
        <v>0</v>
      </c>
      <c r="O559" s="546">
        <f t="shared" si="60"/>
        <v>0</v>
      </c>
      <c r="P559" s="348"/>
      <c r="Q559" s="341" t="str">
        <f t="shared" si="61"/>
        <v>SI</v>
      </c>
    </row>
    <row r="560" spans="3:17" hidden="1" x14ac:dyDescent="0.25">
      <c r="C560" s="358">
        <v>630</v>
      </c>
      <c r="D560" s="791" t="s">
        <v>572</v>
      </c>
      <c r="E560" s="791"/>
      <c r="F560" s="791"/>
      <c r="G560" s="791"/>
      <c r="H560" s="314" t="s">
        <v>35</v>
      </c>
      <c r="I560" s="515"/>
      <c r="J560" s="510">
        <f>SUMIFS(APUS!$Y$9:$Y$1486,APUS!$M$9:$M$1486,INSUMOS!C560)</f>
        <v>0</v>
      </c>
      <c r="K560" s="511">
        <f t="shared" si="59"/>
        <v>0</v>
      </c>
      <c r="N560" s="533">
        <f>IFERROR(SUMIFS(APUS!$Z$10:$Z$62,APUS!$N$62:Q411,INSUMOS!D560),0)</f>
        <v>0</v>
      </c>
      <c r="O560" s="546">
        <f t="shared" si="60"/>
        <v>0</v>
      </c>
      <c r="P560" s="348"/>
      <c r="Q560" s="341" t="str">
        <f t="shared" si="61"/>
        <v>SI</v>
      </c>
    </row>
    <row r="561" spans="3:17" hidden="1" x14ac:dyDescent="0.25">
      <c r="C561" s="358">
        <v>631</v>
      </c>
      <c r="D561" s="791" t="s">
        <v>569</v>
      </c>
      <c r="E561" s="791"/>
      <c r="F561" s="791"/>
      <c r="G561" s="791"/>
      <c r="H561" s="314" t="s">
        <v>35</v>
      </c>
      <c r="I561" s="515"/>
      <c r="J561" s="510">
        <f>SUMIFS(APUS!$Y$9:$Y$1486,APUS!$M$9:$M$1486,INSUMOS!C561)</f>
        <v>0</v>
      </c>
      <c r="K561" s="511">
        <f t="shared" si="59"/>
        <v>0</v>
      </c>
      <c r="N561" s="533">
        <f>IFERROR(SUMIFS(APUS!$Z$10:$Z$62,APUS!$N$62:Q411,INSUMOS!D561),0)</f>
        <v>0</v>
      </c>
      <c r="O561" s="546">
        <f t="shared" ref="O561:O624" si="62">+N561-K561</f>
        <v>0</v>
      </c>
      <c r="P561" s="348"/>
      <c r="Q561" s="341" t="str">
        <f t="shared" ref="Q561:Q624" si="63">+IF(K561=0,"SI","NO")</f>
        <v>SI</v>
      </c>
    </row>
    <row r="562" spans="3:17" hidden="1" x14ac:dyDescent="0.25">
      <c r="C562" s="358">
        <v>632</v>
      </c>
      <c r="D562" s="791" t="s">
        <v>570</v>
      </c>
      <c r="E562" s="791"/>
      <c r="F562" s="791"/>
      <c r="G562" s="791"/>
      <c r="H562" s="314" t="s">
        <v>35</v>
      </c>
      <c r="I562" s="515"/>
      <c r="J562" s="510">
        <f>SUMIFS(APUS!$Y$9:$Y$1486,APUS!$M$9:$M$1486,INSUMOS!C562)</f>
        <v>0</v>
      </c>
      <c r="K562" s="511">
        <f t="shared" si="59"/>
        <v>0</v>
      </c>
      <c r="N562" s="533">
        <f>IFERROR(SUMIFS(APUS!$Z$10:$Z$62,APUS!$N$62:Q411,INSUMOS!D562),0)</f>
        <v>0</v>
      </c>
      <c r="O562" s="546">
        <f t="shared" si="62"/>
        <v>0</v>
      </c>
      <c r="P562" s="348"/>
      <c r="Q562" s="341" t="str">
        <f t="shared" si="63"/>
        <v>SI</v>
      </c>
    </row>
    <row r="563" spans="3:17" hidden="1" x14ac:dyDescent="0.25">
      <c r="C563" s="358">
        <v>633</v>
      </c>
      <c r="D563" s="791" t="s">
        <v>568</v>
      </c>
      <c r="E563" s="791"/>
      <c r="F563" s="791"/>
      <c r="G563" s="791"/>
      <c r="H563" s="314" t="s">
        <v>35</v>
      </c>
      <c r="I563" s="515">
        <v>16827</v>
      </c>
      <c r="J563" s="510">
        <f>SUMIFS(APUS!$Y$9:$Y$1486,APUS!$M$9:$M$1486,INSUMOS!C563)</f>
        <v>0</v>
      </c>
      <c r="K563" s="511">
        <f t="shared" si="59"/>
        <v>0</v>
      </c>
      <c r="N563" s="533">
        <f>IFERROR(SUMIFS(APUS!$Z$10:$Z$62,APUS!$N$62:Q411,INSUMOS!D563),0)</f>
        <v>0</v>
      </c>
      <c r="O563" s="546">
        <f t="shared" si="62"/>
        <v>0</v>
      </c>
      <c r="P563" s="348"/>
      <c r="Q563" s="341" t="str">
        <f t="shared" si="63"/>
        <v>SI</v>
      </c>
    </row>
    <row r="564" spans="3:17" hidden="1" x14ac:dyDescent="0.25">
      <c r="C564" s="358">
        <v>634</v>
      </c>
      <c r="D564" s="791" t="s">
        <v>571</v>
      </c>
      <c r="E564" s="791"/>
      <c r="F564" s="791"/>
      <c r="G564" s="791"/>
      <c r="H564" s="314" t="s">
        <v>35</v>
      </c>
      <c r="I564" s="515"/>
      <c r="J564" s="510">
        <f>SUMIFS(APUS!$Y$9:$Y$1486,APUS!$M$9:$M$1486,INSUMOS!C564)</f>
        <v>0</v>
      </c>
      <c r="K564" s="511">
        <f t="shared" si="59"/>
        <v>0</v>
      </c>
      <c r="N564" s="533">
        <f>IFERROR(SUMIFS(APUS!$Z$10:$Z$62,APUS!$N$62:Q411,INSUMOS!D564),0)</f>
        <v>0</v>
      </c>
      <c r="O564" s="546">
        <f t="shared" si="62"/>
        <v>0</v>
      </c>
      <c r="P564" s="348"/>
      <c r="Q564" s="341" t="str">
        <f t="shared" si="63"/>
        <v>SI</v>
      </c>
    </row>
    <row r="565" spans="3:17" hidden="1" x14ac:dyDescent="0.25">
      <c r="C565" s="358">
        <v>635</v>
      </c>
      <c r="D565" s="791" t="s">
        <v>573</v>
      </c>
      <c r="E565" s="791"/>
      <c r="F565" s="791"/>
      <c r="G565" s="791"/>
      <c r="H565" s="314" t="s">
        <v>35</v>
      </c>
      <c r="I565" s="515">
        <v>9250</v>
      </c>
      <c r="J565" s="510">
        <f>SUMIFS(APUS!$Y$9:$Y$1486,APUS!$M$9:$M$1486,INSUMOS!C565)</f>
        <v>0</v>
      </c>
      <c r="K565" s="511">
        <f t="shared" si="59"/>
        <v>0</v>
      </c>
      <c r="N565" s="533">
        <f>IFERROR(SUMIFS(APUS!$Z$10:$Z$62,APUS!$N$62:Q411,INSUMOS!D565),0)</f>
        <v>0</v>
      </c>
      <c r="O565" s="546">
        <f t="shared" si="62"/>
        <v>0</v>
      </c>
      <c r="P565" s="348"/>
      <c r="Q565" s="341" t="str">
        <f t="shared" si="63"/>
        <v>SI</v>
      </c>
    </row>
    <row r="566" spans="3:17" hidden="1" x14ac:dyDescent="0.25">
      <c r="C566" s="358">
        <v>636</v>
      </c>
      <c r="D566" s="791" t="s">
        <v>574</v>
      </c>
      <c r="E566" s="791"/>
      <c r="F566" s="791"/>
      <c r="G566" s="791"/>
      <c r="H566" s="314" t="s">
        <v>35</v>
      </c>
      <c r="I566" s="515">
        <v>12500</v>
      </c>
      <c r="J566" s="510">
        <f>SUMIFS(APUS!$Y$9:$Y$1486,APUS!$M$9:$M$1486,INSUMOS!C566)</f>
        <v>0</v>
      </c>
      <c r="K566" s="511">
        <f t="shared" si="59"/>
        <v>0</v>
      </c>
      <c r="N566" s="533">
        <f>IFERROR(SUMIFS(APUS!$Z$10:$Z$62,APUS!$N$62:Q411,INSUMOS!D566),0)</f>
        <v>0</v>
      </c>
      <c r="O566" s="546">
        <f t="shared" si="62"/>
        <v>0</v>
      </c>
      <c r="P566" s="348"/>
      <c r="Q566" s="341" t="str">
        <f t="shared" si="63"/>
        <v>SI</v>
      </c>
    </row>
    <row r="567" spans="3:17" ht="15" hidden="1" customHeight="1" x14ac:dyDescent="0.25">
      <c r="C567" s="358">
        <v>637</v>
      </c>
      <c r="D567" s="791" t="s">
        <v>575</v>
      </c>
      <c r="E567" s="791"/>
      <c r="F567" s="791"/>
      <c r="G567" s="791"/>
      <c r="H567" s="314" t="s">
        <v>35</v>
      </c>
      <c r="I567" s="515">
        <v>26020</v>
      </c>
      <c r="J567" s="510">
        <f>SUMIFS(APUS!$Y$9:$Y$1486,APUS!$M$9:$M$1486,INSUMOS!C567)</f>
        <v>0</v>
      </c>
      <c r="K567" s="511">
        <f t="shared" si="59"/>
        <v>0</v>
      </c>
      <c r="N567" s="533">
        <f>IFERROR(SUMIFS(APUS!$Z$10:$Z$62,APUS!$N$62:Q411,INSUMOS!D567),0)</f>
        <v>0</v>
      </c>
      <c r="O567" s="546">
        <f t="shared" si="62"/>
        <v>0</v>
      </c>
      <c r="P567" s="348"/>
      <c r="Q567" s="341" t="str">
        <f t="shared" si="63"/>
        <v>SI</v>
      </c>
    </row>
    <row r="568" spans="3:17" hidden="1" x14ac:dyDescent="0.25">
      <c r="C568" s="358">
        <v>638</v>
      </c>
      <c r="D568" s="791" t="s">
        <v>576</v>
      </c>
      <c r="E568" s="791"/>
      <c r="F568" s="791"/>
      <c r="G568" s="791"/>
      <c r="H568" s="314" t="s">
        <v>35</v>
      </c>
      <c r="I568" s="515"/>
      <c r="J568" s="510">
        <f>SUMIFS(APUS!$Y$9:$Y$1486,APUS!$M$9:$M$1486,INSUMOS!C568)</f>
        <v>0</v>
      </c>
      <c r="K568" s="511">
        <f t="shared" si="59"/>
        <v>0</v>
      </c>
      <c r="N568" s="533">
        <f>IFERROR(SUMIFS(APUS!$Z$10:$Z$62,APUS!$N$62:Q411,INSUMOS!D568),0)</f>
        <v>0</v>
      </c>
      <c r="O568" s="546">
        <f t="shared" si="62"/>
        <v>0</v>
      </c>
      <c r="P568" s="348"/>
      <c r="Q568" s="341" t="str">
        <f t="shared" si="63"/>
        <v>SI</v>
      </c>
    </row>
    <row r="569" spans="3:17" hidden="1" x14ac:dyDescent="0.25">
      <c r="C569" s="358">
        <v>639</v>
      </c>
      <c r="D569" s="791" t="s">
        <v>577</v>
      </c>
      <c r="E569" s="791"/>
      <c r="F569" s="791"/>
      <c r="G569" s="791"/>
      <c r="H569" s="314" t="s">
        <v>35</v>
      </c>
      <c r="I569" s="515"/>
      <c r="J569" s="510">
        <f>SUMIFS(APUS!$Y$9:$Y$1486,APUS!$M$9:$M$1486,INSUMOS!C569)</f>
        <v>0</v>
      </c>
      <c r="K569" s="511">
        <f t="shared" ref="K569:K632" si="64">+J569*I569</f>
        <v>0</v>
      </c>
      <c r="N569" s="533">
        <f>IFERROR(SUMIFS(APUS!$Z$10:$Z$62,APUS!$N$62:Q411,INSUMOS!D569),0)</f>
        <v>0</v>
      </c>
      <c r="O569" s="546">
        <f t="shared" si="62"/>
        <v>0</v>
      </c>
      <c r="P569" s="348"/>
      <c r="Q569" s="341" t="str">
        <f t="shared" si="63"/>
        <v>SI</v>
      </c>
    </row>
    <row r="570" spans="3:17" hidden="1" x14ac:dyDescent="0.25">
      <c r="C570" s="358">
        <v>640</v>
      </c>
      <c r="D570" s="791" t="s">
        <v>578</v>
      </c>
      <c r="E570" s="791"/>
      <c r="F570" s="791"/>
      <c r="G570" s="791"/>
      <c r="H570" s="314" t="s">
        <v>35</v>
      </c>
      <c r="I570" s="515"/>
      <c r="J570" s="510">
        <f>SUMIFS(APUS!$Y$9:$Y$1486,APUS!$M$9:$M$1486,INSUMOS!C570)</f>
        <v>0</v>
      </c>
      <c r="K570" s="511">
        <f t="shared" si="64"/>
        <v>0</v>
      </c>
      <c r="N570" s="533">
        <f>IFERROR(SUMIFS(APUS!$Z$10:$Z$62,APUS!$N$62:Q411,INSUMOS!D570),0)</f>
        <v>0</v>
      </c>
      <c r="O570" s="546">
        <f t="shared" si="62"/>
        <v>0</v>
      </c>
      <c r="P570" s="348"/>
      <c r="Q570" s="341" t="str">
        <f t="shared" si="63"/>
        <v>SI</v>
      </c>
    </row>
    <row r="571" spans="3:17" hidden="1" x14ac:dyDescent="0.25">
      <c r="C571" s="358">
        <v>641</v>
      </c>
      <c r="D571" s="791"/>
      <c r="E571" s="791"/>
      <c r="F571" s="791"/>
      <c r="G571" s="791"/>
      <c r="H571" s="314"/>
      <c r="I571" s="515"/>
      <c r="J571" s="510">
        <f>SUMIFS(APUS!$Y$9:$Y$1486,APUS!$M$9:$M$1486,INSUMOS!C571)</f>
        <v>0</v>
      </c>
      <c r="K571" s="511">
        <f t="shared" si="64"/>
        <v>0</v>
      </c>
      <c r="N571" s="533">
        <f>IFERROR(SUMIFS(APUS!$Z$10:$Z$62,APUS!$N$62:Q411,INSUMOS!D571),0)</f>
        <v>0</v>
      </c>
      <c r="O571" s="546">
        <f t="shared" si="62"/>
        <v>0</v>
      </c>
      <c r="P571" s="348"/>
      <c r="Q571" s="341" t="str">
        <f t="shared" si="63"/>
        <v>SI</v>
      </c>
    </row>
    <row r="572" spans="3:17" hidden="1" x14ac:dyDescent="0.25">
      <c r="C572" s="358">
        <v>642</v>
      </c>
      <c r="D572" s="791"/>
      <c r="E572" s="791"/>
      <c r="F572" s="791"/>
      <c r="G572" s="791"/>
      <c r="H572" s="314"/>
      <c r="I572" s="515"/>
      <c r="J572" s="510">
        <f>SUMIFS(APUS!$Y$9:$Y$1486,APUS!$M$9:$M$1486,INSUMOS!C572)</f>
        <v>0</v>
      </c>
      <c r="K572" s="511">
        <f t="shared" si="64"/>
        <v>0</v>
      </c>
      <c r="N572" s="533">
        <f>IFERROR(SUMIFS(APUS!$Z$10:$Z$62,APUS!$N$62:Q411,INSUMOS!D572),0)</f>
        <v>0</v>
      </c>
      <c r="O572" s="546">
        <f t="shared" si="62"/>
        <v>0</v>
      </c>
      <c r="P572" s="348"/>
      <c r="Q572" s="341" t="str">
        <f t="shared" si="63"/>
        <v>SI</v>
      </c>
    </row>
    <row r="573" spans="3:17" hidden="1" x14ac:dyDescent="0.25">
      <c r="C573" s="358">
        <v>643</v>
      </c>
      <c r="D573" s="791"/>
      <c r="E573" s="791"/>
      <c r="F573" s="791"/>
      <c r="G573" s="791"/>
      <c r="H573" s="314"/>
      <c r="I573" s="515"/>
      <c r="J573" s="510">
        <f>SUMIFS(APUS!$Y$9:$Y$1486,APUS!$M$9:$M$1486,INSUMOS!C573)</f>
        <v>0</v>
      </c>
      <c r="K573" s="511">
        <f t="shared" si="64"/>
        <v>0</v>
      </c>
      <c r="N573" s="533">
        <f>IFERROR(SUMIFS(APUS!$Z$10:$Z$62,APUS!$N$62:Q411,INSUMOS!D573),0)</f>
        <v>0</v>
      </c>
      <c r="O573" s="546">
        <f t="shared" si="62"/>
        <v>0</v>
      </c>
      <c r="P573" s="348"/>
      <c r="Q573" s="341" t="str">
        <f t="shared" si="63"/>
        <v>SI</v>
      </c>
    </row>
    <row r="574" spans="3:17" hidden="1" x14ac:dyDescent="0.25">
      <c r="C574" s="358">
        <v>644</v>
      </c>
      <c r="D574" s="791"/>
      <c r="E574" s="791"/>
      <c r="F574" s="791"/>
      <c r="G574" s="791"/>
      <c r="H574" s="314"/>
      <c r="I574" s="515"/>
      <c r="J574" s="510">
        <f>SUMIFS(APUS!$Y$9:$Y$1486,APUS!$M$9:$M$1486,INSUMOS!C574)</f>
        <v>0</v>
      </c>
      <c r="K574" s="511">
        <f t="shared" si="64"/>
        <v>0</v>
      </c>
      <c r="N574" s="533">
        <f>IFERROR(SUMIFS(APUS!$Z$10:$Z$62,APUS!$N$62:Q411,INSUMOS!D574),0)</f>
        <v>0</v>
      </c>
      <c r="O574" s="546">
        <f t="shared" si="62"/>
        <v>0</v>
      </c>
      <c r="P574" s="348"/>
      <c r="Q574" s="341" t="str">
        <f t="shared" si="63"/>
        <v>SI</v>
      </c>
    </row>
    <row r="575" spans="3:17" hidden="1" x14ac:dyDescent="0.25">
      <c r="C575" s="358">
        <v>645</v>
      </c>
      <c r="D575" s="791"/>
      <c r="E575" s="791"/>
      <c r="F575" s="791"/>
      <c r="G575" s="791"/>
      <c r="H575" s="314"/>
      <c r="I575" s="515"/>
      <c r="J575" s="510">
        <f>SUMIFS(APUS!$Y$9:$Y$1486,APUS!$M$9:$M$1486,INSUMOS!C575)</f>
        <v>0</v>
      </c>
      <c r="K575" s="511">
        <f t="shared" si="64"/>
        <v>0</v>
      </c>
      <c r="N575" s="533">
        <f>IFERROR(SUMIFS(APUS!$Z$10:$Z$62,APUS!$N$62:Q411,INSUMOS!D575),0)</f>
        <v>0</v>
      </c>
      <c r="O575" s="546">
        <f t="shared" si="62"/>
        <v>0</v>
      </c>
      <c r="P575" s="348"/>
      <c r="Q575" s="341" t="str">
        <f t="shared" si="63"/>
        <v>SI</v>
      </c>
    </row>
    <row r="576" spans="3:17" hidden="1" x14ac:dyDescent="0.25">
      <c r="C576" s="358">
        <v>646</v>
      </c>
      <c r="D576" s="791"/>
      <c r="E576" s="791"/>
      <c r="F576" s="791"/>
      <c r="G576" s="791"/>
      <c r="H576" s="314"/>
      <c r="I576" s="515"/>
      <c r="J576" s="510">
        <f>SUMIFS(APUS!$Y$9:$Y$1486,APUS!$M$9:$M$1486,INSUMOS!C576)</f>
        <v>0</v>
      </c>
      <c r="K576" s="511">
        <f t="shared" si="64"/>
        <v>0</v>
      </c>
      <c r="N576" s="533">
        <f>IFERROR(SUMIFS(APUS!$Z$10:$Z$62,APUS!$N$62:Q411,INSUMOS!D576),0)</f>
        <v>0</v>
      </c>
      <c r="O576" s="546">
        <f t="shared" si="62"/>
        <v>0</v>
      </c>
      <c r="P576" s="348"/>
      <c r="Q576" s="341" t="str">
        <f t="shared" si="63"/>
        <v>SI</v>
      </c>
    </row>
    <row r="577" spans="3:17" hidden="1" x14ac:dyDescent="0.25">
      <c r="C577" s="358">
        <v>647</v>
      </c>
      <c r="D577" s="791"/>
      <c r="E577" s="791"/>
      <c r="F577" s="791"/>
      <c r="G577" s="791"/>
      <c r="H577" s="314"/>
      <c r="I577" s="515"/>
      <c r="J577" s="510">
        <f>SUMIFS(APUS!$Y$9:$Y$1486,APUS!$M$9:$M$1486,INSUMOS!C577)</f>
        <v>0</v>
      </c>
      <c r="K577" s="511">
        <f t="shared" si="64"/>
        <v>0</v>
      </c>
      <c r="N577" s="533">
        <f>IFERROR(SUMIFS(APUS!$Z$10:$Z$62,APUS!$N$62:Q411,INSUMOS!D577),0)</f>
        <v>0</v>
      </c>
      <c r="O577" s="546">
        <f t="shared" si="62"/>
        <v>0</v>
      </c>
      <c r="P577" s="348"/>
      <c r="Q577" s="341" t="str">
        <f t="shared" si="63"/>
        <v>SI</v>
      </c>
    </row>
    <row r="578" spans="3:17" hidden="1" x14ac:dyDescent="0.25">
      <c r="C578" s="358">
        <v>648</v>
      </c>
      <c r="D578" s="791"/>
      <c r="E578" s="791"/>
      <c r="F578" s="791"/>
      <c r="G578" s="791"/>
      <c r="H578" s="314"/>
      <c r="I578" s="515"/>
      <c r="J578" s="510">
        <f>SUMIFS(APUS!$Y$9:$Y$1486,APUS!$M$9:$M$1486,INSUMOS!C578)</f>
        <v>0</v>
      </c>
      <c r="K578" s="511">
        <f t="shared" si="64"/>
        <v>0</v>
      </c>
      <c r="N578" s="533">
        <f>IFERROR(SUMIFS(APUS!$Z$10:$Z$62,APUS!$N$62:Q411,INSUMOS!D578),0)</f>
        <v>0</v>
      </c>
      <c r="O578" s="546">
        <f t="shared" si="62"/>
        <v>0</v>
      </c>
      <c r="P578" s="348"/>
      <c r="Q578" s="341" t="str">
        <f t="shared" si="63"/>
        <v>SI</v>
      </c>
    </row>
    <row r="579" spans="3:17" hidden="1" x14ac:dyDescent="0.25">
      <c r="C579" s="358">
        <v>649</v>
      </c>
      <c r="D579" s="791"/>
      <c r="E579" s="791"/>
      <c r="F579" s="791"/>
      <c r="G579" s="791"/>
      <c r="H579" s="314"/>
      <c r="I579" s="515"/>
      <c r="J579" s="510">
        <f>SUMIFS(APUS!$Y$9:$Y$1486,APUS!$M$9:$M$1486,INSUMOS!C579)</f>
        <v>0</v>
      </c>
      <c r="K579" s="511">
        <f t="shared" si="64"/>
        <v>0</v>
      </c>
      <c r="N579" s="533">
        <f>IFERROR(SUMIFS(APUS!$Z$10:$Z$62,APUS!$N$62:Q411,INSUMOS!D579),0)</f>
        <v>0</v>
      </c>
      <c r="O579" s="546">
        <f t="shared" si="62"/>
        <v>0</v>
      </c>
      <c r="P579" s="348"/>
      <c r="Q579" s="341" t="str">
        <f t="shared" si="63"/>
        <v>SI</v>
      </c>
    </row>
    <row r="580" spans="3:17" x14ac:dyDescent="0.25">
      <c r="C580" s="358">
        <v>650</v>
      </c>
      <c r="D580" s="791" t="s">
        <v>941</v>
      </c>
      <c r="E580" s="791"/>
      <c r="F580" s="791"/>
      <c r="G580" s="791"/>
      <c r="H580" s="314" t="s">
        <v>36</v>
      </c>
      <c r="I580" s="515">
        <v>185920</v>
      </c>
      <c r="J580" s="510">
        <f>SUMIFS(APUS!$Y$9:$Y$1486,APUS!$M$9:$M$1486,INSUMOS!C580)</f>
        <v>10</v>
      </c>
      <c r="K580" s="511">
        <f t="shared" si="64"/>
        <v>1859200</v>
      </c>
      <c r="N580" s="533">
        <f>IFERROR(SUMIFS(APUS!$Z$10:$Z$62,APUS!$N$62:Q411,INSUMOS!D580),0)</f>
        <v>0</v>
      </c>
      <c r="O580" s="546">
        <f t="shared" si="62"/>
        <v>-1859200</v>
      </c>
      <c r="P580" s="348"/>
      <c r="Q580" s="341" t="str">
        <f t="shared" si="63"/>
        <v>NO</v>
      </c>
    </row>
    <row r="581" spans="3:17" hidden="1" x14ac:dyDescent="0.25">
      <c r="C581" s="358">
        <v>651</v>
      </c>
      <c r="D581" s="791"/>
      <c r="E581" s="791"/>
      <c r="F581" s="791"/>
      <c r="G581" s="791"/>
      <c r="H581" s="314"/>
      <c r="I581" s="515"/>
      <c r="J581" s="510">
        <f>SUMIFS(APUS!$Y$9:$Y$1486,APUS!$M$9:$M$1486,INSUMOS!C581)</f>
        <v>0</v>
      </c>
      <c r="K581" s="511">
        <f t="shared" si="64"/>
        <v>0</v>
      </c>
      <c r="N581" s="533">
        <f>IFERROR(SUMIFS(APUS!$Z$10:$Z$62,APUS!$N$62:Q412,INSUMOS!D581),0)</f>
        <v>0</v>
      </c>
      <c r="O581" s="546">
        <f t="shared" si="62"/>
        <v>0</v>
      </c>
      <c r="P581" s="348"/>
      <c r="Q581" s="341" t="str">
        <f t="shared" si="63"/>
        <v>SI</v>
      </c>
    </row>
    <row r="582" spans="3:17" hidden="1" x14ac:dyDescent="0.25">
      <c r="C582" s="358">
        <v>652</v>
      </c>
      <c r="D582" s="791"/>
      <c r="E582" s="791"/>
      <c r="F582" s="791"/>
      <c r="G582" s="791"/>
      <c r="H582" s="314"/>
      <c r="I582" s="515"/>
      <c r="J582" s="510">
        <f>SUMIFS(APUS!$Y$9:$Y$1486,APUS!$M$9:$M$1486,INSUMOS!C582)</f>
        <v>0</v>
      </c>
      <c r="K582" s="511">
        <f t="shared" si="64"/>
        <v>0</v>
      </c>
      <c r="N582" s="533">
        <f>IFERROR(SUMIFS(APUS!$Z$10:$Z$62,APUS!$N$62:Q1486,INSUMOS!D582),0)</f>
        <v>0</v>
      </c>
      <c r="O582" s="546">
        <f t="shared" si="62"/>
        <v>0</v>
      </c>
      <c r="P582" s="348"/>
      <c r="Q582" s="341" t="str">
        <f t="shared" si="63"/>
        <v>SI</v>
      </c>
    </row>
    <row r="583" spans="3:17" hidden="1" x14ac:dyDescent="0.25">
      <c r="C583" s="358">
        <v>653</v>
      </c>
      <c r="D583" s="791"/>
      <c r="E583" s="791"/>
      <c r="F583" s="791"/>
      <c r="G583" s="791"/>
      <c r="H583" s="314"/>
      <c r="I583" s="515"/>
      <c r="J583" s="510">
        <f>SUMIFS(APUS!$Y$9:$Y$1486,APUS!$M$9:$M$1486,INSUMOS!C583)</f>
        <v>0</v>
      </c>
      <c r="K583" s="511">
        <f t="shared" si="64"/>
        <v>0</v>
      </c>
      <c r="N583" s="533">
        <f>IFERROR(SUMIFS(APUS!$Z$10:$Z$62,APUS!$N$62:Q1486,INSUMOS!D583),0)</f>
        <v>0</v>
      </c>
      <c r="O583" s="546">
        <f t="shared" si="62"/>
        <v>0</v>
      </c>
      <c r="P583" s="348"/>
      <c r="Q583" s="341" t="str">
        <f t="shared" si="63"/>
        <v>SI</v>
      </c>
    </row>
    <row r="584" spans="3:17" hidden="1" x14ac:dyDescent="0.25">
      <c r="C584" s="358">
        <v>654</v>
      </c>
      <c r="D584" s="791"/>
      <c r="E584" s="791"/>
      <c r="F584" s="791"/>
      <c r="G584" s="791"/>
      <c r="H584" s="314"/>
      <c r="I584" s="515"/>
      <c r="J584" s="510">
        <f>SUMIFS(APUS!$Y$9:$Y$1486,APUS!$M$9:$M$1486,INSUMOS!C584)</f>
        <v>0</v>
      </c>
      <c r="K584" s="511">
        <f t="shared" si="64"/>
        <v>0</v>
      </c>
      <c r="N584" s="533">
        <f>IFERROR(SUMIFS(APUS!$Z$10:$Z$62,APUS!$N$62:Q1486,INSUMOS!D584),0)</f>
        <v>0</v>
      </c>
      <c r="O584" s="546">
        <f t="shared" si="62"/>
        <v>0</v>
      </c>
      <c r="P584" s="348"/>
      <c r="Q584" s="341" t="str">
        <f t="shared" si="63"/>
        <v>SI</v>
      </c>
    </row>
    <row r="585" spans="3:17" hidden="1" x14ac:dyDescent="0.25">
      <c r="C585" s="358">
        <v>655</v>
      </c>
      <c r="D585" s="791"/>
      <c r="E585" s="791"/>
      <c r="F585" s="791"/>
      <c r="G585" s="791"/>
      <c r="H585" s="314"/>
      <c r="I585" s="515"/>
      <c r="J585" s="510">
        <f>SUMIFS(APUS!$Y$9:$Y$1486,APUS!$M$9:$M$1486,INSUMOS!C585)</f>
        <v>0</v>
      </c>
      <c r="K585" s="511">
        <f t="shared" si="64"/>
        <v>0</v>
      </c>
      <c r="N585" s="533">
        <f>IFERROR(SUMIFS(APUS!$Z$10:$Z$62,APUS!$N$62:Q1486,INSUMOS!D585),0)</f>
        <v>0</v>
      </c>
      <c r="O585" s="546">
        <f t="shared" si="62"/>
        <v>0</v>
      </c>
      <c r="P585" s="348"/>
      <c r="Q585" s="341" t="str">
        <f t="shared" si="63"/>
        <v>SI</v>
      </c>
    </row>
    <row r="586" spans="3:17" hidden="1" x14ac:dyDescent="0.25">
      <c r="C586" s="358">
        <v>656</v>
      </c>
      <c r="D586" s="791"/>
      <c r="E586" s="791"/>
      <c r="F586" s="791"/>
      <c r="G586" s="791"/>
      <c r="H586" s="314"/>
      <c r="I586" s="515"/>
      <c r="J586" s="510">
        <f>SUMIFS(APUS!$Y$9:$Y$1486,APUS!$M$9:$M$1486,INSUMOS!C586)</f>
        <v>0</v>
      </c>
      <c r="K586" s="511">
        <f t="shared" si="64"/>
        <v>0</v>
      </c>
      <c r="N586" s="533">
        <f>IFERROR(SUMIFS(APUS!$Z$10:$Z$62,APUS!$N$62:Q1486,INSUMOS!D586),0)</f>
        <v>0</v>
      </c>
      <c r="O586" s="546">
        <f t="shared" si="62"/>
        <v>0</v>
      </c>
      <c r="P586" s="348"/>
      <c r="Q586" s="341" t="str">
        <f t="shared" si="63"/>
        <v>SI</v>
      </c>
    </row>
    <row r="587" spans="3:17" hidden="1" x14ac:dyDescent="0.25">
      <c r="C587" s="358">
        <v>657</v>
      </c>
      <c r="D587" s="791"/>
      <c r="E587" s="791"/>
      <c r="F587" s="791"/>
      <c r="G587" s="791"/>
      <c r="H587" s="314"/>
      <c r="I587" s="515"/>
      <c r="J587" s="510">
        <f>SUMIFS(APUS!$Y$9:$Y$1486,APUS!$M$9:$M$1486,INSUMOS!C587)</f>
        <v>0</v>
      </c>
      <c r="K587" s="511">
        <f t="shared" si="64"/>
        <v>0</v>
      </c>
      <c r="N587" s="533">
        <f>IFERROR(SUMIFS(APUS!$Z$10:$Z$62,APUS!$N$62:Q1486,INSUMOS!D587),0)</f>
        <v>0</v>
      </c>
      <c r="O587" s="546">
        <f t="shared" si="62"/>
        <v>0</v>
      </c>
      <c r="P587" s="348"/>
      <c r="Q587" s="341" t="str">
        <f t="shared" si="63"/>
        <v>SI</v>
      </c>
    </row>
    <row r="588" spans="3:17" hidden="1" x14ac:dyDescent="0.25">
      <c r="C588" s="358">
        <v>658</v>
      </c>
      <c r="D588" s="791"/>
      <c r="E588" s="791"/>
      <c r="F588" s="791"/>
      <c r="G588" s="791"/>
      <c r="H588" s="314"/>
      <c r="I588" s="515"/>
      <c r="J588" s="510">
        <f>SUMIFS(APUS!$Y$9:$Y$1486,APUS!$M$9:$M$1486,INSUMOS!C588)</f>
        <v>0</v>
      </c>
      <c r="K588" s="511">
        <f t="shared" si="64"/>
        <v>0</v>
      </c>
      <c r="N588" s="533">
        <f>IFERROR(SUMIFS(APUS!$Z$10:$Z$62,APUS!$N$62:Q1486,INSUMOS!D588),0)</f>
        <v>0</v>
      </c>
      <c r="O588" s="546">
        <f t="shared" si="62"/>
        <v>0</v>
      </c>
      <c r="P588" s="348"/>
      <c r="Q588" s="341" t="str">
        <f t="shared" si="63"/>
        <v>SI</v>
      </c>
    </row>
    <row r="589" spans="3:17" hidden="1" x14ac:dyDescent="0.25">
      <c r="C589" s="358">
        <v>659</v>
      </c>
      <c r="D589" s="791"/>
      <c r="E589" s="791"/>
      <c r="F589" s="791"/>
      <c r="G589" s="791"/>
      <c r="H589" s="314"/>
      <c r="I589" s="515"/>
      <c r="J589" s="510">
        <f>SUMIFS(APUS!$Y$9:$Y$1486,APUS!$M$9:$M$1486,INSUMOS!C589)</f>
        <v>0</v>
      </c>
      <c r="K589" s="511">
        <f t="shared" si="64"/>
        <v>0</v>
      </c>
      <c r="N589" s="533">
        <f>IFERROR(SUMIFS(APUS!$Z$10:$Z$62,APUS!$N$62:Q1486,INSUMOS!D589),0)</f>
        <v>0</v>
      </c>
      <c r="O589" s="546">
        <f t="shared" si="62"/>
        <v>0</v>
      </c>
      <c r="P589" s="348"/>
      <c r="Q589" s="341" t="str">
        <f t="shared" si="63"/>
        <v>SI</v>
      </c>
    </row>
    <row r="590" spans="3:17" hidden="1" x14ac:dyDescent="0.25">
      <c r="C590" s="358">
        <v>660</v>
      </c>
      <c r="D590" s="791" t="s">
        <v>846</v>
      </c>
      <c r="E590" s="791"/>
      <c r="F590" s="791"/>
      <c r="G590" s="791"/>
      <c r="H590" s="314" t="s">
        <v>212</v>
      </c>
      <c r="I590" s="515">
        <v>7500</v>
      </c>
      <c r="J590" s="510">
        <f>SUMIFS(APUS!$Y$9:$Y$1486,APUS!$M$9:$M$1486,INSUMOS!C590)</f>
        <v>0</v>
      </c>
      <c r="K590" s="511">
        <f t="shared" si="64"/>
        <v>0</v>
      </c>
      <c r="N590" s="533">
        <f>IFERROR(SUMIFS(APUS!$Z$10:$Z$62,APUS!$N$62:Q1486,INSUMOS!D590),0)</f>
        <v>0</v>
      </c>
      <c r="O590" s="546">
        <f t="shared" si="62"/>
        <v>0</v>
      </c>
      <c r="P590" s="348"/>
      <c r="Q590" s="341" t="str">
        <f t="shared" si="63"/>
        <v>SI</v>
      </c>
    </row>
    <row r="591" spans="3:17" hidden="1" x14ac:dyDescent="0.25">
      <c r="C591" s="358">
        <v>661</v>
      </c>
      <c r="D591" s="798" t="s">
        <v>847</v>
      </c>
      <c r="E591" s="798"/>
      <c r="F591" s="798"/>
      <c r="G591" s="798"/>
      <c r="H591" s="548" t="s">
        <v>43</v>
      </c>
      <c r="I591" s="549">
        <v>37647</v>
      </c>
      <c r="J591" s="510">
        <f>SUMIFS(APUS!$Y$9:$Y$1486,APUS!$M$9:$M$1486,INSUMOS!C591)</f>
        <v>0</v>
      </c>
      <c r="K591" s="511">
        <f t="shared" si="64"/>
        <v>0</v>
      </c>
      <c r="N591" s="533">
        <f>IFERROR(SUMIFS(APUS!$Z$10:$Z$62,APUS!$N$62:Q1486,INSUMOS!D591),0)</f>
        <v>0</v>
      </c>
      <c r="O591" s="546">
        <f t="shared" si="62"/>
        <v>0</v>
      </c>
      <c r="P591" s="348"/>
      <c r="Q591" s="341" t="str">
        <f t="shared" si="63"/>
        <v>SI</v>
      </c>
    </row>
    <row r="592" spans="3:17" hidden="1" x14ac:dyDescent="0.25">
      <c r="C592" s="358">
        <v>662</v>
      </c>
      <c r="D592" s="791" t="s">
        <v>848</v>
      </c>
      <c r="E592" s="791"/>
      <c r="F592" s="791"/>
      <c r="G592" s="791"/>
      <c r="H592" s="314" t="s">
        <v>35</v>
      </c>
      <c r="I592" s="515">
        <v>10500</v>
      </c>
      <c r="J592" s="510">
        <f>SUMIFS(APUS!$Y$9:$Y$1486,APUS!$M$9:$M$1486,INSUMOS!C592)</f>
        <v>0</v>
      </c>
      <c r="K592" s="511">
        <f t="shared" si="64"/>
        <v>0</v>
      </c>
      <c r="N592" s="533">
        <f>IFERROR(SUMIFS(APUS!$Z$10:$Z$62,APUS!$N$62:Q1486,INSUMOS!D592),0)</f>
        <v>0</v>
      </c>
      <c r="O592" s="546">
        <f t="shared" si="62"/>
        <v>0</v>
      </c>
      <c r="P592" s="348"/>
      <c r="Q592" s="341" t="str">
        <f t="shared" si="63"/>
        <v>SI</v>
      </c>
    </row>
    <row r="593" spans="3:17" hidden="1" x14ac:dyDescent="0.25">
      <c r="C593" s="358">
        <v>663</v>
      </c>
      <c r="D593" s="791" t="s">
        <v>849</v>
      </c>
      <c r="E593" s="791"/>
      <c r="F593" s="791"/>
      <c r="G593" s="791"/>
      <c r="H593" s="314" t="s">
        <v>212</v>
      </c>
      <c r="I593" s="515">
        <f>18205/25</f>
        <v>728.2</v>
      </c>
      <c r="J593" s="510">
        <f>SUMIFS(APUS!$Y$9:$Y$1486,APUS!$M$9:$M$1486,INSUMOS!C593)</f>
        <v>0</v>
      </c>
      <c r="K593" s="511">
        <f t="shared" si="64"/>
        <v>0</v>
      </c>
      <c r="N593" s="533">
        <f>IFERROR(SUMIFS(APUS!$Z$10:$Z$62,APUS!$N$62:Q1486,INSUMOS!D593),0)</f>
        <v>0</v>
      </c>
      <c r="O593" s="546">
        <f t="shared" si="62"/>
        <v>0</v>
      </c>
      <c r="P593" s="348"/>
      <c r="Q593" s="341" t="str">
        <f t="shared" si="63"/>
        <v>SI</v>
      </c>
    </row>
    <row r="594" spans="3:17" hidden="1" x14ac:dyDescent="0.25">
      <c r="C594" s="358">
        <v>664</v>
      </c>
      <c r="D594" s="791"/>
      <c r="E594" s="791"/>
      <c r="F594" s="791"/>
      <c r="G594" s="791"/>
      <c r="H594" s="314"/>
      <c r="I594" s="515"/>
      <c r="J594" s="510">
        <f>SUMIFS(APUS!$Y$9:$Y$1486,APUS!$M$9:$M$1486,INSUMOS!C594)</f>
        <v>0</v>
      </c>
      <c r="K594" s="511">
        <f t="shared" si="64"/>
        <v>0</v>
      </c>
      <c r="N594" s="533">
        <f>IFERROR(SUMIFS(APUS!$Z$10:$Z$62,APUS!$N$62:Q1486,INSUMOS!D594),0)</f>
        <v>0</v>
      </c>
      <c r="O594" s="546">
        <f t="shared" si="62"/>
        <v>0</v>
      </c>
      <c r="P594" s="348"/>
      <c r="Q594" s="341" t="str">
        <f t="shared" si="63"/>
        <v>SI</v>
      </c>
    </row>
    <row r="595" spans="3:17" hidden="1" x14ac:dyDescent="0.25">
      <c r="C595" s="358">
        <v>665</v>
      </c>
      <c r="D595" s="791"/>
      <c r="E595" s="791"/>
      <c r="F595" s="791"/>
      <c r="G595" s="791"/>
      <c r="H595" s="314"/>
      <c r="I595" s="515"/>
      <c r="J595" s="510">
        <f>SUMIFS(APUS!$Y$9:$Y$1486,APUS!$M$9:$M$1486,INSUMOS!C595)</f>
        <v>0</v>
      </c>
      <c r="K595" s="511">
        <f t="shared" si="64"/>
        <v>0</v>
      </c>
      <c r="N595" s="533">
        <f>IFERROR(SUMIFS(APUS!$Z$10:$Z$62,APUS!$N$62:Q1486,INSUMOS!D595),0)</f>
        <v>0</v>
      </c>
      <c r="O595" s="546">
        <f t="shared" si="62"/>
        <v>0</v>
      </c>
      <c r="P595" s="348"/>
      <c r="Q595" s="341" t="str">
        <f t="shared" si="63"/>
        <v>SI</v>
      </c>
    </row>
    <row r="596" spans="3:17" hidden="1" x14ac:dyDescent="0.25">
      <c r="C596" s="358">
        <v>666</v>
      </c>
      <c r="D596" s="791"/>
      <c r="E596" s="791"/>
      <c r="F596" s="791"/>
      <c r="G596" s="791"/>
      <c r="H596" s="314"/>
      <c r="I596" s="515"/>
      <c r="J596" s="510">
        <f>SUMIFS(APUS!$Y$9:$Y$1486,APUS!$M$9:$M$1486,INSUMOS!C596)</f>
        <v>0</v>
      </c>
      <c r="K596" s="511">
        <f t="shared" si="64"/>
        <v>0</v>
      </c>
      <c r="N596" s="533">
        <f>IFERROR(SUMIFS(APUS!$Z$10:$Z$62,APUS!$N$62:Q1486,INSUMOS!D596),0)</f>
        <v>0</v>
      </c>
      <c r="O596" s="546">
        <f t="shared" si="62"/>
        <v>0</v>
      </c>
      <c r="P596" s="348"/>
      <c r="Q596" s="341" t="str">
        <f t="shared" si="63"/>
        <v>SI</v>
      </c>
    </row>
    <row r="597" spans="3:17" hidden="1" x14ac:dyDescent="0.25">
      <c r="C597" s="358">
        <v>667</v>
      </c>
      <c r="D597" s="791"/>
      <c r="E597" s="791"/>
      <c r="F597" s="791"/>
      <c r="G597" s="791"/>
      <c r="H597" s="314"/>
      <c r="I597" s="515"/>
      <c r="J597" s="510">
        <f>SUMIFS(APUS!$Y$9:$Y$1486,APUS!$M$9:$M$1486,INSUMOS!C597)</f>
        <v>0</v>
      </c>
      <c r="K597" s="511">
        <f t="shared" si="64"/>
        <v>0</v>
      </c>
      <c r="N597" s="533">
        <f>IFERROR(SUMIFS(APUS!$Z$10:$Z$62,APUS!$N$62:Q1486,INSUMOS!D597),0)</f>
        <v>0</v>
      </c>
      <c r="O597" s="546">
        <f t="shared" si="62"/>
        <v>0</v>
      </c>
      <c r="P597" s="348"/>
      <c r="Q597" s="341" t="str">
        <f t="shared" si="63"/>
        <v>SI</v>
      </c>
    </row>
    <row r="598" spans="3:17" hidden="1" x14ac:dyDescent="0.25">
      <c r="C598" s="358">
        <v>668</v>
      </c>
      <c r="D598" s="791"/>
      <c r="E598" s="791"/>
      <c r="F598" s="791"/>
      <c r="G598" s="791"/>
      <c r="H598" s="314"/>
      <c r="I598" s="515"/>
      <c r="J598" s="510">
        <f>SUMIFS(APUS!$Y$9:$Y$1486,APUS!$M$9:$M$1486,INSUMOS!C598)</f>
        <v>0</v>
      </c>
      <c r="K598" s="511">
        <f t="shared" si="64"/>
        <v>0</v>
      </c>
      <c r="N598" s="533">
        <f>IFERROR(SUMIFS(APUS!$Z$10:$Z$62,APUS!$N$62:Q1486,INSUMOS!D598),0)</f>
        <v>0</v>
      </c>
      <c r="O598" s="546">
        <f t="shared" si="62"/>
        <v>0</v>
      </c>
      <c r="P598" s="348"/>
      <c r="Q598" s="341" t="str">
        <f t="shared" si="63"/>
        <v>SI</v>
      </c>
    </row>
    <row r="599" spans="3:17" hidden="1" x14ac:dyDescent="0.25">
      <c r="C599" s="358">
        <v>669</v>
      </c>
      <c r="D599" s="791"/>
      <c r="E599" s="791"/>
      <c r="F599" s="791"/>
      <c r="G599" s="791"/>
      <c r="H599" s="314"/>
      <c r="I599" s="515"/>
      <c r="J599" s="510">
        <f>SUMIFS(APUS!$Y$9:$Y$1486,APUS!$M$9:$M$1486,INSUMOS!C599)</f>
        <v>0</v>
      </c>
      <c r="K599" s="511">
        <f t="shared" si="64"/>
        <v>0</v>
      </c>
      <c r="N599" s="533">
        <f>IFERROR(SUMIFS(APUS!$Z$10:$Z$62,APUS!$N$62:Q1486,INSUMOS!D599),0)</f>
        <v>0</v>
      </c>
      <c r="O599" s="546">
        <f t="shared" si="62"/>
        <v>0</v>
      </c>
      <c r="P599" s="348"/>
      <c r="Q599" s="341" t="str">
        <f t="shared" si="63"/>
        <v>SI</v>
      </c>
    </row>
    <row r="600" spans="3:17" hidden="1" x14ac:dyDescent="0.25">
      <c r="C600" s="358">
        <v>670</v>
      </c>
      <c r="D600" s="791"/>
      <c r="E600" s="791"/>
      <c r="F600" s="791"/>
      <c r="G600" s="791"/>
      <c r="H600" s="314"/>
      <c r="I600" s="515"/>
      <c r="J600" s="510">
        <f>SUMIFS(APUS!$Y$9:$Y$1486,APUS!$M$9:$M$1486,INSUMOS!C600)</f>
        <v>0</v>
      </c>
      <c r="K600" s="511">
        <f t="shared" si="64"/>
        <v>0</v>
      </c>
      <c r="N600" s="533">
        <f>IFERROR(SUMIFS(APUS!$Z$10:$Z$62,APUS!$N$62:Q1486,INSUMOS!D600),0)</f>
        <v>0</v>
      </c>
      <c r="O600" s="546">
        <f t="shared" si="62"/>
        <v>0</v>
      </c>
      <c r="P600" s="348"/>
      <c r="Q600" s="341" t="str">
        <f t="shared" si="63"/>
        <v>SI</v>
      </c>
    </row>
    <row r="601" spans="3:17" hidden="1" x14ac:dyDescent="0.25">
      <c r="C601" s="358">
        <v>671</v>
      </c>
      <c r="D601" s="791"/>
      <c r="E601" s="791"/>
      <c r="F601" s="791"/>
      <c r="G601" s="791"/>
      <c r="H601" s="314"/>
      <c r="I601" s="515"/>
      <c r="J601" s="510">
        <f>SUMIFS(APUS!$Y$9:$Y$1486,APUS!$M$9:$M$1486,INSUMOS!C601)</f>
        <v>0</v>
      </c>
      <c r="K601" s="511">
        <f t="shared" si="64"/>
        <v>0</v>
      </c>
      <c r="N601" s="533">
        <f>IFERROR(SUMIFS(APUS!$Z$10:$Z$62,APUS!$N$62:Q1486,INSUMOS!D601),0)</f>
        <v>0</v>
      </c>
      <c r="O601" s="546">
        <f t="shared" si="62"/>
        <v>0</v>
      </c>
      <c r="P601" s="348"/>
      <c r="Q601" s="341" t="str">
        <f t="shared" si="63"/>
        <v>SI</v>
      </c>
    </row>
    <row r="602" spans="3:17" hidden="1" x14ac:dyDescent="0.25">
      <c r="C602" s="358">
        <v>672</v>
      </c>
      <c r="D602" s="791"/>
      <c r="E602" s="791"/>
      <c r="F602" s="791"/>
      <c r="G602" s="791"/>
      <c r="H602" s="314"/>
      <c r="I602" s="515"/>
      <c r="J602" s="510">
        <f>SUMIFS(APUS!$Y$9:$Y$1486,APUS!$M$9:$M$1486,INSUMOS!C602)</f>
        <v>0</v>
      </c>
      <c r="K602" s="511">
        <f t="shared" si="64"/>
        <v>0</v>
      </c>
      <c r="N602" s="533">
        <f>IFERROR(SUMIFS(APUS!$Z$10:$Z$62,APUS!$N$62:Q1486,INSUMOS!D602),0)</f>
        <v>0</v>
      </c>
      <c r="O602" s="546">
        <f t="shared" si="62"/>
        <v>0</v>
      </c>
      <c r="P602" s="348"/>
      <c r="Q602" s="341" t="str">
        <f t="shared" si="63"/>
        <v>SI</v>
      </c>
    </row>
    <row r="603" spans="3:17" hidden="1" x14ac:dyDescent="0.25">
      <c r="C603" s="358">
        <v>673</v>
      </c>
      <c r="D603" s="791"/>
      <c r="E603" s="791"/>
      <c r="F603" s="791"/>
      <c r="G603" s="791"/>
      <c r="H603" s="314"/>
      <c r="I603" s="515"/>
      <c r="J603" s="510">
        <f>SUMIFS(APUS!$Y$9:$Y$1486,APUS!$M$9:$M$1486,INSUMOS!C603)</f>
        <v>0</v>
      </c>
      <c r="K603" s="511">
        <f t="shared" si="64"/>
        <v>0</v>
      </c>
      <c r="N603" s="533">
        <f>IFERROR(SUMIFS(APUS!$Z$10:$Z$62,APUS!$N$62:Q1486,INSUMOS!D603),0)</f>
        <v>0</v>
      </c>
      <c r="O603" s="546">
        <f t="shared" si="62"/>
        <v>0</v>
      </c>
      <c r="P603" s="348"/>
      <c r="Q603" s="341" t="str">
        <f t="shared" si="63"/>
        <v>SI</v>
      </c>
    </row>
    <row r="604" spans="3:17" hidden="1" x14ac:dyDescent="0.25">
      <c r="C604" s="358">
        <v>674</v>
      </c>
      <c r="D604" s="791"/>
      <c r="E604" s="791"/>
      <c r="F604" s="791"/>
      <c r="G604" s="791"/>
      <c r="H604" s="314"/>
      <c r="I604" s="515"/>
      <c r="J604" s="510">
        <f>SUMIFS(APUS!$Y$9:$Y$1486,APUS!$M$9:$M$1486,INSUMOS!C604)</f>
        <v>0</v>
      </c>
      <c r="K604" s="511">
        <f t="shared" si="64"/>
        <v>0</v>
      </c>
      <c r="N604" s="533">
        <f>IFERROR(SUMIFS(APUS!$Z$10:$Z$62,APUS!$N$62:Q1486,INSUMOS!D604),0)</f>
        <v>0</v>
      </c>
      <c r="O604" s="546">
        <f t="shared" si="62"/>
        <v>0</v>
      </c>
      <c r="P604" s="348"/>
      <c r="Q604" s="341" t="str">
        <f t="shared" si="63"/>
        <v>SI</v>
      </c>
    </row>
    <row r="605" spans="3:17" hidden="1" x14ac:dyDescent="0.25">
      <c r="C605" s="358">
        <v>675</v>
      </c>
      <c r="D605" s="791"/>
      <c r="E605" s="791"/>
      <c r="F605" s="791"/>
      <c r="G605" s="791"/>
      <c r="H605" s="314"/>
      <c r="I605" s="515"/>
      <c r="J605" s="510">
        <f>SUMIFS(APUS!$Y$9:$Y$1486,APUS!$M$9:$M$1486,INSUMOS!C605)</f>
        <v>0</v>
      </c>
      <c r="K605" s="511">
        <f t="shared" si="64"/>
        <v>0</v>
      </c>
      <c r="N605" s="533">
        <f>IFERROR(SUMIFS(APUS!$Z$10:$Z$62,APUS!$N$62:Q1486,INSUMOS!D605),0)</f>
        <v>0</v>
      </c>
      <c r="O605" s="546">
        <f t="shared" si="62"/>
        <v>0</v>
      </c>
      <c r="P605" s="348"/>
      <c r="Q605" s="341" t="str">
        <f t="shared" si="63"/>
        <v>SI</v>
      </c>
    </row>
    <row r="606" spans="3:17" hidden="1" x14ac:dyDescent="0.25">
      <c r="C606" s="358">
        <v>676</v>
      </c>
      <c r="D606" s="791"/>
      <c r="E606" s="791"/>
      <c r="F606" s="791"/>
      <c r="G606" s="791"/>
      <c r="H606" s="314"/>
      <c r="I606" s="515"/>
      <c r="J606" s="510">
        <f>SUMIFS(APUS!$Y$9:$Y$1486,APUS!$M$9:$M$1486,INSUMOS!C606)</f>
        <v>0</v>
      </c>
      <c r="K606" s="511">
        <f t="shared" si="64"/>
        <v>0</v>
      </c>
      <c r="N606" s="533">
        <f>IFERROR(SUMIFS(APUS!$Z$10:$Z$62,APUS!$N$62:Q1486,INSUMOS!D606),0)</f>
        <v>0</v>
      </c>
      <c r="O606" s="546">
        <f t="shared" si="62"/>
        <v>0</v>
      </c>
      <c r="P606" s="348"/>
      <c r="Q606" s="341" t="str">
        <f t="shared" si="63"/>
        <v>SI</v>
      </c>
    </row>
    <row r="607" spans="3:17" hidden="1" x14ac:dyDescent="0.25">
      <c r="C607" s="358">
        <v>677</v>
      </c>
      <c r="D607" s="791"/>
      <c r="E607" s="791"/>
      <c r="F607" s="791"/>
      <c r="G607" s="791"/>
      <c r="H607" s="314"/>
      <c r="I607" s="515"/>
      <c r="J607" s="510">
        <f>SUMIFS(APUS!$Y$9:$Y$1486,APUS!$M$9:$M$1486,INSUMOS!C607)</f>
        <v>0</v>
      </c>
      <c r="K607" s="511">
        <f t="shared" si="64"/>
        <v>0</v>
      </c>
      <c r="N607" s="533">
        <f>IFERROR(SUMIFS(APUS!$Z$10:$Z$62,APUS!$N$62:Q1486,INSUMOS!D607),0)</f>
        <v>0</v>
      </c>
      <c r="O607" s="546">
        <f t="shared" si="62"/>
        <v>0</v>
      </c>
      <c r="P607" s="348"/>
      <c r="Q607" s="341" t="str">
        <f t="shared" si="63"/>
        <v>SI</v>
      </c>
    </row>
    <row r="608" spans="3:17" hidden="1" x14ac:dyDescent="0.25">
      <c r="C608" s="358">
        <v>678</v>
      </c>
      <c r="D608" s="791"/>
      <c r="E608" s="791"/>
      <c r="F608" s="791"/>
      <c r="G608" s="791"/>
      <c r="H608" s="314"/>
      <c r="I608" s="515"/>
      <c r="J608" s="510">
        <f>SUMIFS(APUS!$Y$9:$Y$1486,APUS!$M$9:$M$1486,INSUMOS!C608)</f>
        <v>0</v>
      </c>
      <c r="K608" s="511">
        <f t="shared" si="64"/>
        <v>0</v>
      </c>
      <c r="N608" s="533">
        <f>IFERROR(SUMIFS(APUS!$Z$10:$Z$62,APUS!$N$62:Q1486,INSUMOS!D608),0)</f>
        <v>0</v>
      </c>
      <c r="O608" s="546">
        <f t="shared" si="62"/>
        <v>0</v>
      </c>
      <c r="P608" s="348"/>
      <c r="Q608" s="341" t="str">
        <f t="shared" si="63"/>
        <v>SI</v>
      </c>
    </row>
    <row r="609" spans="3:17" hidden="1" x14ac:dyDescent="0.25">
      <c r="C609" s="358">
        <v>679</v>
      </c>
      <c r="D609" s="791"/>
      <c r="E609" s="791"/>
      <c r="F609" s="791"/>
      <c r="G609" s="791"/>
      <c r="H609" s="314"/>
      <c r="I609" s="515"/>
      <c r="J609" s="510">
        <f>SUMIFS(APUS!$Y$9:$Y$1486,APUS!$M$9:$M$1486,INSUMOS!C609)</f>
        <v>0</v>
      </c>
      <c r="K609" s="511">
        <f t="shared" si="64"/>
        <v>0</v>
      </c>
      <c r="N609" s="533">
        <f>IFERROR(SUMIFS(APUS!$Z$10:$Z$62,APUS!$N$62:Q1486,INSUMOS!D609),0)</f>
        <v>0</v>
      </c>
      <c r="O609" s="546">
        <f t="shared" si="62"/>
        <v>0</v>
      </c>
      <c r="P609" s="348"/>
      <c r="Q609" s="341" t="str">
        <f t="shared" si="63"/>
        <v>SI</v>
      </c>
    </row>
    <row r="610" spans="3:17" hidden="1" x14ac:dyDescent="0.25">
      <c r="C610" s="358">
        <v>680</v>
      </c>
      <c r="D610" s="791"/>
      <c r="E610" s="791"/>
      <c r="F610" s="791"/>
      <c r="G610" s="791"/>
      <c r="H610" s="314"/>
      <c r="I610" s="515"/>
      <c r="J610" s="510">
        <f>SUMIFS(APUS!$Y$9:$Y$1486,APUS!$M$9:$M$1486,INSUMOS!C610)</f>
        <v>0</v>
      </c>
      <c r="K610" s="511">
        <f t="shared" si="64"/>
        <v>0</v>
      </c>
      <c r="N610" s="533">
        <f>IFERROR(SUMIFS(APUS!$Z$10:$Z$62,APUS!$N$62:Q1486,INSUMOS!D610),0)</f>
        <v>0</v>
      </c>
      <c r="O610" s="546">
        <f t="shared" si="62"/>
        <v>0</v>
      </c>
      <c r="P610" s="348"/>
      <c r="Q610" s="341" t="str">
        <f t="shared" si="63"/>
        <v>SI</v>
      </c>
    </row>
    <row r="611" spans="3:17" hidden="1" x14ac:dyDescent="0.25">
      <c r="C611" s="358">
        <v>681</v>
      </c>
      <c r="D611" s="791"/>
      <c r="E611" s="791"/>
      <c r="F611" s="791"/>
      <c r="G611" s="791"/>
      <c r="H611" s="314"/>
      <c r="I611" s="515"/>
      <c r="J611" s="510">
        <f>SUMIFS(APUS!$Y$9:$Y$1486,APUS!$M$9:$M$1486,INSUMOS!C611)</f>
        <v>0</v>
      </c>
      <c r="K611" s="511">
        <f t="shared" si="64"/>
        <v>0</v>
      </c>
      <c r="N611" s="533">
        <f>IFERROR(SUMIFS(APUS!$Z$10:$Z$62,APUS!$N$62:Q1486,INSUMOS!D611),0)</f>
        <v>0</v>
      </c>
      <c r="O611" s="546">
        <f t="shared" si="62"/>
        <v>0</v>
      </c>
      <c r="P611" s="348"/>
      <c r="Q611" s="341" t="str">
        <f t="shared" si="63"/>
        <v>SI</v>
      </c>
    </row>
    <row r="612" spans="3:17" hidden="1" x14ac:dyDescent="0.25">
      <c r="C612" s="358">
        <v>682</v>
      </c>
      <c r="D612" s="791"/>
      <c r="E612" s="791"/>
      <c r="F612" s="791"/>
      <c r="G612" s="791"/>
      <c r="H612" s="314"/>
      <c r="I612" s="515"/>
      <c r="J612" s="510">
        <f>SUMIFS(APUS!$Y$9:$Y$1486,APUS!$M$9:$M$1486,INSUMOS!C612)</f>
        <v>0</v>
      </c>
      <c r="K612" s="511">
        <f t="shared" si="64"/>
        <v>0</v>
      </c>
      <c r="N612" s="533">
        <f>IFERROR(SUMIFS(APUS!$Z$10:$Z$62,APUS!$N$62:Q1486,INSUMOS!D612),0)</f>
        <v>0</v>
      </c>
      <c r="O612" s="546">
        <f t="shared" si="62"/>
        <v>0</v>
      </c>
      <c r="P612" s="348"/>
      <c r="Q612" s="341" t="str">
        <f t="shared" si="63"/>
        <v>SI</v>
      </c>
    </row>
    <row r="613" spans="3:17" hidden="1" x14ac:dyDescent="0.25">
      <c r="C613" s="358">
        <v>683</v>
      </c>
      <c r="D613" s="791"/>
      <c r="E613" s="791"/>
      <c r="F613" s="791"/>
      <c r="G613" s="791"/>
      <c r="H613" s="314"/>
      <c r="I613" s="515"/>
      <c r="J613" s="510">
        <f>SUMIFS(APUS!$Y$9:$Y$1486,APUS!$M$9:$M$1486,INSUMOS!C613)</f>
        <v>0</v>
      </c>
      <c r="K613" s="511">
        <f t="shared" si="64"/>
        <v>0</v>
      </c>
      <c r="N613" s="533">
        <f>IFERROR(SUMIFS(APUS!$Z$10:$Z$62,APUS!$N$62:Q1486,INSUMOS!D613),0)</f>
        <v>0</v>
      </c>
      <c r="O613" s="546">
        <f t="shared" si="62"/>
        <v>0</v>
      </c>
      <c r="P613" s="348"/>
      <c r="Q613" s="341" t="str">
        <f t="shared" si="63"/>
        <v>SI</v>
      </c>
    </row>
    <row r="614" spans="3:17" hidden="1" x14ac:dyDescent="0.25">
      <c r="C614" s="358">
        <v>684</v>
      </c>
      <c r="D614" s="791"/>
      <c r="E614" s="791"/>
      <c r="F614" s="791"/>
      <c r="G614" s="791"/>
      <c r="H614" s="314"/>
      <c r="I614" s="515"/>
      <c r="J614" s="510">
        <f>SUMIFS(APUS!$Y$9:$Y$1486,APUS!$M$9:$M$1486,INSUMOS!C614)</f>
        <v>0</v>
      </c>
      <c r="K614" s="511">
        <f t="shared" si="64"/>
        <v>0</v>
      </c>
      <c r="N614" s="533">
        <f>IFERROR(SUMIFS(APUS!$Z$10:$Z$62,APUS!$N$62:Q1486,INSUMOS!D614),0)</f>
        <v>0</v>
      </c>
      <c r="O614" s="546">
        <f t="shared" si="62"/>
        <v>0</v>
      </c>
      <c r="P614" s="348"/>
      <c r="Q614" s="341" t="str">
        <f t="shared" si="63"/>
        <v>SI</v>
      </c>
    </row>
    <row r="615" spans="3:17" hidden="1" x14ac:dyDescent="0.25">
      <c r="C615" s="358">
        <v>685</v>
      </c>
      <c r="D615" s="791"/>
      <c r="E615" s="791"/>
      <c r="F615" s="791"/>
      <c r="G615" s="791"/>
      <c r="H615" s="314"/>
      <c r="I615" s="515"/>
      <c r="J615" s="510">
        <f>SUMIFS(APUS!$Y$9:$Y$1486,APUS!$M$9:$M$1486,INSUMOS!C615)</f>
        <v>0</v>
      </c>
      <c r="K615" s="511">
        <f t="shared" si="64"/>
        <v>0</v>
      </c>
      <c r="N615" s="533">
        <f>IFERROR(SUMIFS(APUS!$Z$10:$Z$62,APUS!$N$62:Q1486,INSUMOS!D615),0)</f>
        <v>0</v>
      </c>
      <c r="O615" s="546">
        <f t="shared" si="62"/>
        <v>0</v>
      </c>
      <c r="P615" s="348"/>
      <c r="Q615" s="341" t="str">
        <f t="shared" si="63"/>
        <v>SI</v>
      </c>
    </row>
    <row r="616" spans="3:17" hidden="1" x14ac:dyDescent="0.25">
      <c r="C616" s="358">
        <v>686</v>
      </c>
      <c r="D616" s="791"/>
      <c r="E616" s="791"/>
      <c r="F616" s="791"/>
      <c r="G616" s="791"/>
      <c r="H616" s="314"/>
      <c r="I616" s="515"/>
      <c r="J616" s="510">
        <f>SUMIFS(APUS!$Y$9:$Y$1486,APUS!$M$9:$M$1486,INSUMOS!C616)</f>
        <v>0</v>
      </c>
      <c r="K616" s="511">
        <f t="shared" si="64"/>
        <v>0</v>
      </c>
      <c r="N616" s="533">
        <f>IFERROR(SUMIFS(APUS!$Z$10:$Z$62,APUS!$N$62:Q1486,INSUMOS!D616),0)</f>
        <v>0</v>
      </c>
      <c r="O616" s="546">
        <f t="shared" si="62"/>
        <v>0</v>
      </c>
      <c r="P616" s="348"/>
      <c r="Q616" s="341" t="str">
        <f t="shared" si="63"/>
        <v>SI</v>
      </c>
    </row>
    <row r="617" spans="3:17" hidden="1" x14ac:dyDescent="0.25">
      <c r="C617" s="358">
        <v>687</v>
      </c>
      <c r="D617" s="791"/>
      <c r="E617" s="791"/>
      <c r="F617" s="791"/>
      <c r="G617" s="791"/>
      <c r="H617" s="314"/>
      <c r="I617" s="515"/>
      <c r="J617" s="510">
        <f>SUMIFS(APUS!$Y$9:$Y$1486,APUS!$M$9:$M$1486,INSUMOS!C617)</f>
        <v>0</v>
      </c>
      <c r="K617" s="511">
        <f t="shared" si="64"/>
        <v>0</v>
      </c>
      <c r="N617" s="533">
        <f>IFERROR(SUMIFS(APUS!$Z$10:$Z$62,APUS!$N$62:Q1486,INSUMOS!D617),0)</f>
        <v>0</v>
      </c>
      <c r="O617" s="546">
        <f t="shared" si="62"/>
        <v>0</v>
      </c>
      <c r="P617" s="348"/>
      <c r="Q617" s="341" t="str">
        <f t="shared" si="63"/>
        <v>SI</v>
      </c>
    </row>
    <row r="618" spans="3:17" hidden="1" x14ac:dyDescent="0.25">
      <c r="C618" s="358">
        <v>688</v>
      </c>
      <c r="D618" s="791"/>
      <c r="E618" s="791"/>
      <c r="F618" s="791"/>
      <c r="G618" s="791"/>
      <c r="H618" s="314"/>
      <c r="I618" s="515"/>
      <c r="J618" s="510">
        <f>SUMIFS(APUS!$Y$9:$Y$1486,APUS!$M$9:$M$1486,INSUMOS!C618)</f>
        <v>0</v>
      </c>
      <c r="K618" s="511">
        <f t="shared" si="64"/>
        <v>0</v>
      </c>
      <c r="N618" s="533">
        <f>IFERROR(SUMIFS(APUS!$Z$10:$Z$62,APUS!$N$62:Q1486,INSUMOS!D618),0)</f>
        <v>0</v>
      </c>
      <c r="O618" s="546">
        <f t="shared" si="62"/>
        <v>0</v>
      </c>
      <c r="P618" s="348"/>
      <c r="Q618" s="341" t="str">
        <f t="shared" si="63"/>
        <v>SI</v>
      </c>
    </row>
    <row r="619" spans="3:17" hidden="1" x14ac:dyDescent="0.25">
      <c r="C619" s="358">
        <v>689</v>
      </c>
      <c r="D619" s="791"/>
      <c r="E619" s="791"/>
      <c r="F619" s="791"/>
      <c r="G619" s="791"/>
      <c r="H619" s="314"/>
      <c r="I619" s="515"/>
      <c r="J619" s="510">
        <f>SUMIFS(APUS!$Y$9:$Y$1486,APUS!$M$9:$M$1486,INSUMOS!C619)</f>
        <v>0</v>
      </c>
      <c r="K619" s="511">
        <f t="shared" si="64"/>
        <v>0</v>
      </c>
      <c r="N619" s="533">
        <f>IFERROR(SUMIFS(APUS!$Z$10:$Z$62,APUS!$N$62:Q1486,INSUMOS!D619),0)</f>
        <v>0</v>
      </c>
      <c r="O619" s="546">
        <f t="shared" si="62"/>
        <v>0</v>
      </c>
      <c r="P619" s="348"/>
      <c r="Q619" s="341" t="str">
        <f t="shared" si="63"/>
        <v>SI</v>
      </c>
    </row>
    <row r="620" spans="3:17" hidden="1" x14ac:dyDescent="0.25">
      <c r="C620" s="358">
        <v>690</v>
      </c>
      <c r="D620" s="791"/>
      <c r="E620" s="791"/>
      <c r="F620" s="791"/>
      <c r="G620" s="791"/>
      <c r="H620" s="314"/>
      <c r="I620" s="515"/>
      <c r="J620" s="510">
        <f>SUMIFS(APUS!$Y$9:$Y$1486,APUS!$M$9:$M$1486,INSUMOS!C620)</f>
        <v>0</v>
      </c>
      <c r="K620" s="511">
        <f t="shared" si="64"/>
        <v>0</v>
      </c>
      <c r="N620" s="533">
        <f>IFERROR(SUMIFS(APUS!$Z$10:$Z$62,APUS!$N$62:Q1486,INSUMOS!D620),0)</f>
        <v>0</v>
      </c>
      <c r="O620" s="546">
        <f t="shared" si="62"/>
        <v>0</v>
      </c>
      <c r="P620" s="348"/>
      <c r="Q620" s="341" t="str">
        <f t="shared" si="63"/>
        <v>SI</v>
      </c>
    </row>
    <row r="621" spans="3:17" hidden="1" x14ac:dyDescent="0.25">
      <c r="C621" s="358">
        <v>691</v>
      </c>
      <c r="D621" s="791"/>
      <c r="E621" s="791"/>
      <c r="F621" s="791"/>
      <c r="G621" s="791"/>
      <c r="H621" s="314"/>
      <c r="I621" s="515"/>
      <c r="J621" s="510">
        <f>SUMIFS(APUS!$Y$9:$Y$1486,APUS!$M$9:$M$1486,INSUMOS!C621)</f>
        <v>0</v>
      </c>
      <c r="K621" s="511">
        <f t="shared" si="64"/>
        <v>0</v>
      </c>
      <c r="N621" s="533">
        <f>IFERROR(SUMIFS(APUS!$Z$10:$Z$62,APUS!$N$62:Q1486,INSUMOS!D621),0)</f>
        <v>0</v>
      </c>
      <c r="O621" s="546">
        <f t="shared" si="62"/>
        <v>0</v>
      </c>
      <c r="P621" s="348"/>
      <c r="Q621" s="341" t="str">
        <f t="shared" si="63"/>
        <v>SI</v>
      </c>
    </row>
    <row r="622" spans="3:17" hidden="1" x14ac:dyDescent="0.25">
      <c r="C622" s="358">
        <v>692</v>
      </c>
      <c r="D622" s="791"/>
      <c r="E622" s="791"/>
      <c r="F622" s="791"/>
      <c r="G622" s="791"/>
      <c r="H622" s="314"/>
      <c r="I622" s="515"/>
      <c r="J622" s="510">
        <f>SUMIFS(APUS!$Y$9:$Y$1486,APUS!$M$9:$M$1486,INSUMOS!C622)</f>
        <v>0</v>
      </c>
      <c r="K622" s="511">
        <f t="shared" si="64"/>
        <v>0</v>
      </c>
      <c r="N622" s="533">
        <f>IFERROR(SUMIFS(APUS!$Z$10:$Z$62,APUS!$N$62:Q1486,INSUMOS!D622),0)</f>
        <v>0</v>
      </c>
      <c r="O622" s="546">
        <f t="shared" si="62"/>
        <v>0</v>
      </c>
      <c r="P622" s="348"/>
      <c r="Q622" s="341" t="str">
        <f t="shared" si="63"/>
        <v>SI</v>
      </c>
    </row>
    <row r="623" spans="3:17" hidden="1" x14ac:dyDescent="0.25">
      <c r="C623" s="358">
        <v>693</v>
      </c>
      <c r="D623" s="791"/>
      <c r="E623" s="791"/>
      <c r="F623" s="791"/>
      <c r="G623" s="791"/>
      <c r="H623" s="314"/>
      <c r="I623" s="515"/>
      <c r="J623" s="510">
        <f>SUMIFS(APUS!$Y$9:$Y$1486,APUS!$M$9:$M$1486,INSUMOS!C623)</f>
        <v>0</v>
      </c>
      <c r="K623" s="511">
        <f t="shared" si="64"/>
        <v>0</v>
      </c>
      <c r="N623" s="533">
        <f>IFERROR(SUMIFS(APUS!$Z$10:$Z$62,APUS!$N$62:Q1486,INSUMOS!D623),0)</f>
        <v>0</v>
      </c>
      <c r="O623" s="546">
        <f t="shared" si="62"/>
        <v>0</v>
      </c>
      <c r="P623" s="348"/>
      <c r="Q623" s="341" t="str">
        <f t="shared" si="63"/>
        <v>SI</v>
      </c>
    </row>
    <row r="624" spans="3:17" hidden="1" x14ac:dyDescent="0.25">
      <c r="C624" s="358">
        <v>694</v>
      </c>
      <c r="D624" s="791"/>
      <c r="E624" s="791"/>
      <c r="F624" s="791"/>
      <c r="G624" s="791"/>
      <c r="H624" s="314"/>
      <c r="I624" s="515"/>
      <c r="J624" s="510">
        <f>SUMIFS(APUS!$Y$9:$Y$1486,APUS!$M$9:$M$1486,INSUMOS!C624)</f>
        <v>0</v>
      </c>
      <c r="K624" s="511">
        <f t="shared" si="64"/>
        <v>0</v>
      </c>
      <c r="N624" s="533">
        <f>IFERROR(SUMIFS(APUS!$Z$10:$Z$62,APUS!$N$62:Q1486,INSUMOS!D624),0)</f>
        <v>0</v>
      </c>
      <c r="O624" s="546">
        <f t="shared" si="62"/>
        <v>0</v>
      </c>
      <c r="P624" s="348"/>
      <c r="Q624" s="341" t="str">
        <f t="shared" si="63"/>
        <v>SI</v>
      </c>
    </row>
    <row r="625" spans="3:17" hidden="1" x14ac:dyDescent="0.25">
      <c r="C625" s="358">
        <v>695</v>
      </c>
      <c r="D625" s="791"/>
      <c r="E625" s="791"/>
      <c r="F625" s="791"/>
      <c r="G625" s="791"/>
      <c r="H625" s="314"/>
      <c r="I625" s="515"/>
      <c r="J625" s="510">
        <f>SUMIFS(APUS!$Y$9:$Y$1486,APUS!$M$9:$M$1486,INSUMOS!C625)</f>
        <v>0</v>
      </c>
      <c r="K625" s="511">
        <f t="shared" si="64"/>
        <v>0</v>
      </c>
      <c r="N625" s="533">
        <f>IFERROR(SUMIFS(APUS!$Z$10:$Z$62,APUS!$N$62:Q1486,INSUMOS!D625),0)</f>
        <v>0</v>
      </c>
      <c r="O625" s="546">
        <f t="shared" ref="O625:O688" si="65">+N625-K625</f>
        <v>0</v>
      </c>
      <c r="P625" s="348"/>
      <c r="Q625" s="341" t="str">
        <f t="shared" ref="Q625:Q688" si="66">+IF(K625=0,"SI","NO")</f>
        <v>SI</v>
      </c>
    </row>
    <row r="626" spans="3:17" hidden="1" x14ac:dyDescent="0.25">
      <c r="C626" s="358">
        <v>696</v>
      </c>
      <c r="D626" s="791"/>
      <c r="E626" s="791"/>
      <c r="F626" s="791"/>
      <c r="G626" s="791"/>
      <c r="H626" s="314"/>
      <c r="I626" s="515"/>
      <c r="J626" s="510">
        <f>SUMIFS(APUS!$Y$9:$Y$1486,APUS!$M$9:$M$1486,INSUMOS!C626)</f>
        <v>0</v>
      </c>
      <c r="K626" s="511">
        <f t="shared" si="64"/>
        <v>0</v>
      </c>
      <c r="N626" s="533">
        <f>IFERROR(SUMIFS(APUS!$Z$10:$Z$62,APUS!$N$62:Q1486,INSUMOS!D626),0)</f>
        <v>0</v>
      </c>
      <c r="O626" s="546">
        <f t="shared" si="65"/>
        <v>0</v>
      </c>
      <c r="P626" s="348"/>
      <c r="Q626" s="341" t="str">
        <f t="shared" si="66"/>
        <v>SI</v>
      </c>
    </row>
    <row r="627" spans="3:17" hidden="1" x14ac:dyDescent="0.25">
      <c r="C627" s="358">
        <v>697</v>
      </c>
      <c r="D627" s="791"/>
      <c r="E627" s="791"/>
      <c r="F627" s="791"/>
      <c r="G627" s="791"/>
      <c r="H627" s="314"/>
      <c r="I627" s="515"/>
      <c r="J627" s="510">
        <f>SUMIFS(APUS!$Y$9:$Y$1486,APUS!$M$9:$M$1486,INSUMOS!C627)</f>
        <v>0</v>
      </c>
      <c r="K627" s="511">
        <f t="shared" si="64"/>
        <v>0</v>
      </c>
      <c r="N627" s="533">
        <f>IFERROR(SUMIFS(APUS!$Z$10:$Z$62,APUS!$N$62:Q1486,INSUMOS!D627),0)</f>
        <v>0</v>
      </c>
      <c r="O627" s="546">
        <f t="shared" si="65"/>
        <v>0</v>
      </c>
      <c r="P627" s="348"/>
      <c r="Q627" s="341" t="str">
        <f t="shared" si="66"/>
        <v>SI</v>
      </c>
    </row>
    <row r="628" spans="3:17" hidden="1" x14ac:dyDescent="0.25">
      <c r="C628" s="358">
        <v>698</v>
      </c>
      <c r="D628" s="791"/>
      <c r="E628" s="791"/>
      <c r="F628" s="791"/>
      <c r="G628" s="791"/>
      <c r="H628" s="314"/>
      <c r="I628" s="515"/>
      <c r="J628" s="510">
        <f>SUMIFS(APUS!$Y$9:$Y$1486,APUS!$M$9:$M$1486,INSUMOS!C628)</f>
        <v>0</v>
      </c>
      <c r="K628" s="511">
        <f t="shared" si="64"/>
        <v>0</v>
      </c>
      <c r="N628" s="533">
        <f>IFERROR(SUMIFS(APUS!$Z$10:$Z$62,APUS!$N$62:Q1486,INSUMOS!D628),0)</f>
        <v>0</v>
      </c>
      <c r="O628" s="546">
        <f t="shared" si="65"/>
        <v>0</v>
      </c>
      <c r="P628" s="348"/>
      <c r="Q628" s="341" t="str">
        <f t="shared" si="66"/>
        <v>SI</v>
      </c>
    </row>
    <row r="629" spans="3:17" hidden="1" x14ac:dyDescent="0.25">
      <c r="C629" s="358">
        <v>699</v>
      </c>
      <c r="D629" s="791"/>
      <c r="E629" s="791"/>
      <c r="F629" s="791"/>
      <c r="G629" s="791"/>
      <c r="H629" s="314"/>
      <c r="I629" s="515"/>
      <c r="J629" s="510">
        <f>SUMIFS(APUS!$Y$9:$Y$1486,APUS!$M$9:$M$1486,INSUMOS!C629)</f>
        <v>0</v>
      </c>
      <c r="K629" s="511">
        <f t="shared" si="64"/>
        <v>0</v>
      </c>
      <c r="N629" s="533">
        <f>IFERROR(SUMIFS(APUS!$Z$10:$Z$62,APUS!$N$62:Q1486,INSUMOS!D629),0)</f>
        <v>0</v>
      </c>
      <c r="O629" s="546">
        <f t="shared" si="65"/>
        <v>0</v>
      </c>
      <c r="P629" s="348"/>
      <c r="Q629" s="341" t="str">
        <f t="shared" si="66"/>
        <v>SI</v>
      </c>
    </row>
    <row r="630" spans="3:17" hidden="1" x14ac:dyDescent="0.25">
      <c r="C630" s="358">
        <v>700</v>
      </c>
      <c r="D630" s="791" t="s">
        <v>789</v>
      </c>
      <c r="E630" s="791"/>
      <c r="F630" s="791"/>
      <c r="G630" s="791"/>
      <c r="H630" s="314" t="s">
        <v>36</v>
      </c>
      <c r="I630" s="515">
        <v>3500000</v>
      </c>
      <c r="J630" s="510">
        <f>SUMIFS(APUS!$Y$9:$Y$1486,APUS!$M$9:$M$1486,INSUMOS!C630)</f>
        <v>0</v>
      </c>
      <c r="K630" s="511">
        <f t="shared" si="64"/>
        <v>0</v>
      </c>
      <c r="N630" s="533">
        <f>IFERROR(SUMIFS(APUS!$Z$10:$Z$62,APUS!$N$62:Q1486,INSUMOS!D630),0)</f>
        <v>0</v>
      </c>
      <c r="O630" s="546">
        <f t="shared" si="65"/>
        <v>0</v>
      </c>
      <c r="P630" s="348"/>
      <c r="Q630" s="341" t="str">
        <f t="shared" si="66"/>
        <v>SI</v>
      </c>
    </row>
    <row r="631" spans="3:17" hidden="1" x14ac:dyDescent="0.25">
      <c r="C631" s="358">
        <v>701</v>
      </c>
      <c r="D631" s="791" t="s">
        <v>790</v>
      </c>
      <c r="E631" s="791"/>
      <c r="F631" s="791"/>
      <c r="G631" s="791"/>
      <c r="H631" s="314" t="s">
        <v>36</v>
      </c>
      <c r="I631" s="515">
        <v>150000</v>
      </c>
      <c r="J631" s="510">
        <f>SUMIFS(APUS!$Y$9:$Y$1486,APUS!$M$9:$M$1486,INSUMOS!C631)</f>
        <v>0</v>
      </c>
      <c r="K631" s="511">
        <f t="shared" si="64"/>
        <v>0</v>
      </c>
      <c r="N631" s="533">
        <f>IFERROR(SUMIFS(APUS!$Z$10:$Z$62,APUS!$N$62:Q1486,INSUMOS!D631),0)</f>
        <v>0</v>
      </c>
      <c r="O631" s="546">
        <f t="shared" si="65"/>
        <v>0</v>
      </c>
      <c r="P631" s="348"/>
      <c r="Q631" s="341" t="str">
        <f t="shared" si="66"/>
        <v>SI</v>
      </c>
    </row>
    <row r="632" spans="3:17" hidden="1" x14ac:dyDescent="0.25">
      <c r="C632" s="358">
        <v>702</v>
      </c>
      <c r="D632" s="791" t="s">
        <v>791</v>
      </c>
      <c r="E632" s="791"/>
      <c r="F632" s="791"/>
      <c r="G632" s="791"/>
      <c r="H632" s="314" t="s">
        <v>36</v>
      </c>
      <c r="I632" s="515">
        <v>30000</v>
      </c>
      <c r="J632" s="510">
        <f>SUMIFS(APUS!$Y$9:$Y$1486,APUS!$M$9:$M$1486,INSUMOS!C632)</f>
        <v>0</v>
      </c>
      <c r="K632" s="511">
        <f t="shared" si="64"/>
        <v>0</v>
      </c>
      <c r="N632" s="533">
        <f>IFERROR(SUMIFS(APUS!$Z$10:$Z$62,APUS!$N$62:Q1486,INSUMOS!D632),0)</f>
        <v>0</v>
      </c>
      <c r="O632" s="546">
        <f t="shared" si="65"/>
        <v>0</v>
      </c>
      <c r="P632" s="348"/>
      <c r="Q632" s="341" t="str">
        <f t="shared" si="66"/>
        <v>SI</v>
      </c>
    </row>
    <row r="633" spans="3:17" hidden="1" x14ac:dyDescent="0.25">
      <c r="C633" s="358">
        <v>703</v>
      </c>
      <c r="D633" s="791" t="s">
        <v>792</v>
      </c>
      <c r="E633" s="791"/>
      <c r="F633" s="791"/>
      <c r="G633" s="791"/>
      <c r="H633" s="314" t="s">
        <v>36</v>
      </c>
      <c r="I633" s="515">
        <v>2515545.15</v>
      </c>
      <c r="J633" s="510">
        <f>SUMIFS(APUS!$Y$9:$Y$1486,APUS!$M$9:$M$1486,INSUMOS!C633)</f>
        <v>0</v>
      </c>
      <c r="K633" s="511">
        <f t="shared" ref="K633:K696" si="67">+J633*I633</f>
        <v>0</v>
      </c>
      <c r="N633" s="533">
        <f>IFERROR(SUMIFS(APUS!$Z$10:$Z$62,APUS!$N$62:Q1486,INSUMOS!D633),0)</f>
        <v>0</v>
      </c>
      <c r="O633" s="546">
        <f t="shared" si="65"/>
        <v>0</v>
      </c>
      <c r="P633" s="348"/>
      <c r="Q633" s="341" t="str">
        <f t="shared" si="66"/>
        <v>SI</v>
      </c>
    </row>
    <row r="634" spans="3:17" hidden="1" x14ac:dyDescent="0.25">
      <c r="C634" s="358">
        <v>704</v>
      </c>
      <c r="D634" s="791" t="s">
        <v>793</v>
      </c>
      <c r="E634" s="791"/>
      <c r="F634" s="791"/>
      <c r="G634" s="791"/>
      <c r="H634" s="314" t="s">
        <v>36</v>
      </c>
      <c r="I634" s="515">
        <v>3853211.91</v>
      </c>
      <c r="J634" s="510">
        <f>SUMIFS(APUS!$Y$9:$Y$1486,APUS!$M$9:$M$1486,INSUMOS!C634)</f>
        <v>0</v>
      </c>
      <c r="K634" s="511">
        <f t="shared" si="67"/>
        <v>0</v>
      </c>
      <c r="N634" s="533">
        <f>IFERROR(SUMIFS(APUS!$Z$10:$Z$62,APUS!$N$62:Q1486,INSUMOS!D634),0)</f>
        <v>0</v>
      </c>
      <c r="O634" s="546">
        <f t="shared" si="65"/>
        <v>0</v>
      </c>
      <c r="P634" s="348"/>
      <c r="Q634" s="341" t="str">
        <f t="shared" si="66"/>
        <v>SI</v>
      </c>
    </row>
    <row r="635" spans="3:17" hidden="1" x14ac:dyDescent="0.25">
      <c r="C635" s="358">
        <v>705</v>
      </c>
      <c r="D635" s="791" t="s">
        <v>794</v>
      </c>
      <c r="E635" s="791"/>
      <c r="F635" s="791"/>
      <c r="G635" s="791"/>
      <c r="H635" s="314" t="s">
        <v>36</v>
      </c>
      <c r="I635" s="515">
        <v>28000</v>
      </c>
      <c r="J635" s="510">
        <f>SUMIFS(APUS!$Y$9:$Y$1486,APUS!$M$9:$M$1486,INSUMOS!C635)</f>
        <v>0</v>
      </c>
      <c r="K635" s="511">
        <f t="shared" si="67"/>
        <v>0</v>
      </c>
      <c r="N635" s="533">
        <f>IFERROR(SUMIFS(APUS!$Z$10:$Z$62,APUS!$N$62:Q1486,INSUMOS!D635),0)</f>
        <v>0</v>
      </c>
      <c r="O635" s="546">
        <f t="shared" si="65"/>
        <v>0</v>
      </c>
      <c r="P635" s="348"/>
      <c r="Q635" s="341" t="str">
        <f t="shared" si="66"/>
        <v>SI</v>
      </c>
    </row>
    <row r="636" spans="3:17" hidden="1" x14ac:dyDescent="0.25">
      <c r="C636" s="358">
        <v>706</v>
      </c>
      <c r="D636" s="791" t="s">
        <v>795</v>
      </c>
      <c r="E636" s="791"/>
      <c r="F636" s="791"/>
      <c r="G636" s="791"/>
      <c r="H636" s="314" t="s">
        <v>35</v>
      </c>
      <c r="I636" s="515">
        <v>85000</v>
      </c>
      <c r="J636" s="510">
        <f>SUMIFS(APUS!$Y$9:$Y$1486,APUS!$M$9:$M$1486,INSUMOS!C636)</f>
        <v>0</v>
      </c>
      <c r="K636" s="511">
        <f t="shared" si="67"/>
        <v>0</v>
      </c>
      <c r="N636" s="533">
        <f>IFERROR(SUMIFS(APUS!$Z$10:$Z$62,APUS!$N$62:Q1486,INSUMOS!D636),0)</f>
        <v>0</v>
      </c>
      <c r="O636" s="546">
        <f t="shared" si="65"/>
        <v>0</v>
      </c>
      <c r="P636" s="348"/>
      <c r="Q636" s="341" t="str">
        <f t="shared" si="66"/>
        <v>SI</v>
      </c>
    </row>
    <row r="637" spans="3:17" hidden="1" x14ac:dyDescent="0.25">
      <c r="C637" s="358">
        <v>707</v>
      </c>
      <c r="D637" s="791" t="s">
        <v>796</v>
      </c>
      <c r="E637" s="791"/>
      <c r="F637" s="791"/>
      <c r="G637" s="791"/>
      <c r="H637" s="314" t="s">
        <v>36</v>
      </c>
      <c r="I637" s="515">
        <v>220000</v>
      </c>
      <c r="J637" s="510">
        <f>SUMIFS(APUS!$Y$9:$Y$1486,APUS!$M$9:$M$1486,INSUMOS!C637)</f>
        <v>0</v>
      </c>
      <c r="K637" s="511">
        <f t="shared" si="67"/>
        <v>0</v>
      </c>
      <c r="N637" s="533">
        <f>IFERROR(SUMIFS(APUS!$Z$10:$Z$62,APUS!$N$62:Q1486,INSUMOS!D637),0)</f>
        <v>0</v>
      </c>
      <c r="O637" s="546">
        <f t="shared" si="65"/>
        <v>0</v>
      </c>
      <c r="P637" s="348"/>
      <c r="Q637" s="341" t="str">
        <f t="shared" si="66"/>
        <v>SI</v>
      </c>
    </row>
    <row r="638" spans="3:17" hidden="1" x14ac:dyDescent="0.25">
      <c r="C638" s="358">
        <v>708</v>
      </c>
      <c r="D638" s="791" t="s">
        <v>797</v>
      </c>
      <c r="E638" s="791"/>
      <c r="F638" s="791"/>
      <c r="G638" s="791"/>
      <c r="H638" s="314" t="s">
        <v>36</v>
      </c>
      <c r="I638" s="515">
        <v>450000</v>
      </c>
      <c r="J638" s="510">
        <f>SUMIFS(APUS!$Y$9:$Y$1486,APUS!$M$9:$M$1486,INSUMOS!C638)</f>
        <v>0</v>
      </c>
      <c r="K638" s="511">
        <f t="shared" si="67"/>
        <v>0</v>
      </c>
      <c r="N638" s="533">
        <f>IFERROR(SUMIFS(APUS!$Z$10:$Z$62,APUS!$N$62:Q1486,INSUMOS!D638),0)</f>
        <v>0</v>
      </c>
      <c r="O638" s="546">
        <f t="shared" si="65"/>
        <v>0</v>
      </c>
      <c r="P638" s="348"/>
      <c r="Q638" s="341" t="str">
        <f t="shared" si="66"/>
        <v>SI</v>
      </c>
    </row>
    <row r="639" spans="3:17" hidden="1" x14ac:dyDescent="0.25">
      <c r="C639" s="358">
        <v>709</v>
      </c>
      <c r="D639" s="791" t="s">
        <v>798</v>
      </c>
      <c r="E639" s="791"/>
      <c r="F639" s="791"/>
      <c r="G639" s="791"/>
      <c r="H639" s="314" t="s">
        <v>36</v>
      </c>
      <c r="I639" s="515">
        <v>350000</v>
      </c>
      <c r="J639" s="510">
        <f>SUMIFS(APUS!$Y$9:$Y$1486,APUS!$M$9:$M$1486,INSUMOS!C639)</f>
        <v>0</v>
      </c>
      <c r="K639" s="511">
        <f t="shared" si="67"/>
        <v>0</v>
      </c>
      <c r="N639" s="533">
        <f>IFERROR(SUMIFS(APUS!$Z$10:$Z$62,APUS!$N$62:Q1486,INSUMOS!D639),0)</f>
        <v>0</v>
      </c>
      <c r="O639" s="546">
        <f t="shared" si="65"/>
        <v>0</v>
      </c>
      <c r="P639" s="348"/>
      <c r="Q639" s="341" t="str">
        <f t="shared" si="66"/>
        <v>SI</v>
      </c>
    </row>
    <row r="640" spans="3:17" hidden="1" x14ac:dyDescent="0.25">
      <c r="C640" s="358">
        <v>710</v>
      </c>
      <c r="D640" s="791" t="s">
        <v>800</v>
      </c>
      <c r="E640" s="791"/>
      <c r="F640" s="791"/>
      <c r="G640" s="791"/>
      <c r="H640" s="314" t="s">
        <v>36</v>
      </c>
      <c r="I640" s="515">
        <v>300000</v>
      </c>
      <c r="J640" s="510">
        <f>SUMIFS(APUS!$Y$9:$Y$1486,APUS!$M$9:$M$1486,INSUMOS!C640)</f>
        <v>0</v>
      </c>
      <c r="K640" s="511">
        <f t="shared" si="67"/>
        <v>0</v>
      </c>
      <c r="N640" s="533">
        <f>IFERROR(SUMIFS(APUS!$Z$10:$Z$62,APUS!$N$62:Q1486,INSUMOS!D640),0)</f>
        <v>0</v>
      </c>
      <c r="O640" s="546">
        <f t="shared" si="65"/>
        <v>0</v>
      </c>
      <c r="P640" s="348"/>
      <c r="Q640" s="341" t="str">
        <f t="shared" si="66"/>
        <v>SI</v>
      </c>
    </row>
    <row r="641" spans="3:17" ht="24.9" hidden="1" customHeight="1" x14ac:dyDescent="0.25">
      <c r="C641" s="358">
        <v>711</v>
      </c>
      <c r="D641" s="791" t="s">
        <v>801</v>
      </c>
      <c r="E641" s="791"/>
      <c r="F641" s="791"/>
      <c r="G641" s="791"/>
      <c r="H641" s="314" t="s">
        <v>36</v>
      </c>
      <c r="I641" s="515">
        <v>1450486</v>
      </c>
      <c r="J641" s="510">
        <f>SUMIFS(APUS!$Y$9:$Y$1486,APUS!$M$9:$M$1486,INSUMOS!C641)</f>
        <v>0</v>
      </c>
      <c r="K641" s="511">
        <f t="shared" si="67"/>
        <v>0</v>
      </c>
      <c r="N641" s="533">
        <f>IFERROR(SUMIFS(APUS!$Z$10:$Z$62,APUS!$N$62:Q1486,INSUMOS!D641),0)</f>
        <v>0</v>
      </c>
      <c r="O641" s="546">
        <f t="shared" si="65"/>
        <v>0</v>
      </c>
      <c r="P641" s="348"/>
      <c r="Q641" s="341" t="str">
        <f t="shared" si="66"/>
        <v>SI</v>
      </c>
    </row>
    <row r="642" spans="3:17" hidden="1" x14ac:dyDescent="0.25">
      <c r="C642" s="358">
        <v>712</v>
      </c>
      <c r="D642" s="791" t="s">
        <v>802</v>
      </c>
      <c r="E642" s="791"/>
      <c r="F642" s="791"/>
      <c r="G642" s="791"/>
      <c r="H642" s="314" t="s">
        <v>806</v>
      </c>
      <c r="I642" s="515">
        <v>512803</v>
      </c>
      <c r="J642" s="510">
        <f>SUMIFS(APUS!$Y$9:$Y$1486,APUS!$M$9:$M$1486,INSUMOS!C642)</f>
        <v>0</v>
      </c>
      <c r="K642" s="511">
        <f t="shared" si="67"/>
        <v>0</v>
      </c>
      <c r="N642" s="533">
        <f>IFERROR(SUMIFS(APUS!$Z$10:$Z$62,APUS!$N$62:Q1486,INSUMOS!D642),0)</f>
        <v>0</v>
      </c>
      <c r="O642" s="546">
        <f t="shared" si="65"/>
        <v>0</v>
      </c>
      <c r="P642" s="348"/>
      <c r="Q642" s="341" t="str">
        <f t="shared" si="66"/>
        <v>SI</v>
      </c>
    </row>
    <row r="643" spans="3:17" hidden="1" x14ac:dyDescent="0.25">
      <c r="C643" s="358">
        <v>713</v>
      </c>
      <c r="D643" s="791" t="s">
        <v>803</v>
      </c>
      <c r="E643" s="791"/>
      <c r="F643" s="791"/>
      <c r="G643" s="791"/>
      <c r="H643" s="314" t="s">
        <v>43</v>
      </c>
      <c r="I643" s="515">
        <v>2214754</v>
      </c>
      <c r="J643" s="510">
        <f>SUMIFS(APUS!$Y$9:$Y$1486,APUS!$M$9:$M$1486,INSUMOS!C643)</f>
        <v>0</v>
      </c>
      <c r="K643" s="511">
        <f t="shared" si="67"/>
        <v>0</v>
      </c>
      <c r="N643" s="533">
        <f>IFERROR(SUMIFS(APUS!$Z$10:$Z$62,APUS!$N$62:Q1486,INSUMOS!D643),0)</f>
        <v>0</v>
      </c>
      <c r="O643" s="546">
        <f t="shared" si="65"/>
        <v>0</v>
      </c>
      <c r="P643" s="348"/>
      <c r="Q643" s="341" t="str">
        <f t="shared" si="66"/>
        <v>SI</v>
      </c>
    </row>
    <row r="644" spans="3:17" hidden="1" x14ac:dyDescent="0.25">
      <c r="C644" s="358">
        <v>714</v>
      </c>
      <c r="D644" s="791" t="s">
        <v>804</v>
      </c>
      <c r="E644" s="791"/>
      <c r="F644" s="791"/>
      <c r="G644" s="791"/>
      <c r="H644" s="314" t="s">
        <v>43</v>
      </c>
      <c r="I644" s="515">
        <v>350000</v>
      </c>
      <c r="J644" s="510">
        <f>SUMIFS(APUS!$Y$9:$Y$1486,APUS!$M$9:$M$1486,INSUMOS!C644)</f>
        <v>0</v>
      </c>
      <c r="K644" s="511">
        <f t="shared" si="67"/>
        <v>0</v>
      </c>
      <c r="N644" s="533">
        <f>IFERROR(SUMIFS(APUS!$Z$10:$Z$62,APUS!$N$62:Q1486,INSUMOS!D644),0)</f>
        <v>0</v>
      </c>
      <c r="O644" s="546">
        <f t="shared" si="65"/>
        <v>0</v>
      </c>
      <c r="P644" s="348"/>
      <c r="Q644" s="341" t="str">
        <f t="shared" si="66"/>
        <v>SI</v>
      </c>
    </row>
    <row r="645" spans="3:17" hidden="1" x14ac:dyDescent="0.25">
      <c r="C645" s="358">
        <v>715</v>
      </c>
      <c r="D645" s="791" t="s">
        <v>805</v>
      </c>
      <c r="E645" s="791"/>
      <c r="F645" s="791"/>
      <c r="G645" s="791"/>
      <c r="H645" s="314" t="s">
        <v>36</v>
      </c>
      <c r="I645" s="515">
        <v>37956.379999999997</v>
      </c>
      <c r="J645" s="510">
        <f>SUMIFS(APUS!$Y$9:$Y$1486,APUS!$M$9:$M$1486,INSUMOS!C645)</f>
        <v>0</v>
      </c>
      <c r="K645" s="511">
        <f t="shared" si="67"/>
        <v>0</v>
      </c>
      <c r="N645" s="533">
        <f>IFERROR(SUMIFS(APUS!$Z$10:$Z$62,APUS!$N$62:Q1486,INSUMOS!D645),0)</f>
        <v>0</v>
      </c>
      <c r="O645" s="546">
        <f t="shared" si="65"/>
        <v>0</v>
      </c>
      <c r="P645" s="348"/>
      <c r="Q645" s="341" t="str">
        <f t="shared" si="66"/>
        <v>SI</v>
      </c>
    </row>
    <row r="646" spans="3:17" hidden="1" x14ac:dyDescent="0.25">
      <c r="C646" s="358">
        <v>716</v>
      </c>
      <c r="D646" s="791" t="s">
        <v>808</v>
      </c>
      <c r="E646" s="791"/>
      <c r="F646" s="791"/>
      <c r="G646" s="791"/>
      <c r="H646" s="314" t="s">
        <v>34</v>
      </c>
      <c r="I646" s="515">
        <v>550000</v>
      </c>
      <c r="J646" s="510">
        <f>SUMIFS(APUS!$Y$9:$Y$1486,APUS!$M$9:$M$1486,INSUMOS!C646)</f>
        <v>0</v>
      </c>
      <c r="K646" s="511">
        <f t="shared" si="67"/>
        <v>0</v>
      </c>
      <c r="N646" s="533">
        <f>IFERROR(SUMIFS(APUS!$Z$10:$Z$62,APUS!$N$62:Q1486,INSUMOS!D646),0)</f>
        <v>0</v>
      </c>
      <c r="O646" s="546">
        <f t="shared" si="65"/>
        <v>0</v>
      </c>
      <c r="P646" s="348"/>
      <c r="Q646" s="341" t="str">
        <f t="shared" si="66"/>
        <v>SI</v>
      </c>
    </row>
    <row r="647" spans="3:17" hidden="1" x14ac:dyDescent="0.25">
      <c r="C647" s="358">
        <v>717</v>
      </c>
      <c r="D647" s="791" t="s">
        <v>809</v>
      </c>
      <c r="E647" s="791"/>
      <c r="F647" s="791"/>
      <c r="G647" s="791"/>
      <c r="H647" s="314" t="s">
        <v>34</v>
      </c>
      <c r="I647" s="515">
        <v>550000</v>
      </c>
      <c r="J647" s="510">
        <f>SUMIFS(APUS!$Y$9:$Y$1486,APUS!$M$9:$M$1486,INSUMOS!C647)</f>
        <v>0</v>
      </c>
      <c r="K647" s="511">
        <f t="shared" si="67"/>
        <v>0</v>
      </c>
      <c r="N647" s="533">
        <f>IFERROR(SUMIFS(APUS!$Z$10:$Z$62,APUS!$N$62:Q1486,INSUMOS!D647),0)</f>
        <v>0</v>
      </c>
      <c r="O647" s="546">
        <f t="shared" si="65"/>
        <v>0</v>
      </c>
      <c r="P647" s="348"/>
      <c r="Q647" s="341" t="str">
        <f t="shared" si="66"/>
        <v>SI</v>
      </c>
    </row>
    <row r="648" spans="3:17" hidden="1" x14ac:dyDescent="0.25">
      <c r="C648" s="358">
        <v>718</v>
      </c>
      <c r="D648" s="791" t="s">
        <v>810</v>
      </c>
      <c r="E648" s="791"/>
      <c r="F648" s="791"/>
      <c r="G648" s="791"/>
      <c r="H648" s="314" t="s">
        <v>34</v>
      </c>
      <c r="I648" s="515">
        <v>1550000</v>
      </c>
      <c r="J648" s="510">
        <f>SUMIFS(APUS!$Y$9:$Y$1486,APUS!$M$9:$M$1486,INSUMOS!C648)</f>
        <v>0</v>
      </c>
      <c r="K648" s="511">
        <f t="shared" si="67"/>
        <v>0</v>
      </c>
      <c r="N648" s="533">
        <f>IFERROR(SUMIFS(APUS!$Z$10:$Z$62,APUS!$N$62:Q1486,INSUMOS!D648),0)</f>
        <v>0</v>
      </c>
      <c r="O648" s="546">
        <f t="shared" si="65"/>
        <v>0</v>
      </c>
      <c r="P648" s="348"/>
      <c r="Q648" s="341" t="str">
        <f t="shared" si="66"/>
        <v>SI</v>
      </c>
    </row>
    <row r="649" spans="3:17" hidden="1" x14ac:dyDescent="0.25">
      <c r="C649" s="358">
        <v>719</v>
      </c>
      <c r="D649" s="791" t="s">
        <v>811</v>
      </c>
      <c r="E649" s="791"/>
      <c r="F649" s="791"/>
      <c r="G649" s="791"/>
      <c r="H649" s="314" t="s">
        <v>43</v>
      </c>
      <c r="I649" s="515">
        <v>2450795</v>
      </c>
      <c r="J649" s="510">
        <f>SUMIFS(APUS!$Y$9:$Y$1486,APUS!$M$9:$M$1486,INSUMOS!C649)</f>
        <v>0</v>
      </c>
      <c r="K649" s="511">
        <f t="shared" si="67"/>
        <v>0</v>
      </c>
      <c r="N649" s="533">
        <f>IFERROR(SUMIFS(APUS!$Z$10:$Z$62,APUS!$N$62:Q1486,INSUMOS!D649),0)</f>
        <v>0</v>
      </c>
      <c r="O649" s="546">
        <f t="shared" si="65"/>
        <v>0</v>
      </c>
      <c r="P649" s="348"/>
      <c r="Q649" s="341" t="str">
        <f t="shared" si="66"/>
        <v>SI</v>
      </c>
    </row>
    <row r="650" spans="3:17" hidden="1" x14ac:dyDescent="0.25">
      <c r="C650" s="358">
        <v>720</v>
      </c>
      <c r="D650" s="791" t="s">
        <v>812</v>
      </c>
      <c r="E650" s="791"/>
      <c r="F650" s="791"/>
      <c r="G650" s="791"/>
      <c r="H650" s="314" t="s">
        <v>36</v>
      </c>
      <c r="I650" s="515">
        <v>850000</v>
      </c>
      <c r="J650" s="510">
        <f>SUMIFS(APUS!$Y$9:$Y$1486,APUS!$M$9:$M$1486,INSUMOS!C650)</f>
        <v>0</v>
      </c>
      <c r="K650" s="511">
        <f t="shared" si="67"/>
        <v>0</v>
      </c>
      <c r="N650" s="533">
        <f>IFERROR(SUMIFS(APUS!$Z$10:$Z$62,APUS!$N$62:Q1486,INSUMOS!D650),0)</f>
        <v>0</v>
      </c>
      <c r="O650" s="546">
        <f t="shared" si="65"/>
        <v>0</v>
      </c>
      <c r="P650" s="348"/>
      <c r="Q650" s="341" t="str">
        <f t="shared" si="66"/>
        <v>SI</v>
      </c>
    </row>
    <row r="651" spans="3:17" hidden="1" x14ac:dyDescent="0.25">
      <c r="C651" s="358">
        <v>721</v>
      </c>
      <c r="D651" s="791" t="s">
        <v>813</v>
      </c>
      <c r="E651" s="791"/>
      <c r="F651" s="791"/>
      <c r="G651" s="791"/>
      <c r="H651" s="314" t="s">
        <v>36</v>
      </c>
      <c r="I651" s="515">
        <v>115000</v>
      </c>
      <c r="J651" s="510">
        <f>SUMIFS(APUS!$Y$9:$Y$1486,APUS!$M$9:$M$1486,INSUMOS!C651)</f>
        <v>0</v>
      </c>
      <c r="K651" s="511">
        <f t="shared" si="67"/>
        <v>0</v>
      </c>
      <c r="N651" s="533">
        <f>IFERROR(SUMIFS(APUS!$Z$10:$Z$62,APUS!$N$62:Q1486,INSUMOS!D651),0)</f>
        <v>0</v>
      </c>
      <c r="O651" s="546">
        <f t="shared" si="65"/>
        <v>0</v>
      </c>
      <c r="P651" s="348"/>
      <c r="Q651" s="341" t="str">
        <f t="shared" si="66"/>
        <v>SI</v>
      </c>
    </row>
    <row r="652" spans="3:17" hidden="1" x14ac:dyDescent="0.25">
      <c r="C652" s="358">
        <v>722</v>
      </c>
      <c r="D652" s="791" t="s">
        <v>814</v>
      </c>
      <c r="E652" s="791"/>
      <c r="F652" s="791"/>
      <c r="G652" s="791"/>
      <c r="H652" s="314" t="s">
        <v>36</v>
      </c>
      <c r="I652" s="515">
        <v>90000</v>
      </c>
      <c r="J652" s="510">
        <f>SUMIFS(APUS!$Y$9:$Y$1486,APUS!$M$9:$M$1486,INSUMOS!C652)</f>
        <v>0</v>
      </c>
      <c r="K652" s="511">
        <f t="shared" si="67"/>
        <v>0</v>
      </c>
      <c r="N652" s="533">
        <f>IFERROR(SUMIFS(APUS!$Z$10:$Z$62,APUS!$N$62:Q1486,INSUMOS!D652),0)</f>
        <v>0</v>
      </c>
      <c r="O652" s="546">
        <f t="shared" si="65"/>
        <v>0</v>
      </c>
      <c r="P652" s="348"/>
      <c r="Q652" s="341" t="str">
        <f t="shared" si="66"/>
        <v>SI</v>
      </c>
    </row>
    <row r="653" spans="3:17" hidden="1" x14ac:dyDescent="0.25">
      <c r="C653" s="358">
        <v>723</v>
      </c>
      <c r="D653" s="791" t="s">
        <v>815</v>
      </c>
      <c r="E653" s="791"/>
      <c r="F653" s="791"/>
      <c r="G653" s="791"/>
      <c r="H653" s="314" t="s">
        <v>36</v>
      </c>
      <c r="I653" s="515">
        <v>80000</v>
      </c>
      <c r="J653" s="510">
        <f>SUMIFS(APUS!$Y$9:$Y$1486,APUS!$M$9:$M$1486,INSUMOS!C653)</f>
        <v>0</v>
      </c>
      <c r="K653" s="511">
        <f t="shared" si="67"/>
        <v>0</v>
      </c>
      <c r="N653" s="533">
        <f>IFERROR(SUMIFS(APUS!$Z$10:$Z$62,APUS!$N$62:Q1486,INSUMOS!D653),0)</f>
        <v>0</v>
      </c>
      <c r="O653" s="546">
        <f t="shared" si="65"/>
        <v>0</v>
      </c>
      <c r="P653" s="348"/>
      <c r="Q653" s="341" t="str">
        <f t="shared" si="66"/>
        <v>SI</v>
      </c>
    </row>
    <row r="654" spans="3:17" hidden="1" x14ac:dyDescent="0.25">
      <c r="C654" s="358">
        <v>724</v>
      </c>
      <c r="D654" s="791" t="s">
        <v>816</v>
      </c>
      <c r="E654" s="791"/>
      <c r="F654" s="791"/>
      <c r="G654" s="791"/>
      <c r="H654" s="314" t="s">
        <v>36</v>
      </c>
      <c r="I654" s="515">
        <v>850000</v>
      </c>
      <c r="J654" s="510">
        <f>SUMIFS(APUS!$Y$9:$Y$1486,APUS!$M$9:$M$1486,INSUMOS!C654)</f>
        <v>0</v>
      </c>
      <c r="K654" s="511">
        <f t="shared" si="67"/>
        <v>0</v>
      </c>
      <c r="N654" s="533">
        <f>IFERROR(SUMIFS(APUS!$Z$10:$Z$62,APUS!$N$62:Q1486,INSUMOS!D654),0)</f>
        <v>0</v>
      </c>
      <c r="O654" s="546">
        <f t="shared" si="65"/>
        <v>0</v>
      </c>
      <c r="P654" s="348"/>
      <c r="Q654" s="341" t="str">
        <f t="shared" si="66"/>
        <v>SI</v>
      </c>
    </row>
    <row r="655" spans="3:17" hidden="1" x14ac:dyDescent="0.25">
      <c r="C655" s="358">
        <v>725</v>
      </c>
      <c r="D655" s="791" t="s">
        <v>817</v>
      </c>
      <c r="E655" s="791"/>
      <c r="F655" s="791"/>
      <c r="G655" s="791"/>
      <c r="H655" s="314" t="s">
        <v>35</v>
      </c>
      <c r="I655" s="515">
        <v>35000</v>
      </c>
      <c r="J655" s="510">
        <f>SUMIFS(APUS!$Y$9:$Y$1486,APUS!$M$9:$M$1486,INSUMOS!C655)</f>
        <v>0</v>
      </c>
      <c r="K655" s="511">
        <f t="shared" si="67"/>
        <v>0</v>
      </c>
      <c r="N655" s="533">
        <f>IFERROR(SUMIFS(APUS!$Z$10:$Z$62,APUS!$N$62:Q1486,INSUMOS!D655),0)</f>
        <v>0</v>
      </c>
      <c r="O655" s="546">
        <f t="shared" si="65"/>
        <v>0</v>
      </c>
      <c r="P655" s="348"/>
      <c r="Q655" s="341" t="str">
        <f t="shared" si="66"/>
        <v>SI</v>
      </c>
    </row>
    <row r="656" spans="3:17" hidden="1" x14ac:dyDescent="0.25">
      <c r="C656" s="358">
        <v>726</v>
      </c>
      <c r="D656" s="791"/>
      <c r="E656" s="791"/>
      <c r="F656" s="791"/>
      <c r="G656" s="791"/>
      <c r="H656" s="314"/>
      <c r="I656" s="515"/>
      <c r="J656" s="510">
        <f>SUMIFS(APUS!$Y$9:$Y$1486,APUS!$M$9:$M$1486,INSUMOS!C656)</f>
        <v>0</v>
      </c>
      <c r="K656" s="511">
        <f t="shared" si="67"/>
        <v>0</v>
      </c>
      <c r="N656" s="533">
        <f>IFERROR(SUMIFS(APUS!$Z$10:$Z$62,APUS!$N$62:Q1486,INSUMOS!D656),0)</f>
        <v>0</v>
      </c>
      <c r="O656" s="546">
        <f t="shared" si="65"/>
        <v>0</v>
      </c>
      <c r="P656" s="348"/>
      <c r="Q656" s="341" t="str">
        <f t="shared" si="66"/>
        <v>SI</v>
      </c>
    </row>
    <row r="657" spans="3:17" hidden="1" x14ac:dyDescent="0.25">
      <c r="C657" s="358">
        <v>727</v>
      </c>
      <c r="D657" s="791"/>
      <c r="E657" s="791"/>
      <c r="F657" s="791"/>
      <c r="G657" s="791"/>
      <c r="H657" s="314"/>
      <c r="I657" s="515"/>
      <c r="J657" s="510">
        <f>SUMIFS(APUS!$Y$9:$Y$1486,APUS!$M$9:$M$1486,INSUMOS!C657)</f>
        <v>0</v>
      </c>
      <c r="K657" s="511">
        <f t="shared" si="67"/>
        <v>0</v>
      </c>
      <c r="N657" s="533">
        <f>IFERROR(SUMIFS(APUS!$Z$10:$Z$62,APUS!$N$62:Q1486,INSUMOS!D657),0)</f>
        <v>0</v>
      </c>
      <c r="O657" s="546">
        <f t="shared" si="65"/>
        <v>0</v>
      </c>
      <c r="P657" s="348"/>
      <c r="Q657" s="341" t="str">
        <f t="shared" si="66"/>
        <v>SI</v>
      </c>
    </row>
    <row r="658" spans="3:17" hidden="1" x14ac:dyDescent="0.25">
      <c r="C658" s="358">
        <v>728</v>
      </c>
      <c r="D658" s="791"/>
      <c r="E658" s="791"/>
      <c r="F658" s="791"/>
      <c r="G658" s="791"/>
      <c r="H658" s="314"/>
      <c r="I658" s="515"/>
      <c r="J658" s="510">
        <f>SUMIFS(APUS!$Y$9:$Y$1486,APUS!$M$9:$M$1486,INSUMOS!C658)</f>
        <v>0</v>
      </c>
      <c r="K658" s="511">
        <f t="shared" si="67"/>
        <v>0</v>
      </c>
      <c r="N658" s="533">
        <f>IFERROR(SUMIFS(APUS!$Z$10:$Z$62,APUS!$N$62:Q1486,INSUMOS!D658),0)</f>
        <v>0</v>
      </c>
      <c r="O658" s="546">
        <f t="shared" si="65"/>
        <v>0</v>
      </c>
      <c r="P658" s="348"/>
      <c r="Q658" s="341" t="str">
        <f t="shared" si="66"/>
        <v>SI</v>
      </c>
    </row>
    <row r="659" spans="3:17" hidden="1" x14ac:dyDescent="0.25">
      <c r="C659" s="358">
        <v>729</v>
      </c>
      <c r="D659" s="791"/>
      <c r="E659" s="791"/>
      <c r="F659" s="791"/>
      <c r="G659" s="791"/>
      <c r="H659" s="314"/>
      <c r="I659" s="515"/>
      <c r="J659" s="510">
        <f>SUMIFS(APUS!$Y$9:$Y$1486,APUS!$M$9:$M$1486,INSUMOS!C659)</f>
        <v>0</v>
      </c>
      <c r="K659" s="511">
        <f t="shared" si="67"/>
        <v>0</v>
      </c>
      <c r="N659" s="533">
        <f>IFERROR(SUMIFS(APUS!$Z$10:$Z$62,APUS!$N$62:Q1486,INSUMOS!D659),0)</f>
        <v>0</v>
      </c>
      <c r="O659" s="546">
        <f t="shared" si="65"/>
        <v>0</v>
      </c>
      <c r="P659" s="348"/>
      <c r="Q659" s="341" t="str">
        <f t="shared" si="66"/>
        <v>SI</v>
      </c>
    </row>
    <row r="660" spans="3:17" hidden="1" x14ac:dyDescent="0.25">
      <c r="C660" s="358">
        <v>730</v>
      </c>
      <c r="D660" s="791" t="s">
        <v>894</v>
      </c>
      <c r="E660" s="791"/>
      <c r="F660" s="791"/>
      <c r="G660" s="791"/>
      <c r="H660" s="314" t="s">
        <v>36</v>
      </c>
      <c r="I660" s="515">
        <v>425000</v>
      </c>
      <c r="J660" s="510">
        <f>SUMIFS(APUS!$Y$9:$Y$1486,APUS!$M$9:$M$1486,INSUMOS!C660)</f>
        <v>0</v>
      </c>
      <c r="K660" s="511">
        <f t="shared" si="67"/>
        <v>0</v>
      </c>
      <c r="N660" s="533">
        <f>IFERROR(SUMIFS(APUS!$Z$10:$Z$62,APUS!$N$62:Q1486,INSUMOS!D660),0)</f>
        <v>0</v>
      </c>
      <c r="O660" s="546">
        <f t="shared" si="65"/>
        <v>0</v>
      </c>
      <c r="P660" s="348"/>
      <c r="Q660" s="341" t="str">
        <f t="shared" si="66"/>
        <v>SI</v>
      </c>
    </row>
    <row r="661" spans="3:17" hidden="1" x14ac:dyDescent="0.25">
      <c r="C661" s="358">
        <v>731</v>
      </c>
      <c r="D661" s="791" t="s">
        <v>895</v>
      </c>
      <c r="E661" s="791"/>
      <c r="F661" s="791"/>
      <c r="G661" s="791"/>
      <c r="H661" s="314" t="s">
        <v>36</v>
      </c>
      <c r="I661" s="515">
        <v>135000</v>
      </c>
      <c r="J661" s="510">
        <f>SUMIFS(APUS!$Y$9:$Y$1486,APUS!$M$9:$M$1486,INSUMOS!C661)</f>
        <v>0</v>
      </c>
      <c r="K661" s="511">
        <f t="shared" si="67"/>
        <v>0</v>
      </c>
      <c r="N661" s="533">
        <f>IFERROR(SUMIFS(APUS!$Z$10:$Z$62,APUS!$N$62:Q1486,INSUMOS!D661),0)</f>
        <v>0</v>
      </c>
      <c r="O661" s="546">
        <f t="shared" si="65"/>
        <v>0</v>
      </c>
      <c r="P661" s="348"/>
      <c r="Q661" s="341" t="str">
        <f t="shared" si="66"/>
        <v>SI</v>
      </c>
    </row>
    <row r="662" spans="3:17" hidden="1" x14ac:dyDescent="0.25">
      <c r="C662" s="358">
        <v>732</v>
      </c>
      <c r="D662" s="791" t="s">
        <v>896</v>
      </c>
      <c r="E662" s="791"/>
      <c r="F662" s="791"/>
      <c r="G662" s="791"/>
      <c r="H662" s="314" t="s">
        <v>36</v>
      </c>
      <c r="I662" s="515">
        <v>75000</v>
      </c>
      <c r="J662" s="510">
        <f>SUMIFS(APUS!$Y$9:$Y$1486,APUS!$M$9:$M$1486,INSUMOS!C662)</f>
        <v>0</v>
      </c>
      <c r="K662" s="511">
        <f t="shared" si="67"/>
        <v>0</v>
      </c>
      <c r="N662" s="533">
        <f>IFERROR(SUMIFS(APUS!$Z$10:$Z$62,APUS!$N$62:Q1486,INSUMOS!D662),0)</f>
        <v>0</v>
      </c>
      <c r="O662" s="546">
        <f t="shared" si="65"/>
        <v>0</v>
      </c>
      <c r="P662" s="348"/>
      <c r="Q662" s="341" t="str">
        <f t="shared" si="66"/>
        <v>SI</v>
      </c>
    </row>
    <row r="663" spans="3:17" hidden="1" x14ac:dyDescent="0.25">
      <c r="C663" s="358">
        <v>733</v>
      </c>
      <c r="D663" s="791"/>
      <c r="E663" s="791"/>
      <c r="F663" s="791"/>
      <c r="G663" s="791"/>
      <c r="H663" s="314"/>
      <c r="I663" s="515"/>
      <c r="J663" s="510">
        <f>SUMIFS(APUS!$Y$9:$Y$1486,APUS!$M$9:$M$1486,INSUMOS!C663)</f>
        <v>0</v>
      </c>
      <c r="K663" s="511">
        <f t="shared" si="67"/>
        <v>0</v>
      </c>
      <c r="N663" s="533">
        <f>IFERROR(SUMIFS(APUS!$Z$10:$Z$62,APUS!$N$62:Q1486,INSUMOS!D663),0)</f>
        <v>0</v>
      </c>
      <c r="O663" s="546">
        <f t="shared" si="65"/>
        <v>0</v>
      </c>
      <c r="P663" s="348"/>
      <c r="Q663" s="341" t="str">
        <f t="shared" si="66"/>
        <v>SI</v>
      </c>
    </row>
    <row r="664" spans="3:17" hidden="1" x14ac:dyDescent="0.25">
      <c r="C664" s="358">
        <v>734</v>
      </c>
      <c r="D664" s="791"/>
      <c r="E664" s="791"/>
      <c r="F664" s="791"/>
      <c r="G664" s="791"/>
      <c r="H664" s="314"/>
      <c r="I664" s="515"/>
      <c r="J664" s="510">
        <f>SUMIFS(APUS!$Y$9:$Y$1486,APUS!$M$9:$M$1486,INSUMOS!C664)</f>
        <v>0</v>
      </c>
      <c r="K664" s="511">
        <f t="shared" si="67"/>
        <v>0</v>
      </c>
      <c r="N664" s="533">
        <f>IFERROR(SUMIFS(APUS!$Z$10:$Z$62,APUS!$N$62:Q1486,INSUMOS!D664),0)</f>
        <v>0</v>
      </c>
      <c r="O664" s="546">
        <f t="shared" si="65"/>
        <v>0</v>
      </c>
      <c r="P664" s="348"/>
      <c r="Q664" s="341" t="str">
        <f t="shared" si="66"/>
        <v>SI</v>
      </c>
    </row>
    <row r="665" spans="3:17" hidden="1" x14ac:dyDescent="0.25">
      <c r="C665" s="358">
        <v>735</v>
      </c>
      <c r="D665" s="791"/>
      <c r="E665" s="791"/>
      <c r="F665" s="791"/>
      <c r="G665" s="791"/>
      <c r="H665" s="314"/>
      <c r="I665" s="515"/>
      <c r="J665" s="510">
        <f>SUMIFS(APUS!$Y$9:$Y$1486,APUS!$M$9:$M$1486,INSUMOS!C665)</f>
        <v>0</v>
      </c>
      <c r="K665" s="511">
        <f t="shared" si="67"/>
        <v>0</v>
      </c>
      <c r="N665" s="533">
        <f>IFERROR(SUMIFS(APUS!$Z$10:$Z$62,APUS!$N$62:Q1486,INSUMOS!D665),0)</f>
        <v>0</v>
      </c>
      <c r="O665" s="546">
        <f t="shared" si="65"/>
        <v>0</v>
      </c>
      <c r="P665" s="348"/>
      <c r="Q665" s="341" t="str">
        <f t="shared" si="66"/>
        <v>SI</v>
      </c>
    </row>
    <row r="666" spans="3:17" hidden="1" x14ac:dyDescent="0.25">
      <c r="C666" s="358">
        <v>736</v>
      </c>
      <c r="D666" s="791"/>
      <c r="E666" s="791"/>
      <c r="F666" s="791"/>
      <c r="G666" s="791"/>
      <c r="H666" s="314"/>
      <c r="I666" s="515"/>
      <c r="J666" s="510">
        <f>SUMIFS(APUS!$Y$9:$Y$1486,APUS!$M$9:$M$1486,INSUMOS!C666)</f>
        <v>0</v>
      </c>
      <c r="K666" s="511">
        <f t="shared" si="67"/>
        <v>0</v>
      </c>
      <c r="N666" s="533">
        <f>IFERROR(SUMIFS(APUS!$Z$10:$Z$62,APUS!$N$62:Q1486,INSUMOS!D666),0)</f>
        <v>0</v>
      </c>
      <c r="O666" s="546">
        <f t="shared" si="65"/>
        <v>0</v>
      </c>
      <c r="P666" s="348"/>
      <c r="Q666" s="341" t="str">
        <f t="shared" si="66"/>
        <v>SI</v>
      </c>
    </row>
    <row r="667" spans="3:17" hidden="1" x14ac:dyDescent="0.25">
      <c r="C667" s="358">
        <v>737</v>
      </c>
      <c r="D667" s="791"/>
      <c r="E667" s="791"/>
      <c r="F667" s="791"/>
      <c r="G667" s="791"/>
      <c r="H667" s="314"/>
      <c r="I667" s="515"/>
      <c r="J667" s="510">
        <f>SUMIFS(APUS!$Y$9:$Y$1486,APUS!$M$9:$M$1486,INSUMOS!C667)</f>
        <v>0</v>
      </c>
      <c r="K667" s="511">
        <f t="shared" si="67"/>
        <v>0</v>
      </c>
      <c r="N667" s="533">
        <f>IFERROR(SUMIFS(APUS!$Z$10:$Z$62,APUS!$N$62:Q1486,INSUMOS!D667),0)</f>
        <v>0</v>
      </c>
      <c r="O667" s="546">
        <f t="shared" si="65"/>
        <v>0</v>
      </c>
      <c r="P667" s="348"/>
      <c r="Q667" s="341" t="str">
        <f t="shared" si="66"/>
        <v>SI</v>
      </c>
    </row>
    <row r="668" spans="3:17" hidden="1" x14ac:dyDescent="0.25">
      <c r="C668" s="358">
        <v>738</v>
      </c>
      <c r="D668" s="791"/>
      <c r="E668" s="791"/>
      <c r="F668" s="791"/>
      <c r="G668" s="791"/>
      <c r="H668" s="314"/>
      <c r="I668" s="515"/>
      <c r="J668" s="510">
        <f>SUMIFS(APUS!$Y$9:$Y$1486,APUS!$M$9:$M$1486,INSUMOS!C668)</f>
        <v>0</v>
      </c>
      <c r="K668" s="511">
        <f t="shared" si="67"/>
        <v>0</v>
      </c>
      <c r="N668" s="533">
        <f>IFERROR(SUMIFS(APUS!$Z$10:$Z$62,APUS!$N$62:Q1486,INSUMOS!D668),0)</f>
        <v>0</v>
      </c>
      <c r="O668" s="546">
        <f t="shared" si="65"/>
        <v>0</v>
      </c>
      <c r="P668" s="348"/>
      <c r="Q668" s="341" t="str">
        <f t="shared" si="66"/>
        <v>SI</v>
      </c>
    </row>
    <row r="669" spans="3:17" hidden="1" x14ac:dyDescent="0.25">
      <c r="C669" s="358">
        <v>739</v>
      </c>
      <c r="D669" s="791"/>
      <c r="E669" s="791"/>
      <c r="F669" s="791"/>
      <c r="G669" s="791"/>
      <c r="H669" s="314"/>
      <c r="I669" s="515"/>
      <c r="J669" s="510">
        <f>SUMIFS(APUS!$Y$9:$Y$1486,APUS!$M$9:$M$1486,INSUMOS!C669)</f>
        <v>0</v>
      </c>
      <c r="K669" s="511">
        <f t="shared" si="67"/>
        <v>0</v>
      </c>
      <c r="N669" s="533">
        <f>IFERROR(SUMIFS(APUS!$Z$10:$Z$62,APUS!$N$62:Q1486,INSUMOS!D669),0)</f>
        <v>0</v>
      </c>
      <c r="O669" s="546">
        <f t="shared" si="65"/>
        <v>0</v>
      </c>
      <c r="P669" s="348"/>
      <c r="Q669" s="341" t="str">
        <f t="shared" si="66"/>
        <v>SI</v>
      </c>
    </row>
    <row r="670" spans="3:17" hidden="1" x14ac:dyDescent="0.25">
      <c r="C670" s="358">
        <v>740</v>
      </c>
      <c r="D670" s="791"/>
      <c r="E670" s="791"/>
      <c r="F670" s="791"/>
      <c r="G670" s="791"/>
      <c r="H670" s="314"/>
      <c r="I670" s="515"/>
      <c r="J670" s="510">
        <f>SUMIFS(APUS!$Y$9:$Y$1486,APUS!$M$9:$M$1486,INSUMOS!C670)</f>
        <v>0</v>
      </c>
      <c r="K670" s="511">
        <f t="shared" si="67"/>
        <v>0</v>
      </c>
      <c r="N670" s="533">
        <f>IFERROR(SUMIFS(APUS!$Z$10:$Z$62,APUS!$N$62:Q1486,INSUMOS!D670),0)</f>
        <v>0</v>
      </c>
      <c r="O670" s="546">
        <f t="shared" si="65"/>
        <v>0</v>
      </c>
      <c r="P670" s="348"/>
      <c r="Q670" s="341" t="str">
        <f t="shared" si="66"/>
        <v>SI</v>
      </c>
    </row>
    <row r="671" spans="3:17" hidden="1" x14ac:dyDescent="0.25">
      <c r="C671" s="358">
        <v>741</v>
      </c>
      <c r="D671" s="791"/>
      <c r="E671" s="791"/>
      <c r="F671" s="791"/>
      <c r="G671" s="791"/>
      <c r="H671" s="314"/>
      <c r="I671" s="515"/>
      <c r="J671" s="510">
        <f>SUMIFS(APUS!$Y$9:$Y$1486,APUS!$M$9:$M$1486,INSUMOS!C671)</f>
        <v>0</v>
      </c>
      <c r="K671" s="511">
        <f t="shared" si="67"/>
        <v>0</v>
      </c>
      <c r="N671" s="533">
        <f>IFERROR(SUMIFS(APUS!$Z$10:$Z$62,APUS!$N$62:Q1486,INSUMOS!D671),0)</f>
        <v>0</v>
      </c>
      <c r="O671" s="546">
        <f t="shared" si="65"/>
        <v>0</v>
      </c>
      <c r="P671" s="348"/>
      <c r="Q671" s="341" t="str">
        <f t="shared" si="66"/>
        <v>SI</v>
      </c>
    </row>
    <row r="672" spans="3:17" hidden="1" x14ac:dyDescent="0.25">
      <c r="C672" s="358">
        <v>742</v>
      </c>
      <c r="D672" s="791" t="s">
        <v>691</v>
      </c>
      <c r="E672" s="791"/>
      <c r="F672" s="791"/>
      <c r="G672" s="791"/>
      <c r="H672" s="314" t="s">
        <v>36</v>
      </c>
      <c r="I672" s="515">
        <v>4379200</v>
      </c>
      <c r="J672" s="510">
        <f>SUMIFS(APUS!$Y$9:$Y$1486,APUS!$M$9:$M$1486,INSUMOS!C672)</f>
        <v>0</v>
      </c>
      <c r="K672" s="511">
        <f t="shared" si="67"/>
        <v>0</v>
      </c>
      <c r="N672" s="533">
        <f>IFERROR(SUMIFS(APUS!$Z$10:$Z$62,APUS!$N$62:Q1486,INSUMOS!D672),0)</f>
        <v>0</v>
      </c>
      <c r="O672" s="546">
        <f t="shared" si="65"/>
        <v>0</v>
      </c>
      <c r="P672" s="348"/>
      <c r="Q672" s="341" t="str">
        <f t="shared" si="66"/>
        <v>SI</v>
      </c>
    </row>
    <row r="673" spans="3:17" hidden="1" x14ac:dyDescent="0.25">
      <c r="C673" s="358">
        <v>743</v>
      </c>
      <c r="D673" s="791"/>
      <c r="E673" s="791"/>
      <c r="F673" s="791"/>
      <c r="G673" s="791"/>
      <c r="H673" s="314"/>
      <c r="I673" s="515"/>
      <c r="J673" s="510">
        <f>SUMIFS(APUS!$Y$9:$Y$1486,APUS!$M$9:$M$1486,INSUMOS!C673)</f>
        <v>0</v>
      </c>
      <c r="K673" s="511">
        <f t="shared" si="67"/>
        <v>0</v>
      </c>
      <c r="N673" s="533">
        <f>IFERROR(SUMIFS(APUS!$Z$10:$Z$62,APUS!$N$62:Q1486,INSUMOS!D673),0)</f>
        <v>0</v>
      </c>
      <c r="O673" s="546">
        <f t="shared" si="65"/>
        <v>0</v>
      </c>
      <c r="P673" s="348"/>
      <c r="Q673" s="341" t="str">
        <f t="shared" si="66"/>
        <v>SI</v>
      </c>
    </row>
    <row r="674" spans="3:17" hidden="1" x14ac:dyDescent="0.25">
      <c r="C674" s="358">
        <v>744</v>
      </c>
      <c r="D674" s="791"/>
      <c r="E674" s="791"/>
      <c r="F674" s="791"/>
      <c r="G674" s="791"/>
      <c r="H674" s="314"/>
      <c r="I674" s="515"/>
      <c r="J674" s="510">
        <f>SUMIFS(APUS!$Y$9:$Y$1486,APUS!$M$9:$M$1486,INSUMOS!C674)</f>
        <v>0</v>
      </c>
      <c r="K674" s="511">
        <f t="shared" si="67"/>
        <v>0</v>
      </c>
      <c r="N674" s="533">
        <f>IFERROR(SUMIFS(APUS!$Z$10:$Z$62,APUS!$N$62:Q1486,INSUMOS!D674),0)</f>
        <v>0</v>
      </c>
      <c r="O674" s="546">
        <f t="shared" si="65"/>
        <v>0</v>
      </c>
      <c r="P674" s="348"/>
      <c r="Q674" s="341" t="str">
        <f t="shared" si="66"/>
        <v>SI</v>
      </c>
    </row>
    <row r="675" spans="3:17" hidden="1" x14ac:dyDescent="0.25">
      <c r="C675" s="358">
        <v>745</v>
      </c>
      <c r="D675" s="791"/>
      <c r="E675" s="791"/>
      <c r="F675" s="791"/>
      <c r="G675" s="791"/>
      <c r="H675" s="314"/>
      <c r="I675" s="515"/>
      <c r="J675" s="510">
        <f>SUMIFS(APUS!$Y$9:$Y$1486,APUS!$M$9:$M$1486,INSUMOS!C675)</f>
        <v>0</v>
      </c>
      <c r="K675" s="511">
        <f t="shared" si="67"/>
        <v>0</v>
      </c>
      <c r="N675" s="533">
        <f>IFERROR(SUMIFS(APUS!$Z$10:$Z$62,APUS!$N$62:Q1486,INSUMOS!D675),0)</f>
        <v>0</v>
      </c>
      <c r="O675" s="546">
        <f t="shared" si="65"/>
        <v>0</v>
      </c>
      <c r="P675" s="348"/>
      <c r="Q675" s="341" t="str">
        <f t="shared" si="66"/>
        <v>SI</v>
      </c>
    </row>
    <row r="676" spans="3:17" hidden="1" x14ac:dyDescent="0.25">
      <c r="C676" s="358">
        <v>746</v>
      </c>
      <c r="D676" s="791" t="s">
        <v>692</v>
      </c>
      <c r="E676" s="791"/>
      <c r="F676" s="791"/>
      <c r="G676" s="791"/>
      <c r="H676" s="314" t="s">
        <v>36</v>
      </c>
      <c r="I676" s="515">
        <v>22293</v>
      </c>
      <c r="J676" s="510">
        <f>SUMIFS(APUS!$Y$9:$Y$1486,APUS!$M$9:$M$1486,INSUMOS!C676)</f>
        <v>0</v>
      </c>
      <c r="K676" s="511">
        <f t="shared" si="67"/>
        <v>0</v>
      </c>
      <c r="N676" s="533">
        <f>IFERROR(SUMIFS(APUS!$Z$10:$Z$62,APUS!$N$62:Q1486,INSUMOS!D676),0)</f>
        <v>0</v>
      </c>
      <c r="O676" s="546">
        <f t="shared" si="65"/>
        <v>0</v>
      </c>
      <c r="P676" s="348"/>
      <c r="Q676" s="341" t="str">
        <f t="shared" si="66"/>
        <v>SI</v>
      </c>
    </row>
    <row r="677" spans="3:17" hidden="1" x14ac:dyDescent="0.25">
      <c r="C677" s="358">
        <v>747</v>
      </c>
      <c r="D677" s="791" t="s">
        <v>388</v>
      </c>
      <c r="E677" s="791"/>
      <c r="F677" s="791"/>
      <c r="G677" s="791"/>
      <c r="H677" s="314" t="s">
        <v>36</v>
      </c>
      <c r="I677" s="515">
        <v>19900</v>
      </c>
      <c r="J677" s="510">
        <f>SUMIFS(APUS!$Y$9:$Y$1486,APUS!$M$9:$M$1486,INSUMOS!C677)</f>
        <v>0</v>
      </c>
      <c r="K677" s="511">
        <f t="shared" si="67"/>
        <v>0</v>
      </c>
      <c r="N677" s="533">
        <f>IFERROR(SUMIFS(APUS!$Z$10:$Z$62,APUS!$N$62:Q1486,INSUMOS!D677),0)</f>
        <v>0</v>
      </c>
      <c r="O677" s="546">
        <f t="shared" si="65"/>
        <v>0</v>
      </c>
      <c r="P677" s="348"/>
      <c r="Q677" s="341" t="str">
        <f t="shared" si="66"/>
        <v>SI</v>
      </c>
    </row>
    <row r="678" spans="3:17" hidden="1" x14ac:dyDescent="0.25">
      <c r="C678" s="358">
        <v>748</v>
      </c>
      <c r="D678" s="791" t="s">
        <v>693</v>
      </c>
      <c r="E678" s="791"/>
      <c r="F678" s="791"/>
      <c r="G678" s="791"/>
      <c r="H678" s="314" t="s">
        <v>36</v>
      </c>
      <c r="I678" s="515">
        <v>27930</v>
      </c>
      <c r="J678" s="510">
        <f>SUMIFS(APUS!$Y$9:$Y$1486,APUS!$M$9:$M$1486,INSUMOS!C678)</f>
        <v>0</v>
      </c>
      <c r="K678" s="511">
        <f t="shared" si="67"/>
        <v>0</v>
      </c>
      <c r="N678" s="533">
        <f>IFERROR(SUMIFS(APUS!$Z$10:$Z$62,APUS!$N$62:Q1486,INSUMOS!D678),0)</f>
        <v>0</v>
      </c>
      <c r="O678" s="546">
        <f t="shared" si="65"/>
        <v>0</v>
      </c>
      <c r="P678" s="348"/>
      <c r="Q678" s="341" t="str">
        <f t="shared" si="66"/>
        <v>SI</v>
      </c>
    </row>
    <row r="679" spans="3:17" hidden="1" x14ac:dyDescent="0.25">
      <c r="C679" s="358">
        <v>749</v>
      </c>
      <c r="D679" s="791" t="s">
        <v>694</v>
      </c>
      <c r="E679" s="791"/>
      <c r="F679" s="791"/>
      <c r="G679" s="791"/>
      <c r="H679" s="314" t="s">
        <v>36</v>
      </c>
      <c r="I679" s="515">
        <v>24337</v>
      </c>
      <c r="J679" s="510">
        <f>SUMIFS(APUS!$Y$9:$Y$1486,APUS!$M$9:$M$1486,INSUMOS!C679)</f>
        <v>0</v>
      </c>
      <c r="K679" s="511">
        <f t="shared" si="67"/>
        <v>0</v>
      </c>
      <c r="N679" s="533">
        <f>IFERROR(SUMIFS(APUS!$Z$10:$Z$62,APUS!$N$62:Q1486,INSUMOS!D679),0)</f>
        <v>0</v>
      </c>
      <c r="O679" s="546">
        <f t="shared" si="65"/>
        <v>0</v>
      </c>
      <c r="P679" s="348"/>
      <c r="Q679" s="341" t="str">
        <f t="shared" si="66"/>
        <v>SI</v>
      </c>
    </row>
    <row r="680" spans="3:17" hidden="1" x14ac:dyDescent="0.25">
      <c r="C680" s="358">
        <v>750</v>
      </c>
      <c r="D680" s="791"/>
      <c r="E680" s="791"/>
      <c r="F680" s="791"/>
      <c r="G680" s="791"/>
      <c r="H680" s="314"/>
      <c r="I680" s="515"/>
      <c r="J680" s="510">
        <f>SUMIFS(APUS!$Y$9:$Y$1486,APUS!$M$9:$M$1486,INSUMOS!C680)</f>
        <v>0</v>
      </c>
      <c r="K680" s="511">
        <f t="shared" si="67"/>
        <v>0</v>
      </c>
      <c r="N680" s="533">
        <f>IFERROR(SUMIFS(APUS!$Z$10:$Z$62,APUS!$N$62:Q1486,INSUMOS!D680),0)</f>
        <v>0</v>
      </c>
      <c r="O680" s="546">
        <f t="shared" si="65"/>
        <v>0</v>
      </c>
      <c r="P680" s="348"/>
      <c r="Q680" s="341" t="str">
        <f t="shared" si="66"/>
        <v>SI</v>
      </c>
    </row>
    <row r="681" spans="3:17" hidden="1" x14ac:dyDescent="0.25">
      <c r="C681" s="358">
        <v>751</v>
      </c>
      <c r="D681" s="791" t="s">
        <v>497</v>
      </c>
      <c r="E681" s="791"/>
      <c r="F681" s="791"/>
      <c r="G681" s="791"/>
      <c r="H681" s="314" t="s">
        <v>36</v>
      </c>
      <c r="I681" s="515">
        <v>88000</v>
      </c>
      <c r="J681" s="510">
        <f>SUMIFS(APUS!$Y$9:$Y$1486,APUS!$M$9:$M$1486,INSUMOS!C681)</f>
        <v>0</v>
      </c>
      <c r="K681" s="511">
        <f t="shared" si="67"/>
        <v>0</v>
      </c>
      <c r="N681" s="533">
        <f>IFERROR(SUMIFS(APUS!$Z$10:$Z$62,APUS!$N$62:Q1486,INSUMOS!D681),0)</f>
        <v>0</v>
      </c>
      <c r="O681" s="546">
        <f t="shared" si="65"/>
        <v>0</v>
      </c>
      <c r="P681" s="348"/>
      <c r="Q681" s="341" t="str">
        <f t="shared" si="66"/>
        <v>SI</v>
      </c>
    </row>
    <row r="682" spans="3:17" hidden="1" x14ac:dyDescent="0.25">
      <c r="C682" s="358">
        <v>752</v>
      </c>
      <c r="D682" s="791"/>
      <c r="E682" s="791"/>
      <c r="F682" s="791"/>
      <c r="G682" s="791"/>
      <c r="H682" s="314"/>
      <c r="I682" s="515"/>
      <c r="J682" s="510">
        <f>SUMIFS(APUS!$Y$9:$Y$1486,APUS!$M$9:$M$1486,INSUMOS!C682)</f>
        <v>0</v>
      </c>
      <c r="K682" s="511">
        <f t="shared" si="67"/>
        <v>0</v>
      </c>
      <c r="N682" s="533">
        <f>IFERROR(SUMIFS(APUS!$Z$10:$Z$62,APUS!$N$62:Q1486,INSUMOS!D682),0)</f>
        <v>0</v>
      </c>
      <c r="O682" s="546">
        <f t="shared" si="65"/>
        <v>0</v>
      </c>
      <c r="P682" s="348"/>
      <c r="Q682" s="341" t="str">
        <f t="shared" si="66"/>
        <v>SI</v>
      </c>
    </row>
    <row r="683" spans="3:17" hidden="1" x14ac:dyDescent="0.25">
      <c r="C683" s="358">
        <v>753</v>
      </c>
      <c r="D683" s="791"/>
      <c r="E683" s="791"/>
      <c r="F683" s="791"/>
      <c r="G683" s="791"/>
      <c r="H683" s="314"/>
      <c r="I683" s="515"/>
      <c r="J683" s="510">
        <f>SUMIFS(APUS!$Y$9:$Y$1486,APUS!$M$9:$M$1486,INSUMOS!C683)</f>
        <v>0</v>
      </c>
      <c r="K683" s="511">
        <f t="shared" si="67"/>
        <v>0</v>
      </c>
      <c r="N683" s="533">
        <f>IFERROR(SUMIFS(APUS!$Z$10:$Z$62,APUS!$N$62:Q1486,INSUMOS!D683),0)</f>
        <v>0</v>
      </c>
      <c r="O683" s="546">
        <f t="shared" si="65"/>
        <v>0</v>
      </c>
      <c r="P683" s="348"/>
      <c r="Q683" s="341" t="str">
        <f t="shared" si="66"/>
        <v>SI</v>
      </c>
    </row>
    <row r="684" spans="3:17" hidden="1" x14ac:dyDescent="0.25">
      <c r="C684" s="358">
        <v>754</v>
      </c>
      <c r="D684" s="791"/>
      <c r="E684" s="791"/>
      <c r="F684" s="791"/>
      <c r="G684" s="791"/>
      <c r="H684" s="314"/>
      <c r="I684" s="515"/>
      <c r="J684" s="510">
        <f>SUMIFS(APUS!$Y$9:$Y$1486,APUS!$M$9:$M$1486,INSUMOS!C684)</f>
        <v>0</v>
      </c>
      <c r="K684" s="511">
        <f t="shared" si="67"/>
        <v>0</v>
      </c>
      <c r="N684" s="533">
        <f>IFERROR(SUMIFS(APUS!$Z$10:$Z$62,APUS!$N$62:Q1486,INSUMOS!D684),0)</f>
        <v>0</v>
      </c>
      <c r="O684" s="546">
        <f t="shared" si="65"/>
        <v>0</v>
      </c>
      <c r="P684" s="348"/>
      <c r="Q684" s="341" t="str">
        <f t="shared" si="66"/>
        <v>SI</v>
      </c>
    </row>
    <row r="685" spans="3:17" hidden="1" x14ac:dyDescent="0.25">
      <c r="C685" s="358">
        <v>755</v>
      </c>
      <c r="D685" s="791" t="s">
        <v>389</v>
      </c>
      <c r="E685" s="791"/>
      <c r="F685" s="791"/>
      <c r="G685" s="791"/>
      <c r="H685" s="314" t="s">
        <v>36</v>
      </c>
      <c r="I685" s="515">
        <v>15700</v>
      </c>
      <c r="J685" s="510">
        <f>SUMIFS(APUS!$Y$9:$Y$1486,APUS!$M$9:$M$1486,INSUMOS!C685)</f>
        <v>0</v>
      </c>
      <c r="K685" s="511">
        <f t="shared" si="67"/>
        <v>0</v>
      </c>
      <c r="N685" s="533">
        <f>IFERROR(SUMIFS(APUS!$Z$10:$Z$62,APUS!$N$62:Q1486,INSUMOS!D685),0)</f>
        <v>0</v>
      </c>
      <c r="O685" s="546">
        <f t="shared" si="65"/>
        <v>0</v>
      </c>
      <c r="P685" s="348"/>
      <c r="Q685" s="341" t="str">
        <f t="shared" si="66"/>
        <v>SI</v>
      </c>
    </row>
    <row r="686" spans="3:17" hidden="1" x14ac:dyDescent="0.25">
      <c r="C686" s="358">
        <v>756</v>
      </c>
      <c r="D686" s="791" t="s">
        <v>635</v>
      </c>
      <c r="E686" s="791"/>
      <c r="F686" s="791"/>
      <c r="G686" s="791"/>
      <c r="H686" s="314" t="s">
        <v>36</v>
      </c>
      <c r="I686" s="515">
        <v>3400</v>
      </c>
      <c r="J686" s="510">
        <f>SUMIFS(APUS!$Y$9:$Y$1486,APUS!$M$9:$M$1486,INSUMOS!C686)</f>
        <v>0</v>
      </c>
      <c r="K686" s="511">
        <f t="shared" si="67"/>
        <v>0</v>
      </c>
      <c r="N686" s="533">
        <f>IFERROR(SUMIFS(APUS!$Z$10:$Z$62,APUS!$N$62:Q1486,INSUMOS!D686),0)</f>
        <v>0</v>
      </c>
      <c r="O686" s="546">
        <f t="shared" si="65"/>
        <v>0</v>
      </c>
      <c r="P686" s="348"/>
      <c r="Q686" s="341" t="str">
        <f t="shared" si="66"/>
        <v>SI</v>
      </c>
    </row>
    <row r="687" spans="3:17" ht="30" hidden="1" customHeight="1" x14ac:dyDescent="0.25">
      <c r="C687" s="358">
        <v>757</v>
      </c>
      <c r="D687" s="791" t="s">
        <v>594</v>
      </c>
      <c r="E687" s="791"/>
      <c r="F687" s="791"/>
      <c r="G687" s="791"/>
      <c r="H687" s="314" t="s">
        <v>35</v>
      </c>
      <c r="I687" s="515">
        <v>75000</v>
      </c>
      <c r="J687" s="510">
        <f>SUMIFS(APUS!$Y$9:$Y$1486,APUS!$M$9:$M$1486,INSUMOS!C687)</f>
        <v>0</v>
      </c>
      <c r="K687" s="511">
        <f t="shared" si="67"/>
        <v>0</v>
      </c>
      <c r="N687" s="533">
        <f>IFERROR(SUMIFS(APUS!$Z$10:$Z$62,APUS!$N$62:Q1486,INSUMOS!D687),0)</f>
        <v>0</v>
      </c>
      <c r="O687" s="546">
        <f t="shared" si="65"/>
        <v>0</v>
      </c>
      <c r="P687" s="348"/>
      <c r="Q687" s="341" t="str">
        <f t="shared" si="66"/>
        <v>SI</v>
      </c>
    </row>
    <row r="688" spans="3:17" ht="14.4" hidden="1" x14ac:dyDescent="0.3">
      <c r="C688" s="358">
        <v>758</v>
      </c>
      <c r="D688" s="793" t="s">
        <v>595</v>
      </c>
      <c r="E688" s="793"/>
      <c r="F688" s="793"/>
      <c r="G688" s="793"/>
      <c r="H688" s="314" t="s">
        <v>36</v>
      </c>
      <c r="I688" s="515">
        <v>19399.84</v>
      </c>
      <c r="J688" s="510">
        <f>SUMIFS(APUS!$Y$9:$Y$1486,APUS!$M$9:$M$1486,INSUMOS!C688)</f>
        <v>0</v>
      </c>
      <c r="K688" s="511">
        <f t="shared" si="67"/>
        <v>0</v>
      </c>
      <c r="N688" s="533">
        <f>IFERROR(SUMIFS(APUS!$Z$10:$Z$62,APUS!$N$62:Q1486,INSUMOS!D688),0)</f>
        <v>0</v>
      </c>
      <c r="O688" s="546">
        <f t="shared" si="65"/>
        <v>0</v>
      </c>
      <c r="P688" s="348"/>
      <c r="Q688" s="341" t="str">
        <f t="shared" si="66"/>
        <v>SI</v>
      </c>
    </row>
    <row r="689" spans="3:17" ht="14.4" hidden="1" x14ac:dyDescent="0.3">
      <c r="C689" s="358">
        <v>759</v>
      </c>
      <c r="D689" s="793" t="s">
        <v>596</v>
      </c>
      <c r="E689" s="793"/>
      <c r="F689" s="793"/>
      <c r="G689" s="793"/>
      <c r="H689" s="314" t="s">
        <v>36</v>
      </c>
      <c r="I689" s="515">
        <v>11699.76</v>
      </c>
      <c r="J689" s="510">
        <f>SUMIFS(APUS!$Y$9:$Y$1486,APUS!$M$9:$M$1486,INSUMOS!C689)</f>
        <v>0</v>
      </c>
      <c r="K689" s="511">
        <f t="shared" si="67"/>
        <v>0</v>
      </c>
      <c r="N689" s="533">
        <f>IFERROR(SUMIFS(APUS!$Z$10:$Z$62,APUS!$N$62:Q1486,INSUMOS!D689),0)</f>
        <v>0</v>
      </c>
      <c r="O689" s="546">
        <f t="shared" ref="O689:O693" si="68">+N689-K689</f>
        <v>0</v>
      </c>
      <c r="P689" s="348"/>
      <c r="Q689" s="341" t="str">
        <f t="shared" ref="Q689:Q693" si="69">+IF(K689=0,"SI","NO")</f>
        <v>SI</v>
      </c>
    </row>
    <row r="690" spans="3:17" ht="14.4" hidden="1" x14ac:dyDescent="0.3">
      <c r="C690" s="358">
        <v>760</v>
      </c>
      <c r="D690" s="793" t="s">
        <v>597</v>
      </c>
      <c r="E690" s="793"/>
      <c r="F690" s="793"/>
      <c r="G690" s="793"/>
      <c r="H690" s="314" t="s">
        <v>36</v>
      </c>
      <c r="I690" s="515">
        <v>2500</v>
      </c>
      <c r="J690" s="510">
        <f>SUMIFS(APUS!$Y$9:$Y$1486,APUS!$M$9:$M$1486,INSUMOS!C690)</f>
        <v>0</v>
      </c>
      <c r="K690" s="511">
        <f t="shared" si="67"/>
        <v>0</v>
      </c>
      <c r="N690" s="533">
        <f>IFERROR(SUMIFS(APUS!$Z$10:$Z$62,APUS!$N$62:Q1486,INSUMOS!D690),0)</f>
        <v>0</v>
      </c>
      <c r="O690" s="546">
        <f t="shared" si="68"/>
        <v>0</v>
      </c>
      <c r="P690" s="348"/>
      <c r="Q690" s="341" t="str">
        <f t="shared" si="69"/>
        <v>SI</v>
      </c>
    </row>
    <row r="691" spans="3:17" ht="14.4" hidden="1" x14ac:dyDescent="0.3">
      <c r="C691" s="358">
        <v>761</v>
      </c>
      <c r="D691" s="793" t="s">
        <v>598</v>
      </c>
      <c r="E691" s="793"/>
      <c r="F691" s="793"/>
      <c r="G691" s="793"/>
      <c r="H691" s="314" t="s">
        <v>36</v>
      </c>
      <c r="I691" s="515">
        <v>18200</v>
      </c>
      <c r="J691" s="510">
        <f>SUMIFS(APUS!$Y$9:$Y$1486,APUS!$M$9:$M$1486,INSUMOS!C691)</f>
        <v>0</v>
      </c>
      <c r="K691" s="511">
        <f t="shared" si="67"/>
        <v>0</v>
      </c>
      <c r="N691" s="533">
        <f>IFERROR(SUMIFS(APUS!$Z$10:$Z$62,APUS!$N$62:Q1486,INSUMOS!D691),0)</f>
        <v>0</v>
      </c>
      <c r="O691" s="546">
        <f t="shared" si="68"/>
        <v>0</v>
      </c>
      <c r="P691" s="348"/>
      <c r="Q691" s="341" t="str">
        <f t="shared" si="69"/>
        <v>SI</v>
      </c>
    </row>
    <row r="692" spans="3:17" ht="30" hidden="1" customHeight="1" x14ac:dyDescent="0.25">
      <c r="C692" s="358">
        <v>762</v>
      </c>
      <c r="D692" s="791" t="s">
        <v>627</v>
      </c>
      <c r="E692" s="791"/>
      <c r="F692" s="791"/>
      <c r="G692" s="791"/>
      <c r="H692" s="314" t="s">
        <v>43</v>
      </c>
      <c r="I692" s="515">
        <v>115000</v>
      </c>
      <c r="J692" s="510">
        <f>SUMIFS(APUS!$Y$9:$Y$1486,APUS!$M$9:$M$1486,INSUMOS!C692)</f>
        <v>0</v>
      </c>
      <c r="K692" s="511">
        <f t="shared" si="67"/>
        <v>0</v>
      </c>
      <c r="N692" s="533">
        <f>IFERROR(SUMIFS(APUS!$Z$10:$Z$62,APUS!$N$62:Q1486,INSUMOS!D692),0)</f>
        <v>0</v>
      </c>
      <c r="O692" s="546">
        <f t="shared" si="68"/>
        <v>0</v>
      </c>
      <c r="P692" s="348"/>
      <c r="Q692" s="341" t="str">
        <f t="shared" si="69"/>
        <v>SI</v>
      </c>
    </row>
    <row r="693" spans="3:17" hidden="1" x14ac:dyDescent="0.25">
      <c r="C693" s="358">
        <v>763</v>
      </c>
      <c r="D693" s="791" t="s">
        <v>628</v>
      </c>
      <c r="E693" s="791"/>
      <c r="F693" s="791"/>
      <c r="G693" s="791"/>
      <c r="H693" s="314" t="s">
        <v>593</v>
      </c>
      <c r="I693" s="515">
        <v>19500</v>
      </c>
      <c r="J693" s="510">
        <f>SUMIFS(APUS!$Y$9:$Y$1486,APUS!$M$9:$M$1486,INSUMOS!C693)</f>
        <v>0</v>
      </c>
      <c r="K693" s="511">
        <f t="shared" si="67"/>
        <v>0</v>
      </c>
      <c r="N693" s="533">
        <f>IFERROR(SUMIFS(APUS!$Z$10:$Z$62,APUS!$N$62:Q1486,INSUMOS!D693),0)</f>
        <v>0</v>
      </c>
      <c r="O693" s="546">
        <f t="shared" si="68"/>
        <v>0</v>
      </c>
      <c r="P693" s="348"/>
      <c r="Q693" s="341" t="str">
        <f t="shared" si="69"/>
        <v>SI</v>
      </c>
    </row>
    <row r="694" spans="3:17" hidden="1" x14ac:dyDescent="0.25">
      <c r="C694" s="358">
        <v>764</v>
      </c>
      <c r="D694" s="791" t="s">
        <v>527</v>
      </c>
      <c r="E694" s="791"/>
      <c r="F694" s="791"/>
      <c r="G694" s="791"/>
      <c r="H694" s="314" t="s">
        <v>35</v>
      </c>
      <c r="I694" s="515">
        <v>15500</v>
      </c>
      <c r="J694" s="510">
        <f>SUMIFS(APUS!$Y$9:$Y$1486,APUS!$M$9:$M$1486,INSUMOS!C694)</f>
        <v>0</v>
      </c>
      <c r="K694" s="511">
        <f t="shared" si="67"/>
        <v>0</v>
      </c>
      <c r="N694" s="533">
        <f>IFERROR(SUMIFS(APUS!$Z$10:$Z$62,APUS!$N$62:Q1486,INSUMOS!D694),0)</f>
        <v>0</v>
      </c>
      <c r="O694" s="546">
        <f t="shared" ref="O694:O757" si="70">+N694-K694</f>
        <v>0</v>
      </c>
      <c r="P694" s="348"/>
      <c r="Q694" s="341" t="str">
        <f t="shared" ref="Q694:Q757" si="71">+IF(K694=0,"SI","NO")</f>
        <v>SI</v>
      </c>
    </row>
    <row r="695" spans="3:17" hidden="1" x14ac:dyDescent="0.25">
      <c r="C695" s="358">
        <v>765</v>
      </c>
      <c r="D695" s="791" t="s">
        <v>526</v>
      </c>
      <c r="E695" s="791"/>
      <c r="F695" s="791"/>
      <c r="G695" s="791"/>
      <c r="H695" s="314" t="s">
        <v>43</v>
      </c>
      <c r="I695" s="515">
        <v>5200</v>
      </c>
      <c r="J695" s="510">
        <f>SUMIFS(APUS!$Y$9:$Y$1486,APUS!$M$9:$M$1486,INSUMOS!C695)</f>
        <v>0</v>
      </c>
      <c r="K695" s="511">
        <f t="shared" si="67"/>
        <v>0</v>
      </c>
      <c r="N695" s="533">
        <f>IFERROR(SUMIFS(APUS!$Z$10:$Z$62,APUS!$N$62:Q1486,INSUMOS!D695),0)</f>
        <v>0</v>
      </c>
      <c r="O695" s="546">
        <f t="shared" si="70"/>
        <v>0</v>
      </c>
      <c r="P695" s="348"/>
      <c r="Q695" s="341" t="str">
        <f t="shared" si="71"/>
        <v>SI</v>
      </c>
    </row>
    <row r="696" spans="3:17" hidden="1" x14ac:dyDescent="0.25">
      <c r="C696" s="358">
        <v>766</v>
      </c>
      <c r="D696" s="791" t="s">
        <v>244</v>
      </c>
      <c r="E696" s="791"/>
      <c r="F696" s="791"/>
      <c r="G696" s="791"/>
      <c r="H696" s="314" t="s">
        <v>43</v>
      </c>
      <c r="I696" s="515">
        <v>51100</v>
      </c>
      <c r="J696" s="510">
        <f>SUMIFS(APUS!$Y$9:$Y$1486,APUS!$M$9:$M$1486,INSUMOS!C696)</f>
        <v>0</v>
      </c>
      <c r="K696" s="511">
        <f t="shared" si="67"/>
        <v>0</v>
      </c>
      <c r="N696" s="533">
        <f>IFERROR(SUMIFS(APUS!$Z$10:$Z$62,APUS!$N$62:Q1486,INSUMOS!D696),0)</f>
        <v>0</v>
      </c>
      <c r="O696" s="546">
        <f t="shared" si="70"/>
        <v>0</v>
      </c>
      <c r="P696" s="348"/>
      <c r="Q696" s="341" t="str">
        <f t="shared" si="71"/>
        <v>SI</v>
      </c>
    </row>
    <row r="697" spans="3:17" hidden="1" x14ac:dyDescent="0.25">
      <c r="C697" s="358">
        <v>767</v>
      </c>
      <c r="D697" s="791" t="s">
        <v>245</v>
      </c>
      <c r="E697" s="791"/>
      <c r="F697" s="791"/>
      <c r="G697" s="791"/>
      <c r="H697" s="314" t="s">
        <v>36</v>
      </c>
      <c r="I697" s="515">
        <v>425000</v>
      </c>
      <c r="J697" s="510">
        <f>SUMIFS(APUS!$Y$9:$Y$1486,APUS!$M$9:$M$1486,INSUMOS!C697)</f>
        <v>0</v>
      </c>
      <c r="K697" s="511">
        <f t="shared" ref="K697:K760" si="72">+J697*I697</f>
        <v>0</v>
      </c>
      <c r="N697" s="533">
        <f>IFERROR(SUMIFS(APUS!$Z$10:$Z$62,APUS!$N$62:Q1486,INSUMOS!D697),0)</f>
        <v>0</v>
      </c>
      <c r="O697" s="546">
        <f t="shared" si="70"/>
        <v>0</v>
      </c>
      <c r="P697" s="348"/>
      <c r="Q697" s="341" t="str">
        <f t="shared" si="71"/>
        <v>SI</v>
      </c>
    </row>
    <row r="698" spans="3:17" hidden="1" x14ac:dyDescent="0.25">
      <c r="C698" s="358">
        <v>768</v>
      </c>
      <c r="D698" s="791" t="s">
        <v>246</v>
      </c>
      <c r="E698" s="791"/>
      <c r="F698" s="791"/>
      <c r="G698" s="791"/>
      <c r="H698" s="314" t="s">
        <v>36</v>
      </c>
      <c r="I698" s="515">
        <v>175000</v>
      </c>
      <c r="J698" s="510">
        <f>SUMIFS(APUS!$Y$9:$Y$1486,APUS!$M$9:$M$1486,INSUMOS!C698)</f>
        <v>0</v>
      </c>
      <c r="K698" s="511">
        <f t="shared" si="72"/>
        <v>0</v>
      </c>
      <c r="N698" s="533">
        <f>IFERROR(SUMIFS(APUS!$Z$10:$Z$62,APUS!$N$62:Q1486,INSUMOS!D698),0)</f>
        <v>0</v>
      </c>
      <c r="O698" s="546">
        <f t="shared" si="70"/>
        <v>0</v>
      </c>
      <c r="P698" s="348"/>
      <c r="Q698" s="341" t="str">
        <f t="shared" si="71"/>
        <v>SI</v>
      </c>
    </row>
    <row r="699" spans="3:17" hidden="1" x14ac:dyDescent="0.25">
      <c r="C699" s="358">
        <v>769</v>
      </c>
      <c r="D699" s="791" t="s">
        <v>247</v>
      </c>
      <c r="E699" s="791"/>
      <c r="F699" s="791"/>
      <c r="G699" s="791"/>
      <c r="H699" s="314" t="s">
        <v>36</v>
      </c>
      <c r="I699" s="515">
        <v>111900</v>
      </c>
      <c r="J699" s="510">
        <f>SUMIFS(APUS!$Y$9:$Y$1486,APUS!$M$9:$M$1486,INSUMOS!C699)</f>
        <v>0</v>
      </c>
      <c r="K699" s="511">
        <f t="shared" si="72"/>
        <v>0</v>
      </c>
      <c r="N699" s="533">
        <f>IFERROR(SUMIFS(APUS!$Z$10:$Z$62,APUS!$N$62:Q1486,INSUMOS!D699),0)</f>
        <v>0</v>
      </c>
      <c r="O699" s="546">
        <f t="shared" si="70"/>
        <v>0</v>
      </c>
      <c r="P699" s="348"/>
      <c r="Q699" s="341" t="str">
        <f t="shared" si="71"/>
        <v>SI</v>
      </c>
    </row>
    <row r="700" spans="3:17" hidden="1" x14ac:dyDescent="0.25">
      <c r="C700" s="358">
        <v>770</v>
      </c>
      <c r="D700" s="718" t="s">
        <v>491</v>
      </c>
      <c r="E700" s="718"/>
      <c r="F700" s="718"/>
      <c r="G700" s="718"/>
      <c r="H700" s="314" t="s">
        <v>36</v>
      </c>
      <c r="I700" s="515">
        <v>79500</v>
      </c>
      <c r="J700" s="510">
        <f>SUMIFS(APUS!$Y$9:$Y$1486,APUS!$M$9:$M$1486,INSUMOS!C700)</f>
        <v>0</v>
      </c>
      <c r="K700" s="511">
        <f t="shared" si="72"/>
        <v>0</v>
      </c>
      <c r="N700" s="533">
        <f>IFERROR(SUMIFS(APUS!$Z$10:$Z$62,APUS!$N$62:Q1486,INSUMOS!D700),0)</f>
        <v>0</v>
      </c>
      <c r="O700" s="546">
        <f t="shared" si="70"/>
        <v>0</v>
      </c>
      <c r="P700" s="348"/>
      <c r="Q700" s="341" t="str">
        <f t="shared" si="71"/>
        <v>SI</v>
      </c>
    </row>
    <row r="701" spans="3:17" hidden="1" x14ac:dyDescent="0.25">
      <c r="C701" s="358">
        <v>771</v>
      </c>
      <c r="D701" s="718" t="s">
        <v>249</v>
      </c>
      <c r="E701" s="718"/>
      <c r="F701" s="718"/>
      <c r="G701" s="718"/>
      <c r="H701" s="314" t="s">
        <v>36</v>
      </c>
      <c r="I701" s="515">
        <v>175000</v>
      </c>
      <c r="J701" s="510">
        <f>SUMIFS(APUS!$Y$9:$Y$1486,APUS!$M$9:$M$1486,INSUMOS!C701)</f>
        <v>0</v>
      </c>
      <c r="K701" s="511">
        <f t="shared" si="72"/>
        <v>0</v>
      </c>
      <c r="N701" s="533">
        <f>IFERROR(SUMIFS(APUS!$Z$10:$Z$62,APUS!$N$62:Q1486,INSUMOS!D701),0)</f>
        <v>0</v>
      </c>
      <c r="O701" s="546">
        <f t="shared" si="70"/>
        <v>0</v>
      </c>
      <c r="P701" s="348"/>
      <c r="Q701" s="341" t="str">
        <f t="shared" si="71"/>
        <v>SI</v>
      </c>
    </row>
    <row r="702" spans="3:17" hidden="1" x14ac:dyDescent="0.25">
      <c r="C702" s="358">
        <v>772</v>
      </c>
      <c r="D702" s="727" t="s">
        <v>276</v>
      </c>
      <c r="E702" s="727"/>
      <c r="F702" s="727"/>
      <c r="G702" s="727"/>
      <c r="H702" s="516" t="s">
        <v>36</v>
      </c>
      <c r="I702" s="515">
        <v>295000</v>
      </c>
      <c r="J702" s="510">
        <f>SUMIFS(APUS!$Y$9:$Y$1486,APUS!$M$9:$M$1486,INSUMOS!C702)</f>
        <v>0</v>
      </c>
      <c r="K702" s="511">
        <f t="shared" si="72"/>
        <v>0</v>
      </c>
      <c r="N702" s="533">
        <f>IFERROR(SUMIFS(APUS!$Z$10:$Z$62,APUS!$N$62:Q1486,INSUMOS!#REF!),0)</f>
        <v>0</v>
      </c>
      <c r="O702" s="546">
        <f t="shared" si="70"/>
        <v>0</v>
      </c>
      <c r="P702" s="348"/>
      <c r="Q702" s="341" t="str">
        <f t="shared" si="71"/>
        <v>SI</v>
      </c>
    </row>
    <row r="703" spans="3:17" hidden="1" x14ac:dyDescent="0.25">
      <c r="C703" s="358">
        <v>773</v>
      </c>
      <c r="D703" s="727" t="s">
        <v>277</v>
      </c>
      <c r="E703" s="727"/>
      <c r="F703" s="727"/>
      <c r="G703" s="727"/>
      <c r="H703" s="516" t="s">
        <v>36</v>
      </c>
      <c r="I703" s="515">
        <v>592000</v>
      </c>
      <c r="J703" s="510">
        <f>SUMIFS(APUS!$Y$9:$Y$1486,APUS!$M$9:$M$1486,INSUMOS!C703)</f>
        <v>0</v>
      </c>
      <c r="K703" s="511">
        <f t="shared" si="72"/>
        <v>0</v>
      </c>
      <c r="N703" s="533">
        <f>IFERROR(SUMIFS(APUS!$Z$10:$Z$62,APUS!$N$62:Q1486,INSUMOS!#REF!),0)</f>
        <v>0</v>
      </c>
      <c r="O703" s="546">
        <f t="shared" si="70"/>
        <v>0</v>
      </c>
      <c r="P703" s="348"/>
      <c r="Q703" s="341" t="str">
        <f t="shared" si="71"/>
        <v>SI</v>
      </c>
    </row>
    <row r="704" spans="3:17" hidden="1" x14ac:dyDescent="0.25">
      <c r="C704" s="358">
        <v>774</v>
      </c>
      <c r="D704" s="727" t="s">
        <v>629</v>
      </c>
      <c r="E704" s="727"/>
      <c r="F704" s="727"/>
      <c r="G704" s="727"/>
      <c r="H704" s="314" t="s">
        <v>43</v>
      </c>
      <c r="I704" s="515">
        <v>52000</v>
      </c>
      <c r="J704" s="510">
        <f>SUMIFS(APUS!$Y$9:$Y$1486,APUS!$M$9:$M$1486,INSUMOS!C704)</f>
        <v>0</v>
      </c>
      <c r="K704" s="511">
        <f t="shared" si="72"/>
        <v>0</v>
      </c>
      <c r="N704" s="533">
        <f>IFERROR(SUMIFS(APUS!$Z$10:$Z$62,APUS!$N$62:Q1486,INSUMOS!D704),0)</f>
        <v>0</v>
      </c>
      <c r="O704" s="546">
        <f t="shared" si="70"/>
        <v>0</v>
      </c>
      <c r="P704" s="348"/>
      <c r="Q704" s="341" t="str">
        <f t="shared" si="71"/>
        <v>SI</v>
      </c>
    </row>
    <row r="705" spans="3:17" hidden="1" x14ac:dyDescent="0.25">
      <c r="C705" s="358">
        <v>775</v>
      </c>
      <c r="D705" s="727" t="s">
        <v>891</v>
      </c>
      <c r="E705" s="727"/>
      <c r="F705" s="727"/>
      <c r="G705" s="727"/>
      <c r="H705" s="314" t="s">
        <v>35</v>
      </c>
      <c r="I705" s="515">
        <v>24100</v>
      </c>
      <c r="J705" s="510">
        <f>SUMIFS(APUS!$Y$9:$Y$1486,APUS!$M$9:$M$1486,INSUMOS!C705)</f>
        <v>0</v>
      </c>
      <c r="K705" s="511">
        <f t="shared" si="72"/>
        <v>0</v>
      </c>
      <c r="N705" s="533">
        <f>IFERROR(SUMIFS(APUS!$Z$10:$Z$62,APUS!$N$62:Q1486,INSUMOS!D705),0)</f>
        <v>0</v>
      </c>
      <c r="O705" s="546">
        <f t="shared" si="70"/>
        <v>0</v>
      </c>
      <c r="P705" s="348"/>
      <c r="Q705" s="341" t="str">
        <f t="shared" si="71"/>
        <v>SI</v>
      </c>
    </row>
    <row r="706" spans="3:17" hidden="1" x14ac:dyDescent="0.25">
      <c r="C706" s="358">
        <v>776</v>
      </c>
      <c r="D706" s="727" t="s">
        <v>890</v>
      </c>
      <c r="E706" s="727"/>
      <c r="F706" s="727"/>
      <c r="G706" s="727"/>
      <c r="H706" s="314" t="s">
        <v>43</v>
      </c>
      <c r="I706" s="515">
        <v>25500</v>
      </c>
      <c r="J706" s="510">
        <f>SUMIFS(APUS!$Y$9:$Y$1486,APUS!$M$9:$M$1486,INSUMOS!C706)</f>
        <v>0</v>
      </c>
      <c r="K706" s="511">
        <f t="shared" si="72"/>
        <v>0</v>
      </c>
      <c r="N706" s="533">
        <f>IFERROR(SUMIFS(APUS!$Z$10:$Z$62,APUS!$N$62:Q1486,INSUMOS!D706),0)</f>
        <v>0</v>
      </c>
      <c r="O706" s="546">
        <f t="shared" si="70"/>
        <v>0</v>
      </c>
      <c r="P706" s="348"/>
      <c r="Q706" s="341" t="str">
        <f t="shared" si="71"/>
        <v>SI</v>
      </c>
    </row>
    <row r="707" spans="3:17" hidden="1" x14ac:dyDescent="0.25">
      <c r="C707" s="358">
        <v>777</v>
      </c>
      <c r="D707" s="727" t="s">
        <v>892</v>
      </c>
      <c r="E707" s="727"/>
      <c r="F707" s="727"/>
      <c r="G707" s="727"/>
      <c r="H707" s="314" t="s">
        <v>893</v>
      </c>
      <c r="I707" s="515">
        <v>3500</v>
      </c>
      <c r="J707" s="510">
        <f>SUMIFS(APUS!$Y$9:$Y$1486,APUS!$M$9:$M$1486,INSUMOS!C707)</f>
        <v>0</v>
      </c>
      <c r="K707" s="511">
        <f t="shared" si="72"/>
        <v>0</v>
      </c>
      <c r="N707" s="533">
        <f>IFERROR(SUMIFS(APUS!$Z$10:$Z$62,APUS!$N$62:Q1486,INSUMOS!D707),0)</f>
        <v>0</v>
      </c>
      <c r="O707" s="546">
        <f t="shared" si="70"/>
        <v>0</v>
      </c>
      <c r="P707" s="348"/>
      <c r="Q707" s="341" t="str">
        <f t="shared" si="71"/>
        <v>SI</v>
      </c>
    </row>
    <row r="708" spans="3:17" hidden="1" x14ac:dyDescent="0.25">
      <c r="C708" s="358">
        <v>778</v>
      </c>
      <c r="D708" s="727" t="s">
        <v>687</v>
      </c>
      <c r="E708" s="727"/>
      <c r="F708" s="727"/>
      <c r="G708" s="727"/>
      <c r="H708" s="516"/>
      <c r="I708" s="515"/>
      <c r="J708" s="510">
        <f>SUMIFS(APUS!$Y$9:$Y$1486,APUS!$M$9:$M$1486,INSUMOS!C708)</f>
        <v>0</v>
      </c>
      <c r="K708" s="511">
        <f t="shared" si="72"/>
        <v>0</v>
      </c>
      <c r="N708" s="533">
        <f>IFERROR(SUMIFS(APUS!$Z$10:$Z$62,APUS!$N$62:Q1486,INSUMOS!D708),0)</f>
        <v>0</v>
      </c>
      <c r="O708" s="546">
        <f t="shared" si="70"/>
        <v>0</v>
      </c>
      <c r="P708" s="348"/>
      <c r="Q708" s="341" t="str">
        <f t="shared" si="71"/>
        <v>SI</v>
      </c>
    </row>
    <row r="709" spans="3:17" hidden="1" x14ac:dyDescent="0.25">
      <c r="C709" s="358">
        <v>779</v>
      </c>
      <c r="D709" s="727"/>
      <c r="E709" s="727"/>
      <c r="F709" s="727"/>
      <c r="G709" s="727"/>
      <c r="H709" s="516"/>
      <c r="I709" s="515"/>
      <c r="J709" s="510">
        <f>SUMIFS(APUS!$Y$9:$Y$1486,APUS!$M$9:$M$1486,INSUMOS!C709)</f>
        <v>0</v>
      </c>
      <c r="K709" s="511">
        <f t="shared" si="72"/>
        <v>0</v>
      </c>
      <c r="N709" s="533">
        <f>IFERROR(SUMIFS(APUS!$Z$10:$Z$62,APUS!$N$62:Q1486,INSUMOS!D709),0)</f>
        <v>0</v>
      </c>
      <c r="O709" s="546">
        <f t="shared" si="70"/>
        <v>0</v>
      </c>
      <c r="P709" s="348"/>
      <c r="Q709" s="341" t="str">
        <f t="shared" si="71"/>
        <v>SI</v>
      </c>
    </row>
    <row r="710" spans="3:17" hidden="1" x14ac:dyDescent="0.25">
      <c r="C710" s="358">
        <v>780</v>
      </c>
      <c r="D710" s="727"/>
      <c r="E710" s="727"/>
      <c r="F710" s="727"/>
      <c r="G710" s="727"/>
      <c r="H710" s="516"/>
      <c r="I710" s="515"/>
      <c r="J710" s="510">
        <f>SUMIFS(APUS!$Y$9:$Y$1486,APUS!$M$9:$M$1486,INSUMOS!C710)</f>
        <v>0</v>
      </c>
      <c r="K710" s="511">
        <f t="shared" si="72"/>
        <v>0</v>
      </c>
      <c r="N710" s="533">
        <f>IFERROR(SUMIFS(APUS!$Z$10:$Z$62,APUS!$N$62:Q1486,INSUMOS!D710),0)</f>
        <v>0</v>
      </c>
      <c r="O710" s="546">
        <f t="shared" si="70"/>
        <v>0</v>
      </c>
      <c r="P710" s="348"/>
      <c r="Q710" s="341" t="str">
        <f t="shared" si="71"/>
        <v>SI</v>
      </c>
    </row>
    <row r="711" spans="3:17" hidden="1" x14ac:dyDescent="0.25">
      <c r="C711" s="358">
        <v>781</v>
      </c>
      <c r="D711" s="727"/>
      <c r="E711" s="727"/>
      <c r="F711" s="727"/>
      <c r="G711" s="727"/>
      <c r="H711" s="516"/>
      <c r="I711" s="515"/>
      <c r="J711" s="510">
        <f>SUMIFS(APUS!$Y$9:$Y$1486,APUS!$M$9:$M$1486,INSUMOS!C711)</f>
        <v>0</v>
      </c>
      <c r="K711" s="511">
        <f t="shared" si="72"/>
        <v>0</v>
      </c>
      <c r="N711" s="533">
        <f>IFERROR(SUMIFS(APUS!$Z$10:$Z$62,APUS!$N$62:Q1486,INSUMOS!D711),0)</f>
        <v>0</v>
      </c>
      <c r="O711" s="546">
        <f t="shared" si="70"/>
        <v>0</v>
      </c>
      <c r="P711" s="348"/>
      <c r="Q711" s="341" t="str">
        <f t="shared" si="71"/>
        <v>SI</v>
      </c>
    </row>
    <row r="712" spans="3:17" hidden="1" x14ac:dyDescent="0.25">
      <c r="C712" s="358">
        <v>782</v>
      </c>
      <c r="D712" s="727"/>
      <c r="E712" s="727"/>
      <c r="F712" s="727"/>
      <c r="G712" s="727"/>
      <c r="H712" s="516"/>
      <c r="I712" s="515"/>
      <c r="J712" s="510">
        <f>SUMIFS(APUS!$Y$9:$Y$1486,APUS!$M$9:$M$1486,INSUMOS!C712)</f>
        <v>0</v>
      </c>
      <c r="K712" s="511">
        <f t="shared" si="72"/>
        <v>0</v>
      </c>
      <c r="N712" s="533">
        <f>IFERROR(SUMIFS(APUS!$Z$10:$Z$62,APUS!$N$62:Q1486,INSUMOS!D712),0)</f>
        <v>0</v>
      </c>
      <c r="O712" s="546">
        <f t="shared" si="70"/>
        <v>0</v>
      </c>
      <c r="P712" s="348"/>
      <c r="Q712" s="341" t="str">
        <f t="shared" si="71"/>
        <v>SI</v>
      </c>
    </row>
    <row r="713" spans="3:17" hidden="1" x14ac:dyDescent="0.25">
      <c r="C713" s="358">
        <v>783</v>
      </c>
      <c r="D713" s="727" t="s">
        <v>743</v>
      </c>
      <c r="E713" s="727"/>
      <c r="F713" s="727"/>
      <c r="G713" s="727"/>
      <c r="H713" s="516" t="s">
        <v>36</v>
      </c>
      <c r="I713" s="515">
        <v>85000</v>
      </c>
      <c r="J713" s="510">
        <f>SUMIFS(APUS!$Y$9:$Y$1486,APUS!$M$9:$M$1486,INSUMOS!C713)</f>
        <v>0</v>
      </c>
      <c r="K713" s="511">
        <f t="shared" si="72"/>
        <v>0</v>
      </c>
      <c r="N713" s="533">
        <f>IFERROR(SUMIFS(APUS!$Z$10:$Z$62,APUS!$N$62:Q1486,INSUMOS!D713),0)</f>
        <v>0</v>
      </c>
      <c r="O713" s="546">
        <f t="shared" si="70"/>
        <v>0</v>
      </c>
      <c r="P713" s="348"/>
      <c r="Q713" s="341" t="str">
        <f t="shared" si="71"/>
        <v>SI</v>
      </c>
    </row>
    <row r="714" spans="3:17" hidden="1" x14ac:dyDescent="0.25">
      <c r="C714" s="358">
        <v>784</v>
      </c>
      <c r="D714" s="727" t="s">
        <v>688</v>
      </c>
      <c r="E714" s="727"/>
      <c r="F714" s="727"/>
      <c r="G714" s="727"/>
      <c r="H714" s="516" t="s">
        <v>36</v>
      </c>
      <c r="I714" s="515">
        <v>301070</v>
      </c>
      <c r="J714" s="510">
        <f>SUMIFS(APUS!$Y$9:$Y$1486,APUS!$M$9:$M$1486,INSUMOS!C714)</f>
        <v>0</v>
      </c>
      <c r="K714" s="511">
        <f t="shared" si="72"/>
        <v>0</v>
      </c>
      <c r="N714" s="533">
        <f>IFERROR(SUMIFS(APUS!$Z$10:$Z$62,APUS!$N$62:Q1486,INSUMOS!D714),0)</f>
        <v>0</v>
      </c>
      <c r="O714" s="546">
        <f t="shared" si="70"/>
        <v>0</v>
      </c>
      <c r="P714" s="348"/>
      <c r="Q714" s="341" t="str">
        <f t="shared" si="71"/>
        <v>SI</v>
      </c>
    </row>
    <row r="715" spans="3:17" hidden="1" x14ac:dyDescent="0.25">
      <c r="C715" s="358">
        <v>785</v>
      </c>
      <c r="D715" s="727"/>
      <c r="E715" s="727"/>
      <c r="F715" s="727"/>
      <c r="G715" s="727"/>
      <c r="H715" s="516"/>
      <c r="I715" s="515"/>
      <c r="J715" s="510">
        <f>SUMIFS(APUS!$Y$9:$Y$1486,APUS!$M$9:$M$1486,INSUMOS!C715)</f>
        <v>0</v>
      </c>
      <c r="K715" s="511">
        <f t="shared" si="72"/>
        <v>0</v>
      </c>
      <c r="N715" s="533">
        <f>IFERROR(SUMIFS(APUS!$Z$10:$Z$62,APUS!$N$62:Q1486,INSUMOS!D715),0)</f>
        <v>0</v>
      </c>
      <c r="O715" s="546">
        <f t="shared" si="70"/>
        <v>0</v>
      </c>
      <c r="P715" s="348"/>
      <c r="Q715" s="341" t="str">
        <f t="shared" si="71"/>
        <v>SI</v>
      </c>
    </row>
    <row r="716" spans="3:17" hidden="1" x14ac:dyDescent="0.25">
      <c r="C716" s="358">
        <v>786</v>
      </c>
      <c r="D716" s="802" t="s">
        <v>260</v>
      </c>
      <c r="E716" s="802"/>
      <c r="F716" s="802"/>
      <c r="G716" s="802"/>
      <c r="H716" s="516" t="s">
        <v>36</v>
      </c>
      <c r="I716" s="515">
        <v>3500000</v>
      </c>
      <c r="J716" s="510">
        <f>SUMIFS(APUS!$Y$9:$Y$1486,APUS!$M$9:$M$1486,INSUMOS!C716)</f>
        <v>0</v>
      </c>
      <c r="K716" s="511">
        <f t="shared" si="72"/>
        <v>0</v>
      </c>
      <c r="N716" s="533">
        <f>IFERROR(SUMIFS(APUS!$Z$10:$Z$62,APUS!$N$62:Q1486,INSUMOS!D716),0)</f>
        <v>0</v>
      </c>
      <c r="O716" s="546">
        <f t="shared" si="70"/>
        <v>0</v>
      </c>
      <c r="P716" s="348"/>
      <c r="Q716" s="341" t="str">
        <f t="shared" si="71"/>
        <v>SI</v>
      </c>
    </row>
    <row r="717" spans="3:17" ht="15" hidden="1" customHeight="1" x14ac:dyDescent="0.25">
      <c r="C717" s="358">
        <v>787</v>
      </c>
      <c r="D717" s="727" t="s">
        <v>366</v>
      </c>
      <c r="E717" s="727"/>
      <c r="F717" s="727"/>
      <c r="G717" s="727"/>
      <c r="H717" s="516" t="s">
        <v>36</v>
      </c>
      <c r="I717" s="515">
        <v>2950000</v>
      </c>
      <c r="J717" s="510">
        <f>SUMIFS(APUS!$Y$9:$Y$1486,APUS!$M$9:$M$1486,INSUMOS!C717)</f>
        <v>0</v>
      </c>
      <c r="K717" s="511">
        <f t="shared" si="72"/>
        <v>0</v>
      </c>
      <c r="N717" s="533">
        <f>IFERROR(SUMIFS(APUS!$Z$10:$Z$62,APUS!$N$62:Q1486,INSUMOS!D717),0)</f>
        <v>0</v>
      </c>
      <c r="O717" s="546">
        <f t="shared" si="70"/>
        <v>0</v>
      </c>
      <c r="P717" s="348"/>
      <c r="Q717" s="341" t="str">
        <f t="shared" si="71"/>
        <v>SI</v>
      </c>
    </row>
    <row r="718" spans="3:17" hidden="1" x14ac:dyDescent="0.25">
      <c r="C718" s="358">
        <v>788</v>
      </c>
      <c r="D718" s="727" t="s">
        <v>367</v>
      </c>
      <c r="E718" s="727"/>
      <c r="F718" s="727"/>
      <c r="G718" s="727"/>
      <c r="H718" s="516" t="s">
        <v>36</v>
      </c>
      <c r="I718" s="515">
        <v>1991250</v>
      </c>
      <c r="J718" s="510">
        <f>SUMIFS(APUS!$Y$9:$Y$1486,APUS!$M$9:$M$1486,INSUMOS!C718)</f>
        <v>0</v>
      </c>
      <c r="K718" s="511">
        <f t="shared" si="72"/>
        <v>0</v>
      </c>
      <c r="N718" s="533">
        <f>IFERROR(SUMIFS(APUS!$Z$10:$Z$62,APUS!$N$62:Q1486,INSUMOS!D718),0)</f>
        <v>0</v>
      </c>
      <c r="O718" s="546">
        <f t="shared" si="70"/>
        <v>0</v>
      </c>
      <c r="P718" s="348"/>
      <c r="Q718" s="341" t="str">
        <f t="shared" si="71"/>
        <v>SI</v>
      </c>
    </row>
    <row r="719" spans="3:17" hidden="1" x14ac:dyDescent="0.25">
      <c r="C719" s="358">
        <v>789</v>
      </c>
      <c r="D719" s="727" t="s">
        <v>261</v>
      </c>
      <c r="E719" s="727"/>
      <c r="F719" s="727"/>
      <c r="G719" s="727"/>
      <c r="H719" s="516" t="s">
        <v>36</v>
      </c>
      <c r="I719" s="515">
        <v>1032500</v>
      </c>
      <c r="J719" s="510">
        <f>SUMIFS(APUS!$Y$9:$Y$1486,APUS!$M$9:$M$1486,INSUMOS!C719)</f>
        <v>0</v>
      </c>
      <c r="K719" s="511">
        <f t="shared" si="72"/>
        <v>0</v>
      </c>
      <c r="N719" s="533">
        <f>IFERROR(SUMIFS(APUS!$Z$10:$Z$62,APUS!$N$62:Q1486,INSUMOS!D719),0)</f>
        <v>0</v>
      </c>
      <c r="O719" s="546">
        <f t="shared" si="70"/>
        <v>0</v>
      </c>
      <c r="P719" s="348"/>
      <c r="Q719" s="341" t="str">
        <f t="shared" si="71"/>
        <v>SI</v>
      </c>
    </row>
    <row r="720" spans="3:17" hidden="1" x14ac:dyDescent="0.25">
      <c r="C720" s="358">
        <v>790</v>
      </c>
      <c r="D720" s="727" t="s">
        <v>370</v>
      </c>
      <c r="E720" s="727"/>
      <c r="F720" s="727"/>
      <c r="G720" s="727"/>
      <c r="H720" s="516" t="s">
        <v>36</v>
      </c>
      <c r="I720" s="515">
        <v>765400</v>
      </c>
      <c r="J720" s="510">
        <f>SUMIFS(APUS!$Y$9:$Y$1486,APUS!$M$9:$M$1486,INSUMOS!C720)</f>
        <v>0</v>
      </c>
      <c r="K720" s="511">
        <f t="shared" si="72"/>
        <v>0</v>
      </c>
      <c r="N720" s="533">
        <f>IFERROR(SUMIFS(APUS!$Z$10:$Z$62,APUS!$N$62:Q1486,INSUMOS!D720),0)</f>
        <v>0</v>
      </c>
      <c r="O720" s="546">
        <f t="shared" si="70"/>
        <v>0</v>
      </c>
      <c r="P720" s="348"/>
      <c r="Q720" s="341" t="str">
        <f t="shared" si="71"/>
        <v>SI</v>
      </c>
    </row>
    <row r="721" spans="3:17" hidden="1" x14ac:dyDescent="0.25">
      <c r="C721" s="358">
        <v>791</v>
      </c>
      <c r="D721" s="727" t="s">
        <v>600</v>
      </c>
      <c r="E721" s="727"/>
      <c r="F721" s="727"/>
      <c r="G721" s="727"/>
      <c r="H721" s="516" t="s">
        <v>35</v>
      </c>
      <c r="I721" s="515">
        <v>1500</v>
      </c>
      <c r="J721" s="510">
        <f>SUMIFS(APUS!$Y$9:$Y$1486,APUS!$M$9:$M$1486,INSUMOS!C721)</f>
        <v>0</v>
      </c>
      <c r="K721" s="511">
        <f t="shared" si="72"/>
        <v>0</v>
      </c>
      <c r="N721" s="533">
        <f>IFERROR(SUMIFS(APUS!$Z$10:$Z$62,APUS!$N$62:Q1486,INSUMOS!D800),0)</f>
        <v>0</v>
      </c>
      <c r="O721" s="546">
        <f t="shared" si="70"/>
        <v>0</v>
      </c>
      <c r="P721" s="348"/>
      <c r="Q721" s="341" t="str">
        <f t="shared" si="71"/>
        <v>SI</v>
      </c>
    </row>
    <row r="722" spans="3:17" hidden="1" x14ac:dyDescent="0.25">
      <c r="C722" s="358">
        <v>792</v>
      </c>
      <c r="D722" s="727" t="s">
        <v>264</v>
      </c>
      <c r="E722" s="727"/>
      <c r="F722" s="727"/>
      <c r="G722" s="727"/>
      <c r="H722" s="516" t="s">
        <v>36</v>
      </c>
      <c r="I722" s="515">
        <v>295000</v>
      </c>
      <c r="J722" s="510">
        <f>SUMIFS(APUS!$Y$9:$Y$1486,APUS!$M$9:$M$1486,INSUMOS!C722)</f>
        <v>0</v>
      </c>
      <c r="K722" s="511">
        <f t="shared" si="72"/>
        <v>0</v>
      </c>
      <c r="N722" s="533">
        <f>IFERROR(SUMIFS(APUS!$Z$10:$Z$62,APUS!$N$62:Q1486,INSUMOS!D722),0)</f>
        <v>0</v>
      </c>
      <c r="O722" s="546">
        <f t="shared" si="70"/>
        <v>0</v>
      </c>
      <c r="P722" s="348"/>
      <c r="Q722" s="341" t="str">
        <f t="shared" si="71"/>
        <v>SI</v>
      </c>
    </row>
    <row r="723" spans="3:17" hidden="1" x14ac:dyDescent="0.25">
      <c r="C723" s="358">
        <v>793</v>
      </c>
      <c r="D723" s="727" t="s">
        <v>265</v>
      </c>
      <c r="E723" s="727"/>
      <c r="F723" s="727"/>
      <c r="G723" s="727"/>
      <c r="H723" s="516" t="s">
        <v>36</v>
      </c>
      <c r="I723" s="515">
        <v>255000</v>
      </c>
      <c r="J723" s="510">
        <f>SUMIFS(APUS!$Y$9:$Y$1486,APUS!$M$9:$M$1486,INSUMOS!C723)</f>
        <v>0</v>
      </c>
      <c r="K723" s="511">
        <f t="shared" si="72"/>
        <v>0</v>
      </c>
      <c r="N723" s="533">
        <f>IFERROR(SUMIFS(APUS!$Z$10:$Z$62,APUS!$N$62:Q1486,INSUMOS!D723),0)</f>
        <v>0</v>
      </c>
      <c r="O723" s="546">
        <f t="shared" si="70"/>
        <v>0</v>
      </c>
      <c r="P723" s="348"/>
      <c r="Q723" s="341" t="str">
        <f t="shared" si="71"/>
        <v>SI</v>
      </c>
    </row>
    <row r="724" spans="3:17" hidden="1" x14ac:dyDescent="0.25">
      <c r="C724" s="358">
        <v>794</v>
      </c>
      <c r="D724" s="727" t="s">
        <v>266</v>
      </c>
      <c r="E724" s="727"/>
      <c r="F724" s="727"/>
      <c r="G724" s="727"/>
      <c r="H724" s="516" t="s">
        <v>36</v>
      </c>
      <c r="I724" s="515">
        <v>275000</v>
      </c>
      <c r="J724" s="510">
        <f>SUMIFS(APUS!$Y$9:$Y$1486,APUS!$M$9:$M$1486,INSUMOS!C724)</f>
        <v>0</v>
      </c>
      <c r="K724" s="511">
        <f t="shared" si="72"/>
        <v>0</v>
      </c>
      <c r="N724" s="533">
        <f>IFERROR(SUMIFS(APUS!$Z$10:$Z$62,APUS!$N$62:Q1486,INSUMOS!D724),0)</f>
        <v>0</v>
      </c>
      <c r="O724" s="546">
        <f t="shared" si="70"/>
        <v>0</v>
      </c>
      <c r="P724" s="348"/>
      <c r="Q724" s="341" t="str">
        <f t="shared" si="71"/>
        <v>SI</v>
      </c>
    </row>
    <row r="725" spans="3:17" hidden="1" x14ac:dyDescent="0.25">
      <c r="C725" s="358">
        <v>795</v>
      </c>
      <c r="D725" s="727" t="s">
        <v>267</v>
      </c>
      <c r="E725" s="727"/>
      <c r="F725" s="727"/>
      <c r="G725" s="727"/>
      <c r="H725" s="516" t="s">
        <v>36</v>
      </c>
      <c r="I725" s="515">
        <v>535000</v>
      </c>
      <c r="J725" s="510">
        <f>SUMIFS(APUS!$Y$9:$Y$1486,APUS!$M$9:$M$1486,INSUMOS!C725)</f>
        <v>0</v>
      </c>
      <c r="K725" s="511">
        <f t="shared" si="72"/>
        <v>0</v>
      </c>
      <c r="N725" s="533">
        <f>IFERROR(SUMIFS(APUS!$Z$10:$Z$62,APUS!$N$62:Q1486,INSUMOS!D725),0)</f>
        <v>0</v>
      </c>
      <c r="O725" s="546">
        <f t="shared" si="70"/>
        <v>0</v>
      </c>
      <c r="P725" s="348"/>
      <c r="Q725" s="341" t="str">
        <f t="shared" si="71"/>
        <v>SI</v>
      </c>
    </row>
    <row r="726" spans="3:17" hidden="1" x14ac:dyDescent="0.25">
      <c r="C726" s="358">
        <v>796</v>
      </c>
      <c r="D726" s="727" t="s">
        <v>528</v>
      </c>
      <c r="E726" s="727"/>
      <c r="F726" s="727"/>
      <c r="G726" s="727"/>
      <c r="H726" s="516" t="s">
        <v>36</v>
      </c>
      <c r="I726" s="515">
        <v>450000</v>
      </c>
      <c r="J726" s="510">
        <f>SUMIFS(APUS!$Y$9:$Y$1486,APUS!$M$9:$M$1486,INSUMOS!C726)</f>
        <v>0</v>
      </c>
      <c r="K726" s="511">
        <f t="shared" si="72"/>
        <v>0</v>
      </c>
      <c r="N726" s="533">
        <f>IFERROR(SUMIFS(APUS!$Z$10:$Z$62,APUS!$N$62:Q1486,INSUMOS!D726),0)</f>
        <v>0</v>
      </c>
      <c r="O726" s="546">
        <f t="shared" si="70"/>
        <v>0</v>
      </c>
      <c r="P726" s="348"/>
      <c r="Q726" s="341" t="str">
        <f t="shared" si="71"/>
        <v>SI</v>
      </c>
    </row>
    <row r="727" spans="3:17" hidden="1" x14ac:dyDescent="0.25">
      <c r="C727" s="358">
        <v>797</v>
      </c>
      <c r="D727" s="727" t="s">
        <v>674</v>
      </c>
      <c r="E727" s="727"/>
      <c r="F727" s="727"/>
      <c r="G727" s="727"/>
      <c r="H727" s="516" t="s">
        <v>36</v>
      </c>
      <c r="I727" s="515">
        <v>850000</v>
      </c>
      <c r="J727" s="510">
        <f>SUMIFS(APUS!$Y$9:$Y$1486,APUS!$M$9:$M$1486,INSUMOS!C727)</f>
        <v>0</v>
      </c>
      <c r="K727" s="511">
        <f t="shared" si="72"/>
        <v>0</v>
      </c>
      <c r="N727" s="533">
        <f>IFERROR(SUMIFS(APUS!$Z$10:$Z$62,APUS!$N$62:Q1486,INSUMOS!D727),0)</f>
        <v>0</v>
      </c>
      <c r="O727" s="546">
        <f t="shared" si="70"/>
        <v>0</v>
      </c>
      <c r="P727" s="348"/>
      <c r="Q727" s="341" t="str">
        <f t="shared" si="71"/>
        <v>SI</v>
      </c>
    </row>
    <row r="728" spans="3:17" hidden="1" x14ac:dyDescent="0.25">
      <c r="C728" s="358">
        <v>798</v>
      </c>
      <c r="D728" s="806"/>
      <c r="E728" s="806"/>
      <c r="F728" s="806"/>
      <c r="G728" s="806"/>
      <c r="H728" s="412"/>
      <c r="I728" s="515"/>
      <c r="J728" s="510">
        <f>SUMIFS(APUS!$Y$9:$Y$1486,APUS!$M$9:$M$1486,INSUMOS!C728)</f>
        <v>0</v>
      </c>
      <c r="K728" s="511">
        <f t="shared" si="72"/>
        <v>0</v>
      </c>
      <c r="N728" s="533">
        <f>IFERROR(SUMIFS(APUS!$Z$10:$Z$62,APUS!$N$62:Q1486,INSUMOS!D820),0)</f>
        <v>0</v>
      </c>
      <c r="O728" s="546">
        <f t="shared" si="70"/>
        <v>0</v>
      </c>
      <c r="P728" s="348"/>
      <c r="Q728" s="341" t="str">
        <f t="shared" si="71"/>
        <v>SI</v>
      </c>
    </row>
    <row r="729" spans="3:17" hidden="1" x14ac:dyDescent="0.25">
      <c r="C729" s="358">
        <v>799</v>
      </c>
      <c r="D729" s="727" t="s">
        <v>386</v>
      </c>
      <c r="E729" s="727"/>
      <c r="F729" s="727"/>
      <c r="G729" s="727"/>
      <c r="H729" s="516" t="s">
        <v>36</v>
      </c>
      <c r="I729" s="515">
        <v>25000</v>
      </c>
      <c r="J729" s="510">
        <f>SUMIFS(APUS!$Y$9:$Y$1486,APUS!$M$9:$M$1486,INSUMOS!C729)</f>
        <v>0</v>
      </c>
      <c r="K729" s="511">
        <f t="shared" si="72"/>
        <v>0</v>
      </c>
      <c r="N729" s="533">
        <f>IFERROR(SUMIFS(APUS!$Z$10:$Z$62,APUS!$N$62:Q1486,INSUMOS!D729),0)</f>
        <v>0</v>
      </c>
      <c r="O729" s="546">
        <f t="shared" si="70"/>
        <v>0</v>
      </c>
      <c r="P729" s="348"/>
      <c r="Q729" s="341" t="str">
        <f t="shared" si="71"/>
        <v>SI</v>
      </c>
    </row>
    <row r="730" spans="3:17" hidden="1" x14ac:dyDescent="0.25">
      <c r="C730" s="358">
        <v>800</v>
      </c>
      <c r="D730" s="727" t="s">
        <v>387</v>
      </c>
      <c r="E730" s="727"/>
      <c r="F730" s="727"/>
      <c r="G730" s="727"/>
      <c r="H730" s="516" t="s">
        <v>36</v>
      </c>
      <c r="I730" s="515">
        <v>98000</v>
      </c>
      <c r="J730" s="510">
        <f>SUMIFS(APUS!$Y$9:$Y$1486,APUS!$M$9:$M$1486,INSUMOS!C730)</f>
        <v>0</v>
      </c>
      <c r="K730" s="511">
        <f t="shared" si="72"/>
        <v>0</v>
      </c>
      <c r="N730" s="533">
        <f>IFERROR(SUMIFS(APUS!$Z$10:$Z$62,APUS!$N$62:Q1486,INSUMOS!D730),0)</f>
        <v>0</v>
      </c>
      <c r="O730" s="546">
        <f t="shared" si="70"/>
        <v>0</v>
      </c>
      <c r="P730" s="348"/>
      <c r="Q730" s="341" t="str">
        <f t="shared" si="71"/>
        <v>SI</v>
      </c>
    </row>
    <row r="731" spans="3:17" hidden="1" x14ac:dyDescent="0.25">
      <c r="C731" s="358">
        <v>801</v>
      </c>
      <c r="D731" s="727" t="s">
        <v>273</v>
      </c>
      <c r="E731" s="727"/>
      <c r="F731" s="727"/>
      <c r="G731" s="727"/>
      <c r="H731" s="516" t="s">
        <v>36</v>
      </c>
      <c r="I731" s="515">
        <v>95200</v>
      </c>
      <c r="J731" s="510">
        <f>SUMIFS(APUS!$Y$9:$Y$1486,APUS!$M$9:$M$1486,INSUMOS!C731)</f>
        <v>0</v>
      </c>
      <c r="K731" s="511">
        <f t="shared" si="72"/>
        <v>0</v>
      </c>
      <c r="N731" s="533">
        <f>IFERROR(SUMIFS(APUS!$Z$10:$Z$62,APUS!$N$62:Q1486,INSUMOS!D731),0)</f>
        <v>0</v>
      </c>
      <c r="O731" s="546">
        <f t="shared" si="70"/>
        <v>0</v>
      </c>
      <c r="P731" s="348"/>
      <c r="Q731" s="341" t="str">
        <f t="shared" si="71"/>
        <v>SI</v>
      </c>
    </row>
    <row r="732" spans="3:17" hidden="1" x14ac:dyDescent="0.25">
      <c r="C732" s="358">
        <v>802</v>
      </c>
      <c r="D732" s="727" t="s">
        <v>274</v>
      </c>
      <c r="E732" s="727"/>
      <c r="F732" s="727"/>
      <c r="G732" s="727"/>
      <c r="H732" s="516" t="s">
        <v>36</v>
      </c>
      <c r="I732" s="515">
        <v>750000</v>
      </c>
      <c r="J732" s="510">
        <f>SUMIFS(APUS!$Y$9:$Y$1486,APUS!$M$9:$M$1486,INSUMOS!C732)</f>
        <v>0</v>
      </c>
      <c r="K732" s="511">
        <f t="shared" si="72"/>
        <v>0</v>
      </c>
      <c r="N732" s="533">
        <f>IFERROR(SUMIFS(APUS!$Z$10:$Z$62,APUS!$N$62:Q1486,INSUMOS!D732),0)</f>
        <v>0</v>
      </c>
      <c r="O732" s="546">
        <f t="shared" si="70"/>
        <v>0</v>
      </c>
      <c r="P732" s="348"/>
      <c r="Q732" s="341" t="str">
        <f t="shared" si="71"/>
        <v>SI</v>
      </c>
    </row>
    <row r="733" spans="3:17" hidden="1" x14ac:dyDescent="0.25">
      <c r="C733" s="358">
        <v>803</v>
      </c>
      <c r="D733" s="727" t="s">
        <v>275</v>
      </c>
      <c r="E733" s="727"/>
      <c r="F733" s="727"/>
      <c r="G733" s="727"/>
      <c r="H733" s="516" t="s">
        <v>36</v>
      </c>
      <c r="I733" s="515">
        <v>425000</v>
      </c>
      <c r="J733" s="510">
        <f>SUMIFS(APUS!$Y$9:$Y$1486,APUS!$M$9:$M$1486,INSUMOS!C733)</f>
        <v>0</v>
      </c>
      <c r="K733" s="511">
        <f t="shared" si="72"/>
        <v>0</v>
      </c>
      <c r="N733" s="533">
        <f>IFERROR(SUMIFS(APUS!$Z$10:$Z$62,APUS!$N$62:Q1486,INSUMOS!D733),0)</f>
        <v>0</v>
      </c>
      <c r="O733" s="546">
        <f t="shared" si="70"/>
        <v>0</v>
      </c>
      <c r="P733" s="348"/>
      <c r="Q733" s="341" t="str">
        <f t="shared" si="71"/>
        <v>SI</v>
      </c>
    </row>
    <row r="734" spans="3:17" hidden="1" x14ac:dyDescent="0.25">
      <c r="C734" s="358">
        <v>804</v>
      </c>
      <c r="D734" s="727" t="s">
        <v>379</v>
      </c>
      <c r="E734" s="727"/>
      <c r="F734" s="727"/>
      <c r="G734" s="727"/>
      <c r="H734" s="516" t="s">
        <v>36</v>
      </c>
      <c r="I734" s="515">
        <v>251000</v>
      </c>
      <c r="J734" s="510">
        <f>SUMIFS(APUS!$Y$9:$Y$1486,APUS!$M$9:$M$1486,INSUMOS!C734)</f>
        <v>0</v>
      </c>
      <c r="K734" s="511">
        <f t="shared" si="72"/>
        <v>0</v>
      </c>
      <c r="N734" s="533">
        <f>IFERROR(SUMIFS(APUS!$Z$10:$Z$62,APUS!$N$62:Q1486,INSUMOS!D734),0)</f>
        <v>0</v>
      </c>
      <c r="O734" s="546">
        <f t="shared" si="70"/>
        <v>0</v>
      </c>
      <c r="P734" s="348"/>
      <c r="Q734" s="341" t="str">
        <f t="shared" si="71"/>
        <v>SI</v>
      </c>
    </row>
    <row r="735" spans="3:17" hidden="1" x14ac:dyDescent="0.25">
      <c r="C735" s="358">
        <v>805</v>
      </c>
      <c r="D735" s="727" t="s">
        <v>380</v>
      </c>
      <c r="E735" s="727"/>
      <c r="F735" s="727"/>
      <c r="G735" s="727"/>
      <c r="H735" s="516" t="s">
        <v>36</v>
      </c>
      <c r="I735" s="515">
        <v>251000</v>
      </c>
      <c r="J735" s="510">
        <f>SUMIFS(APUS!$Y$9:$Y$1486,APUS!$M$9:$M$1486,INSUMOS!C735)</f>
        <v>0</v>
      </c>
      <c r="K735" s="511">
        <f t="shared" si="72"/>
        <v>0</v>
      </c>
      <c r="N735" s="533">
        <f>IFERROR(SUMIFS(APUS!$Z$10:$Z$62,APUS!$N$62:Q1486,INSUMOS!D702),0)</f>
        <v>0</v>
      </c>
      <c r="O735" s="546">
        <f t="shared" si="70"/>
        <v>0</v>
      </c>
      <c r="P735" s="348"/>
      <c r="Q735" s="341" t="str">
        <f t="shared" si="71"/>
        <v>SI</v>
      </c>
    </row>
    <row r="736" spans="3:17" hidden="1" x14ac:dyDescent="0.25">
      <c r="C736" s="358">
        <v>806</v>
      </c>
      <c r="D736" s="727" t="s">
        <v>637</v>
      </c>
      <c r="E736" s="727"/>
      <c r="F736" s="727"/>
      <c r="G736" s="727"/>
      <c r="H736" s="516" t="s">
        <v>36</v>
      </c>
      <c r="I736" s="515">
        <v>198000</v>
      </c>
      <c r="J736" s="510">
        <f>SUMIFS(APUS!$Y$9:$Y$1486,APUS!$M$9:$M$1486,INSUMOS!C736)</f>
        <v>0</v>
      </c>
      <c r="K736" s="511">
        <f t="shared" si="72"/>
        <v>0</v>
      </c>
      <c r="N736" s="533">
        <f>IFERROR(SUMIFS(APUS!$Z$10:$Z$62,APUS!$N$62:Q1486,INSUMOS!D703),0)</f>
        <v>0</v>
      </c>
      <c r="O736" s="546">
        <f t="shared" si="70"/>
        <v>0</v>
      </c>
      <c r="P736" s="348"/>
      <c r="Q736" s="341" t="str">
        <f t="shared" si="71"/>
        <v>SI</v>
      </c>
    </row>
    <row r="737" spans="3:17" hidden="1" x14ac:dyDescent="0.25">
      <c r="C737" s="358">
        <v>807</v>
      </c>
      <c r="D737" s="727" t="s">
        <v>278</v>
      </c>
      <c r="E737" s="727"/>
      <c r="F737" s="727"/>
      <c r="G737" s="727"/>
      <c r="H737" s="516" t="s">
        <v>36</v>
      </c>
      <c r="I737" s="515">
        <v>713000</v>
      </c>
      <c r="J737" s="510">
        <f>SUMIFS(APUS!$Y$9:$Y$1486,APUS!$M$9:$M$1486,INSUMOS!C737)</f>
        <v>0</v>
      </c>
      <c r="K737" s="511">
        <f t="shared" si="72"/>
        <v>0</v>
      </c>
      <c r="N737" s="533">
        <f>IFERROR(SUMIFS(APUS!$Z$10:$Z$62,APUS!$N$62:Q1486,INSUMOS!D737),0)</f>
        <v>0</v>
      </c>
      <c r="O737" s="546">
        <f t="shared" si="70"/>
        <v>0</v>
      </c>
      <c r="P737" s="348"/>
      <c r="Q737" s="341" t="str">
        <f t="shared" si="71"/>
        <v>SI</v>
      </c>
    </row>
    <row r="738" spans="3:17" hidden="1" x14ac:dyDescent="0.25">
      <c r="C738" s="358">
        <v>808</v>
      </c>
      <c r="D738" s="727" t="s">
        <v>690</v>
      </c>
      <c r="E738" s="727"/>
      <c r="F738" s="727"/>
      <c r="G738" s="727"/>
      <c r="H738" s="516" t="s">
        <v>36</v>
      </c>
      <c r="I738" s="515">
        <v>450000</v>
      </c>
      <c r="J738" s="510">
        <f>SUMIFS(APUS!$Y$9:$Y$1486,APUS!$M$9:$M$1486,INSUMOS!C738)</f>
        <v>0</v>
      </c>
      <c r="K738" s="511">
        <f t="shared" si="72"/>
        <v>0</v>
      </c>
      <c r="N738" s="533">
        <f>IFERROR(SUMIFS(APUS!$Z$10:$Z$62,APUS!$N$62:Q1486,INSUMOS!D738),0)</f>
        <v>0</v>
      </c>
      <c r="O738" s="546">
        <f t="shared" si="70"/>
        <v>0</v>
      </c>
      <c r="P738" s="348"/>
      <c r="Q738" s="341" t="str">
        <f t="shared" si="71"/>
        <v>SI</v>
      </c>
    </row>
    <row r="739" spans="3:17" hidden="1" x14ac:dyDescent="0.25">
      <c r="C739" s="358">
        <v>809</v>
      </c>
      <c r="D739" s="727"/>
      <c r="E739" s="727"/>
      <c r="F739" s="727"/>
      <c r="G739" s="727"/>
      <c r="H739" s="516"/>
      <c r="I739" s="515"/>
      <c r="J739" s="510">
        <f>SUMIFS(APUS!$Y$9:$Y$1486,APUS!$M$9:$M$1486,INSUMOS!C739)</f>
        <v>0</v>
      </c>
      <c r="K739" s="511">
        <f t="shared" si="72"/>
        <v>0</v>
      </c>
      <c r="N739" s="533">
        <f>IFERROR(SUMIFS(APUS!$Z$10:$Z$62,APUS!$N$62:Q1486,INSUMOS!D739),0)</f>
        <v>0</v>
      </c>
      <c r="O739" s="546">
        <f t="shared" si="70"/>
        <v>0</v>
      </c>
      <c r="P739" s="348"/>
      <c r="Q739" s="341" t="str">
        <f t="shared" si="71"/>
        <v>SI</v>
      </c>
    </row>
    <row r="740" spans="3:17" hidden="1" x14ac:dyDescent="0.25">
      <c r="C740" s="358">
        <v>810</v>
      </c>
      <c r="D740" s="727"/>
      <c r="E740" s="727"/>
      <c r="F740" s="727"/>
      <c r="G740" s="727"/>
      <c r="H740" s="516"/>
      <c r="I740" s="515"/>
      <c r="J740" s="510">
        <f>SUMIFS(APUS!$Y$9:$Y$1486,APUS!$M$9:$M$1486,INSUMOS!C740)</f>
        <v>0</v>
      </c>
      <c r="K740" s="511">
        <f t="shared" si="72"/>
        <v>0</v>
      </c>
      <c r="N740" s="533">
        <f>IFERROR(SUMIFS(APUS!$Z$10:$Z$62,APUS!$N$62:Q1486,INSUMOS!D740),0)</f>
        <v>0</v>
      </c>
      <c r="O740" s="546">
        <f t="shared" si="70"/>
        <v>0</v>
      </c>
      <c r="P740" s="348"/>
      <c r="Q740" s="341" t="str">
        <f t="shared" si="71"/>
        <v>SI</v>
      </c>
    </row>
    <row r="741" spans="3:17" hidden="1" x14ac:dyDescent="0.25">
      <c r="C741" s="358">
        <v>811</v>
      </c>
      <c r="D741" s="801"/>
      <c r="E741" s="801"/>
      <c r="F741" s="801"/>
      <c r="G741" s="801"/>
      <c r="H741" s="534"/>
      <c r="I741" s="515"/>
      <c r="J741" s="510">
        <f>SUMIFS(APUS!$Y$9:$Y$1486,APUS!$M$9:$M$1486,INSUMOS!C741)</f>
        <v>0</v>
      </c>
      <c r="K741" s="511">
        <f t="shared" si="72"/>
        <v>0</v>
      </c>
      <c r="N741" s="533">
        <f>IFERROR(SUMIFS(APUS!$Z$10:$Z$62,APUS!$N$62:Q1486,INSUMOS!D741),0)</f>
        <v>0</v>
      </c>
      <c r="O741" s="546">
        <f t="shared" si="70"/>
        <v>0</v>
      </c>
      <c r="P741" s="348"/>
      <c r="Q741" s="341" t="str">
        <f t="shared" si="71"/>
        <v>SI</v>
      </c>
    </row>
    <row r="742" spans="3:17" hidden="1" x14ac:dyDescent="0.25">
      <c r="C742" s="358">
        <v>812</v>
      </c>
      <c r="D742" s="727"/>
      <c r="E742" s="727"/>
      <c r="F742" s="727"/>
      <c r="G742" s="727"/>
      <c r="H742" s="516"/>
      <c r="I742" s="515"/>
      <c r="J742" s="510">
        <f>SUMIFS(APUS!$Y$9:$Y$1486,APUS!$M$9:$M$1486,INSUMOS!C742)</f>
        <v>0</v>
      </c>
      <c r="K742" s="511">
        <f t="shared" si="72"/>
        <v>0</v>
      </c>
      <c r="N742" s="533">
        <f>IFERROR(SUMIFS(APUS!$Z$10:$Z$62,APUS!$N$62:Q1486,INSUMOS!D742),0)</f>
        <v>0</v>
      </c>
      <c r="O742" s="546">
        <f t="shared" si="70"/>
        <v>0</v>
      </c>
      <c r="P742" s="348"/>
      <c r="Q742" s="341" t="str">
        <f t="shared" si="71"/>
        <v>SI</v>
      </c>
    </row>
    <row r="743" spans="3:17" hidden="1" x14ac:dyDescent="0.25">
      <c r="C743" s="358">
        <v>813</v>
      </c>
      <c r="D743" s="727" t="s">
        <v>279</v>
      </c>
      <c r="E743" s="727"/>
      <c r="F743" s="727"/>
      <c r="G743" s="727"/>
      <c r="H743" s="516" t="s">
        <v>36</v>
      </c>
      <c r="I743" s="515">
        <v>13000</v>
      </c>
      <c r="J743" s="510">
        <f>SUMIFS(APUS!$Y$9:$Y$1486,APUS!$M$9:$M$1486,INSUMOS!C743)</f>
        <v>0</v>
      </c>
      <c r="K743" s="511">
        <f t="shared" si="72"/>
        <v>0</v>
      </c>
      <c r="N743" s="533">
        <f>IFERROR(SUMIFS(APUS!$Z$10:$Z$62,APUS!$N$62:Q1486,INSUMOS!D743),0)</f>
        <v>0</v>
      </c>
      <c r="O743" s="546">
        <f t="shared" si="70"/>
        <v>0</v>
      </c>
      <c r="P743" s="348"/>
      <c r="Q743" s="341" t="str">
        <f t="shared" si="71"/>
        <v>SI</v>
      </c>
    </row>
    <row r="744" spans="3:17" hidden="1" x14ac:dyDescent="0.25">
      <c r="C744" s="358">
        <v>814</v>
      </c>
      <c r="D744" s="727" t="s">
        <v>280</v>
      </c>
      <c r="E744" s="727"/>
      <c r="F744" s="727"/>
      <c r="G744" s="727"/>
      <c r="H744" s="516" t="s">
        <v>36</v>
      </c>
      <c r="I744" s="515">
        <v>11500000</v>
      </c>
      <c r="J744" s="510">
        <f>SUMIFS(APUS!$Y$9:$Y$1486,APUS!$M$9:$M$1486,INSUMOS!C744)</f>
        <v>0</v>
      </c>
      <c r="K744" s="511">
        <f t="shared" si="72"/>
        <v>0</v>
      </c>
      <c r="N744" s="533">
        <f>IFERROR(SUMIFS(APUS!$Z$10:$Z$62,APUS!$N$62:Q1486,INSUMOS!D744),0)</f>
        <v>0</v>
      </c>
      <c r="O744" s="546">
        <f t="shared" si="70"/>
        <v>0</v>
      </c>
      <c r="P744" s="348"/>
      <c r="Q744" s="341" t="str">
        <f t="shared" si="71"/>
        <v>SI</v>
      </c>
    </row>
    <row r="745" spans="3:17" hidden="1" x14ac:dyDescent="0.25">
      <c r="C745" s="358">
        <v>815</v>
      </c>
      <c r="D745" s="727"/>
      <c r="E745" s="727"/>
      <c r="F745" s="727"/>
      <c r="G745" s="727"/>
      <c r="H745" s="516"/>
      <c r="I745" s="515"/>
      <c r="J745" s="510">
        <f>SUMIFS(APUS!$Y$9:$Y$1486,APUS!$M$9:$M$1486,INSUMOS!C745)</f>
        <v>0</v>
      </c>
      <c r="K745" s="511">
        <f t="shared" si="72"/>
        <v>0</v>
      </c>
      <c r="N745" s="533">
        <f>IFERROR(SUMIFS(APUS!$Z$10:$Z$62,APUS!$N$62:Q1486,INSUMOS!D745),0)</f>
        <v>0</v>
      </c>
      <c r="O745" s="546">
        <f t="shared" si="70"/>
        <v>0</v>
      </c>
      <c r="P745" s="348"/>
      <c r="Q745" s="341" t="str">
        <f t="shared" si="71"/>
        <v>SI</v>
      </c>
    </row>
    <row r="746" spans="3:17" hidden="1" x14ac:dyDescent="0.25">
      <c r="C746" s="358">
        <v>816</v>
      </c>
      <c r="D746" s="727"/>
      <c r="E746" s="727"/>
      <c r="F746" s="727"/>
      <c r="G746" s="727"/>
      <c r="H746" s="516"/>
      <c r="I746" s="515"/>
      <c r="J746" s="510">
        <f>SUMIFS(APUS!$Y$9:$Y$1486,APUS!$M$9:$M$1486,INSUMOS!C746)</f>
        <v>0</v>
      </c>
      <c r="K746" s="511">
        <f t="shared" si="72"/>
        <v>0</v>
      </c>
      <c r="N746" s="533">
        <f>IFERROR(SUMIFS(APUS!$Z$10:$Z$62,APUS!$N$62:Q1486,INSUMOS!D746),0)</f>
        <v>0</v>
      </c>
      <c r="O746" s="546">
        <f t="shared" si="70"/>
        <v>0</v>
      </c>
      <c r="P746" s="348"/>
      <c r="Q746" s="341" t="str">
        <f t="shared" si="71"/>
        <v>SI</v>
      </c>
    </row>
    <row r="747" spans="3:17" hidden="1" x14ac:dyDescent="0.25">
      <c r="C747" s="358">
        <v>817</v>
      </c>
      <c r="D747" s="727"/>
      <c r="E747" s="727"/>
      <c r="F747" s="727"/>
      <c r="G747" s="727"/>
      <c r="H747" s="516"/>
      <c r="I747" s="515"/>
      <c r="J747" s="510">
        <f>SUMIFS(APUS!$Y$9:$Y$1486,APUS!$M$9:$M$1486,INSUMOS!C747)</f>
        <v>0</v>
      </c>
      <c r="K747" s="511">
        <f t="shared" si="72"/>
        <v>0</v>
      </c>
      <c r="N747" s="533">
        <f>IFERROR(SUMIFS(APUS!$Z$10:$Z$62,APUS!$N$62:Q1486,INSUMOS!D747),0)</f>
        <v>0</v>
      </c>
      <c r="O747" s="546">
        <f t="shared" si="70"/>
        <v>0</v>
      </c>
      <c r="P747" s="348"/>
      <c r="Q747" s="341" t="str">
        <f t="shared" si="71"/>
        <v>SI</v>
      </c>
    </row>
    <row r="748" spans="3:17" hidden="1" x14ac:dyDescent="0.25">
      <c r="C748" s="358">
        <v>818</v>
      </c>
      <c r="D748" s="727"/>
      <c r="E748" s="727"/>
      <c r="F748" s="727"/>
      <c r="G748" s="727"/>
      <c r="H748" s="516"/>
      <c r="I748" s="515"/>
      <c r="J748" s="510">
        <f>SUMIFS(APUS!$Y$9:$Y$1486,APUS!$M$9:$M$1486,INSUMOS!C748)</f>
        <v>0</v>
      </c>
      <c r="K748" s="511">
        <f t="shared" si="72"/>
        <v>0</v>
      </c>
      <c r="N748" s="533">
        <f>IFERROR(SUMIFS(APUS!$Z$10:$Z$62,APUS!$N$62:Q1486,INSUMOS!D748),0)</f>
        <v>0</v>
      </c>
      <c r="O748" s="546">
        <f t="shared" si="70"/>
        <v>0</v>
      </c>
      <c r="P748" s="348"/>
      <c r="Q748" s="341" t="str">
        <f t="shared" si="71"/>
        <v>SI</v>
      </c>
    </row>
    <row r="749" spans="3:17" hidden="1" x14ac:dyDescent="0.25">
      <c r="C749" s="358">
        <v>819</v>
      </c>
      <c r="D749" s="727"/>
      <c r="E749" s="727"/>
      <c r="F749" s="727"/>
      <c r="G749" s="727"/>
      <c r="H749" s="516"/>
      <c r="I749" s="515"/>
      <c r="J749" s="510">
        <f>SUMIFS(APUS!$Y$9:$Y$1486,APUS!$M$9:$M$1486,INSUMOS!C749)</f>
        <v>0</v>
      </c>
      <c r="K749" s="511">
        <f t="shared" si="72"/>
        <v>0</v>
      </c>
      <c r="N749" s="533">
        <f>IFERROR(SUMIFS(APUS!$Z$10:$Z$62,APUS!$N$62:Q1486,INSUMOS!D749),0)</f>
        <v>0</v>
      </c>
      <c r="O749" s="546">
        <f t="shared" si="70"/>
        <v>0</v>
      </c>
      <c r="P749" s="348"/>
      <c r="Q749" s="341" t="str">
        <f t="shared" si="71"/>
        <v>SI</v>
      </c>
    </row>
    <row r="750" spans="3:17" hidden="1" x14ac:dyDescent="0.25">
      <c r="C750" s="358">
        <v>820</v>
      </c>
      <c r="D750" s="727"/>
      <c r="E750" s="727"/>
      <c r="F750" s="727"/>
      <c r="G750" s="727"/>
      <c r="H750" s="516"/>
      <c r="I750" s="515"/>
      <c r="J750" s="510">
        <f>SUMIFS(APUS!$Y$9:$Y$1486,APUS!$M$9:$M$1486,INSUMOS!C750)</f>
        <v>0</v>
      </c>
      <c r="K750" s="511">
        <f t="shared" si="72"/>
        <v>0</v>
      </c>
      <c r="N750" s="533">
        <f>IFERROR(SUMIFS(APUS!$Z$10:$Z$62,APUS!$N$62:Q1486,INSUMOS!D750),0)</f>
        <v>0</v>
      </c>
      <c r="O750" s="546">
        <f t="shared" si="70"/>
        <v>0</v>
      </c>
      <c r="P750" s="348"/>
      <c r="Q750" s="341" t="str">
        <f t="shared" si="71"/>
        <v>SI</v>
      </c>
    </row>
    <row r="751" spans="3:17" hidden="1" x14ac:dyDescent="0.25">
      <c r="C751" s="358">
        <v>821</v>
      </c>
      <c r="D751" s="727" t="s">
        <v>271</v>
      </c>
      <c r="E751" s="727"/>
      <c r="F751" s="727"/>
      <c r="G751" s="727"/>
      <c r="H751" s="516" t="s">
        <v>36</v>
      </c>
      <c r="I751" s="515">
        <v>600000</v>
      </c>
      <c r="J751" s="510">
        <f>SUMIFS(APUS!$Y$9:$Y$1486,APUS!$M$9:$M$1486,INSUMOS!C751)</f>
        <v>0</v>
      </c>
      <c r="K751" s="511">
        <f t="shared" si="72"/>
        <v>0</v>
      </c>
      <c r="N751" s="533">
        <f>IFERROR(SUMIFS(APUS!$Z$10:$Z$62,APUS!$N$62:Q1486,INSUMOS!D751),0)</f>
        <v>0</v>
      </c>
      <c r="O751" s="546">
        <f t="shared" si="70"/>
        <v>0</v>
      </c>
      <c r="P751" s="348"/>
      <c r="Q751" s="341" t="str">
        <f t="shared" si="71"/>
        <v>SI</v>
      </c>
    </row>
    <row r="752" spans="3:17" hidden="1" x14ac:dyDescent="0.25">
      <c r="C752" s="358">
        <v>822</v>
      </c>
      <c r="D752" s="727" t="s">
        <v>369</v>
      </c>
      <c r="E752" s="727"/>
      <c r="F752" s="727"/>
      <c r="G752" s="727"/>
      <c r="H752" s="516" t="s">
        <v>36</v>
      </c>
      <c r="I752" s="515">
        <v>355000</v>
      </c>
      <c r="J752" s="510">
        <f>SUMIFS(APUS!$Y$9:$Y$1486,APUS!$M$9:$M$1486,INSUMOS!C752)</f>
        <v>0</v>
      </c>
      <c r="K752" s="511">
        <f t="shared" si="72"/>
        <v>0</v>
      </c>
      <c r="N752" s="533">
        <f>IFERROR(SUMIFS(APUS!$Z$10:$Z$62,APUS!$N$62:Q1486,INSUMOS!D752),0)</f>
        <v>0</v>
      </c>
      <c r="O752" s="546">
        <f t="shared" si="70"/>
        <v>0</v>
      </c>
      <c r="P752" s="348"/>
      <c r="Q752" s="341" t="str">
        <f t="shared" si="71"/>
        <v>SI</v>
      </c>
    </row>
    <row r="753" spans="3:17" hidden="1" x14ac:dyDescent="0.25">
      <c r="C753" s="358">
        <v>823</v>
      </c>
      <c r="D753" s="727" t="s">
        <v>368</v>
      </c>
      <c r="E753" s="727"/>
      <c r="F753" s="727"/>
      <c r="G753" s="727"/>
      <c r="H753" s="516" t="s">
        <v>36</v>
      </c>
      <c r="I753" s="515">
        <v>249500</v>
      </c>
      <c r="J753" s="510">
        <f>SUMIFS(APUS!$Y$9:$Y$1486,APUS!$M$9:$M$1486,INSUMOS!C753)</f>
        <v>0</v>
      </c>
      <c r="K753" s="511">
        <f t="shared" si="72"/>
        <v>0</v>
      </c>
      <c r="N753" s="533">
        <f>IFERROR(SUMIFS(APUS!$Z$10:$Z$62,APUS!$N$62:Q1486,INSUMOS!D753),0)</f>
        <v>0</v>
      </c>
      <c r="O753" s="546">
        <f t="shared" si="70"/>
        <v>0</v>
      </c>
      <c r="P753" s="348"/>
      <c r="Q753" s="341" t="str">
        <f t="shared" si="71"/>
        <v>SI</v>
      </c>
    </row>
    <row r="754" spans="3:17" hidden="1" x14ac:dyDescent="0.25">
      <c r="C754" s="358">
        <v>824</v>
      </c>
      <c r="D754" s="727" t="s">
        <v>272</v>
      </c>
      <c r="E754" s="727"/>
      <c r="F754" s="727"/>
      <c r="G754" s="727"/>
      <c r="H754" s="516" t="s">
        <v>36</v>
      </c>
      <c r="I754" s="515">
        <v>157500</v>
      </c>
      <c r="J754" s="510">
        <f>SUMIFS(APUS!$Y$9:$Y$1486,APUS!$M$9:$M$1486,INSUMOS!C754)</f>
        <v>0</v>
      </c>
      <c r="K754" s="511">
        <f t="shared" si="72"/>
        <v>0</v>
      </c>
      <c r="N754" s="533">
        <f>IFERROR(SUMIFS(APUS!$Z$10:$Z$62,APUS!$N$62:Q1486,INSUMOS!D754),0)</f>
        <v>0</v>
      </c>
      <c r="O754" s="546">
        <f t="shared" si="70"/>
        <v>0</v>
      </c>
      <c r="P754" s="348"/>
      <c r="Q754" s="341" t="str">
        <f t="shared" si="71"/>
        <v>SI</v>
      </c>
    </row>
    <row r="755" spans="3:17" hidden="1" x14ac:dyDescent="0.25">
      <c r="C755" s="358">
        <v>825</v>
      </c>
      <c r="D755" s="727" t="s">
        <v>371</v>
      </c>
      <c r="E755" s="727"/>
      <c r="F755" s="727"/>
      <c r="G755" s="727"/>
      <c r="H755" s="516" t="s">
        <v>36</v>
      </c>
      <c r="I755" s="515">
        <v>98500</v>
      </c>
      <c r="J755" s="510">
        <f>SUMIFS(APUS!$Y$9:$Y$1486,APUS!$M$9:$M$1486,INSUMOS!C755)</f>
        <v>0</v>
      </c>
      <c r="K755" s="511">
        <f t="shared" si="72"/>
        <v>0</v>
      </c>
      <c r="N755" s="533">
        <f>IFERROR(SUMIFS(APUS!$Z$10:$Z$62,APUS!$N$62:Q1486,INSUMOS!D755),0)</f>
        <v>0</v>
      </c>
      <c r="O755" s="546">
        <f t="shared" si="70"/>
        <v>0</v>
      </c>
      <c r="P755" s="348"/>
      <c r="Q755" s="341" t="str">
        <f t="shared" si="71"/>
        <v>SI</v>
      </c>
    </row>
    <row r="756" spans="3:17" hidden="1" x14ac:dyDescent="0.25">
      <c r="C756" s="358">
        <v>826</v>
      </c>
      <c r="D756" s="727"/>
      <c r="E756" s="727"/>
      <c r="F756" s="727"/>
      <c r="G756" s="727"/>
      <c r="H756" s="516"/>
      <c r="I756" s="515"/>
      <c r="J756" s="510">
        <f>SUMIFS(APUS!$Y$9:$Y$1486,APUS!$M$9:$M$1486,INSUMOS!C756)</f>
        <v>0</v>
      </c>
      <c r="K756" s="511">
        <f t="shared" si="72"/>
        <v>0</v>
      </c>
      <c r="N756" s="533">
        <f>IFERROR(SUMIFS(APUS!$Z$10:$Z$62,APUS!$N$62:Q1486,INSUMOS!D756),0)</f>
        <v>0</v>
      </c>
      <c r="O756" s="546">
        <f t="shared" si="70"/>
        <v>0</v>
      </c>
      <c r="P756" s="348"/>
      <c r="Q756" s="341" t="str">
        <f t="shared" si="71"/>
        <v>SI</v>
      </c>
    </row>
    <row r="757" spans="3:17" hidden="1" x14ac:dyDescent="0.25">
      <c r="C757" s="358">
        <v>827</v>
      </c>
      <c r="D757" s="727"/>
      <c r="E757" s="727"/>
      <c r="F757" s="727"/>
      <c r="G757" s="727"/>
      <c r="H757" s="516"/>
      <c r="I757" s="515"/>
      <c r="J757" s="510">
        <f>SUMIFS(APUS!$Y$9:$Y$1486,APUS!$M$9:$M$1486,INSUMOS!C757)</f>
        <v>0</v>
      </c>
      <c r="K757" s="511">
        <f t="shared" si="72"/>
        <v>0</v>
      </c>
      <c r="N757" s="533">
        <f>IFERROR(SUMIFS(APUS!$Z$10:$Z$62,APUS!$N$62:Q1486,INSUMOS!D757),0)</f>
        <v>0</v>
      </c>
      <c r="O757" s="546">
        <f t="shared" si="70"/>
        <v>0</v>
      </c>
      <c r="P757" s="348"/>
      <c r="Q757" s="341" t="str">
        <f t="shared" si="71"/>
        <v>SI</v>
      </c>
    </row>
    <row r="758" spans="3:17" hidden="1" x14ac:dyDescent="0.25">
      <c r="C758" s="358">
        <v>828</v>
      </c>
      <c r="D758" s="727"/>
      <c r="E758" s="727"/>
      <c r="F758" s="727"/>
      <c r="G758" s="727"/>
      <c r="H758" s="516"/>
      <c r="I758" s="515"/>
      <c r="J758" s="510">
        <f>SUMIFS(APUS!$Y$9:$Y$1486,APUS!$M$9:$M$1486,INSUMOS!C758)</f>
        <v>0</v>
      </c>
      <c r="K758" s="511">
        <f t="shared" si="72"/>
        <v>0</v>
      </c>
      <c r="N758" s="533">
        <f>IFERROR(SUMIFS(APUS!$Z$10:$Z$62,APUS!$N$62:Q1486,INSUMOS!D758),0)</f>
        <v>0</v>
      </c>
      <c r="O758" s="546">
        <f t="shared" ref="O758:O821" si="73">+N758-K758</f>
        <v>0</v>
      </c>
      <c r="P758" s="348"/>
      <c r="Q758" s="341" t="str">
        <f t="shared" ref="Q758:Q821" si="74">+IF(K758=0,"SI","NO")</f>
        <v>SI</v>
      </c>
    </row>
    <row r="759" spans="3:17" hidden="1" x14ac:dyDescent="0.25">
      <c r="C759" s="358">
        <v>829</v>
      </c>
      <c r="D759" s="727"/>
      <c r="E759" s="727"/>
      <c r="F759" s="727"/>
      <c r="G759" s="727"/>
      <c r="H759" s="516"/>
      <c r="I759" s="515"/>
      <c r="J759" s="510">
        <f>SUMIFS(APUS!$Y$9:$Y$1486,APUS!$M$9:$M$1486,INSUMOS!C759)</f>
        <v>0</v>
      </c>
      <c r="K759" s="511">
        <f t="shared" si="72"/>
        <v>0</v>
      </c>
      <c r="N759" s="533">
        <f>IFERROR(SUMIFS(APUS!$Z$10:$Z$62,APUS!$N$62:Q1486,INSUMOS!D759),0)</f>
        <v>0</v>
      </c>
      <c r="O759" s="546">
        <f t="shared" si="73"/>
        <v>0</v>
      </c>
      <c r="P759" s="348"/>
      <c r="Q759" s="341" t="str">
        <f t="shared" si="74"/>
        <v>SI</v>
      </c>
    </row>
    <row r="760" spans="3:17" ht="15" hidden="1" customHeight="1" x14ac:dyDescent="0.25">
      <c r="C760" s="358">
        <v>830</v>
      </c>
      <c r="D760" s="727" t="s">
        <v>262</v>
      </c>
      <c r="E760" s="727"/>
      <c r="F760" s="727"/>
      <c r="G760" s="727"/>
      <c r="H760" s="516" t="s">
        <v>36</v>
      </c>
      <c r="I760" s="515">
        <v>1137500</v>
      </c>
      <c r="J760" s="510">
        <f>SUMIFS(APUS!$Y$9:$Y$1486,APUS!$M$9:$M$1486,INSUMOS!C760)</f>
        <v>0</v>
      </c>
      <c r="K760" s="511">
        <f t="shared" si="72"/>
        <v>0</v>
      </c>
      <c r="N760" s="533">
        <f>IFERROR(SUMIFS(APUS!$Z$10:$Z$62,APUS!$N$62:Q1486,INSUMOS!D760),0)</f>
        <v>0</v>
      </c>
      <c r="O760" s="546">
        <f t="shared" si="73"/>
        <v>0</v>
      </c>
      <c r="P760" s="348"/>
      <c r="Q760" s="341" t="str">
        <f t="shared" si="74"/>
        <v>SI</v>
      </c>
    </row>
    <row r="761" spans="3:17" hidden="1" x14ac:dyDescent="0.25">
      <c r="C761" s="358">
        <v>831</v>
      </c>
      <c r="D761" s="727" t="s">
        <v>689</v>
      </c>
      <c r="E761" s="727"/>
      <c r="F761" s="727"/>
      <c r="G761" s="727"/>
      <c r="H761" s="516" t="s">
        <v>36</v>
      </c>
      <c r="I761" s="515">
        <v>342720</v>
      </c>
      <c r="J761" s="510">
        <f>SUMIFS(APUS!$Y$9:$Y$1486,APUS!$M$9:$M$1486,INSUMOS!C761)</f>
        <v>0</v>
      </c>
      <c r="K761" s="511">
        <f t="shared" ref="K761:K824" si="75">+J761*I761</f>
        <v>0</v>
      </c>
      <c r="N761" s="533">
        <f>IFERROR(SUMIFS(APUS!$Z$10:$Z$62,APUS!$N$62:Q1486,INSUMOS!D761),0)</f>
        <v>0</v>
      </c>
      <c r="O761" s="546">
        <f t="shared" si="73"/>
        <v>0</v>
      </c>
      <c r="P761" s="348"/>
      <c r="Q761" s="341" t="str">
        <f t="shared" si="74"/>
        <v>SI</v>
      </c>
    </row>
    <row r="762" spans="3:17" hidden="1" x14ac:dyDescent="0.25">
      <c r="C762" s="358">
        <v>832</v>
      </c>
      <c r="D762" s="727"/>
      <c r="E762" s="727"/>
      <c r="F762" s="727"/>
      <c r="G762" s="727"/>
      <c r="H762" s="516"/>
      <c r="I762" s="515"/>
      <c r="J762" s="510">
        <f>SUMIFS(APUS!$Y$9:$Y$1486,APUS!$M$9:$M$1486,INSUMOS!C762)</f>
        <v>0</v>
      </c>
      <c r="K762" s="511">
        <f t="shared" si="75"/>
        <v>0</v>
      </c>
      <c r="N762" s="533">
        <f>IFERROR(SUMIFS(APUS!$Z$10:$Z$62,APUS!$N$62:Q1486,INSUMOS!D762),0)</f>
        <v>0</v>
      </c>
      <c r="O762" s="546">
        <f t="shared" si="73"/>
        <v>0</v>
      </c>
      <c r="P762" s="348"/>
      <c r="Q762" s="341" t="str">
        <f t="shared" si="74"/>
        <v>SI</v>
      </c>
    </row>
    <row r="763" spans="3:17" hidden="1" x14ac:dyDescent="0.25">
      <c r="C763" s="358">
        <v>833</v>
      </c>
      <c r="D763" s="727" t="s">
        <v>385</v>
      </c>
      <c r="E763" s="727"/>
      <c r="F763" s="727"/>
      <c r="G763" s="727"/>
      <c r="H763" s="516" t="s">
        <v>36</v>
      </c>
      <c r="I763" s="515">
        <v>489500</v>
      </c>
      <c r="J763" s="510">
        <f>SUMIFS(APUS!$Y$9:$Y$1486,APUS!$M$9:$M$1486,INSUMOS!C763)</f>
        <v>0</v>
      </c>
      <c r="K763" s="511">
        <f t="shared" si="75"/>
        <v>0</v>
      </c>
      <c r="N763" s="533">
        <f>IFERROR(SUMIFS(APUS!$Z$10:$Z$62,APUS!$N$62:Q1486,INSUMOS!D763),0)</f>
        <v>0</v>
      </c>
      <c r="O763" s="546">
        <f t="shared" si="73"/>
        <v>0</v>
      </c>
      <c r="P763" s="348"/>
      <c r="Q763" s="341" t="str">
        <f t="shared" si="74"/>
        <v>SI</v>
      </c>
    </row>
    <row r="764" spans="3:17" hidden="1" x14ac:dyDescent="0.25">
      <c r="C764" s="358">
        <v>834</v>
      </c>
      <c r="D764" s="727" t="s">
        <v>488</v>
      </c>
      <c r="E764" s="727"/>
      <c r="F764" s="727"/>
      <c r="G764" s="727"/>
      <c r="H764" s="516" t="s">
        <v>36</v>
      </c>
      <c r="I764" s="515">
        <v>359384</v>
      </c>
      <c r="J764" s="510">
        <f>SUMIFS(APUS!$Y$9:$Y$1486,APUS!$M$9:$M$1486,INSUMOS!C764)</f>
        <v>0</v>
      </c>
      <c r="K764" s="511">
        <f t="shared" si="75"/>
        <v>0</v>
      </c>
      <c r="N764" s="533">
        <f>IFERROR(SUMIFS(APUS!$Z$10:$Z$62,APUS!$N$62:Q1486,INSUMOS!D764),0)</f>
        <v>0</v>
      </c>
      <c r="O764" s="546">
        <f t="shared" si="73"/>
        <v>0</v>
      </c>
      <c r="P764" s="348"/>
      <c r="Q764" s="341" t="str">
        <f t="shared" si="74"/>
        <v>SI</v>
      </c>
    </row>
    <row r="765" spans="3:17" hidden="1" x14ac:dyDescent="0.25">
      <c r="C765" s="358">
        <v>835</v>
      </c>
      <c r="D765" s="727" t="s">
        <v>489</v>
      </c>
      <c r="E765" s="727"/>
      <c r="F765" s="727"/>
      <c r="G765" s="727"/>
      <c r="H765" s="516" t="s">
        <v>36</v>
      </c>
      <c r="I765" s="515">
        <v>120246</v>
      </c>
      <c r="J765" s="510">
        <f>SUMIFS(APUS!$Y$9:$Y$1486,APUS!$M$9:$M$1486,INSUMOS!C765)</f>
        <v>0</v>
      </c>
      <c r="K765" s="511">
        <f t="shared" si="75"/>
        <v>0</v>
      </c>
      <c r="N765" s="533">
        <f>IFERROR(SUMIFS(APUS!$Z$10:$Z$62,APUS!$N$62:Q1486,INSUMOS!D765),0)</f>
        <v>0</v>
      </c>
      <c r="O765" s="546">
        <f t="shared" si="73"/>
        <v>0</v>
      </c>
      <c r="P765" s="348"/>
      <c r="Q765" s="341" t="str">
        <f t="shared" si="74"/>
        <v>SI</v>
      </c>
    </row>
    <row r="766" spans="3:17" hidden="1" x14ac:dyDescent="0.25">
      <c r="C766" s="358">
        <v>836</v>
      </c>
      <c r="D766" s="727"/>
      <c r="E766" s="727"/>
      <c r="F766" s="727"/>
      <c r="G766" s="727"/>
      <c r="H766" s="516"/>
      <c r="I766" s="515"/>
      <c r="J766" s="510">
        <f>SUMIFS(APUS!$Y$9:$Y$1486,APUS!$M$9:$M$1486,INSUMOS!C766)</f>
        <v>0</v>
      </c>
      <c r="K766" s="511">
        <f t="shared" si="75"/>
        <v>0</v>
      </c>
      <c r="N766" s="533">
        <f>IFERROR(SUMIFS(APUS!$Z$10:$Z$62,APUS!$N$62:Q1486,INSUMOS!D766),0)</f>
        <v>0</v>
      </c>
      <c r="O766" s="546">
        <f t="shared" si="73"/>
        <v>0</v>
      </c>
      <c r="P766" s="348"/>
      <c r="Q766" s="341" t="str">
        <f t="shared" si="74"/>
        <v>SI</v>
      </c>
    </row>
    <row r="767" spans="3:17" hidden="1" x14ac:dyDescent="0.25">
      <c r="C767" s="358">
        <v>837</v>
      </c>
      <c r="D767" s="727"/>
      <c r="E767" s="727"/>
      <c r="F767" s="727"/>
      <c r="G767" s="727"/>
      <c r="H767" s="516"/>
      <c r="I767" s="515"/>
      <c r="J767" s="510">
        <f>SUMIFS(APUS!$Y$9:$Y$1486,APUS!$M$9:$M$1486,INSUMOS!C767)</f>
        <v>0</v>
      </c>
      <c r="K767" s="511">
        <f t="shared" si="75"/>
        <v>0</v>
      </c>
      <c r="N767" s="533">
        <f>IFERROR(SUMIFS(APUS!$Z$10:$Z$62,APUS!$N$62:Q1486,INSUMOS!D767),0)</f>
        <v>0</v>
      </c>
      <c r="O767" s="546">
        <f t="shared" si="73"/>
        <v>0</v>
      </c>
      <c r="P767" s="348"/>
      <c r="Q767" s="341" t="str">
        <f t="shared" si="74"/>
        <v>SI</v>
      </c>
    </row>
    <row r="768" spans="3:17" hidden="1" x14ac:dyDescent="0.25">
      <c r="C768" s="358">
        <v>838</v>
      </c>
      <c r="D768" s="727"/>
      <c r="E768" s="727"/>
      <c r="F768" s="727"/>
      <c r="G768" s="727"/>
      <c r="H768" s="516"/>
      <c r="I768" s="515"/>
      <c r="J768" s="510">
        <f>SUMIFS(APUS!$Y$9:$Y$1486,APUS!$M$9:$M$1486,INSUMOS!C768)</f>
        <v>0</v>
      </c>
      <c r="K768" s="511">
        <f t="shared" si="75"/>
        <v>0</v>
      </c>
      <c r="N768" s="533">
        <f>IFERROR(SUMIFS(APUS!$Z$10:$Z$62,APUS!$N$62:Q1486,INSUMOS!D768),0)</f>
        <v>0</v>
      </c>
      <c r="O768" s="546">
        <f t="shared" si="73"/>
        <v>0</v>
      </c>
      <c r="P768" s="348"/>
      <c r="Q768" s="341" t="str">
        <f t="shared" si="74"/>
        <v>SI</v>
      </c>
    </row>
    <row r="769" spans="3:17" hidden="1" x14ac:dyDescent="0.25">
      <c r="C769" s="358">
        <v>839</v>
      </c>
      <c r="D769" s="727" t="s">
        <v>490</v>
      </c>
      <c r="E769" s="727"/>
      <c r="F769" s="727"/>
      <c r="G769" s="727"/>
      <c r="H769" s="516" t="s">
        <v>36</v>
      </c>
      <c r="I769" s="515">
        <v>8838</v>
      </c>
      <c r="J769" s="510">
        <f>SUMIFS(APUS!$Y$9:$Y$1486,APUS!$M$9:$M$1486,INSUMOS!C769)</f>
        <v>0</v>
      </c>
      <c r="K769" s="511">
        <f t="shared" si="75"/>
        <v>0</v>
      </c>
      <c r="N769" s="533">
        <f>IFERROR(SUMIFS(APUS!$Z$10:$Z$62,APUS!$N$62:Q1486,INSUMOS!D769),0)</f>
        <v>0</v>
      </c>
      <c r="O769" s="546">
        <f t="shared" si="73"/>
        <v>0</v>
      </c>
      <c r="P769" s="348"/>
      <c r="Q769" s="341" t="str">
        <f t="shared" si="74"/>
        <v>SI</v>
      </c>
    </row>
    <row r="770" spans="3:17" hidden="1" x14ac:dyDescent="0.25">
      <c r="C770" s="358">
        <v>840</v>
      </c>
      <c r="D770" s="727" t="s">
        <v>269</v>
      </c>
      <c r="E770" s="727"/>
      <c r="F770" s="727"/>
      <c r="G770" s="727"/>
      <c r="H770" s="516" t="s">
        <v>36</v>
      </c>
      <c r="I770" s="515">
        <v>350000</v>
      </c>
      <c r="J770" s="510">
        <f>SUMIFS(APUS!$Y$9:$Y$1486,APUS!$M$9:$M$1486,INSUMOS!C770)</f>
        <v>0</v>
      </c>
      <c r="K770" s="511">
        <f t="shared" si="75"/>
        <v>0</v>
      </c>
      <c r="N770" s="533">
        <f>IFERROR(SUMIFS(APUS!$Z$10:$Z$62,APUS!$N$62:Q1486,INSUMOS!D770),0)</f>
        <v>0</v>
      </c>
      <c r="O770" s="546">
        <f t="shared" si="73"/>
        <v>0</v>
      </c>
      <c r="P770" s="348"/>
      <c r="Q770" s="341" t="str">
        <f t="shared" si="74"/>
        <v>SI</v>
      </c>
    </row>
    <row r="771" spans="3:17" hidden="1" x14ac:dyDescent="0.25">
      <c r="C771" s="358">
        <v>841</v>
      </c>
      <c r="D771" s="727" t="s">
        <v>844</v>
      </c>
      <c r="E771" s="727"/>
      <c r="F771" s="727"/>
      <c r="G771" s="727"/>
      <c r="H771" s="516" t="s">
        <v>212</v>
      </c>
      <c r="I771" s="515">
        <v>20750</v>
      </c>
      <c r="J771" s="510">
        <f>SUMIFS(APUS!$Y$9:$Y$1486,APUS!$M$9:$M$1486,INSUMOS!C771)</f>
        <v>0</v>
      </c>
      <c r="K771" s="511">
        <f t="shared" si="75"/>
        <v>0</v>
      </c>
      <c r="N771" s="533">
        <f>IFERROR(SUMIFS(APUS!$Z$10:$Z$62,APUS!$N$62:Q1486,INSUMOS!D771),0)</f>
        <v>0</v>
      </c>
      <c r="O771" s="546">
        <f t="shared" si="73"/>
        <v>0</v>
      </c>
      <c r="P771" s="348"/>
      <c r="Q771" s="341" t="str">
        <f t="shared" si="74"/>
        <v>SI</v>
      </c>
    </row>
    <row r="772" spans="3:17" hidden="1" x14ac:dyDescent="0.25">
      <c r="C772" s="358">
        <v>842</v>
      </c>
      <c r="D772" s="791" t="s">
        <v>281</v>
      </c>
      <c r="E772" s="791"/>
      <c r="F772" s="791"/>
      <c r="G772" s="791"/>
      <c r="H772" s="516" t="s">
        <v>36</v>
      </c>
      <c r="I772" s="515">
        <v>43300</v>
      </c>
      <c r="J772" s="510">
        <f>SUMIFS(APUS!$Y$9:$Y$1486,APUS!$M$9:$M$1486,INSUMOS!C772)</f>
        <v>0</v>
      </c>
      <c r="K772" s="511">
        <f t="shared" si="75"/>
        <v>0</v>
      </c>
      <c r="N772" s="533">
        <f>IFERROR(SUMIFS(APUS!$Z$10:$Z$62,APUS!$N$62:Q1486,INSUMOS!D772),0)</f>
        <v>0</v>
      </c>
      <c r="O772" s="546">
        <f t="shared" si="73"/>
        <v>0</v>
      </c>
      <c r="P772" s="348"/>
      <c r="Q772" s="341" t="str">
        <f t="shared" si="74"/>
        <v>SI</v>
      </c>
    </row>
    <row r="773" spans="3:17" hidden="1" x14ac:dyDescent="0.25">
      <c r="C773" s="358">
        <v>843</v>
      </c>
      <c r="D773" s="791" t="s">
        <v>282</v>
      </c>
      <c r="E773" s="791"/>
      <c r="F773" s="791"/>
      <c r="G773" s="791"/>
      <c r="H773" s="314" t="s">
        <v>35</v>
      </c>
      <c r="I773" s="515">
        <v>25900</v>
      </c>
      <c r="J773" s="510">
        <f>SUMIFS(APUS!$Y$9:$Y$1486,APUS!$M$9:$M$1486,INSUMOS!C773)</f>
        <v>0</v>
      </c>
      <c r="K773" s="511">
        <f t="shared" si="75"/>
        <v>0</v>
      </c>
      <c r="N773" s="533">
        <f>IFERROR(SUMIFS(APUS!$Z$10:$Z$62,APUS!$N$62:Q1486,INSUMOS!D773),0)</f>
        <v>0</v>
      </c>
      <c r="O773" s="546">
        <f t="shared" si="73"/>
        <v>0</v>
      </c>
      <c r="P773" s="348"/>
      <c r="Q773" s="341" t="str">
        <f t="shared" si="74"/>
        <v>SI</v>
      </c>
    </row>
    <row r="774" spans="3:17" hidden="1" x14ac:dyDescent="0.25">
      <c r="C774" s="358">
        <v>844</v>
      </c>
      <c r="D774" s="791" t="s">
        <v>283</v>
      </c>
      <c r="E774" s="791"/>
      <c r="F774" s="791"/>
      <c r="G774" s="791"/>
      <c r="H774" s="314" t="s">
        <v>240</v>
      </c>
      <c r="I774" s="515">
        <v>3560</v>
      </c>
      <c r="J774" s="510">
        <f>SUMIFS(APUS!$Y$9:$Y$1486,APUS!$M$9:$M$1486,INSUMOS!C774)</f>
        <v>25.200000000000003</v>
      </c>
      <c r="K774" s="511">
        <f t="shared" si="75"/>
        <v>89712.000000000015</v>
      </c>
      <c r="N774" s="533">
        <f>IFERROR(SUMIFS(APUS!$Z$10:$Z$62,APUS!$N$62:Q1486,INSUMOS!D774),0)</f>
        <v>0</v>
      </c>
      <c r="O774" s="546">
        <f t="shared" si="73"/>
        <v>-89712.000000000015</v>
      </c>
      <c r="P774" s="348"/>
      <c r="Q774" s="341" t="str">
        <f t="shared" si="74"/>
        <v>NO</v>
      </c>
    </row>
    <row r="775" spans="3:17" hidden="1" x14ac:dyDescent="0.25">
      <c r="C775" s="358">
        <v>845</v>
      </c>
      <c r="D775" s="791" t="s">
        <v>284</v>
      </c>
      <c r="E775" s="791"/>
      <c r="F775" s="791"/>
      <c r="G775" s="791"/>
      <c r="H775" s="314" t="s">
        <v>240</v>
      </c>
      <c r="I775" s="515">
        <v>10100</v>
      </c>
      <c r="J775" s="510">
        <f>SUMIFS(APUS!$Y$9:$Y$1486,APUS!$M$9:$M$1486,INSUMOS!C775)</f>
        <v>0</v>
      </c>
      <c r="K775" s="511">
        <f t="shared" si="75"/>
        <v>0</v>
      </c>
      <c r="N775" s="533">
        <f>IFERROR(SUMIFS(APUS!$Z$10:$Z$62,APUS!$N$62:Q1486,INSUMOS!D775),0)</f>
        <v>0</v>
      </c>
      <c r="O775" s="546">
        <f t="shared" si="73"/>
        <v>0</v>
      </c>
      <c r="P775" s="348"/>
      <c r="Q775" s="341" t="str">
        <f t="shared" si="74"/>
        <v>SI</v>
      </c>
    </row>
    <row r="776" spans="3:17" hidden="1" x14ac:dyDescent="0.25">
      <c r="C776" s="358">
        <v>846</v>
      </c>
      <c r="D776" s="791" t="s">
        <v>285</v>
      </c>
      <c r="E776" s="791"/>
      <c r="F776" s="791"/>
      <c r="G776" s="791"/>
      <c r="H776" s="314" t="s">
        <v>240</v>
      </c>
      <c r="I776" s="515">
        <v>35600</v>
      </c>
      <c r="J776" s="510">
        <f>SUMIFS(APUS!$Y$9:$Y$1486,APUS!$M$9:$M$1486,INSUMOS!C776)</f>
        <v>0</v>
      </c>
      <c r="K776" s="511">
        <f t="shared" si="75"/>
        <v>0</v>
      </c>
      <c r="N776" s="533">
        <f>IFERROR(SUMIFS(APUS!$Z$10:$Z$62,APUS!$N$62:Q1486,INSUMOS!D776),0)</f>
        <v>0</v>
      </c>
      <c r="O776" s="546">
        <f t="shared" si="73"/>
        <v>0</v>
      </c>
      <c r="P776" s="348"/>
      <c r="Q776" s="341" t="str">
        <f t="shared" si="74"/>
        <v>SI</v>
      </c>
    </row>
    <row r="777" spans="3:17" hidden="1" x14ac:dyDescent="0.25">
      <c r="C777" s="358">
        <v>847</v>
      </c>
      <c r="D777" s="791" t="s">
        <v>286</v>
      </c>
      <c r="E777" s="791"/>
      <c r="F777" s="791"/>
      <c r="G777" s="791"/>
      <c r="H777" s="314" t="s">
        <v>240</v>
      </c>
      <c r="I777" s="515">
        <v>17295</v>
      </c>
      <c r="J777" s="510">
        <f>SUMIFS(APUS!$Y$9:$Y$1486,APUS!$M$9:$M$1486,INSUMOS!C777)</f>
        <v>0</v>
      </c>
      <c r="K777" s="511">
        <f t="shared" si="75"/>
        <v>0</v>
      </c>
      <c r="N777" s="533">
        <f>IFERROR(SUMIFS(APUS!$Z$10:$Z$62,APUS!$N$62:Q1486,INSUMOS!D777),0)</f>
        <v>0</v>
      </c>
      <c r="O777" s="546">
        <f t="shared" si="73"/>
        <v>0</v>
      </c>
      <c r="P777" s="348"/>
      <c r="Q777" s="341" t="str">
        <f t="shared" si="74"/>
        <v>SI</v>
      </c>
    </row>
    <row r="778" spans="3:17" hidden="1" x14ac:dyDescent="0.25">
      <c r="C778" s="358">
        <v>848</v>
      </c>
      <c r="D778" s="718" t="s">
        <v>287</v>
      </c>
      <c r="E778" s="718"/>
      <c r="F778" s="718"/>
      <c r="G778" s="718"/>
      <c r="H778" s="314" t="s">
        <v>258</v>
      </c>
      <c r="I778" s="515">
        <v>185252</v>
      </c>
      <c r="J778" s="510">
        <f>SUMIFS(APUS!$Y$9:$Y$1486,APUS!$M$9:$M$1486,INSUMOS!C778)</f>
        <v>0</v>
      </c>
      <c r="K778" s="511">
        <f t="shared" si="75"/>
        <v>0</v>
      </c>
      <c r="N778" s="533">
        <f>IFERROR(SUMIFS(APUS!$Z$10:$Z$62,APUS!$N$62:Q1486,INSUMOS!D778),0)</f>
        <v>0</v>
      </c>
      <c r="O778" s="546">
        <f t="shared" si="73"/>
        <v>0</v>
      </c>
      <c r="P778" s="348"/>
      <c r="Q778" s="341" t="str">
        <f t="shared" si="74"/>
        <v>SI</v>
      </c>
    </row>
    <row r="779" spans="3:17" hidden="1" x14ac:dyDescent="0.25">
      <c r="C779" s="358">
        <v>849</v>
      </c>
      <c r="D779" s="718" t="s">
        <v>868</v>
      </c>
      <c r="E779" s="718"/>
      <c r="F779" s="718"/>
      <c r="G779" s="718"/>
      <c r="H779" s="314" t="s">
        <v>258</v>
      </c>
      <c r="I779" s="515">
        <v>80850</v>
      </c>
      <c r="J779" s="510">
        <f>SUMIFS(APUS!$Y$9:$Y$1486,APUS!$M$9:$M$1486,INSUMOS!C779)</f>
        <v>0</v>
      </c>
      <c r="K779" s="511">
        <f t="shared" si="75"/>
        <v>0</v>
      </c>
      <c r="N779" s="533">
        <f>IFERROR(SUMIFS(APUS!$Z$10:$Z$62,APUS!$N$62:Q1486,INSUMOS!D779),0)</f>
        <v>0</v>
      </c>
      <c r="O779" s="546">
        <f t="shared" si="73"/>
        <v>0</v>
      </c>
      <c r="P779" s="348"/>
      <c r="Q779" s="341" t="str">
        <f t="shared" si="74"/>
        <v>SI</v>
      </c>
    </row>
    <row r="780" spans="3:17" hidden="1" x14ac:dyDescent="0.25">
      <c r="C780" s="358">
        <v>850</v>
      </c>
      <c r="D780" s="727"/>
      <c r="E780" s="727"/>
      <c r="F780" s="727"/>
      <c r="G780" s="727"/>
      <c r="H780" s="314"/>
      <c r="I780" s="515">
        <v>39000</v>
      </c>
      <c r="J780" s="510">
        <f>SUMIFS(APUS!$Y$9:$Y$1486,APUS!$M$9:$M$1486,INSUMOS!C780)</f>
        <v>0</v>
      </c>
      <c r="K780" s="511">
        <f t="shared" si="75"/>
        <v>0</v>
      </c>
      <c r="N780" s="533">
        <f>IFERROR(SUMIFS(APUS!$Z$10:$Z$62,APUS!$N$62:Q1486,INSUMOS!D780),0)</f>
        <v>0</v>
      </c>
      <c r="O780" s="546">
        <f t="shared" si="73"/>
        <v>0</v>
      </c>
      <c r="P780" s="348"/>
      <c r="Q780" s="341" t="str">
        <f t="shared" si="74"/>
        <v>SI</v>
      </c>
    </row>
    <row r="781" spans="3:17" hidden="1" x14ac:dyDescent="0.25">
      <c r="C781" s="358">
        <v>851</v>
      </c>
      <c r="D781" s="797" t="s">
        <v>866</v>
      </c>
      <c r="E781" s="797"/>
      <c r="F781" s="797"/>
      <c r="G781" s="797"/>
      <c r="H781" s="548" t="s">
        <v>258</v>
      </c>
      <c r="I781" s="549">
        <v>45235</v>
      </c>
      <c r="J781" s="510">
        <f>SUMIFS(APUS!$Y$9:$Y$1486,APUS!$M$9:$M$1486,INSUMOS!C781)</f>
        <v>0</v>
      </c>
      <c r="K781" s="511">
        <f t="shared" si="75"/>
        <v>0</v>
      </c>
      <c r="N781" s="533">
        <f>IFERROR(SUMIFS(APUS!$Z$10:$Z$62,APUS!$N$62:Q1486,INSUMOS!D781),0)</f>
        <v>0</v>
      </c>
      <c r="O781" s="546">
        <f t="shared" si="73"/>
        <v>0</v>
      </c>
      <c r="P781" s="348"/>
      <c r="Q781" s="341" t="str">
        <f t="shared" si="74"/>
        <v>SI</v>
      </c>
    </row>
    <row r="782" spans="3:17" hidden="1" x14ac:dyDescent="0.25">
      <c r="C782" s="358">
        <v>852</v>
      </c>
      <c r="D782" s="797" t="s">
        <v>834</v>
      </c>
      <c r="E782" s="797"/>
      <c r="F782" s="797"/>
      <c r="G782" s="797"/>
      <c r="H782" s="550" t="s">
        <v>36</v>
      </c>
      <c r="I782" s="549">
        <v>1850</v>
      </c>
      <c r="J782" s="510">
        <f>SUMIFS(APUS!$Y$9:$Y$1486,APUS!$M$9:$M$1486,INSUMOS!C782)</f>
        <v>0</v>
      </c>
      <c r="K782" s="511">
        <f t="shared" si="75"/>
        <v>0</v>
      </c>
      <c r="N782" s="533">
        <f>IFERROR(SUMIFS(APUS!$Z$10:$Z$62,APUS!$N$62:Q1486,INSUMOS!D782),0)</f>
        <v>0</v>
      </c>
      <c r="O782" s="546">
        <f t="shared" si="73"/>
        <v>0</v>
      </c>
      <c r="P782" s="348"/>
      <c r="Q782" s="341" t="str">
        <f t="shared" si="74"/>
        <v>SI</v>
      </c>
    </row>
    <row r="783" spans="3:17" hidden="1" x14ac:dyDescent="0.25">
      <c r="C783" s="358">
        <v>853</v>
      </c>
      <c r="D783" s="797" t="s">
        <v>835</v>
      </c>
      <c r="E783" s="797"/>
      <c r="F783" s="797"/>
      <c r="G783" s="797"/>
      <c r="H783" s="550" t="s">
        <v>36</v>
      </c>
      <c r="I783" s="549">
        <v>1603</v>
      </c>
      <c r="J783" s="510">
        <f>SUMIFS(APUS!$Y$9:$Y$1486,APUS!$M$9:$M$1486,INSUMOS!C783)</f>
        <v>0</v>
      </c>
      <c r="K783" s="511">
        <f t="shared" si="75"/>
        <v>0</v>
      </c>
      <c r="N783" s="533">
        <f>IFERROR(SUMIFS(APUS!$Z$10:$Z$62,APUS!$N$62:Q1486,INSUMOS!D783),0)</f>
        <v>0</v>
      </c>
      <c r="O783" s="546">
        <f t="shared" si="73"/>
        <v>0</v>
      </c>
      <c r="P783" s="348"/>
      <c r="Q783" s="341" t="str">
        <f t="shared" si="74"/>
        <v>SI</v>
      </c>
    </row>
    <row r="784" spans="3:17" hidden="1" x14ac:dyDescent="0.25">
      <c r="C784" s="358">
        <v>854</v>
      </c>
      <c r="D784" s="727" t="s">
        <v>859</v>
      </c>
      <c r="E784" s="727"/>
      <c r="F784" s="727"/>
      <c r="G784" s="727"/>
      <c r="H784" s="516" t="s">
        <v>36</v>
      </c>
      <c r="I784" s="515">
        <v>36000</v>
      </c>
      <c r="J784" s="510">
        <f>SUMIFS(APUS!$Y$9:$Y$1486,APUS!$M$9:$M$1486,INSUMOS!C784)</f>
        <v>0</v>
      </c>
      <c r="K784" s="511">
        <f t="shared" si="75"/>
        <v>0</v>
      </c>
      <c r="N784" s="533">
        <f>IFERROR(SUMIFS(APUS!$Z$10:$Z$62,APUS!$N$62:Q1486,INSUMOS!D784),0)</f>
        <v>0</v>
      </c>
      <c r="O784" s="546">
        <f t="shared" si="73"/>
        <v>0</v>
      </c>
      <c r="P784" s="348"/>
      <c r="Q784" s="341" t="str">
        <f t="shared" si="74"/>
        <v>SI</v>
      </c>
    </row>
    <row r="785" spans="3:17" hidden="1" x14ac:dyDescent="0.25">
      <c r="C785" s="358">
        <v>855</v>
      </c>
      <c r="D785" s="797" t="s">
        <v>833</v>
      </c>
      <c r="E785" s="797"/>
      <c r="F785" s="797"/>
      <c r="G785" s="797"/>
      <c r="H785" s="550" t="s">
        <v>258</v>
      </c>
      <c r="I785" s="549">
        <v>78705</v>
      </c>
      <c r="J785" s="510">
        <f>SUMIFS(APUS!$Y$9:$Y$1486,APUS!$M$9:$M$1486,INSUMOS!C785)</f>
        <v>0</v>
      </c>
      <c r="K785" s="511">
        <f t="shared" si="75"/>
        <v>0</v>
      </c>
      <c r="N785" s="533">
        <f>IFERROR(SUMIFS(APUS!$Z$10:$Z$62,APUS!$N$62:Q1486,INSUMOS!D785),0)</f>
        <v>0</v>
      </c>
      <c r="O785" s="546">
        <f t="shared" si="73"/>
        <v>0</v>
      </c>
      <c r="P785" s="348"/>
      <c r="Q785" s="341" t="str">
        <f t="shared" si="74"/>
        <v>SI</v>
      </c>
    </row>
    <row r="786" spans="3:17" hidden="1" x14ac:dyDescent="0.25">
      <c r="C786" s="358">
        <v>856</v>
      </c>
      <c r="D786" s="727" t="s">
        <v>836</v>
      </c>
      <c r="E786" s="727"/>
      <c r="F786" s="727"/>
      <c r="G786" s="727"/>
      <c r="H786" s="516" t="s">
        <v>212</v>
      </c>
      <c r="I786" s="515">
        <v>3600</v>
      </c>
      <c r="J786" s="510">
        <f>SUMIFS(APUS!$Y$9:$Y$1486,APUS!$M$9:$M$1486,INSUMOS!C786)</f>
        <v>0</v>
      </c>
      <c r="K786" s="511">
        <f t="shared" si="75"/>
        <v>0</v>
      </c>
      <c r="N786" s="533">
        <f>IFERROR(SUMIFS(APUS!$Z$10:$Z$62,APUS!$N$62:Q1486,INSUMOS!D786),0)</f>
        <v>0</v>
      </c>
      <c r="O786" s="546">
        <f t="shared" si="73"/>
        <v>0</v>
      </c>
      <c r="P786" s="348"/>
      <c r="Q786" s="341" t="str">
        <f t="shared" si="74"/>
        <v>SI</v>
      </c>
    </row>
    <row r="787" spans="3:17" hidden="1" x14ac:dyDescent="0.25">
      <c r="C787" s="358">
        <v>857</v>
      </c>
      <c r="D787" s="797" t="s">
        <v>867</v>
      </c>
      <c r="E787" s="797"/>
      <c r="F787" s="797"/>
      <c r="G787" s="797"/>
      <c r="H787" s="550" t="s">
        <v>36</v>
      </c>
      <c r="I787" s="549">
        <v>1588</v>
      </c>
      <c r="J787" s="510">
        <f>SUMIFS(APUS!$Y$9:$Y$1486,APUS!$M$9:$M$1486,INSUMOS!C787)</f>
        <v>0</v>
      </c>
      <c r="K787" s="511">
        <f t="shared" si="75"/>
        <v>0</v>
      </c>
      <c r="N787" s="533">
        <f>IFERROR(SUMIFS(APUS!$Z$10:$Z$62,APUS!$N$62:Q1486,INSUMOS!D787),0)</f>
        <v>0</v>
      </c>
      <c r="O787" s="546">
        <f t="shared" si="73"/>
        <v>0</v>
      </c>
      <c r="P787" s="348"/>
      <c r="Q787" s="341" t="str">
        <f t="shared" si="74"/>
        <v>SI</v>
      </c>
    </row>
    <row r="788" spans="3:17" hidden="1" x14ac:dyDescent="0.25">
      <c r="C788" s="358">
        <v>858</v>
      </c>
      <c r="D788" s="727"/>
      <c r="E788" s="727"/>
      <c r="F788" s="727"/>
      <c r="G788" s="727"/>
      <c r="H788" s="516"/>
      <c r="I788" s="531"/>
      <c r="J788" s="510">
        <f>SUMIFS(APUS!$Y$9:$Y$1486,APUS!$M$9:$M$1486,INSUMOS!C788)</f>
        <v>0</v>
      </c>
      <c r="K788" s="511">
        <f t="shared" si="75"/>
        <v>0</v>
      </c>
      <c r="N788" s="533">
        <f>IFERROR(SUMIFS(APUS!$Z$10:$Z$62,APUS!$N$62:Q1486,INSUMOS!D788),0)</f>
        <v>0</v>
      </c>
      <c r="O788" s="546">
        <f t="shared" si="73"/>
        <v>0</v>
      </c>
      <c r="P788" s="348"/>
      <c r="Q788" s="341" t="str">
        <f t="shared" si="74"/>
        <v>SI</v>
      </c>
    </row>
    <row r="789" spans="3:17" hidden="1" x14ac:dyDescent="0.25">
      <c r="C789" s="358">
        <v>859</v>
      </c>
      <c r="D789" s="727"/>
      <c r="E789" s="727"/>
      <c r="F789" s="727"/>
      <c r="G789" s="727"/>
      <c r="H789" s="516"/>
      <c r="I789" s="531"/>
      <c r="J789" s="510">
        <f>SUMIFS(APUS!$Y$9:$Y$1486,APUS!$M$9:$M$1486,INSUMOS!C789)</f>
        <v>0</v>
      </c>
      <c r="K789" s="511">
        <f t="shared" si="75"/>
        <v>0</v>
      </c>
      <c r="N789" s="533">
        <f>IFERROR(SUMIFS(APUS!$Z$10:$Z$62,APUS!$N$62:Q1486,INSUMOS!D789),0)</f>
        <v>0</v>
      </c>
      <c r="O789" s="546">
        <f t="shared" si="73"/>
        <v>0</v>
      </c>
      <c r="P789" s="348"/>
      <c r="Q789" s="341" t="str">
        <f t="shared" si="74"/>
        <v>SI</v>
      </c>
    </row>
    <row r="790" spans="3:17" hidden="1" x14ac:dyDescent="0.25">
      <c r="C790" s="358">
        <v>860</v>
      </c>
      <c r="D790" s="727" t="s">
        <v>268</v>
      </c>
      <c r="E790" s="727"/>
      <c r="F790" s="727"/>
      <c r="G790" s="727"/>
      <c r="H790" s="516" t="s">
        <v>36</v>
      </c>
      <c r="I790" s="531">
        <v>2135000</v>
      </c>
      <c r="J790" s="510">
        <f>SUMIFS(APUS!$Y$9:$Y$1486,APUS!$M$9:$M$1486,INSUMOS!C790)</f>
        <v>0</v>
      </c>
      <c r="K790" s="511">
        <f t="shared" si="75"/>
        <v>0</v>
      </c>
      <c r="N790" s="533">
        <f>IFERROR(SUMIFS(APUS!$Z$10:$Z$62,APUS!$N$62:Q1486,INSUMOS!D790),0)</f>
        <v>0</v>
      </c>
      <c r="O790" s="546">
        <f t="shared" si="73"/>
        <v>0</v>
      </c>
      <c r="P790" s="348"/>
      <c r="Q790" s="341" t="str">
        <f t="shared" si="74"/>
        <v>SI</v>
      </c>
    </row>
    <row r="791" spans="3:17" hidden="1" x14ac:dyDescent="0.25">
      <c r="C791" s="358">
        <v>861</v>
      </c>
      <c r="D791" s="727"/>
      <c r="E791" s="727"/>
      <c r="F791" s="727"/>
      <c r="G791" s="727"/>
      <c r="H791" s="516"/>
      <c r="I791" s="531"/>
      <c r="J791" s="510">
        <f>SUMIFS(APUS!$Y$9:$Y$1486,APUS!$M$9:$M$1486,INSUMOS!C791)</f>
        <v>0</v>
      </c>
      <c r="K791" s="511">
        <f t="shared" si="75"/>
        <v>0</v>
      </c>
      <c r="N791" s="533">
        <f>IFERROR(SUMIFS(APUS!$Z$10:$Z$62,APUS!$N$62:Q1486,INSUMOS!D791),0)</f>
        <v>0</v>
      </c>
      <c r="O791" s="546">
        <f t="shared" si="73"/>
        <v>0</v>
      </c>
      <c r="P791" s="348"/>
      <c r="Q791" s="341" t="str">
        <f t="shared" si="74"/>
        <v>SI</v>
      </c>
    </row>
    <row r="792" spans="3:17" hidden="1" x14ac:dyDescent="0.25">
      <c r="C792" s="358">
        <v>862</v>
      </c>
      <c r="D792" s="727" t="s">
        <v>372</v>
      </c>
      <c r="E792" s="727"/>
      <c r="F792" s="727"/>
      <c r="G792" s="727"/>
      <c r="H792" s="516" t="s">
        <v>36</v>
      </c>
      <c r="I792" s="515"/>
      <c r="J792" s="510">
        <f>SUMIFS(APUS!$Y$9:$Y$1486,APUS!$M$9:$M$1486,INSUMOS!C792)</f>
        <v>0</v>
      </c>
      <c r="K792" s="511">
        <f t="shared" si="75"/>
        <v>0</v>
      </c>
      <c r="N792" s="533">
        <f>IFERROR(SUMIFS(APUS!$Z$10:$Z$62,APUS!$N$62:Q1486,INSUMOS!D792),0)</f>
        <v>0</v>
      </c>
      <c r="O792" s="546">
        <f t="shared" si="73"/>
        <v>0</v>
      </c>
      <c r="P792" s="348"/>
      <c r="Q792" s="341" t="str">
        <f t="shared" si="74"/>
        <v>SI</v>
      </c>
    </row>
    <row r="793" spans="3:17" hidden="1" x14ac:dyDescent="0.25">
      <c r="C793" s="358">
        <v>863</v>
      </c>
      <c r="D793" s="727" t="s">
        <v>373</v>
      </c>
      <c r="E793" s="727"/>
      <c r="F793" s="727"/>
      <c r="G793" s="727"/>
      <c r="H793" s="516" t="s">
        <v>36</v>
      </c>
      <c r="I793" s="515">
        <v>1450000</v>
      </c>
      <c r="J793" s="510">
        <f>SUMIFS(APUS!$Y$9:$Y$1486,APUS!$M$9:$M$1486,INSUMOS!C793)</f>
        <v>0</v>
      </c>
      <c r="K793" s="511">
        <f t="shared" si="75"/>
        <v>0</v>
      </c>
      <c r="N793" s="533">
        <f>IFERROR(SUMIFS(APUS!$Z$10:$Z$62,APUS!$N$62:Q1486,INSUMOS!D793),0)</f>
        <v>0</v>
      </c>
      <c r="O793" s="546">
        <f t="shared" si="73"/>
        <v>0</v>
      </c>
      <c r="P793" s="348"/>
      <c r="Q793" s="341" t="str">
        <f t="shared" si="74"/>
        <v>SI</v>
      </c>
    </row>
    <row r="794" spans="3:17" hidden="1" x14ac:dyDescent="0.25">
      <c r="C794" s="358">
        <v>864</v>
      </c>
      <c r="D794" s="727"/>
      <c r="E794" s="727"/>
      <c r="F794" s="727"/>
      <c r="G794" s="727"/>
      <c r="H794" s="516"/>
      <c r="I794" s="531"/>
      <c r="J794" s="510">
        <f>SUMIFS(APUS!$Y$9:$Y$1486,APUS!$M$9:$M$1486,INSUMOS!C794)</f>
        <v>0</v>
      </c>
      <c r="K794" s="511">
        <f t="shared" si="75"/>
        <v>0</v>
      </c>
      <c r="N794" s="533">
        <f>IFERROR(SUMIFS(APUS!$Z$10:$Z$62,APUS!$N$62:Q1486,INSUMOS!D794),0)</f>
        <v>0</v>
      </c>
      <c r="O794" s="546">
        <f t="shared" si="73"/>
        <v>0</v>
      </c>
      <c r="P794" s="348"/>
      <c r="Q794" s="341" t="str">
        <f t="shared" si="74"/>
        <v>SI</v>
      </c>
    </row>
    <row r="795" spans="3:17" hidden="1" x14ac:dyDescent="0.25">
      <c r="C795" s="358">
        <v>865</v>
      </c>
      <c r="D795" s="727"/>
      <c r="E795" s="727"/>
      <c r="F795" s="727"/>
      <c r="G795" s="727"/>
      <c r="H795" s="516"/>
      <c r="I795" s="531"/>
      <c r="J795" s="510">
        <f>SUMIFS(APUS!$Y$9:$Y$1486,APUS!$M$9:$M$1486,INSUMOS!C795)</f>
        <v>0</v>
      </c>
      <c r="K795" s="511">
        <f t="shared" si="75"/>
        <v>0</v>
      </c>
      <c r="N795" s="533">
        <f>IFERROR(SUMIFS(APUS!$Z$10:$Z$62,APUS!$N$62:Q1486,INSUMOS!D795),0)</f>
        <v>0</v>
      </c>
      <c r="O795" s="546">
        <f t="shared" si="73"/>
        <v>0</v>
      </c>
      <c r="P795" s="348"/>
      <c r="Q795" s="341" t="str">
        <f t="shared" si="74"/>
        <v>SI</v>
      </c>
    </row>
    <row r="796" spans="3:17" hidden="1" x14ac:dyDescent="0.25">
      <c r="C796" s="358">
        <v>866</v>
      </c>
      <c r="D796" s="727"/>
      <c r="E796" s="727"/>
      <c r="F796" s="727"/>
      <c r="G796" s="727"/>
      <c r="H796" s="516"/>
      <c r="I796" s="531"/>
      <c r="J796" s="510">
        <f>SUMIFS(APUS!$Y$9:$Y$1486,APUS!$M$9:$M$1486,INSUMOS!C796)</f>
        <v>0</v>
      </c>
      <c r="K796" s="511">
        <f t="shared" si="75"/>
        <v>0</v>
      </c>
      <c r="N796" s="533">
        <f>IFERROR(SUMIFS(APUS!$Z$10:$Z$62,APUS!$N$62:Q1486,INSUMOS!D796),0)</f>
        <v>0</v>
      </c>
      <c r="O796" s="546">
        <f t="shared" si="73"/>
        <v>0</v>
      </c>
      <c r="P796" s="348"/>
      <c r="Q796" s="341" t="str">
        <f t="shared" si="74"/>
        <v>SI</v>
      </c>
    </row>
    <row r="797" spans="3:17" hidden="1" x14ac:dyDescent="0.25">
      <c r="C797" s="358">
        <v>867</v>
      </c>
      <c r="D797" s="727"/>
      <c r="E797" s="727"/>
      <c r="F797" s="727"/>
      <c r="G797" s="727"/>
      <c r="H797" s="516"/>
      <c r="I797" s="531"/>
      <c r="J797" s="510">
        <f>SUMIFS(APUS!$Y$9:$Y$1486,APUS!$M$9:$M$1486,INSUMOS!C797)</f>
        <v>0</v>
      </c>
      <c r="K797" s="511">
        <f t="shared" si="75"/>
        <v>0</v>
      </c>
      <c r="N797" s="533">
        <f>IFERROR(SUMIFS(APUS!$Z$10:$Z$62,APUS!$N$62:Q1486,INSUMOS!D797),0)</f>
        <v>0</v>
      </c>
      <c r="O797" s="546">
        <f t="shared" si="73"/>
        <v>0</v>
      </c>
      <c r="P797" s="348"/>
      <c r="Q797" s="341" t="str">
        <f t="shared" si="74"/>
        <v>SI</v>
      </c>
    </row>
    <row r="798" spans="3:17" hidden="1" x14ac:dyDescent="0.25">
      <c r="C798" s="358">
        <v>868</v>
      </c>
      <c r="D798" s="727"/>
      <c r="E798" s="727"/>
      <c r="F798" s="727"/>
      <c r="G798" s="727"/>
      <c r="H798" s="516"/>
      <c r="I798" s="531"/>
      <c r="J798" s="510">
        <f>SUMIFS(APUS!$Y$9:$Y$1486,APUS!$M$9:$M$1486,INSUMOS!C798)</f>
        <v>0</v>
      </c>
      <c r="K798" s="511">
        <f t="shared" si="75"/>
        <v>0</v>
      </c>
      <c r="N798" s="533">
        <f>IFERROR(SUMIFS(APUS!$Z$10:$Z$62,APUS!$N$62:Q1486,INSUMOS!D798),0)</f>
        <v>0</v>
      </c>
      <c r="O798" s="546">
        <f t="shared" si="73"/>
        <v>0</v>
      </c>
      <c r="P798" s="348"/>
      <c r="Q798" s="341" t="str">
        <f t="shared" si="74"/>
        <v>SI</v>
      </c>
    </row>
    <row r="799" spans="3:17" hidden="1" x14ac:dyDescent="0.25">
      <c r="C799" s="358">
        <v>869</v>
      </c>
      <c r="D799" s="727" t="s">
        <v>377</v>
      </c>
      <c r="E799" s="727"/>
      <c r="F799" s="727"/>
      <c r="G799" s="727"/>
      <c r="H799" s="516" t="s">
        <v>36</v>
      </c>
      <c r="I799" s="531">
        <v>2862000</v>
      </c>
      <c r="J799" s="510">
        <f>SUMIFS(APUS!$Y$9:$Y$1486,APUS!$M$9:$M$1486,INSUMOS!C799)</f>
        <v>0</v>
      </c>
      <c r="K799" s="511">
        <f t="shared" si="75"/>
        <v>0</v>
      </c>
      <c r="N799" s="533">
        <f>IFERROR(SUMIFS(APUS!$Z$10:$Z$62,APUS!$N$62:Q1486,INSUMOS!D799),0)</f>
        <v>0</v>
      </c>
      <c r="O799" s="546">
        <f t="shared" si="73"/>
        <v>0</v>
      </c>
      <c r="P799" s="348"/>
      <c r="Q799" s="341" t="str">
        <f t="shared" si="74"/>
        <v>SI</v>
      </c>
    </row>
    <row r="800" spans="3:17" hidden="1" x14ac:dyDescent="0.25">
      <c r="C800" s="358">
        <v>870</v>
      </c>
      <c r="D800" s="727" t="s">
        <v>263</v>
      </c>
      <c r="E800" s="727"/>
      <c r="F800" s="727"/>
      <c r="G800" s="727"/>
      <c r="H800" s="516" t="s">
        <v>36</v>
      </c>
      <c r="I800" s="531">
        <v>3800000</v>
      </c>
      <c r="J800" s="510">
        <f>SUMIFS(APUS!$Y$9:$Y$1486,APUS!$M$9:$M$1486,INSUMOS!C800)</f>
        <v>0</v>
      </c>
      <c r="K800" s="511">
        <f t="shared" si="75"/>
        <v>0</v>
      </c>
      <c r="N800" s="533">
        <f>IFERROR(SUMIFS(APUS!$Z$10:$Z$62,APUS!$N$62:Q1486,INSUMOS!#REF!),0)</f>
        <v>0</v>
      </c>
      <c r="O800" s="546">
        <f t="shared" si="73"/>
        <v>0</v>
      </c>
      <c r="P800" s="348"/>
      <c r="Q800" s="341" t="str">
        <f t="shared" si="74"/>
        <v>SI</v>
      </c>
    </row>
    <row r="801" spans="3:17" hidden="1" x14ac:dyDescent="0.25">
      <c r="C801" s="358">
        <v>871</v>
      </c>
      <c r="D801" s="727" t="s">
        <v>278</v>
      </c>
      <c r="E801" s="727"/>
      <c r="F801" s="727"/>
      <c r="G801" s="727"/>
      <c r="H801" s="516" t="s">
        <v>36</v>
      </c>
      <c r="I801" s="531">
        <v>713000</v>
      </c>
      <c r="J801" s="510">
        <f>SUMIFS(APUS!$Y$9:$Y$1486,APUS!$M$9:$M$1486,INSUMOS!C801)</f>
        <v>0</v>
      </c>
      <c r="K801" s="511">
        <f t="shared" si="75"/>
        <v>0</v>
      </c>
      <c r="N801" s="533">
        <f>IFERROR(SUMIFS(APUS!$Z$10:$Z$62,APUS!$N$62:Q1486,INSUMOS!D801),0)</f>
        <v>0</v>
      </c>
      <c r="O801" s="546">
        <f t="shared" si="73"/>
        <v>0</v>
      </c>
      <c r="P801" s="348"/>
      <c r="Q801" s="341" t="str">
        <f t="shared" si="74"/>
        <v>SI</v>
      </c>
    </row>
    <row r="802" spans="3:17" hidden="1" x14ac:dyDescent="0.25">
      <c r="C802" s="358">
        <v>872</v>
      </c>
      <c r="D802" s="727" t="s">
        <v>374</v>
      </c>
      <c r="E802" s="727"/>
      <c r="F802" s="727"/>
      <c r="G802" s="727"/>
      <c r="H802" s="516" t="s">
        <v>36</v>
      </c>
      <c r="I802" s="515">
        <v>615500</v>
      </c>
      <c r="J802" s="510">
        <f>SUMIFS(APUS!$Y$9:$Y$1486,APUS!$M$9:$M$1486,INSUMOS!C802)</f>
        <v>0</v>
      </c>
      <c r="K802" s="511">
        <f t="shared" si="75"/>
        <v>0</v>
      </c>
      <c r="N802" s="533">
        <f>IFERROR(SUMIFS(APUS!$Z$10:$Z$62,APUS!$N$62:Q1486,INSUMOS!D802),0)</f>
        <v>0</v>
      </c>
      <c r="O802" s="546">
        <f t="shared" si="73"/>
        <v>0</v>
      </c>
      <c r="P802" s="348"/>
      <c r="Q802" s="341" t="str">
        <f t="shared" si="74"/>
        <v>SI</v>
      </c>
    </row>
    <row r="803" spans="3:17" hidden="1" x14ac:dyDescent="0.25">
      <c r="C803" s="358">
        <v>873</v>
      </c>
      <c r="D803" s="727" t="s">
        <v>375</v>
      </c>
      <c r="E803" s="727"/>
      <c r="F803" s="727"/>
      <c r="G803" s="727"/>
      <c r="H803" s="516" t="s">
        <v>36</v>
      </c>
      <c r="I803" s="515">
        <v>518000</v>
      </c>
      <c r="J803" s="510">
        <f>SUMIFS(APUS!$Y$9:$Y$1486,APUS!$M$9:$M$1486,INSUMOS!C803)</f>
        <v>0</v>
      </c>
      <c r="K803" s="511">
        <f t="shared" si="75"/>
        <v>0</v>
      </c>
      <c r="N803" s="533">
        <f>IFERROR(SUMIFS(APUS!$Z$10:$Z$62,APUS!$N$62:Q1486,INSUMOS!D803),0)</f>
        <v>0</v>
      </c>
      <c r="O803" s="546">
        <f t="shared" si="73"/>
        <v>0</v>
      </c>
      <c r="P803" s="348"/>
      <c r="Q803" s="341" t="str">
        <f t="shared" si="74"/>
        <v>SI</v>
      </c>
    </row>
    <row r="804" spans="3:17" hidden="1" x14ac:dyDescent="0.25">
      <c r="C804" s="358">
        <v>874</v>
      </c>
      <c r="D804" s="727" t="s">
        <v>376</v>
      </c>
      <c r="E804" s="727"/>
      <c r="F804" s="727"/>
      <c r="G804" s="727"/>
      <c r="H804" s="516" t="s">
        <v>36</v>
      </c>
      <c r="I804" s="515">
        <v>353500</v>
      </c>
      <c r="J804" s="510">
        <f>SUMIFS(APUS!$Y$9:$Y$1486,APUS!$M$9:$M$1486,INSUMOS!C804)</f>
        <v>0</v>
      </c>
      <c r="K804" s="511">
        <f t="shared" si="75"/>
        <v>0</v>
      </c>
      <c r="N804" s="533">
        <f>IFERROR(SUMIFS(APUS!$Z$10:$Z$62,APUS!$N$62:Q1486,INSUMOS!D804),0)</f>
        <v>0</v>
      </c>
      <c r="O804" s="546">
        <f t="shared" si="73"/>
        <v>0</v>
      </c>
      <c r="P804" s="348"/>
      <c r="Q804" s="341" t="str">
        <f t="shared" si="74"/>
        <v>SI</v>
      </c>
    </row>
    <row r="805" spans="3:17" hidden="1" x14ac:dyDescent="0.25">
      <c r="C805" s="358">
        <v>875</v>
      </c>
      <c r="D805" s="727"/>
      <c r="E805" s="727"/>
      <c r="F805" s="727"/>
      <c r="G805" s="727"/>
      <c r="H805" s="516"/>
      <c r="I805" s="531"/>
      <c r="J805" s="510">
        <f>SUMIFS(APUS!$Y$9:$Y$1486,APUS!$M$9:$M$1486,INSUMOS!C805)</f>
        <v>0</v>
      </c>
      <c r="K805" s="511">
        <f t="shared" si="75"/>
        <v>0</v>
      </c>
      <c r="N805" s="533">
        <f>IFERROR(SUMIFS(APUS!$Z$10:$Z$62,APUS!$N$62:Q1486,INSUMOS!D805),0)</f>
        <v>0</v>
      </c>
      <c r="O805" s="546">
        <f t="shared" si="73"/>
        <v>0</v>
      </c>
      <c r="P805" s="348"/>
      <c r="Q805" s="341" t="str">
        <f t="shared" si="74"/>
        <v>SI</v>
      </c>
    </row>
    <row r="806" spans="3:17" hidden="1" x14ac:dyDescent="0.25">
      <c r="C806" s="358">
        <v>876</v>
      </c>
      <c r="D806" s="727"/>
      <c r="E806" s="727"/>
      <c r="F806" s="727"/>
      <c r="G806" s="727"/>
      <c r="H806" s="516"/>
      <c r="I806" s="531"/>
      <c r="J806" s="510">
        <f>SUMIFS(APUS!$Y$9:$Y$1486,APUS!$M$9:$M$1486,INSUMOS!C806)</f>
        <v>0</v>
      </c>
      <c r="K806" s="511">
        <f t="shared" si="75"/>
        <v>0</v>
      </c>
      <c r="N806" s="533">
        <f>IFERROR(SUMIFS(APUS!$Z$10:$Z$62,APUS!$N$62:Q1486,INSUMOS!D806),0)</f>
        <v>0</v>
      </c>
      <c r="O806" s="546">
        <f t="shared" si="73"/>
        <v>0</v>
      </c>
      <c r="P806" s="348"/>
      <c r="Q806" s="341" t="str">
        <f t="shared" si="74"/>
        <v>SI</v>
      </c>
    </row>
    <row r="807" spans="3:17" hidden="1" x14ac:dyDescent="0.25">
      <c r="C807" s="358">
        <v>877</v>
      </c>
      <c r="D807" s="727"/>
      <c r="E807" s="727"/>
      <c r="F807" s="727"/>
      <c r="G807" s="727"/>
      <c r="H807" s="516"/>
      <c r="I807" s="531"/>
      <c r="J807" s="510">
        <f>SUMIFS(APUS!$Y$9:$Y$1486,APUS!$M$9:$M$1486,INSUMOS!C807)</f>
        <v>0</v>
      </c>
      <c r="K807" s="511">
        <f t="shared" si="75"/>
        <v>0</v>
      </c>
      <c r="N807" s="533">
        <f>IFERROR(SUMIFS(APUS!$Z$10:$Z$62,APUS!$N$62:Q1486,INSUMOS!D807),0)</f>
        <v>0</v>
      </c>
      <c r="O807" s="546">
        <f t="shared" si="73"/>
        <v>0</v>
      </c>
      <c r="P807" s="348"/>
      <c r="Q807" s="341" t="str">
        <f t="shared" si="74"/>
        <v>SI</v>
      </c>
    </row>
    <row r="808" spans="3:17" hidden="1" x14ac:dyDescent="0.25">
      <c r="C808" s="358">
        <v>878</v>
      </c>
      <c r="D808" s="727"/>
      <c r="E808" s="727"/>
      <c r="F808" s="727"/>
      <c r="G808" s="727"/>
      <c r="H808" s="516"/>
      <c r="I808" s="531"/>
      <c r="J808" s="510">
        <f>SUMIFS(APUS!$Y$9:$Y$1486,APUS!$M$9:$M$1486,INSUMOS!C808)</f>
        <v>0</v>
      </c>
      <c r="K808" s="511">
        <f t="shared" si="75"/>
        <v>0</v>
      </c>
      <c r="N808" s="533">
        <f>IFERROR(SUMIFS(APUS!$Z$10:$Z$62,APUS!$N$62:Q1486,INSUMOS!D808),0)</f>
        <v>0</v>
      </c>
      <c r="O808" s="546">
        <f t="shared" si="73"/>
        <v>0</v>
      </c>
      <c r="P808" s="348"/>
      <c r="Q808" s="341" t="str">
        <f t="shared" si="74"/>
        <v>SI</v>
      </c>
    </row>
    <row r="809" spans="3:17" hidden="1" x14ac:dyDescent="0.25">
      <c r="C809" s="358">
        <v>879</v>
      </c>
      <c r="D809" s="727"/>
      <c r="E809" s="727"/>
      <c r="F809" s="727"/>
      <c r="G809" s="727"/>
      <c r="H809" s="516"/>
      <c r="I809" s="531"/>
      <c r="J809" s="510">
        <f>SUMIFS(APUS!$Y$9:$Y$1486,APUS!$M$9:$M$1486,INSUMOS!C809)</f>
        <v>0</v>
      </c>
      <c r="K809" s="511">
        <f t="shared" si="75"/>
        <v>0</v>
      </c>
      <c r="N809" s="533">
        <f>IFERROR(SUMIFS(APUS!$Z$10:$Z$62,APUS!$N$62:Q1486,INSUMOS!D809),0)</f>
        <v>0</v>
      </c>
      <c r="O809" s="546">
        <f t="shared" si="73"/>
        <v>0</v>
      </c>
      <c r="P809" s="348"/>
      <c r="Q809" s="341" t="str">
        <f t="shared" si="74"/>
        <v>SI</v>
      </c>
    </row>
    <row r="810" spans="3:17" hidden="1" x14ac:dyDescent="0.25">
      <c r="C810" s="358">
        <v>880</v>
      </c>
      <c r="D810" s="727"/>
      <c r="E810" s="727"/>
      <c r="F810" s="727"/>
      <c r="G810" s="727"/>
      <c r="H810" s="516"/>
      <c r="I810" s="531"/>
      <c r="J810" s="510">
        <f>SUMIFS(APUS!$Y$9:$Y$1486,APUS!$M$9:$M$1486,INSUMOS!C810)</f>
        <v>0</v>
      </c>
      <c r="K810" s="511">
        <f t="shared" si="75"/>
        <v>0</v>
      </c>
      <c r="N810" s="533">
        <f>IFERROR(SUMIFS(APUS!$Z$10:$Z$62,APUS!$N$62:Q1486,INSUMOS!D810),0)</f>
        <v>0</v>
      </c>
      <c r="O810" s="546">
        <f t="shared" si="73"/>
        <v>0</v>
      </c>
      <c r="P810" s="348"/>
      <c r="Q810" s="341" t="str">
        <f t="shared" si="74"/>
        <v>SI</v>
      </c>
    </row>
    <row r="811" spans="3:17" hidden="1" x14ac:dyDescent="0.25">
      <c r="C811" s="358">
        <v>881</v>
      </c>
      <c r="D811" s="727"/>
      <c r="E811" s="727"/>
      <c r="F811" s="727"/>
      <c r="G811" s="727"/>
      <c r="H811" s="516"/>
      <c r="I811" s="531"/>
      <c r="J811" s="510">
        <f>SUMIFS(APUS!$Y$9:$Y$1486,APUS!$M$9:$M$1486,INSUMOS!C811)</f>
        <v>0</v>
      </c>
      <c r="K811" s="511">
        <f t="shared" si="75"/>
        <v>0</v>
      </c>
      <c r="N811" s="533">
        <f>IFERROR(SUMIFS(APUS!$Z$10:$Z$62,APUS!$N$62:Q1486,INSUMOS!D811),0)</f>
        <v>0</v>
      </c>
      <c r="O811" s="546">
        <f t="shared" si="73"/>
        <v>0</v>
      </c>
      <c r="P811" s="348"/>
      <c r="Q811" s="341" t="str">
        <f t="shared" si="74"/>
        <v>SI</v>
      </c>
    </row>
    <row r="812" spans="3:17" hidden="1" x14ac:dyDescent="0.25">
      <c r="C812" s="358">
        <v>882</v>
      </c>
      <c r="D812" s="727"/>
      <c r="E812" s="727"/>
      <c r="F812" s="727"/>
      <c r="G812" s="727"/>
      <c r="H812" s="516"/>
      <c r="I812" s="531"/>
      <c r="J812" s="510">
        <f>SUMIFS(APUS!$Y$9:$Y$1486,APUS!$M$9:$M$1486,INSUMOS!C812)</f>
        <v>0</v>
      </c>
      <c r="K812" s="511">
        <f t="shared" si="75"/>
        <v>0</v>
      </c>
      <c r="N812" s="533">
        <f>IFERROR(SUMIFS(APUS!$Z$10:$Z$62,APUS!$N$62:Q1486,INSUMOS!D812),0)</f>
        <v>0</v>
      </c>
      <c r="O812" s="546">
        <f t="shared" si="73"/>
        <v>0</v>
      </c>
      <c r="P812" s="348"/>
      <c r="Q812" s="341" t="str">
        <f t="shared" si="74"/>
        <v>SI</v>
      </c>
    </row>
    <row r="813" spans="3:17" hidden="1" x14ac:dyDescent="0.25">
      <c r="C813" s="358">
        <v>883</v>
      </c>
      <c r="D813" s="727"/>
      <c r="E813" s="727"/>
      <c r="F813" s="727"/>
      <c r="G813" s="727"/>
      <c r="H813" s="516"/>
      <c r="I813" s="531"/>
      <c r="J813" s="510">
        <f>SUMIFS(APUS!$Y$9:$Y$1486,APUS!$M$9:$M$1486,INSUMOS!C813)</f>
        <v>0</v>
      </c>
      <c r="K813" s="511">
        <f t="shared" si="75"/>
        <v>0</v>
      </c>
      <c r="N813" s="533">
        <f>IFERROR(SUMIFS(APUS!$Z$10:$Z$62,APUS!$N$62:Q1486,INSUMOS!D813),0)</f>
        <v>0</v>
      </c>
      <c r="O813" s="546">
        <f t="shared" si="73"/>
        <v>0</v>
      </c>
      <c r="P813" s="348"/>
      <c r="Q813" s="341" t="str">
        <f t="shared" si="74"/>
        <v>SI</v>
      </c>
    </row>
    <row r="814" spans="3:17" hidden="1" x14ac:dyDescent="0.25">
      <c r="C814" s="358">
        <v>884</v>
      </c>
      <c r="D814" s="727"/>
      <c r="E814" s="727"/>
      <c r="F814" s="727"/>
      <c r="G814" s="727"/>
      <c r="H814" s="516"/>
      <c r="I814" s="531"/>
      <c r="J814" s="510">
        <f>SUMIFS(APUS!$Y$9:$Y$1486,APUS!$M$9:$M$1486,INSUMOS!C814)</f>
        <v>0</v>
      </c>
      <c r="K814" s="511">
        <f t="shared" si="75"/>
        <v>0</v>
      </c>
      <c r="N814" s="533">
        <f>IFERROR(SUMIFS(APUS!$Z$10:$Z$62,APUS!$N$62:Q1486,INSUMOS!D814),0)</f>
        <v>0</v>
      </c>
      <c r="O814" s="546">
        <f t="shared" si="73"/>
        <v>0</v>
      </c>
      <c r="P814" s="348"/>
      <c r="Q814" s="341" t="str">
        <f t="shared" si="74"/>
        <v>SI</v>
      </c>
    </row>
    <row r="815" spans="3:17" hidden="1" x14ac:dyDescent="0.25">
      <c r="C815" s="358">
        <v>885</v>
      </c>
      <c r="D815" s="727"/>
      <c r="E815" s="727"/>
      <c r="F815" s="727"/>
      <c r="G815" s="727"/>
      <c r="H815" s="516"/>
      <c r="I815" s="531"/>
      <c r="J815" s="510">
        <f>SUMIFS(APUS!$Y$9:$Y$1486,APUS!$M$9:$M$1486,INSUMOS!C815)</f>
        <v>0</v>
      </c>
      <c r="K815" s="511">
        <f t="shared" si="75"/>
        <v>0</v>
      </c>
      <c r="N815" s="533">
        <f>IFERROR(SUMIFS(APUS!$Z$10:$Z$62,APUS!$N$62:Q1486,INSUMOS!D815),0)</f>
        <v>0</v>
      </c>
      <c r="O815" s="546">
        <f t="shared" si="73"/>
        <v>0</v>
      </c>
      <c r="P815" s="348"/>
      <c r="Q815" s="341" t="str">
        <f t="shared" si="74"/>
        <v>SI</v>
      </c>
    </row>
    <row r="816" spans="3:17" hidden="1" x14ac:dyDescent="0.25">
      <c r="C816" s="358">
        <v>886</v>
      </c>
      <c r="D816" s="727"/>
      <c r="E816" s="727"/>
      <c r="F816" s="727"/>
      <c r="G816" s="727"/>
      <c r="H816" s="516"/>
      <c r="I816" s="531"/>
      <c r="J816" s="510">
        <f>SUMIFS(APUS!$Y$9:$Y$1486,APUS!$M$9:$M$1486,INSUMOS!C816)</f>
        <v>0</v>
      </c>
      <c r="K816" s="511">
        <f t="shared" si="75"/>
        <v>0</v>
      </c>
      <c r="N816" s="533">
        <f>IFERROR(SUMIFS(APUS!$Z$10:$Z$62,APUS!$N$62:Q1486,INSUMOS!D816),0)</f>
        <v>0</v>
      </c>
      <c r="O816" s="546">
        <f t="shared" si="73"/>
        <v>0</v>
      </c>
      <c r="P816" s="348"/>
      <c r="Q816" s="341" t="str">
        <f t="shared" si="74"/>
        <v>SI</v>
      </c>
    </row>
    <row r="817" spans="3:17" hidden="1" x14ac:dyDescent="0.25">
      <c r="C817" s="358">
        <v>887</v>
      </c>
      <c r="D817" s="727"/>
      <c r="E817" s="727"/>
      <c r="F817" s="727"/>
      <c r="G817" s="727"/>
      <c r="H817" s="516"/>
      <c r="I817" s="531"/>
      <c r="J817" s="510">
        <f>SUMIFS(APUS!$Y$9:$Y$1486,APUS!$M$9:$M$1486,INSUMOS!C817)</f>
        <v>0</v>
      </c>
      <c r="K817" s="511">
        <f t="shared" si="75"/>
        <v>0</v>
      </c>
      <c r="N817" s="533">
        <f>IFERROR(SUMIFS(APUS!$Z$10:$Z$62,APUS!$N$62:Q1486,INSUMOS!D817),0)</f>
        <v>0</v>
      </c>
      <c r="O817" s="546">
        <f t="shared" si="73"/>
        <v>0</v>
      </c>
      <c r="P817" s="348"/>
      <c r="Q817" s="341" t="str">
        <f t="shared" si="74"/>
        <v>SI</v>
      </c>
    </row>
    <row r="818" spans="3:17" hidden="1" x14ac:dyDescent="0.25">
      <c r="C818" s="358">
        <v>888</v>
      </c>
      <c r="D818" s="727"/>
      <c r="E818" s="727"/>
      <c r="F818" s="727"/>
      <c r="G818" s="727"/>
      <c r="H818" s="516"/>
      <c r="I818" s="531"/>
      <c r="J818" s="510">
        <f>SUMIFS(APUS!$Y$9:$Y$1486,APUS!$M$9:$M$1486,INSUMOS!C818)</f>
        <v>0</v>
      </c>
      <c r="K818" s="511">
        <f t="shared" si="75"/>
        <v>0</v>
      </c>
      <c r="N818" s="533">
        <f>IFERROR(SUMIFS(APUS!$Z$10:$Z$62,APUS!$N$62:Q1486,INSUMOS!D818),0)</f>
        <v>0</v>
      </c>
      <c r="O818" s="546">
        <f t="shared" si="73"/>
        <v>0</v>
      </c>
      <c r="P818" s="348"/>
      <c r="Q818" s="341" t="str">
        <f t="shared" si="74"/>
        <v>SI</v>
      </c>
    </row>
    <row r="819" spans="3:17" hidden="1" x14ac:dyDescent="0.25">
      <c r="C819" s="358">
        <v>889</v>
      </c>
      <c r="D819" s="727"/>
      <c r="E819" s="727"/>
      <c r="F819" s="727"/>
      <c r="G819" s="727"/>
      <c r="H819" s="516"/>
      <c r="I819" s="531"/>
      <c r="J819" s="510">
        <f>SUMIFS(APUS!$Y$9:$Y$1486,APUS!$M$9:$M$1486,INSUMOS!C819)</f>
        <v>0</v>
      </c>
      <c r="K819" s="511">
        <f t="shared" si="75"/>
        <v>0</v>
      </c>
      <c r="N819" s="533">
        <f>IFERROR(SUMIFS(APUS!$Z$10:$Z$62,APUS!$N$62:Q1486,INSUMOS!D819),0)</f>
        <v>0</v>
      </c>
      <c r="O819" s="546">
        <f t="shared" si="73"/>
        <v>0</v>
      </c>
      <c r="P819" s="348"/>
      <c r="Q819" s="341" t="str">
        <f t="shared" si="74"/>
        <v>SI</v>
      </c>
    </row>
    <row r="820" spans="3:17" hidden="1" x14ac:dyDescent="0.25">
      <c r="C820" s="358">
        <v>890</v>
      </c>
      <c r="D820" s="727" t="s">
        <v>270</v>
      </c>
      <c r="E820" s="727"/>
      <c r="F820" s="727"/>
      <c r="G820" s="727"/>
      <c r="H820" s="516" t="s">
        <v>36</v>
      </c>
      <c r="I820" s="531">
        <v>122500</v>
      </c>
      <c r="J820" s="510">
        <f>SUMIFS(APUS!$Y$9:$Y$1486,APUS!$M$9:$M$1486,INSUMOS!C820)</f>
        <v>0</v>
      </c>
      <c r="K820" s="511">
        <f t="shared" si="75"/>
        <v>0</v>
      </c>
      <c r="N820" s="533">
        <f>IFERROR(SUMIFS(APUS!$Z$10:$Z$62,APUS!$N$62:Q1486,INSUMOS!#REF!),0)</f>
        <v>0</v>
      </c>
      <c r="O820" s="546">
        <f t="shared" si="73"/>
        <v>0</v>
      </c>
      <c r="P820" s="348"/>
      <c r="Q820" s="341" t="str">
        <f t="shared" si="74"/>
        <v>SI</v>
      </c>
    </row>
    <row r="821" spans="3:17" hidden="1" x14ac:dyDescent="0.25">
      <c r="C821" s="358">
        <v>891</v>
      </c>
      <c r="D821" s="727"/>
      <c r="E821" s="727"/>
      <c r="F821" s="727"/>
      <c r="G821" s="727"/>
      <c r="H821" s="516"/>
      <c r="I821" s="531"/>
      <c r="J821" s="510">
        <f>SUMIFS(APUS!$Y$9:$Y$1486,APUS!$M$9:$M$1486,INSUMOS!C821)</f>
        <v>0</v>
      </c>
      <c r="K821" s="511">
        <f t="shared" si="75"/>
        <v>0</v>
      </c>
      <c r="N821" s="533">
        <f>IFERROR(SUMIFS(APUS!$Z$10:$Z$62,APUS!$N$62:Q1486,INSUMOS!D821),0)</f>
        <v>0</v>
      </c>
      <c r="O821" s="546">
        <f t="shared" si="73"/>
        <v>0</v>
      </c>
      <c r="P821" s="348"/>
      <c r="Q821" s="341" t="str">
        <f t="shared" si="74"/>
        <v>SI</v>
      </c>
    </row>
    <row r="822" spans="3:17" hidden="1" x14ac:dyDescent="0.25">
      <c r="C822" s="358">
        <v>892</v>
      </c>
      <c r="D822" s="727"/>
      <c r="E822" s="727"/>
      <c r="F822" s="727"/>
      <c r="G822" s="727"/>
      <c r="H822" s="516"/>
      <c r="I822" s="531"/>
      <c r="J822" s="510">
        <f>SUMIFS(APUS!$Y$9:$Y$1486,APUS!$M$9:$M$1486,INSUMOS!C822)</f>
        <v>0</v>
      </c>
      <c r="K822" s="511">
        <f t="shared" si="75"/>
        <v>0</v>
      </c>
      <c r="N822" s="533">
        <f>IFERROR(SUMIFS(APUS!$Z$10:$Z$62,APUS!$N$62:Q1486,INSUMOS!D822),0)</f>
        <v>0</v>
      </c>
      <c r="O822" s="546">
        <f t="shared" ref="O822:O885" si="76">+N822-K822</f>
        <v>0</v>
      </c>
      <c r="P822" s="348"/>
      <c r="Q822" s="341" t="str">
        <f t="shared" ref="Q822:Q885" si="77">+IF(K822=0,"SI","NO")</f>
        <v>SI</v>
      </c>
    </row>
    <row r="823" spans="3:17" hidden="1" x14ac:dyDescent="0.25">
      <c r="C823" s="358">
        <v>893</v>
      </c>
      <c r="D823" s="727"/>
      <c r="E823" s="727"/>
      <c r="F823" s="727"/>
      <c r="G823" s="727"/>
      <c r="H823" s="516"/>
      <c r="I823" s="531"/>
      <c r="J823" s="510">
        <f>SUMIFS(APUS!$Y$9:$Y$1486,APUS!$M$9:$M$1486,INSUMOS!C823)</f>
        <v>0</v>
      </c>
      <c r="K823" s="511">
        <f t="shared" si="75"/>
        <v>0</v>
      </c>
      <c r="N823" s="533">
        <f>IFERROR(SUMIFS(APUS!$Z$10:$Z$62,APUS!$N$62:Q1486,INSUMOS!D823),0)</f>
        <v>0</v>
      </c>
      <c r="O823" s="546">
        <f t="shared" si="76"/>
        <v>0</v>
      </c>
      <c r="P823" s="348"/>
      <c r="Q823" s="341" t="str">
        <f t="shared" si="77"/>
        <v>SI</v>
      </c>
    </row>
    <row r="824" spans="3:17" hidden="1" x14ac:dyDescent="0.25">
      <c r="C824" s="358">
        <v>894</v>
      </c>
      <c r="D824" s="727"/>
      <c r="E824" s="727"/>
      <c r="F824" s="727"/>
      <c r="G824" s="727"/>
      <c r="H824" s="516"/>
      <c r="I824" s="531"/>
      <c r="J824" s="510">
        <f>SUMIFS(APUS!$Y$9:$Y$1486,APUS!$M$9:$M$1486,INSUMOS!C824)</f>
        <v>0</v>
      </c>
      <c r="K824" s="511">
        <f t="shared" si="75"/>
        <v>0</v>
      </c>
      <c r="N824" s="533">
        <f>IFERROR(SUMIFS(APUS!$Z$10:$Z$62,APUS!$N$62:Q1486,INSUMOS!D824),0)</f>
        <v>0</v>
      </c>
      <c r="O824" s="546">
        <f t="shared" si="76"/>
        <v>0</v>
      </c>
      <c r="P824" s="348"/>
      <c r="Q824" s="341" t="str">
        <f t="shared" si="77"/>
        <v>SI</v>
      </c>
    </row>
    <row r="825" spans="3:17" hidden="1" x14ac:dyDescent="0.25">
      <c r="C825" s="358">
        <v>895</v>
      </c>
      <c r="D825" s="727"/>
      <c r="E825" s="727"/>
      <c r="F825" s="727"/>
      <c r="G825" s="727"/>
      <c r="H825" s="516"/>
      <c r="I825" s="531"/>
      <c r="J825" s="510">
        <f>SUMIFS(APUS!$Y$9:$Y$1486,APUS!$M$9:$M$1486,INSUMOS!C825)</f>
        <v>0</v>
      </c>
      <c r="K825" s="511">
        <f t="shared" ref="K825:K888" si="78">+J825*I825</f>
        <v>0</v>
      </c>
      <c r="N825" s="533">
        <f>IFERROR(SUMIFS(APUS!$Z$10:$Z$62,APUS!$N$62:Q1486,INSUMOS!D825),0)</f>
        <v>0</v>
      </c>
      <c r="O825" s="546">
        <f t="shared" si="76"/>
        <v>0</v>
      </c>
      <c r="P825" s="348"/>
      <c r="Q825" s="341" t="str">
        <f t="shared" si="77"/>
        <v>SI</v>
      </c>
    </row>
    <row r="826" spans="3:17" hidden="1" x14ac:dyDescent="0.25">
      <c r="C826" s="358">
        <v>896</v>
      </c>
      <c r="D826" s="727"/>
      <c r="E826" s="727"/>
      <c r="F826" s="727"/>
      <c r="G826" s="727"/>
      <c r="H826" s="516"/>
      <c r="I826" s="531"/>
      <c r="J826" s="510">
        <f>SUMIFS(APUS!$Y$9:$Y$1486,APUS!$M$9:$M$1486,INSUMOS!C826)</f>
        <v>0</v>
      </c>
      <c r="K826" s="511">
        <f t="shared" si="78"/>
        <v>0</v>
      </c>
      <c r="N826" s="533">
        <f>IFERROR(SUMIFS(APUS!$Z$10:$Z$62,APUS!$N$62:Q1486,INSUMOS!D826),0)</f>
        <v>0</v>
      </c>
      <c r="O826" s="546">
        <f t="shared" si="76"/>
        <v>0</v>
      </c>
      <c r="P826" s="348"/>
      <c r="Q826" s="341" t="str">
        <f t="shared" si="77"/>
        <v>SI</v>
      </c>
    </row>
    <row r="827" spans="3:17" hidden="1" x14ac:dyDescent="0.25">
      <c r="C827" s="358">
        <v>897</v>
      </c>
      <c r="D827" s="727"/>
      <c r="E827" s="727"/>
      <c r="F827" s="727"/>
      <c r="G827" s="727"/>
      <c r="H827" s="516"/>
      <c r="I827" s="531"/>
      <c r="J827" s="510">
        <f>SUMIFS(APUS!$Y$9:$Y$1486,APUS!$M$9:$M$1486,INSUMOS!C827)</f>
        <v>0</v>
      </c>
      <c r="K827" s="511">
        <f t="shared" si="78"/>
        <v>0</v>
      </c>
      <c r="N827" s="533">
        <f>IFERROR(SUMIFS(APUS!$Z$10:$Z$62,APUS!$N$62:Q1486,INSUMOS!D827),0)</f>
        <v>0</v>
      </c>
      <c r="O827" s="546">
        <f t="shared" si="76"/>
        <v>0</v>
      </c>
      <c r="P827" s="348"/>
      <c r="Q827" s="341" t="str">
        <f t="shared" si="77"/>
        <v>SI</v>
      </c>
    </row>
    <row r="828" spans="3:17" hidden="1" x14ac:dyDescent="0.25">
      <c r="C828" s="358">
        <v>898</v>
      </c>
      <c r="D828" s="727"/>
      <c r="E828" s="727"/>
      <c r="F828" s="727"/>
      <c r="G828" s="727"/>
      <c r="H828" s="516"/>
      <c r="I828" s="531"/>
      <c r="J828" s="510">
        <f>SUMIFS(APUS!$Y$9:$Y$1486,APUS!$M$9:$M$1486,INSUMOS!C828)</f>
        <v>0</v>
      </c>
      <c r="K828" s="511">
        <f t="shared" si="78"/>
        <v>0</v>
      </c>
      <c r="N828" s="533">
        <f>IFERROR(SUMIFS(APUS!$Z$10:$Z$62,APUS!$N$62:Q1486,INSUMOS!D828),0)</f>
        <v>0</v>
      </c>
      <c r="O828" s="546">
        <f t="shared" si="76"/>
        <v>0</v>
      </c>
      <c r="P828" s="348"/>
      <c r="Q828" s="341" t="str">
        <f t="shared" si="77"/>
        <v>SI</v>
      </c>
    </row>
    <row r="829" spans="3:17" hidden="1" x14ac:dyDescent="0.25">
      <c r="C829" s="358">
        <v>899</v>
      </c>
      <c r="D829" s="727"/>
      <c r="E829" s="727"/>
      <c r="F829" s="727"/>
      <c r="G829" s="727"/>
      <c r="H829" s="516"/>
      <c r="I829" s="531"/>
      <c r="J829" s="510">
        <f>SUMIFS(APUS!$Y$9:$Y$1486,APUS!$M$9:$M$1486,INSUMOS!C829)</f>
        <v>0</v>
      </c>
      <c r="K829" s="511">
        <f t="shared" si="78"/>
        <v>0</v>
      </c>
      <c r="N829" s="533">
        <f>IFERROR(SUMIFS(APUS!$Z$10:$Z$62,APUS!$N$62:Q1486,INSUMOS!D829),0)</f>
        <v>0</v>
      </c>
      <c r="O829" s="546">
        <f t="shared" si="76"/>
        <v>0</v>
      </c>
      <c r="P829" s="348"/>
      <c r="Q829" s="341" t="str">
        <f t="shared" si="77"/>
        <v>SI</v>
      </c>
    </row>
    <row r="830" spans="3:17" ht="15.75" hidden="1" customHeight="1" x14ac:dyDescent="0.25">
      <c r="C830" s="358">
        <v>900</v>
      </c>
      <c r="D830" s="800" t="s">
        <v>837</v>
      </c>
      <c r="E830" s="800"/>
      <c r="F830" s="800"/>
      <c r="G830" s="800"/>
      <c r="H830" s="516" t="s">
        <v>36</v>
      </c>
      <c r="I830" s="515">
        <v>17000</v>
      </c>
      <c r="J830" s="510">
        <f>SUMIFS(APUS!$Y$9:$Y$1486,APUS!$M$9:$M$1486,INSUMOS!C830)</f>
        <v>0</v>
      </c>
      <c r="K830" s="511">
        <f t="shared" si="78"/>
        <v>0</v>
      </c>
      <c r="N830" s="533">
        <f>IFERROR(SUMIFS(APUS!$Z$10:$Z$62,APUS!$N$62:Q1486,INSUMOS!D830),0)</f>
        <v>0</v>
      </c>
      <c r="O830" s="546">
        <f t="shared" si="76"/>
        <v>0</v>
      </c>
      <c r="P830" s="348"/>
      <c r="Q830" s="341" t="str">
        <f t="shared" si="77"/>
        <v>SI</v>
      </c>
    </row>
    <row r="831" spans="3:17" hidden="1" x14ac:dyDescent="0.25">
      <c r="C831" s="358">
        <v>901</v>
      </c>
      <c r="D831" s="800"/>
      <c r="E831" s="800"/>
      <c r="F831" s="800"/>
      <c r="G831" s="800"/>
      <c r="H831" s="516"/>
      <c r="I831" s="515"/>
      <c r="J831" s="510">
        <f>SUMIFS(APUS!$Y$9:$Y$1486,APUS!$M$9:$M$1486,INSUMOS!C831)</f>
        <v>0</v>
      </c>
      <c r="K831" s="511">
        <f t="shared" si="78"/>
        <v>0</v>
      </c>
      <c r="N831" s="533">
        <f>IFERROR(SUMIFS(APUS!$Z$10:$Z$62,APUS!$N$62:Q1486,INSUMOS!D831),0)</f>
        <v>0</v>
      </c>
      <c r="O831" s="546">
        <f t="shared" si="76"/>
        <v>0</v>
      </c>
      <c r="P831" s="348"/>
      <c r="Q831" s="341" t="str">
        <f t="shared" si="77"/>
        <v>SI</v>
      </c>
    </row>
    <row r="832" spans="3:17" hidden="1" x14ac:dyDescent="0.25">
      <c r="C832" s="358">
        <v>902</v>
      </c>
      <c r="D832" s="800"/>
      <c r="E832" s="800"/>
      <c r="F832" s="800"/>
      <c r="G832" s="800"/>
      <c r="H832" s="516"/>
      <c r="I832" s="515"/>
      <c r="J832" s="510">
        <f>SUMIFS(APUS!$Y$9:$Y$1486,APUS!$M$9:$M$1486,INSUMOS!C832)</f>
        <v>0</v>
      </c>
      <c r="K832" s="511">
        <f t="shared" si="78"/>
        <v>0</v>
      </c>
      <c r="N832" s="533">
        <f>IFERROR(SUMIFS(APUS!$Z$10:$Z$62,APUS!$N$62:Q1486,INSUMOS!D832),0)</f>
        <v>0</v>
      </c>
      <c r="O832" s="546">
        <f t="shared" si="76"/>
        <v>0</v>
      </c>
      <c r="P832" s="348"/>
      <c r="Q832" s="341" t="str">
        <f t="shared" si="77"/>
        <v>SI</v>
      </c>
    </row>
    <row r="833" spans="3:17" ht="15.75" hidden="1" customHeight="1" x14ac:dyDescent="0.25">
      <c r="C833" s="358">
        <v>903</v>
      </c>
      <c r="D833" s="800"/>
      <c r="E833" s="800"/>
      <c r="F833" s="800"/>
      <c r="G833" s="800"/>
      <c r="H833" s="516"/>
      <c r="I833" s="515"/>
      <c r="J833" s="510">
        <f>SUMIFS(APUS!$Y$9:$Y$1486,APUS!$M$9:$M$1486,INSUMOS!C833)</f>
        <v>0</v>
      </c>
      <c r="K833" s="511">
        <f t="shared" si="78"/>
        <v>0</v>
      </c>
      <c r="N833" s="533">
        <f>IFERROR(SUMIFS(APUS!$Z$10:$Z$62,APUS!$N$62:Q1486,INSUMOS!D833),0)</f>
        <v>0</v>
      </c>
      <c r="O833" s="546">
        <f t="shared" si="76"/>
        <v>0</v>
      </c>
      <c r="P833" s="348"/>
      <c r="Q833" s="341" t="str">
        <f t="shared" si="77"/>
        <v>SI</v>
      </c>
    </row>
    <row r="834" spans="3:17" ht="15.75" hidden="1" customHeight="1" x14ac:dyDescent="0.25">
      <c r="C834" s="358">
        <v>904</v>
      </c>
      <c r="D834" s="800"/>
      <c r="E834" s="800"/>
      <c r="F834" s="800"/>
      <c r="G834" s="800"/>
      <c r="H834" s="516"/>
      <c r="I834" s="515"/>
      <c r="J834" s="510">
        <f>SUMIFS(APUS!$Y$9:$Y$1486,APUS!$M$9:$M$1486,INSUMOS!C834)</f>
        <v>0</v>
      </c>
      <c r="K834" s="511">
        <f t="shared" si="78"/>
        <v>0</v>
      </c>
      <c r="N834" s="533">
        <f>IFERROR(SUMIFS(APUS!$Z$10:$Z$62,APUS!$N$62:Q1486,INSUMOS!D834),0)</f>
        <v>0</v>
      </c>
      <c r="O834" s="546">
        <f t="shared" si="76"/>
        <v>0</v>
      </c>
      <c r="P834" s="348"/>
      <c r="Q834" s="341" t="str">
        <f t="shared" si="77"/>
        <v>SI</v>
      </c>
    </row>
    <row r="835" spans="3:17" hidden="1" x14ac:dyDescent="0.25">
      <c r="C835" s="358">
        <v>905</v>
      </c>
      <c r="D835" s="800"/>
      <c r="E835" s="800"/>
      <c r="F835" s="800"/>
      <c r="G835" s="800"/>
      <c r="H835" s="516"/>
      <c r="I835" s="515"/>
      <c r="J835" s="510">
        <f>SUMIFS(APUS!$Y$9:$Y$1486,APUS!$M$9:$M$1486,INSUMOS!C835)</f>
        <v>0</v>
      </c>
      <c r="K835" s="511">
        <f t="shared" si="78"/>
        <v>0</v>
      </c>
      <c r="N835" s="533">
        <f>IFERROR(SUMIFS(APUS!$Z$10:$Z$62,APUS!$N$62:Q1486,INSUMOS!D835),0)</f>
        <v>0</v>
      </c>
      <c r="O835" s="546">
        <f t="shared" si="76"/>
        <v>0</v>
      </c>
      <c r="P835" s="348"/>
      <c r="Q835" s="341" t="str">
        <f t="shared" si="77"/>
        <v>SI</v>
      </c>
    </row>
    <row r="836" spans="3:17" hidden="1" x14ac:dyDescent="0.25">
      <c r="C836" s="358">
        <v>906</v>
      </c>
      <c r="D836" s="800"/>
      <c r="E836" s="800"/>
      <c r="F836" s="800"/>
      <c r="G836" s="800"/>
      <c r="H836" s="516"/>
      <c r="I836" s="515"/>
      <c r="J836" s="510">
        <f>SUMIFS(APUS!$Y$9:$Y$1486,APUS!$M$9:$M$1486,INSUMOS!C836)</f>
        <v>0</v>
      </c>
      <c r="K836" s="511">
        <f t="shared" si="78"/>
        <v>0</v>
      </c>
      <c r="N836" s="533">
        <f>IFERROR(SUMIFS(APUS!$Z$10:$Z$62,APUS!$N$62:Q1486,INSUMOS!D836),0)</f>
        <v>0</v>
      </c>
      <c r="O836" s="546">
        <f t="shared" si="76"/>
        <v>0</v>
      </c>
      <c r="P836" s="348"/>
      <c r="Q836" s="341" t="str">
        <f t="shared" si="77"/>
        <v>SI</v>
      </c>
    </row>
    <row r="837" spans="3:17" hidden="1" x14ac:dyDescent="0.25">
      <c r="C837" s="358">
        <v>907</v>
      </c>
      <c r="D837" s="800"/>
      <c r="E837" s="800"/>
      <c r="F837" s="800"/>
      <c r="G837" s="800"/>
      <c r="H837" s="516"/>
      <c r="I837" s="515"/>
      <c r="J837" s="510">
        <f>SUMIFS(APUS!$Y$9:$Y$1486,APUS!$M$9:$M$1486,INSUMOS!C837)</f>
        <v>0</v>
      </c>
      <c r="K837" s="511">
        <f t="shared" si="78"/>
        <v>0</v>
      </c>
      <c r="N837" s="533">
        <f>IFERROR(SUMIFS(APUS!$Z$10:$Z$62,APUS!$N$62:Q1486,INSUMOS!D837),0)</f>
        <v>0</v>
      </c>
      <c r="O837" s="546">
        <f t="shared" si="76"/>
        <v>0</v>
      </c>
      <c r="P837" s="348"/>
      <c r="Q837" s="341" t="str">
        <f t="shared" si="77"/>
        <v>SI</v>
      </c>
    </row>
    <row r="838" spans="3:17" ht="15.75" hidden="1" customHeight="1" x14ac:dyDescent="0.25">
      <c r="C838" s="358">
        <v>908</v>
      </c>
      <c r="D838" s="800"/>
      <c r="E838" s="800"/>
      <c r="F838" s="800"/>
      <c r="G838" s="800"/>
      <c r="H838" s="536"/>
      <c r="I838" s="515"/>
      <c r="J838" s="510">
        <f>SUMIFS(APUS!$Y$9:$Y$1486,APUS!$M$9:$M$1486,INSUMOS!C838)</f>
        <v>0</v>
      </c>
      <c r="K838" s="511">
        <f t="shared" si="78"/>
        <v>0</v>
      </c>
      <c r="N838" s="533">
        <f>IFERROR(SUMIFS(APUS!$Z$10:$Z$62,APUS!$N$62:Q1486,INSUMOS!D838),0)</f>
        <v>0</v>
      </c>
      <c r="O838" s="546">
        <f t="shared" si="76"/>
        <v>0</v>
      </c>
      <c r="P838" s="348"/>
      <c r="Q838" s="341" t="str">
        <f t="shared" si="77"/>
        <v>SI</v>
      </c>
    </row>
    <row r="839" spans="3:17" ht="15.75" hidden="1" customHeight="1" x14ac:dyDescent="0.25">
      <c r="C839" s="358">
        <v>909</v>
      </c>
      <c r="D839" s="800"/>
      <c r="E839" s="800"/>
      <c r="F839" s="800"/>
      <c r="G839" s="800"/>
      <c r="H839" s="536"/>
      <c r="I839" s="515"/>
      <c r="J839" s="510">
        <f>SUMIFS(APUS!$Y$9:$Y$1486,APUS!$M$9:$M$1486,INSUMOS!C839)</f>
        <v>0</v>
      </c>
      <c r="K839" s="511">
        <f t="shared" si="78"/>
        <v>0</v>
      </c>
      <c r="N839" s="533">
        <f>IFERROR(SUMIFS(APUS!$Z$10:$Z$62,APUS!$N$62:Q1486,INSUMOS!D839),0)</f>
        <v>0</v>
      </c>
      <c r="O839" s="546">
        <f t="shared" si="76"/>
        <v>0</v>
      </c>
      <c r="P839" s="348"/>
      <c r="Q839" s="341" t="str">
        <f t="shared" si="77"/>
        <v>SI</v>
      </c>
    </row>
    <row r="840" spans="3:17" ht="15.75" hidden="1" customHeight="1" x14ac:dyDescent="0.25">
      <c r="C840" s="358">
        <v>910</v>
      </c>
      <c r="D840" s="800" t="s">
        <v>851</v>
      </c>
      <c r="E840" s="800"/>
      <c r="F840" s="800"/>
      <c r="G840" s="800"/>
      <c r="H840" s="536" t="s">
        <v>43</v>
      </c>
      <c r="I840" s="515">
        <v>21450</v>
      </c>
      <c r="J840" s="510">
        <f>SUMIFS(APUS!$Y$9:$Y$1486,APUS!$M$9:$M$1486,INSUMOS!C840)</f>
        <v>0</v>
      </c>
      <c r="K840" s="511">
        <f t="shared" si="78"/>
        <v>0</v>
      </c>
      <c r="N840" s="533">
        <f>IFERROR(SUMIFS(APUS!$Z$10:$Z$62,APUS!$N$62:Q1486,INSUMOS!D840),0)</f>
        <v>0</v>
      </c>
      <c r="O840" s="546">
        <f t="shared" si="76"/>
        <v>0</v>
      </c>
      <c r="P840" s="348"/>
      <c r="Q840" s="341" t="str">
        <f t="shared" si="77"/>
        <v>SI</v>
      </c>
    </row>
    <row r="841" spans="3:17" ht="15.75" hidden="1" customHeight="1" x14ac:dyDescent="0.25">
      <c r="C841" s="358">
        <v>911</v>
      </c>
      <c r="D841" s="800" t="s">
        <v>852</v>
      </c>
      <c r="E841" s="800"/>
      <c r="F841" s="800"/>
      <c r="G841" s="800"/>
      <c r="H841" s="536" t="s">
        <v>36</v>
      </c>
      <c r="I841" s="515">
        <v>50</v>
      </c>
      <c r="J841" s="510">
        <f>SUMIFS(APUS!$Y$9:$Y$1486,APUS!$M$9:$M$1486,INSUMOS!C841)</f>
        <v>0</v>
      </c>
      <c r="K841" s="511">
        <f t="shared" si="78"/>
        <v>0</v>
      </c>
      <c r="N841" s="533">
        <f>IFERROR(SUMIFS(APUS!$Z$10:$Z$62,APUS!$N$62:Q1486,INSUMOS!D841),0)</f>
        <v>0</v>
      </c>
      <c r="O841" s="546">
        <f t="shared" si="76"/>
        <v>0</v>
      </c>
      <c r="P841" s="348"/>
      <c r="Q841" s="341" t="str">
        <f t="shared" si="77"/>
        <v>SI</v>
      </c>
    </row>
    <row r="842" spans="3:17" ht="15.75" hidden="1" customHeight="1" x14ac:dyDescent="0.25">
      <c r="C842" s="358">
        <v>912</v>
      </c>
      <c r="D842" s="800" t="s">
        <v>853</v>
      </c>
      <c r="E842" s="800"/>
      <c r="F842" s="800"/>
      <c r="G842" s="800"/>
      <c r="H842" s="536" t="s">
        <v>36</v>
      </c>
      <c r="I842" s="515">
        <v>125</v>
      </c>
      <c r="J842" s="510">
        <f>SUMIFS(APUS!$Y$9:$Y$1486,APUS!$M$9:$M$1486,INSUMOS!C842)</f>
        <v>0</v>
      </c>
      <c r="K842" s="511">
        <f t="shared" si="78"/>
        <v>0</v>
      </c>
      <c r="N842" s="533">
        <f>IFERROR(SUMIFS(APUS!$Z$10:$Z$62,APUS!$N$62:Q1486,INSUMOS!D842),0)</f>
        <v>0</v>
      </c>
      <c r="O842" s="546">
        <f t="shared" si="76"/>
        <v>0</v>
      </c>
      <c r="P842" s="348"/>
      <c r="Q842" s="341" t="str">
        <f t="shared" si="77"/>
        <v>SI</v>
      </c>
    </row>
    <row r="843" spans="3:17" ht="15.75" hidden="1" customHeight="1" x14ac:dyDescent="0.25">
      <c r="C843" s="358">
        <v>913</v>
      </c>
      <c r="D843" s="800" t="s">
        <v>854</v>
      </c>
      <c r="E843" s="800"/>
      <c r="F843" s="800"/>
      <c r="G843" s="800"/>
      <c r="H843" s="536" t="s">
        <v>35</v>
      </c>
      <c r="I843" s="515">
        <v>3380</v>
      </c>
      <c r="J843" s="510">
        <f>SUMIFS(APUS!$Y$9:$Y$1486,APUS!$M$9:$M$1486,INSUMOS!C843)</f>
        <v>0</v>
      </c>
      <c r="K843" s="511">
        <f t="shared" si="78"/>
        <v>0</v>
      </c>
      <c r="N843" s="533">
        <f>IFERROR(SUMIFS(APUS!$Z$10:$Z$62,APUS!$N$62:Q1486,INSUMOS!D843),0)</f>
        <v>0</v>
      </c>
      <c r="O843" s="546">
        <f t="shared" si="76"/>
        <v>0</v>
      </c>
      <c r="P843" s="348"/>
      <c r="Q843" s="341" t="str">
        <f t="shared" si="77"/>
        <v>SI</v>
      </c>
    </row>
    <row r="844" spans="3:17" ht="15.75" hidden="1" customHeight="1" x14ac:dyDescent="0.25">
      <c r="C844" s="358">
        <v>914</v>
      </c>
      <c r="D844" s="800" t="s">
        <v>855</v>
      </c>
      <c r="E844" s="800"/>
      <c r="F844" s="800"/>
      <c r="G844" s="800"/>
      <c r="H844" s="536" t="s">
        <v>36</v>
      </c>
      <c r="I844" s="515">
        <v>3200</v>
      </c>
      <c r="J844" s="510">
        <f>SUMIFS(APUS!$Y$9:$Y$1486,APUS!$M$9:$M$1486,INSUMOS!C844)</f>
        <v>0</v>
      </c>
      <c r="K844" s="511">
        <f t="shared" si="78"/>
        <v>0</v>
      </c>
      <c r="N844" s="533">
        <f>IFERROR(SUMIFS(APUS!$Z$10:$Z$62,APUS!$N$62:Q1486,INSUMOS!D844),0)</f>
        <v>0</v>
      </c>
      <c r="O844" s="546">
        <f t="shared" si="76"/>
        <v>0</v>
      </c>
      <c r="P844" s="348"/>
      <c r="Q844" s="341" t="str">
        <f t="shared" si="77"/>
        <v>SI</v>
      </c>
    </row>
    <row r="845" spans="3:17" hidden="1" x14ac:dyDescent="0.25">
      <c r="C845" s="358">
        <v>915</v>
      </c>
      <c r="D845" s="800" t="s">
        <v>856</v>
      </c>
      <c r="E845" s="800"/>
      <c r="F845" s="800"/>
      <c r="G845" s="800"/>
      <c r="H845" s="536" t="s">
        <v>36</v>
      </c>
      <c r="I845" s="515">
        <v>5150</v>
      </c>
      <c r="J845" s="510">
        <f>SUMIFS(APUS!$Y$9:$Y$1486,APUS!$M$9:$M$1486,INSUMOS!C845)</f>
        <v>0</v>
      </c>
      <c r="K845" s="511">
        <f t="shared" si="78"/>
        <v>0</v>
      </c>
      <c r="N845" s="533">
        <f>IFERROR(SUMIFS(APUS!$Z$10:$Z$62,APUS!$N$62:Q1486,INSUMOS!D845),0)</f>
        <v>0</v>
      </c>
      <c r="O845" s="546">
        <f t="shared" si="76"/>
        <v>0</v>
      </c>
      <c r="P845" s="348"/>
      <c r="Q845" s="341" t="str">
        <f t="shared" si="77"/>
        <v>SI</v>
      </c>
    </row>
    <row r="846" spans="3:17" ht="15.75" hidden="1" customHeight="1" x14ac:dyDescent="0.25">
      <c r="C846" s="358">
        <v>916</v>
      </c>
      <c r="D846" s="800" t="s">
        <v>857</v>
      </c>
      <c r="E846" s="800"/>
      <c r="F846" s="800"/>
      <c r="G846" s="800"/>
      <c r="H846" s="536" t="s">
        <v>35</v>
      </c>
      <c r="I846" s="515">
        <v>3600</v>
      </c>
      <c r="J846" s="510">
        <f>SUMIFS(APUS!$Y$9:$Y$1486,APUS!$M$9:$M$1486,INSUMOS!C846)</f>
        <v>0</v>
      </c>
      <c r="K846" s="511">
        <f t="shared" si="78"/>
        <v>0</v>
      </c>
      <c r="N846" s="533">
        <f>IFERROR(SUMIFS(APUS!$Z$10:$Z$62,APUS!$N$62:Q1486,INSUMOS!D846),0)</f>
        <v>0</v>
      </c>
      <c r="O846" s="546">
        <f t="shared" si="76"/>
        <v>0</v>
      </c>
      <c r="P846" s="348"/>
      <c r="Q846" s="341" t="str">
        <f t="shared" si="77"/>
        <v>SI</v>
      </c>
    </row>
    <row r="847" spans="3:17" ht="15.75" hidden="1" customHeight="1" x14ac:dyDescent="0.25">
      <c r="C847" s="358">
        <v>917</v>
      </c>
      <c r="D847" s="800" t="s">
        <v>858</v>
      </c>
      <c r="E847" s="800"/>
      <c r="F847" s="800"/>
      <c r="G847" s="800"/>
      <c r="H847" s="536" t="s">
        <v>36</v>
      </c>
      <c r="I847" s="515">
        <v>485</v>
      </c>
      <c r="J847" s="510">
        <f>SUMIFS(APUS!$Y$9:$Y$1486,APUS!$M$9:$M$1486,INSUMOS!C847)</f>
        <v>0</v>
      </c>
      <c r="K847" s="511">
        <f t="shared" si="78"/>
        <v>0</v>
      </c>
      <c r="N847" s="533">
        <f>IFERROR(SUMIFS(APUS!$Z$10:$Z$62,APUS!$N$62:Q1486,INSUMOS!D847),0)</f>
        <v>0</v>
      </c>
      <c r="O847" s="546">
        <f t="shared" si="76"/>
        <v>0</v>
      </c>
      <c r="P847" s="348"/>
      <c r="Q847" s="341" t="str">
        <f t="shared" si="77"/>
        <v>SI</v>
      </c>
    </row>
    <row r="848" spans="3:17" ht="15.75" hidden="1" customHeight="1" x14ac:dyDescent="0.25">
      <c r="C848" s="358">
        <v>918</v>
      </c>
      <c r="D848" s="800" t="s">
        <v>860</v>
      </c>
      <c r="E848" s="800"/>
      <c r="F848" s="800"/>
      <c r="G848" s="800"/>
      <c r="H848" s="536" t="s">
        <v>43</v>
      </c>
      <c r="I848" s="515">
        <v>65000</v>
      </c>
      <c r="J848" s="510">
        <f>SUMIFS(APUS!$Y$9:$Y$1486,APUS!$M$9:$M$1486,INSUMOS!C848)</f>
        <v>0</v>
      </c>
      <c r="K848" s="511">
        <f t="shared" si="78"/>
        <v>0</v>
      </c>
      <c r="N848" s="533">
        <f>IFERROR(SUMIFS(APUS!$Z$10:$Z$62,APUS!$N$62:Q1486,INSUMOS!D848),0)</f>
        <v>0</v>
      </c>
      <c r="O848" s="546">
        <f t="shared" si="76"/>
        <v>0</v>
      </c>
      <c r="P848" s="348"/>
      <c r="Q848" s="341" t="str">
        <f t="shared" si="77"/>
        <v>SI</v>
      </c>
    </row>
    <row r="849" spans="3:17" ht="15.75" hidden="1" customHeight="1" x14ac:dyDescent="0.25">
      <c r="C849" s="358">
        <v>919</v>
      </c>
      <c r="D849" s="800" t="s">
        <v>862</v>
      </c>
      <c r="E849" s="800"/>
      <c r="F849" s="800"/>
      <c r="G849" s="800"/>
      <c r="H849" s="536" t="s">
        <v>36</v>
      </c>
      <c r="I849" s="515">
        <v>3500</v>
      </c>
      <c r="J849" s="510">
        <f>SUMIFS(APUS!$Y$9:$Y$1486,APUS!$M$9:$M$1486,INSUMOS!C849)</f>
        <v>0</v>
      </c>
      <c r="K849" s="511">
        <f t="shared" si="78"/>
        <v>0</v>
      </c>
      <c r="N849" s="533">
        <f>IFERROR(SUMIFS(APUS!$Z$10:$Z$62,APUS!$N$62:Q1486,INSUMOS!D849),0)</f>
        <v>0</v>
      </c>
      <c r="O849" s="546">
        <f t="shared" ref="O849" si="79">+N849-K849</f>
        <v>0</v>
      </c>
      <c r="P849" s="348"/>
      <c r="Q849" s="341" t="str">
        <f t="shared" si="77"/>
        <v>SI</v>
      </c>
    </row>
    <row r="850" spans="3:17" ht="15" hidden="1" customHeight="1" x14ac:dyDescent="0.25">
      <c r="C850" s="358">
        <v>920</v>
      </c>
      <c r="D850" s="800" t="s">
        <v>863</v>
      </c>
      <c r="E850" s="800"/>
      <c r="F850" s="800"/>
      <c r="G850" s="800"/>
      <c r="H850" s="536" t="s">
        <v>36</v>
      </c>
      <c r="I850" s="515">
        <v>108450</v>
      </c>
      <c r="J850" s="510">
        <f>SUMIFS(APUS!$Y$9:$Y$1486,APUS!$M$9:$M$1486,INSUMOS!C850)</f>
        <v>0</v>
      </c>
      <c r="K850" s="511">
        <f t="shared" si="78"/>
        <v>0</v>
      </c>
      <c r="N850" s="533">
        <f>IFERROR(SUMIFS(APUS!$Z$10:$Z$62,APUS!$N$62:Q1486,INSUMOS!D850),0)</f>
        <v>0</v>
      </c>
      <c r="O850" s="546">
        <f t="shared" si="76"/>
        <v>0</v>
      </c>
      <c r="P850" s="348"/>
      <c r="Q850" s="341" t="str">
        <f t="shared" si="77"/>
        <v>SI</v>
      </c>
    </row>
    <row r="851" spans="3:17" ht="15" hidden="1" customHeight="1" x14ac:dyDescent="0.25">
      <c r="C851" s="358">
        <v>921</v>
      </c>
      <c r="D851" s="800" t="s">
        <v>864</v>
      </c>
      <c r="E851" s="800"/>
      <c r="F851" s="800"/>
      <c r="G851" s="800"/>
      <c r="H851" s="536" t="s">
        <v>258</v>
      </c>
      <c r="I851" s="515">
        <v>137400</v>
      </c>
      <c r="J851" s="510">
        <f>SUMIFS(APUS!$Y$9:$Y$1486,APUS!$M$9:$M$1486,INSUMOS!C851)</f>
        <v>0</v>
      </c>
      <c r="K851" s="511">
        <f t="shared" si="78"/>
        <v>0</v>
      </c>
      <c r="N851" s="533">
        <f>IFERROR(SUMIFS(APUS!$Z$10:$Z$62,APUS!$N$62:Q1486,INSUMOS!D851),0)</f>
        <v>0</v>
      </c>
      <c r="O851" s="546">
        <f t="shared" si="76"/>
        <v>0</v>
      </c>
      <c r="P851" s="348"/>
      <c r="Q851" s="341" t="str">
        <f t="shared" si="77"/>
        <v>SI</v>
      </c>
    </row>
    <row r="852" spans="3:17" ht="15" hidden="1" customHeight="1" x14ac:dyDescent="0.25">
      <c r="C852" s="358">
        <v>922</v>
      </c>
      <c r="D852" s="800" t="s">
        <v>865</v>
      </c>
      <c r="E852" s="800"/>
      <c r="F852" s="800"/>
      <c r="G852" s="800"/>
      <c r="H852" s="536" t="s">
        <v>212</v>
      </c>
      <c r="I852" s="515">
        <v>22150</v>
      </c>
      <c r="J852" s="510">
        <f>SUMIFS(APUS!$Y$9:$Y$1486,APUS!$M$9:$M$1486,INSUMOS!C852)</f>
        <v>0</v>
      </c>
      <c r="K852" s="511">
        <f t="shared" si="78"/>
        <v>0</v>
      </c>
      <c r="N852" s="533">
        <f>IFERROR(SUMIFS(APUS!$Z$10:$Z$62,APUS!$N$62:Q1486,INSUMOS!D852),0)</f>
        <v>0</v>
      </c>
      <c r="O852" s="546">
        <f t="shared" si="76"/>
        <v>0</v>
      </c>
      <c r="P852" s="348"/>
      <c r="Q852" s="341" t="str">
        <f t="shared" si="77"/>
        <v>SI</v>
      </c>
    </row>
    <row r="853" spans="3:17" ht="15" hidden="1" customHeight="1" x14ac:dyDescent="0.25">
      <c r="C853" s="358">
        <v>923</v>
      </c>
      <c r="D853" s="800" t="s">
        <v>870</v>
      </c>
      <c r="E853" s="800"/>
      <c r="F853" s="800"/>
      <c r="G853" s="800"/>
      <c r="H853" s="516" t="s">
        <v>871</v>
      </c>
      <c r="I853" s="515">
        <v>65150</v>
      </c>
      <c r="J853" s="510">
        <f>SUMIFS(APUS!$Y$9:$Y$1486,APUS!$M$9:$M$1486,INSUMOS!C853)</f>
        <v>0</v>
      </c>
      <c r="K853" s="511">
        <f t="shared" si="78"/>
        <v>0</v>
      </c>
      <c r="N853" s="533">
        <f>IFERROR(SUMIFS(APUS!$Z$10:$Z$62,APUS!$N$62:Q1486,INSUMOS!D853),0)</f>
        <v>0</v>
      </c>
      <c r="O853" s="546">
        <f t="shared" si="76"/>
        <v>0</v>
      </c>
      <c r="P853" s="348"/>
      <c r="Q853" s="341" t="str">
        <f t="shared" si="77"/>
        <v>SI</v>
      </c>
    </row>
    <row r="854" spans="3:17" hidden="1" x14ac:dyDescent="0.25">
      <c r="C854" s="358">
        <v>924</v>
      </c>
      <c r="D854" s="800"/>
      <c r="E854" s="800"/>
      <c r="F854" s="800"/>
      <c r="G854" s="800"/>
      <c r="H854" s="536"/>
      <c r="I854" s="535"/>
      <c r="J854" s="510">
        <f>SUMIFS(APUS!$Y$9:$Y$1486,APUS!$M$9:$M$1486,INSUMOS!C854)</f>
        <v>0</v>
      </c>
      <c r="K854" s="511">
        <f t="shared" si="78"/>
        <v>0</v>
      </c>
      <c r="N854" s="512">
        <f>IFERROR(SUMIFS(APUS!$Z$10:$Z$62,APUS!$N$62:Q1486,INSUMOS!D854),0)</f>
        <v>0</v>
      </c>
      <c r="O854" s="513">
        <f t="shared" si="76"/>
        <v>0</v>
      </c>
      <c r="P854" s="348"/>
      <c r="Q854" s="514" t="str">
        <f t="shared" si="77"/>
        <v>SI</v>
      </c>
    </row>
    <row r="855" spans="3:17" ht="15" hidden="1" customHeight="1" x14ac:dyDescent="0.25">
      <c r="C855" s="358">
        <v>925</v>
      </c>
      <c r="D855" s="800"/>
      <c r="E855" s="800"/>
      <c r="F855" s="800"/>
      <c r="G855" s="800"/>
      <c r="H855" s="536"/>
      <c r="I855" s="535"/>
      <c r="J855" s="510">
        <f>SUMIFS(APUS!$Y$9:$Y$1486,APUS!$M$9:$M$1486,INSUMOS!C855)</f>
        <v>0</v>
      </c>
      <c r="K855" s="511">
        <f t="shared" si="78"/>
        <v>0</v>
      </c>
      <c r="N855" s="512">
        <f>IFERROR(SUMIFS(APUS!$Z$10:$Z$62,APUS!$N$62:Q1486,INSUMOS!D855),0)</f>
        <v>0</v>
      </c>
      <c r="O855" s="513">
        <f t="shared" si="76"/>
        <v>0</v>
      </c>
      <c r="P855" s="348"/>
      <c r="Q855" s="514" t="str">
        <f t="shared" si="77"/>
        <v>SI</v>
      </c>
    </row>
    <row r="856" spans="3:17" ht="15" hidden="1" customHeight="1" x14ac:dyDescent="0.25">
      <c r="C856" s="358">
        <v>926</v>
      </c>
      <c r="D856" s="800"/>
      <c r="E856" s="800"/>
      <c r="F856" s="800"/>
      <c r="G856" s="800"/>
      <c r="H856" s="536"/>
      <c r="I856" s="535"/>
      <c r="J856" s="510">
        <f>SUMIFS(APUS!$Y$9:$Y$1486,APUS!$M$9:$M$1486,INSUMOS!C856)</f>
        <v>0</v>
      </c>
      <c r="K856" s="511">
        <f t="shared" si="78"/>
        <v>0</v>
      </c>
      <c r="N856" s="512">
        <f>IFERROR(SUMIFS(APUS!$Z$10:$Z$62,APUS!$N$62:Q1486,INSUMOS!D856),0)</f>
        <v>0</v>
      </c>
      <c r="O856" s="513">
        <f t="shared" si="76"/>
        <v>0</v>
      </c>
      <c r="P856" s="348"/>
      <c r="Q856" s="514" t="str">
        <f t="shared" si="77"/>
        <v>SI</v>
      </c>
    </row>
    <row r="857" spans="3:17" ht="15" hidden="1" customHeight="1" x14ac:dyDescent="0.25">
      <c r="C857" s="358">
        <v>927</v>
      </c>
      <c r="D857" s="800"/>
      <c r="E857" s="800"/>
      <c r="F857" s="800"/>
      <c r="G857" s="800"/>
      <c r="H857" s="536"/>
      <c r="I857" s="535"/>
      <c r="J857" s="510">
        <f>SUMIFS(APUS!$Y$9:$Y$1486,APUS!$M$9:$M$1486,INSUMOS!C857)</f>
        <v>0</v>
      </c>
      <c r="K857" s="511">
        <f t="shared" si="78"/>
        <v>0</v>
      </c>
      <c r="N857" s="512">
        <f>IFERROR(SUMIFS(APUS!$Z$10:$Z$62,APUS!$N$62:Q1486,INSUMOS!D857),0)</f>
        <v>0</v>
      </c>
      <c r="O857" s="513">
        <f t="shared" si="76"/>
        <v>0</v>
      </c>
      <c r="P857" s="348"/>
      <c r="Q857" s="514" t="str">
        <f t="shared" si="77"/>
        <v>SI</v>
      </c>
    </row>
    <row r="858" spans="3:17" ht="15" hidden="1" customHeight="1" x14ac:dyDescent="0.25">
      <c r="C858" s="358">
        <v>928</v>
      </c>
      <c r="D858" s="800"/>
      <c r="E858" s="800"/>
      <c r="F858" s="800"/>
      <c r="G858" s="800"/>
      <c r="H858" s="516"/>
      <c r="I858" s="535"/>
      <c r="J858" s="510">
        <f>SUMIFS(APUS!$Y$9:$Y$1486,APUS!$M$9:$M$1486,INSUMOS!C858)</f>
        <v>0</v>
      </c>
      <c r="K858" s="511">
        <f t="shared" si="78"/>
        <v>0</v>
      </c>
      <c r="N858" s="512">
        <f>IFERROR(SUMIFS(APUS!$Z$10:$Z$62,APUS!$N$62:Q1486,INSUMOS!D858),0)</f>
        <v>0</v>
      </c>
      <c r="O858" s="513">
        <f t="shared" si="76"/>
        <v>0</v>
      </c>
      <c r="P858" s="348"/>
      <c r="Q858" s="514" t="str">
        <f t="shared" si="77"/>
        <v>SI</v>
      </c>
    </row>
    <row r="859" spans="3:17" ht="15" hidden="1" customHeight="1" x14ac:dyDescent="0.25">
      <c r="C859" s="358">
        <v>929</v>
      </c>
      <c r="D859" s="800"/>
      <c r="E859" s="800"/>
      <c r="F859" s="800"/>
      <c r="G859" s="800"/>
      <c r="H859" s="516"/>
      <c r="I859" s="535"/>
      <c r="J859" s="510">
        <f>SUMIFS(APUS!$Y$9:$Y$1486,APUS!$M$9:$M$1486,INSUMOS!C859)</f>
        <v>0</v>
      </c>
      <c r="K859" s="511">
        <f t="shared" si="78"/>
        <v>0</v>
      </c>
      <c r="N859" s="512">
        <f>IFERROR(SUMIFS(APUS!$Z$10:$Z$62,APUS!$N$62:Q1486,INSUMOS!D859),0)</f>
        <v>0</v>
      </c>
      <c r="O859" s="513">
        <f t="shared" si="76"/>
        <v>0</v>
      </c>
      <c r="P859" s="348"/>
      <c r="Q859" s="514" t="str">
        <f t="shared" si="77"/>
        <v>SI</v>
      </c>
    </row>
    <row r="860" spans="3:17" ht="15" hidden="1" customHeight="1" x14ac:dyDescent="0.25">
      <c r="C860" s="358">
        <v>930</v>
      </c>
      <c r="D860" s="800" t="s">
        <v>888</v>
      </c>
      <c r="E860" s="800"/>
      <c r="F860" s="800"/>
      <c r="G860" s="800"/>
      <c r="H860" s="516" t="s">
        <v>35</v>
      </c>
      <c r="I860" s="515">
        <v>2250</v>
      </c>
      <c r="J860" s="510">
        <f>SUMIFS(APUS!$Y$9:$Y$1486,APUS!$M$9:$M$1486,INSUMOS!C860)</f>
        <v>0</v>
      </c>
      <c r="K860" s="511">
        <f t="shared" si="78"/>
        <v>0</v>
      </c>
      <c r="N860" s="512">
        <f>IFERROR(SUMIFS(APUS!$Z$10:$Z$62,APUS!$N$62:Q1486,INSUMOS!D860),0)</f>
        <v>0</v>
      </c>
      <c r="O860" s="513">
        <f t="shared" si="76"/>
        <v>0</v>
      </c>
      <c r="P860" s="348"/>
      <c r="Q860" s="514" t="str">
        <f t="shared" si="77"/>
        <v>SI</v>
      </c>
    </row>
    <row r="861" spans="3:17" ht="15" hidden="1" customHeight="1" x14ac:dyDescent="0.25">
      <c r="C861" s="358">
        <v>931</v>
      </c>
      <c r="D861" s="800" t="s">
        <v>889</v>
      </c>
      <c r="E861" s="800"/>
      <c r="F861" s="800"/>
      <c r="G861" s="800"/>
      <c r="H861" s="516" t="s">
        <v>35</v>
      </c>
      <c r="I861" s="515">
        <v>1950</v>
      </c>
      <c r="J861" s="510">
        <f>SUMIFS(APUS!$Y$9:$Y$1486,APUS!$M$9:$M$1486,INSUMOS!C861)</f>
        <v>0</v>
      </c>
      <c r="K861" s="511">
        <f t="shared" si="78"/>
        <v>0</v>
      </c>
      <c r="N861" s="512">
        <f>IFERROR(SUMIFS(APUS!$Z$10:$Z$62,APUS!$N$62:Q1486,INSUMOS!D861),0)</f>
        <v>0</v>
      </c>
      <c r="O861" s="513">
        <f t="shared" si="76"/>
        <v>0</v>
      </c>
      <c r="P861" s="348"/>
      <c r="Q861" s="514" t="str">
        <f t="shared" si="77"/>
        <v>SI</v>
      </c>
    </row>
    <row r="862" spans="3:17" ht="15" hidden="1" customHeight="1" x14ac:dyDescent="0.25">
      <c r="C862" s="358">
        <v>932</v>
      </c>
      <c r="D862" s="800"/>
      <c r="E862" s="800"/>
      <c r="F862" s="800"/>
      <c r="G862" s="800"/>
      <c r="H862" s="516"/>
      <c r="I862" s="535"/>
      <c r="J862" s="510">
        <f>SUMIFS(APUS!$Y$9:$Y$1486,APUS!$M$9:$M$1486,INSUMOS!C862)</f>
        <v>0</v>
      </c>
      <c r="K862" s="511">
        <f t="shared" si="78"/>
        <v>0</v>
      </c>
      <c r="N862" s="512">
        <f>IFERROR(SUMIFS(APUS!$Z$10:$Z$62,APUS!$N$62:Q1486,INSUMOS!D862),0)</f>
        <v>0</v>
      </c>
      <c r="O862" s="513">
        <f t="shared" si="76"/>
        <v>0</v>
      </c>
      <c r="P862" s="348"/>
      <c r="Q862" s="514" t="str">
        <f t="shared" si="77"/>
        <v>SI</v>
      </c>
    </row>
    <row r="863" spans="3:17" ht="15" hidden="1" customHeight="1" x14ac:dyDescent="0.25">
      <c r="C863" s="358">
        <v>933</v>
      </c>
      <c r="D863" s="800"/>
      <c r="E863" s="800"/>
      <c r="F863" s="800"/>
      <c r="G863" s="800"/>
      <c r="H863" s="516"/>
      <c r="I863" s="535"/>
      <c r="J863" s="510">
        <f>SUMIFS(APUS!$Y$9:$Y$1486,APUS!$M$9:$M$1486,INSUMOS!C863)</f>
        <v>0</v>
      </c>
      <c r="K863" s="511">
        <f t="shared" si="78"/>
        <v>0</v>
      </c>
      <c r="N863" s="512">
        <f>IFERROR(SUMIFS(APUS!$Z$10:$Z$62,APUS!$N$62:Q1486,INSUMOS!D863),0)</f>
        <v>0</v>
      </c>
      <c r="O863" s="513">
        <f t="shared" si="76"/>
        <v>0</v>
      </c>
      <c r="P863" s="348"/>
      <c r="Q863" s="514" t="str">
        <f t="shared" si="77"/>
        <v>SI</v>
      </c>
    </row>
    <row r="864" spans="3:17" ht="15" hidden="1" customHeight="1" x14ac:dyDescent="0.25">
      <c r="C864" s="358">
        <v>934</v>
      </c>
      <c r="D864" s="800"/>
      <c r="E864" s="800"/>
      <c r="F864" s="800"/>
      <c r="G864" s="800"/>
      <c r="H864" s="516"/>
      <c r="I864" s="535"/>
      <c r="J864" s="510">
        <f>SUMIFS(APUS!$Y$9:$Y$1486,APUS!$M$9:$M$1486,INSUMOS!C864)</f>
        <v>0</v>
      </c>
      <c r="K864" s="511">
        <f t="shared" si="78"/>
        <v>0</v>
      </c>
      <c r="N864" s="512">
        <f>IFERROR(SUMIFS(APUS!$Z$10:$Z$62,APUS!$N$62:Q1486,INSUMOS!D864),0)</f>
        <v>0</v>
      </c>
      <c r="O864" s="513">
        <f t="shared" si="76"/>
        <v>0</v>
      </c>
      <c r="P864" s="348"/>
      <c r="Q864" s="514" t="str">
        <f t="shared" si="77"/>
        <v>SI</v>
      </c>
    </row>
    <row r="865" spans="3:17" ht="15" hidden="1" customHeight="1" x14ac:dyDescent="0.25">
      <c r="C865" s="358">
        <v>935</v>
      </c>
      <c r="D865" s="800"/>
      <c r="E865" s="800"/>
      <c r="F865" s="800"/>
      <c r="G865" s="800"/>
      <c r="H865" s="516"/>
      <c r="I865" s="535"/>
      <c r="J865" s="510">
        <f>SUMIFS(APUS!$Y$9:$Y$1486,APUS!$M$9:$M$1486,INSUMOS!C865)</f>
        <v>0</v>
      </c>
      <c r="K865" s="511">
        <f t="shared" si="78"/>
        <v>0</v>
      </c>
      <c r="N865" s="512">
        <f>IFERROR(SUMIFS(APUS!$Z$10:$Z$62,APUS!$N$62:Q1486,INSUMOS!D865),0)</f>
        <v>0</v>
      </c>
      <c r="O865" s="513">
        <f t="shared" si="76"/>
        <v>0</v>
      </c>
      <c r="P865" s="348"/>
      <c r="Q865" s="514" t="str">
        <f t="shared" si="77"/>
        <v>SI</v>
      </c>
    </row>
    <row r="866" spans="3:17" ht="15" hidden="1" customHeight="1" x14ac:dyDescent="0.25">
      <c r="C866" s="358">
        <v>936</v>
      </c>
      <c r="D866" s="800"/>
      <c r="E866" s="800"/>
      <c r="F866" s="800"/>
      <c r="G866" s="800"/>
      <c r="H866" s="516"/>
      <c r="I866" s="535"/>
      <c r="J866" s="510">
        <f>SUMIFS(APUS!$Y$9:$Y$1486,APUS!$M$9:$M$1486,INSUMOS!C866)</f>
        <v>0</v>
      </c>
      <c r="K866" s="511">
        <f t="shared" si="78"/>
        <v>0</v>
      </c>
      <c r="N866" s="512">
        <f>IFERROR(SUMIFS(APUS!$Z$10:$Z$62,APUS!$N$62:Q1486,INSUMOS!D866),0)</f>
        <v>0</v>
      </c>
      <c r="O866" s="513">
        <f t="shared" si="76"/>
        <v>0</v>
      </c>
      <c r="P866" s="348"/>
      <c r="Q866" s="514" t="str">
        <f t="shared" si="77"/>
        <v>SI</v>
      </c>
    </row>
    <row r="867" spans="3:17" ht="15" hidden="1" customHeight="1" x14ac:dyDescent="0.25">
      <c r="C867" s="358">
        <v>937</v>
      </c>
      <c r="D867" s="800"/>
      <c r="E867" s="800"/>
      <c r="F867" s="800"/>
      <c r="G867" s="800"/>
      <c r="H867" s="516"/>
      <c r="I867" s="535"/>
      <c r="J867" s="510">
        <f>SUMIFS(APUS!$Y$9:$Y$1486,APUS!$M$9:$M$1486,INSUMOS!C867)</f>
        <v>0</v>
      </c>
      <c r="K867" s="511">
        <f t="shared" si="78"/>
        <v>0</v>
      </c>
      <c r="N867" s="512">
        <f>IFERROR(SUMIFS(APUS!$Z$10:$Z$62,APUS!$N$62:Q1486,INSUMOS!D867),0)</f>
        <v>0</v>
      </c>
      <c r="O867" s="513">
        <f t="shared" si="76"/>
        <v>0</v>
      </c>
      <c r="P867" s="348"/>
      <c r="Q867" s="514" t="str">
        <f t="shared" si="77"/>
        <v>SI</v>
      </c>
    </row>
    <row r="868" spans="3:17" ht="15" hidden="1" customHeight="1" x14ac:dyDescent="0.25">
      <c r="C868" s="358">
        <v>938</v>
      </c>
      <c r="D868" s="800"/>
      <c r="E868" s="800"/>
      <c r="F868" s="800"/>
      <c r="G868" s="800"/>
      <c r="H868" s="516"/>
      <c r="I868" s="535"/>
      <c r="J868" s="510">
        <f>SUMIFS(APUS!$Y$9:$Y$1486,APUS!$M$9:$M$1486,INSUMOS!C868)</f>
        <v>0</v>
      </c>
      <c r="K868" s="511">
        <f t="shared" si="78"/>
        <v>0</v>
      </c>
      <c r="N868" s="512">
        <f>IFERROR(SUMIFS(APUS!$Z$10:$Z$62,APUS!$N$62:Q1486,INSUMOS!D868),0)</f>
        <v>0</v>
      </c>
      <c r="O868" s="513">
        <f t="shared" si="76"/>
        <v>0</v>
      </c>
      <c r="P868" s="348"/>
      <c r="Q868" s="514" t="str">
        <f t="shared" si="77"/>
        <v>SI</v>
      </c>
    </row>
    <row r="869" spans="3:17" ht="15" hidden="1" customHeight="1" x14ac:dyDescent="0.25">
      <c r="C869" s="358">
        <v>939</v>
      </c>
      <c r="D869" s="800"/>
      <c r="E869" s="800"/>
      <c r="F869" s="800"/>
      <c r="G869" s="800"/>
      <c r="H869" s="516"/>
      <c r="I869" s="535"/>
      <c r="J869" s="510">
        <f>SUMIFS(APUS!$Y$9:$Y$1486,APUS!$M$9:$M$1486,INSUMOS!C869)</f>
        <v>0</v>
      </c>
      <c r="K869" s="511">
        <f t="shared" si="78"/>
        <v>0</v>
      </c>
      <c r="N869" s="512">
        <f>IFERROR(SUMIFS(APUS!$Z$10:$Z$62,APUS!$N$62:Q1486,INSUMOS!D869),0)</f>
        <v>0</v>
      </c>
      <c r="O869" s="513">
        <f t="shared" si="76"/>
        <v>0</v>
      </c>
      <c r="P869" s="348"/>
      <c r="Q869" s="514" t="str">
        <f t="shared" si="77"/>
        <v>SI</v>
      </c>
    </row>
    <row r="870" spans="3:17" ht="15" hidden="1" customHeight="1" x14ac:dyDescent="0.25">
      <c r="C870" s="358">
        <v>940</v>
      </c>
      <c r="D870" s="727"/>
      <c r="E870" s="727"/>
      <c r="F870" s="727"/>
      <c r="G870" s="727"/>
      <c r="H870" s="516"/>
      <c r="I870" s="531"/>
      <c r="J870" s="510">
        <f>SUMIFS(APUS!$Y$9:$Y$1486,APUS!$M$9:$M$1486,INSUMOS!C870)</f>
        <v>0</v>
      </c>
      <c r="K870" s="511">
        <f t="shared" si="78"/>
        <v>0</v>
      </c>
      <c r="N870" s="512">
        <f>IFERROR(SUMIFS(APUS!$Z$10:$Z$62,APUS!$N$62:Q1486,INSUMOS!D870),0)</f>
        <v>0</v>
      </c>
      <c r="O870" s="513">
        <f t="shared" si="76"/>
        <v>0</v>
      </c>
      <c r="P870" s="348"/>
      <c r="Q870" s="514" t="str">
        <f t="shared" si="77"/>
        <v>SI</v>
      </c>
    </row>
    <row r="871" spans="3:17" ht="15" hidden="1" customHeight="1" x14ac:dyDescent="0.25">
      <c r="C871" s="358">
        <v>941</v>
      </c>
      <c r="D871" s="800"/>
      <c r="E871" s="800"/>
      <c r="F871" s="800"/>
      <c r="G871" s="800"/>
      <c r="H871" s="536"/>
      <c r="I871" s="535"/>
      <c r="J871" s="510">
        <f>SUMIFS(APUS!$Y$9:$Y$1486,APUS!$M$9:$M$1486,INSUMOS!C871)</f>
        <v>0</v>
      </c>
      <c r="K871" s="511">
        <f t="shared" si="78"/>
        <v>0</v>
      </c>
      <c r="N871" s="512">
        <f>IFERROR(SUMIFS(APUS!$Z$10:$Z$62,APUS!$N$62:Q1486,INSUMOS!D871),0)</f>
        <v>0</v>
      </c>
      <c r="O871" s="513">
        <f t="shared" si="76"/>
        <v>0</v>
      </c>
      <c r="P871" s="348"/>
      <c r="Q871" s="514" t="str">
        <f t="shared" si="77"/>
        <v>SI</v>
      </c>
    </row>
    <row r="872" spans="3:17" hidden="1" x14ac:dyDescent="0.25">
      <c r="C872" s="358">
        <v>942</v>
      </c>
      <c r="D872" s="800"/>
      <c r="E872" s="800"/>
      <c r="F872" s="800"/>
      <c r="G872" s="800"/>
      <c r="H872" s="536"/>
      <c r="I872" s="535"/>
      <c r="J872" s="510">
        <f>SUMIFS(APUS!$Y$9:$Y$1486,APUS!$M$9:$M$1486,INSUMOS!C872)</f>
        <v>0</v>
      </c>
      <c r="K872" s="511">
        <f t="shared" si="78"/>
        <v>0</v>
      </c>
      <c r="N872" s="512">
        <f>IFERROR(SUMIFS(APUS!$Z$10:$Z$62,APUS!$N$62:Q1486,INSUMOS!D872),0)</f>
        <v>0</v>
      </c>
      <c r="O872" s="513">
        <f t="shared" si="76"/>
        <v>0</v>
      </c>
      <c r="P872" s="348"/>
      <c r="Q872" s="514" t="str">
        <f t="shared" si="77"/>
        <v>SI</v>
      </c>
    </row>
    <row r="873" spans="3:17" ht="15" hidden="1" customHeight="1" x14ac:dyDescent="0.25">
      <c r="C873" s="358">
        <v>943</v>
      </c>
      <c r="D873" s="800"/>
      <c r="E873" s="800"/>
      <c r="F873" s="800"/>
      <c r="G873" s="800"/>
      <c r="H873" s="536"/>
      <c r="I873" s="535"/>
      <c r="J873" s="510">
        <f>SUMIFS(APUS!$Y$9:$Y$1486,APUS!$M$9:$M$1486,INSUMOS!C873)</f>
        <v>0</v>
      </c>
      <c r="K873" s="511">
        <f t="shared" si="78"/>
        <v>0</v>
      </c>
      <c r="N873" s="512">
        <f>IFERROR(SUMIFS(APUS!$Z$10:$Z$62,APUS!$N$62:Q1486,INSUMOS!D873),0)</f>
        <v>0</v>
      </c>
      <c r="O873" s="513">
        <f t="shared" si="76"/>
        <v>0</v>
      </c>
      <c r="P873" s="348"/>
      <c r="Q873" s="514" t="str">
        <f t="shared" si="77"/>
        <v>SI</v>
      </c>
    </row>
    <row r="874" spans="3:17" hidden="1" x14ac:dyDescent="0.25">
      <c r="C874" s="358">
        <v>944</v>
      </c>
      <c r="D874" s="800"/>
      <c r="E874" s="800"/>
      <c r="F874" s="800"/>
      <c r="G874" s="800"/>
      <c r="H874" s="536"/>
      <c r="I874" s="535"/>
      <c r="J874" s="510">
        <f>SUMIFS(APUS!$Y$9:$Y$1486,APUS!$M$9:$M$1486,INSUMOS!C874)</f>
        <v>0</v>
      </c>
      <c r="K874" s="511">
        <f t="shared" si="78"/>
        <v>0</v>
      </c>
      <c r="N874" s="512">
        <f>IFERROR(SUMIFS(APUS!$Z$10:$Z$62,APUS!$N$62:Q1486,INSUMOS!D874),0)</f>
        <v>0</v>
      </c>
      <c r="O874" s="513">
        <f t="shared" si="76"/>
        <v>0</v>
      </c>
      <c r="P874" s="348"/>
      <c r="Q874" s="514" t="str">
        <f t="shared" si="77"/>
        <v>SI</v>
      </c>
    </row>
    <row r="875" spans="3:17" hidden="1" x14ac:dyDescent="0.25">
      <c r="C875" s="358">
        <v>945</v>
      </c>
      <c r="D875" s="727"/>
      <c r="E875" s="727"/>
      <c r="F875" s="727"/>
      <c r="G875" s="727"/>
      <c r="H875" s="516"/>
      <c r="I875" s="531"/>
      <c r="J875" s="510">
        <f>SUMIFS(APUS!$Y$9:$Y$1486,APUS!$M$9:$M$1486,INSUMOS!C875)</f>
        <v>0</v>
      </c>
      <c r="K875" s="511">
        <f t="shared" si="78"/>
        <v>0</v>
      </c>
      <c r="N875" s="512">
        <f>IFERROR(SUMIFS(APUS!$Z$10:$Z$62,APUS!$N$62:Q1486,INSUMOS!D875),0)</f>
        <v>0</v>
      </c>
      <c r="O875" s="513">
        <f t="shared" si="76"/>
        <v>0</v>
      </c>
      <c r="P875" s="348"/>
      <c r="Q875" s="514" t="str">
        <f t="shared" si="77"/>
        <v>SI</v>
      </c>
    </row>
    <row r="876" spans="3:17" ht="15" hidden="1" customHeight="1" x14ac:dyDescent="0.25">
      <c r="C876" s="358">
        <v>946</v>
      </c>
      <c r="D876" s="800"/>
      <c r="E876" s="800"/>
      <c r="F876" s="800"/>
      <c r="G876" s="800"/>
      <c r="H876" s="536"/>
      <c r="I876" s="535"/>
      <c r="J876" s="510">
        <f>SUMIFS(APUS!$Y$9:$Y$1486,APUS!$M$9:$M$1486,INSUMOS!C876)</f>
        <v>0</v>
      </c>
      <c r="K876" s="511">
        <f t="shared" si="78"/>
        <v>0</v>
      </c>
      <c r="N876" s="512">
        <f>IFERROR(SUMIFS(APUS!$Z$10:$Z$62,APUS!$N$62:Q1486,INSUMOS!D876),0)</f>
        <v>0</v>
      </c>
      <c r="O876" s="513">
        <f t="shared" si="76"/>
        <v>0</v>
      </c>
      <c r="P876" s="348"/>
      <c r="Q876" s="514" t="str">
        <f t="shared" si="77"/>
        <v>SI</v>
      </c>
    </row>
    <row r="877" spans="3:17" ht="15" hidden="1" customHeight="1" x14ac:dyDescent="0.25">
      <c r="C877" s="358">
        <v>947</v>
      </c>
      <c r="D877" s="800"/>
      <c r="E877" s="800"/>
      <c r="F877" s="800"/>
      <c r="G877" s="800"/>
      <c r="H877" s="536"/>
      <c r="I877" s="535"/>
      <c r="J877" s="510">
        <f>SUMIFS(APUS!$Y$9:$Y$1486,APUS!$M$9:$M$1486,INSUMOS!C877)</f>
        <v>0</v>
      </c>
      <c r="K877" s="511">
        <f t="shared" si="78"/>
        <v>0</v>
      </c>
      <c r="N877" s="512">
        <f>IFERROR(SUMIFS(APUS!$Z$10:$Z$62,APUS!$N$62:Q1486,INSUMOS!D877),0)</f>
        <v>0</v>
      </c>
      <c r="O877" s="513">
        <f t="shared" si="76"/>
        <v>0</v>
      </c>
      <c r="P877" s="348"/>
      <c r="Q877" s="514" t="str">
        <f t="shared" si="77"/>
        <v>SI</v>
      </c>
    </row>
    <row r="878" spans="3:17" ht="15" hidden="1" customHeight="1" x14ac:dyDescent="0.25">
      <c r="C878" s="358">
        <v>948</v>
      </c>
      <c r="D878" s="800"/>
      <c r="E878" s="800"/>
      <c r="F878" s="800"/>
      <c r="G878" s="800"/>
      <c r="H878" s="536"/>
      <c r="I878" s="535"/>
      <c r="J878" s="510">
        <f>SUMIFS(APUS!$Y$9:$Y$1486,APUS!$M$9:$M$1486,INSUMOS!C878)</f>
        <v>0</v>
      </c>
      <c r="K878" s="511">
        <f t="shared" si="78"/>
        <v>0</v>
      </c>
      <c r="N878" s="512">
        <f>IFERROR(SUMIFS(APUS!$Z$10:$Z$62,APUS!$N$62:Q1486,INSUMOS!D878),0)</f>
        <v>0</v>
      </c>
      <c r="O878" s="513">
        <f t="shared" si="76"/>
        <v>0</v>
      </c>
      <c r="P878" s="348"/>
      <c r="Q878" s="514" t="str">
        <f t="shared" si="77"/>
        <v>SI</v>
      </c>
    </row>
    <row r="879" spans="3:17" hidden="1" x14ac:dyDescent="0.25">
      <c r="C879" s="358">
        <v>949</v>
      </c>
      <c r="D879" s="800"/>
      <c r="E879" s="800"/>
      <c r="F879" s="800"/>
      <c r="G879" s="800"/>
      <c r="H879" s="516"/>
      <c r="I879" s="535"/>
      <c r="J879" s="510">
        <f>SUMIFS(APUS!$Y$9:$Y$1486,APUS!$M$9:$M$1486,INSUMOS!C879)</f>
        <v>0</v>
      </c>
      <c r="K879" s="511">
        <f t="shared" si="78"/>
        <v>0</v>
      </c>
      <c r="N879" s="512">
        <f>IFERROR(SUMIFS(APUS!$Z$10:$Z$62,APUS!$N$62:Q1486,INSUMOS!D879),0)</f>
        <v>0</v>
      </c>
      <c r="O879" s="513">
        <f t="shared" si="76"/>
        <v>0</v>
      </c>
      <c r="P879" s="348"/>
      <c r="Q879" s="514" t="str">
        <f t="shared" si="77"/>
        <v>SI</v>
      </c>
    </row>
    <row r="880" spans="3:17" hidden="1" x14ac:dyDescent="0.25">
      <c r="C880" s="358">
        <v>950</v>
      </c>
      <c r="D880" s="800"/>
      <c r="E880" s="800"/>
      <c r="F880" s="800"/>
      <c r="G880" s="800"/>
      <c r="H880" s="516"/>
      <c r="I880" s="535"/>
      <c r="J880" s="510">
        <f>SUMIFS(APUS!$Y$9:$Y$1486,APUS!$M$9:$M$1486,INSUMOS!C880)</f>
        <v>0</v>
      </c>
      <c r="K880" s="511">
        <f t="shared" si="78"/>
        <v>0</v>
      </c>
      <c r="N880" s="512">
        <f>IFERROR(SUMIFS(APUS!$Z$10:$Z$62,APUS!$N$62:Q1486,INSUMOS!D880),0)</f>
        <v>0</v>
      </c>
      <c r="O880" s="513">
        <f t="shared" si="76"/>
        <v>0</v>
      </c>
      <c r="P880" s="348"/>
      <c r="Q880" s="514" t="str">
        <f t="shared" si="77"/>
        <v>SI</v>
      </c>
    </row>
    <row r="881" spans="3:17" ht="15" hidden="1" customHeight="1" x14ac:dyDescent="0.25">
      <c r="C881" s="358">
        <v>951</v>
      </c>
      <c r="D881" s="800"/>
      <c r="E881" s="800"/>
      <c r="F881" s="800"/>
      <c r="G881" s="800"/>
      <c r="H881" s="536"/>
      <c r="I881" s="535"/>
      <c r="J881" s="510">
        <f>SUMIFS(APUS!$Y$9:$Y$1486,APUS!$M$9:$M$1486,INSUMOS!C881)</f>
        <v>0</v>
      </c>
      <c r="K881" s="511">
        <f t="shared" si="78"/>
        <v>0</v>
      </c>
      <c r="N881" s="512">
        <f>IFERROR(SUMIFS(APUS!$Z$10:$Z$62,APUS!$N$62:Q1486,INSUMOS!D881),0)</f>
        <v>0</v>
      </c>
      <c r="O881" s="513">
        <f t="shared" si="76"/>
        <v>0</v>
      </c>
      <c r="P881" s="348"/>
      <c r="Q881" s="514" t="str">
        <f t="shared" si="77"/>
        <v>SI</v>
      </c>
    </row>
    <row r="882" spans="3:17" hidden="1" x14ac:dyDescent="0.25">
      <c r="C882" s="358">
        <v>952</v>
      </c>
      <c r="D882" s="800"/>
      <c r="E882" s="800"/>
      <c r="F882" s="800"/>
      <c r="G882" s="800"/>
      <c r="H882" s="516"/>
      <c r="I882" s="535"/>
      <c r="J882" s="510">
        <f>SUMIFS(APUS!$Y$9:$Y$1486,APUS!$M$9:$M$1486,INSUMOS!C882)</f>
        <v>0</v>
      </c>
      <c r="K882" s="511">
        <f t="shared" si="78"/>
        <v>0</v>
      </c>
      <c r="N882" s="512">
        <f>IFERROR(SUMIFS(APUS!$Z$10:$Z$62,APUS!$N$62:Q1486,INSUMOS!D882),0)</f>
        <v>0</v>
      </c>
      <c r="O882" s="513">
        <f t="shared" si="76"/>
        <v>0</v>
      </c>
      <c r="P882" s="348"/>
      <c r="Q882" s="514" t="str">
        <f t="shared" si="77"/>
        <v>SI</v>
      </c>
    </row>
    <row r="883" spans="3:17" hidden="1" x14ac:dyDescent="0.25">
      <c r="C883" s="358">
        <v>953</v>
      </c>
      <c r="D883" s="800"/>
      <c r="E883" s="800"/>
      <c r="F883" s="800"/>
      <c r="G883" s="800"/>
      <c r="H883" s="516"/>
      <c r="I883" s="535"/>
      <c r="J883" s="510">
        <f>SUMIFS(APUS!$Y$9:$Y$1486,APUS!$M$9:$M$1486,INSUMOS!C883)</f>
        <v>0</v>
      </c>
      <c r="K883" s="511">
        <f t="shared" si="78"/>
        <v>0</v>
      </c>
      <c r="N883" s="512">
        <f>IFERROR(SUMIFS(APUS!$Z$10:$Z$62,APUS!$N$62:Q1486,INSUMOS!D883),0)</f>
        <v>0</v>
      </c>
      <c r="O883" s="513">
        <f t="shared" si="76"/>
        <v>0</v>
      </c>
      <c r="P883" s="348"/>
      <c r="Q883" s="514" t="str">
        <f t="shared" si="77"/>
        <v>SI</v>
      </c>
    </row>
    <row r="884" spans="3:17" hidden="1" x14ac:dyDescent="0.25">
      <c r="C884" s="358">
        <v>954</v>
      </c>
      <c r="D884" s="800"/>
      <c r="E884" s="800"/>
      <c r="F884" s="800"/>
      <c r="G884" s="800"/>
      <c r="H884" s="516"/>
      <c r="I884" s="535"/>
      <c r="J884" s="510">
        <f>SUMIFS(APUS!$Y$9:$Y$1486,APUS!$M$9:$M$1486,INSUMOS!C884)</f>
        <v>0</v>
      </c>
      <c r="K884" s="511">
        <f t="shared" si="78"/>
        <v>0</v>
      </c>
      <c r="N884" s="512">
        <f>IFERROR(SUMIFS(APUS!$Z$10:$Z$62,APUS!$N$62:Q1486,INSUMOS!D884),0)</f>
        <v>0</v>
      </c>
      <c r="O884" s="513">
        <f t="shared" si="76"/>
        <v>0</v>
      </c>
      <c r="P884" s="348"/>
      <c r="Q884" s="514" t="str">
        <f t="shared" si="77"/>
        <v>SI</v>
      </c>
    </row>
    <row r="885" spans="3:17" hidden="1" x14ac:dyDescent="0.25">
      <c r="C885" s="358">
        <v>955</v>
      </c>
      <c r="D885" s="727"/>
      <c r="E885" s="727"/>
      <c r="F885" s="727"/>
      <c r="G885" s="727"/>
      <c r="H885" s="516"/>
      <c r="I885" s="531"/>
      <c r="J885" s="510">
        <f>SUMIFS(APUS!$Y$10:$Y$1486,APUS!$M$10:$M$1486,INSUMOS!C885)</f>
        <v>0</v>
      </c>
      <c r="K885" s="511">
        <f t="shared" si="78"/>
        <v>0</v>
      </c>
      <c r="N885" s="512">
        <f>IFERROR(SUMIFS(APUS!$Z$10:$Z$62,APUS!$N$62:Q1486,INSUMOS!D885),0)</f>
        <v>0</v>
      </c>
      <c r="O885" s="513">
        <f t="shared" si="76"/>
        <v>0</v>
      </c>
      <c r="P885" s="348"/>
      <c r="Q885" s="514" t="str">
        <f t="shared" si="77"/>
        <v>SI</v>
      </c>
    </row>
    <row r="886" spans="3:17" hidden="1" x14ac:dyDescent="0.25">
      <c r="C886" s="358">
        <v>956</v>
      </c>
      <c r="D886" s="727"/>
      <c r="E886" s="727"/>
      <c r="F886" s="727"/>
      <c r="G886" s="727"/>
      <c r="H886" s="516"/>
      <c r="I886" s="531"/>
      <c r="J886" s="510">
        <f>SUMIFS(APUS!$Y$10:$Y$1486,APUS!$M$10:$M$1486,INSUMOS!C886)</f>
        <v>0</v>
      </c>
      <c r="K886" s="511">
        <f t="shared" si="78"/>
        <v>0</v>
      </c>
      <c r="N886" s="512">
        <f>IFERROR(SUMIFS(APUS!$Z$10:$Z$62,APUS!$N$62:Q1486,INSUMOS!D886),0)</f>
        <v>0</v>
      </c>
      <c r="O886" s="513">
        <f t="shared" ref="O886:O930" si="80">+N886-K886</f>
        <v>0</v>
      </c>
      <c r="P886" s="348"/>
      <c r="Q886" s="514" t="str">
        <f t="shared" ref="Q886:Q930" si="81">+IF(K886=0,"SI","NO")</f>
        <v>SI</v>
      </c>
    </row>
    <row r="887" spans="3:17" hidden="1" x14ac:dyDescent="0.25">
      <c r="C887" s="358">
        <v>957</v>
      </c>
      <c r="D887" s="727"/>
      <c r="E887" s="727"/>
      <c r="F887" s="727"/>
      <c r="G887" s="727"/>
      <c r="H887" s="516"/>
      <c r="I887" s="531"/>
      <c r="J887" s="510">
        <f>SUMIFS(APUS!$Y$10:$Y$1486,APUS!$M$10:$M$1486,INSUMOS!C887)</f>
        <v>0</v>
      </c>
      <c r="K887" s="511">
        <f t="shared" si="78"/>
        <v>0</v>
      </c>
      <c r="N887" s="512">
        <f>IFERROR(SUMIFS(APUS!$Z$10:$Z$62,APUS!$N$62:Q1486,INSUMOS!D887),0)</f>
        <v>0</v>
      </c>
      <c r="O887" s="513">
        <f t="shared" si="80"/>
        <v>0</v>
      </c>
      <c r="P887" s="348"/>
      <c r="Q887" s="514" t="str">
        <f t="shared" si="81"/>
        <v>SI</v>
      </c>
    </row>
    <row r="888" spans="3:17" hidden="1" x14ac:dyDescent="0.25">
      <c r="C888" s="358">
        <v>958</v>
      </c>
      <c r="D888" s="727"/>
      <c r="E888" s="727"/>
      <c r="F888" s="727"/>
      <c r="G888" s="727"/>
      <c r="H888" s="516"/>
      <c r="I888" s="531"/>
      <c r="J888" s="510">
        <f>SUMIFS(APUS!$Y$10:$Y$1486,APUS!$M$10:$M$1486,INSUMOS!C888)</f>
        <v>0</v>
      </c>
      <c r="K888" s="511">
        <f t="shared" si="78"/>
        <v>0</v>
      </c>
      <c r="N888" s="512">
        <f>IFERROR(SUMIFS(APUS!$Z$10:$Z$62,APUS!$N$62:Q1486,INSUMOS!D888),0)</f>
        <v>0</v>
      </c>
      <c r="O888" s="513">
        <f t="shared" si="80"/>
        <v>0</v>
      </c>
      <c r="P888" s="348"/>
      <c r="Q888" s="514" t="str">
        <f t="shared" si="81"/>
        <v>SI</v>
      </c>
    </row>
    <row r="889" spans="3:17" hidden="1" x14ac:dyDescent="0.25">
      <c r="C889" s="358">
        <v>959</v>
      </c>
      <c r="D889" s="727"/>
      <c r="E889" s="727"/>
      <c r="F889" s="727"/>
      <c r="G889" s="727"/>
      <c r="H889" s="516"/>
      <c r="I889" s="531"/>
      <c r="J889" s="510">
        <f>SUMIFS(APUS!$Y$10:$Y$1486,APUS!$M$10:$M$1486,INSUMOS!C889)</f>
        <v>0</v>
      </c>
      <c r="K889" s="511">
        <f t="shared" ref="K889:K930" si="82">+J889*I889</f>
        <v>0</v>
      </c>
      <c r="N889" s="512">
        <f>IFERROR(SUMIFS(APUS!$Z$10:$Z$62,APUS!$N$62:Q1486,INSUMOS!D889),0)</f>
        <v>0</v>
      </c>
      <c r="O889" s="513">
        <f t="shared" si="80"/>
        <v>0</v>
      </c>
      <c r="P889" s="348"/>
      <c r="Q889" s="514" t="str">
        <f t="shared" si="81"/>
        <v>SI</v>
      </c>
    </row>
    <row r="890" spans="3:17" hidden="1" x14ac:dyDescent="0.25">
      <c r="C890" s="358">
        <v>960</v>
      </c>
      <c r="D890" s="727"/>
      <c r="E890" s="727"/>
      <c r="F890" s="727"/>
      <c r="G890" s="727"/>
      <c r="H890" s="516"/>
      <c r="I890" s="531"/>
      <c r="J890" s="510">
        <f>SUMIFS(APUS!$Y$10:$Y$1486,APUS!$M$10:$M$1486,INSUMOS!C890)</f>
        <v>0</v>
      </c>
      <c r="K890" s="511">
        <f t="shared" si="82"/>
        <v>0</v>
      </c>
      <c r="N890" s="512">
        <f>IFERROR(SUMIFS(APUS!$Z$10:$Z$62,APUS!$N$62:Q1486,INSUMOS!D890),0)</f>
        <v>0</v>
      </c>
      <c r="O890" s="513">
        <f t="shared" si="80"/>
        <v>0</v>
      </c>
      <c r="P890" s="348"/>
      <c r="Q890" s="514" t="str">
        <f t="shared" si="81"/>
        <v>SI</v>
      </c>
    </row>
    <row r="891" spans="3:17" hidden="1" x14ac:dyDescent="0.25">
      <c r="C891" s="358">
        <v>961</v>
      </c>
      <c r="D891" s="727"/>
      <c r="E891" s="727"/>
      <c r="F891" s="727"/>
      <c r="G891" s="727"/>
      <c r="H891" s="516"/>
      <c r="I891" s="531"/>
      <c r="J891" s="510">
        <f>SUMIFS(APUS!$Y$10:$Y$1486,APUS!$M$10:$M$1486,INSUMOS!C891)</f>
        <v>0</v>
      </c>
      <c r="K891" s="511">
        <f t="shared" si="82"/>
        <v>0</v>
      </c>
      <c r="N891" s="512">
        <f>IFERROR(SUMIFS(APUS!$Z$10:$Z$62,APUS!$N$62:Q1486,INSUMOS!D891),0)</f>
        <v>0</v>
      </c>
      <c r="O891" s="513">
        <f t="shared" si="80"/>
        <v>0</v>
      </c>
      <c r="P891" s="348"/>
      <c r="Q891" s="514" t="str">
        <f t="shared" si="81"/>
        <v>SI</v>
      </c>
    </row>
    <row r="892" spans="3:17" hidden="1" x14ac:dyDescent="0.25">
      <c r="C892" s="358">
        <v>962</v>
      </c>
      <c r="D892" s="727"/>
      <c r="E892" s="727"/>
      <c r="F892" s="727"/>
      <c r="G892" s="727"/>
      <c r="H892" s="516"/>
      <c r="I892" s="531"/>
      <c r="J892" s="510">
        <f>SUMIFS(APUS!$Y$10:$Y$1486,APUS!$M$10:$M$1486,INSUMOS!C892)</f>
        <v>0</v>
      </c>
      <c r="K892" s="511">
        <f t="shared" si="82"/>
        <v>0</v>
      </c>
      <c r="N892" s="512">
        <f>IFERROR(SUMIFS(APUS!$Z$10:$Z$62,APUS!$N$62:Q1486,INSUMOS!D892),0)</f>
        <v>0</v>
      </c>
      <c r="O892" s="513">
        <f t="shared" si="80"/>
        <v>0</v>
      </c>
      <c r="P892" s="348"/>
      <c r="Q892" s="514" t="str">
        <f t="shared" si="81"/>
        <v>SI</v>
      </c>
    </row>
    <row r="893" spans="3:17" hidden="1" x14ac:dyDescent="0.25">
      <c r="C893" s="358">
        <v>963</v>
      </c>
      <c r="D893" s="727"/>
      <c r="E893" s="727"/>
      <c r="F893" s="727"/>
      <c r="G893" s="727"/>
      <c r="H893" s="516"/>
      <c r="I893" s="531"/>
      <c r="J893" s="510">
        <f>SUMIFS(APUS!$Y$10:$Y$1486,APUS!$M$10:$M$1486,INSUMOS!C893)</f>
        <v>0</v>
      </c>
      <c r="K893" s="511">
        <f t="shared" si="82"/>
        <v>0</v>
      </c>
      <c r="N893" s="512">
        <f>IFERROR(SUMIFS(APUS!$Z$10:$Z$62,APUS!$N$62:Q1486,INSUMOS!D893),0)</f>
        <v>0</v>
      </c>
      <c r="O893" s="513">
        <f t="shared" si="80"/>
        <v>0</v>
      </c>
      <c r="P893" s="348"/>
      <c r="Q893" s="514" t="str">
        <f t="shared" si="81"/>
        <v>SI</v>
      </c>
    </row>
    <row r="894" spans="3:17" hidden="1" x14ac:dyDescent="0.25">
      <c r="C894" s="358">
        <v>964</v>
      </c>
      <c r="D894" s="727"/>
      <c r="E894" s="727"/>
      <c r="F894" s="727"/>
      <c r="G894" s="727"/>
      <c r="H894" s="516"/>
      <c r="I894" s="531"/>
      <c r="J894" s="510">
        <f>SUMIFS(APUS!$Y$10:$Y$1486,APUS!$M$10:$M$1486,INSUMOS!C894)</f>
        <v>0</v>
      </c>
      <c r="K894" s="511">
        <f t="shared" si="82"/>
        <v>0</v>
      </c>
      <c r="N894" s="512">
        <f>IFERROR(SUMIFS(APUS!$Z$10:$Z$62,APUS!$N$62:Q1486,INSUMOS!D894),0)</f>
        <v>0</v>
      </c>
      <c r="O894" s="513">
        <f t="shared" si="80"/>
        <v>0</v>
      </c>
      <c r="P894" s="348"/>
      <c r="Q894" s="514" t="str">
        <f t="shared" si="81"/>
        <v>SI</v>
      </c>
    </row>
    <row r="895" spans="3:17" hidden="1" x14ac:dyDescent="0.25">
      <c r="C895" s="358">
        <v>965</v>
      </c>
      <c r="D895" s="727"/>
      <c r="E895" s="727"/>
      <c r="F895" s="727"/>
      <c r="G895" s="727"/>
      <c r="H895" s="516"/>
      <c r="I895" s="531"/>
      <c r="J895" s="510">
        <f>SUMIFS(APUS!$Y$10:$Y$1486,APUS!$M$10:$M$1486,INSUMOS!C895)</f>
        <v>0</v>
      </c>
      <c r="K895" s="511">
        <f t="shared" si="82"/>
        <v>0</v>
      </c>
      <c r="N895" s="512">
        <f>IFERROR(SUMIFS(APUS!$Z$10:$Z$62,APUS!$N$62:Q1486,INSUMOS!D895),0)</f>
        <v>0</v>
      </c>
      <c r="O895" s="513">
        <f t="shared" si="80"/>
        <v>0</v>
      </c>
      <c r="P895" s="348"/>
      <c r="Q895" s="514" t="str">
        <f t="shared" si="81"/>
        <v>SI</v>
      </c>
    </row>
    <row r="896" spans="3:17" hidden="1" x14ac:dyDescent="0.25">
      <c r="C896" s="358">
        <v>966</v>
      </c>
      <c r="D896" s="727"/>
      <c r="E896" s="727"/>
      <c r="F896" s="727"/>
      <c r="G896" s="727"/>
      <c r="H896" s="516"/>
      <c r="I896" s="531"/>
      <c r="J896" s="510">
        <f>SUMIFS(APUS!$Y$10:$Y$1486,APUS!$M$10:$M$1486,INSUMOS!C896)</f>
        <v>0</v>
      </c>
      <c r="K896" s="511">
        <f t="shared" si="82"/>
        <v>0</v>
      </c>
      <c r="N896" s="512">
        <f>IFERROR(SUMIFS(APUS!$Z$10:$Z$62,APUS!$N$62:Q1486,INSUMOS!D896),0)</f>
        <v>0</v>
      </c>
      <c r="O896" s="513">
        <f t="shared" si="80"/>
        <v>0</v>
      </c>
      <c r="P896" s="348"/>
      <c r="Q896" s="514" t="str">
        <f t="shared" si="81"/>
        <v>SI</v>
      </c>
    </row>
    <row r="897" spans="3:17" hidden="1" x14ac:dyDescent="0.25">
      <c r="C897" s="358">
        <v>967</v>
      </c>
      <c r="D897" s="727"/>
      <c r="E897" s="727"/>
      <c r="F897" s="727"/>
      <c r="G897" s="727"/>
      <c r="H897" s="516"/>
      <c r="I897" s="531"/>
      <c r="J897" s="510">
        <f>SUMIFS(APUS!$Y$10:$Y$1486,APUS!$M$10:$M$1486,INSUMOS!C897)</f>
        <v>0</v>
      </c>
      <c r="K897" s="511">
        <f t="shared" si="82"/>
        <v>0</v>
      </c>
      <c r="N897" s="512">
        <f>IFERROR(SUMIFS(APUS!$Z$10:$Z$62,APUS!$N$62:Q1486,INSUMOS!D897),0)</f>
        <v>0</v>
      </c>
      <c r="O897" s="513">
        <f t="shared" si="80"/>
        <v>0</v>
      </c>
      <c r="P897" s="348"/>
      <c r="Q897" s="514" t="str">
        <f t="shared" si="81"/>
        <v>SI</v>
      </c>
    </row>
    <row r="898" spans="3:17" hidden="1" x14ac:dyDescent="0.25">
      <c r="C898" s="358">
        <v>968</v>
      </c>
      <c r="D898" s="727"/>
      <c r="E898" s="727"/>
      <c r="F898" s="727"/>
      <c r="G898" s="727"/>
      <c r="H898" s="516"/>
      <c r="I898" s="531"/>
      <c r="J898" s="510">
        <f>SUMIFS(APUS!$Y$10:$Y$1486,APUS!$M$10:$M$1486,INSUMOS!C898)</f>
        <v>0</v>
      </c>
      <c r="K898" s="511">
        <f t="shared" si="82"/>
        <v>0</v>
      </c>
      <c r="N898" s="512">
        <f>IFERROR(SUMIFS(APUS!$Z$10:$Z$62,APUS!$N$62:Q1486,INSUMOS!D898),0)</f>
        <v>0</v>
      </c>
      <c r="O898" s="513">
        <f t="shared" si="80"/>
        <v>0</v>
      </c>
      <c r="P898" s="348"/>
      <c r="Q898" s="514" t="str">
        <f t="shared" si="81"/>
        <v>SI</v>
      </c>
    </row>
    <row r="899" spans="3:17" hidden="1" x14ac:dyDescent="0.25">
      <c r="C899" s="358">
        <v>969</v>
      </c>
      <c r="D899" s="727"/>
      <c r="E899" s="727"/>
      <c r="F899" s="727"/>
      <c r="G899" s="727"/>
      <c r="H899" s="516"/>
      <c r="I899" s="531"/>
      <c r="J899" s="510">
        <f>SUMIFS(APUS!$Y$10:$Y$1486,APUS!$M$10:$M$1486,INSUMOS!C899)</f>
        <v>0</v>
      </c>
      <c r="K899" s="511">
        <f t="shared" si="82"/>
        <v>0</v>
      </c>
      <c r="N899" s="512">
        <f>IFERROR(SUMIFS(APUS!$Z$10:$Z$62,APUS!$N$62:Q1486,INSUMOS!D899),0)</f>
        <v>0</v>
      </c>
      <c r="O899" s="513">
        <f t="shared" si="80"/>
        <v>0</v>
      </c>
      <c r="P899" s="348"/>
      <c r="Q899" s="514" t="str">
        <f t="shared" si="81"/>
        <v>SI</v>
      </c>
    </row>
    <row r="900" spans="3:17" hidden="1" x14ac:dyDescent="0.25">
      <c r="C900" s="358">
        <v>970</v>
      </c>
      <c r="D900" s="727"/>
      <c r="E900" s="727"/>
      <c r="F900" s="727"/>
      <c r="G900" s="727"/>
      <c r="H900" s="516"/>
      <c r="I900" s="531"/>
      <c r="J900" s="510">
        <f>SUMIFS(APUS!$Y$10:$Y$1486,APUS!$M$10:$M$1486,INSUMOS!C900)</f>
        <v>0</v>
      </c>
      <c r="K900" s="511">
        <f t="shared" si="82"/>
        <v>0</v>
      </c>
      <c r="N900" s="512">
        <f>IFERROR(SUMIFS(APUS!$Z$10:$Z$62,APUS!$N$62:Q1486,INSUMOS!D900),0)</f>
        <v>0</v>
      </c>
      <c r="O900" s="513">
        <f t="shared" si="80"/>
        <v>0</v>
      </c>
      <c r="P900" s="348"/>
      <c r="Q900" s="514" t="str">
        <f t="shared" si="81"/>
        <v>SI</v>
      </c>
    </row>
    <row r="901" spans="3:17" hidden="1" x14ac:dyDescent="0.25">
      <c r="C901" s="358">
        <v>971</v>
      </c>
      <c r="D901" s="727"/>
      <c r="E901" s="727"/>
      <c r="F901" s="727"/>
      <c r="G901" s="727"/>
      <c r="H901" s="516"/>
      <c r="I901" s="531"/>
      <c r="J901" s="510">
        <f>SUMIFS(APUS!$Y$10:$Y$1486,APUS!$M$10:$M$1486,INSUMOS!C901)</f>
        <v>0</v>
      </c>
      <c r="K901" s="511">
        <f t="shared" si="82"/>
        <v>0</v>
      </c>
      <c r="N901" s="512">
        <f>IFERROR(SUMIFS(APUS!$Z$10:$Z$62,APUS!$N$62:Q1486,INSUMOS!D901),0)</f>
        <v>0</v>
      </c>
      <c r="O901" s="513">
        <f t="shared" si="80"/>
        <v>0</v>
      </c>
      <c r="P901" s="348"/>
      <c r="Q901" s="514" t="str">
        <f t="shared" si="81"/>
        <v>SI</v>
      </c>
    </row>
    <row r="902" spans="3:17" hidden="1" x14ac:dyDescent="0.25">
      <c r="C902" s="358">
        <v>972</v>
      </c>
      <c r="D902" s="727"/>
      <c r="E902" s="727"/>
      <c r="F902" s="727"/>
      <c r="G902" s="727"/>
      <c r="H902" s="516"/>
      <c r="I902" s="531"/>
      <c r="J902" s="510">
        <f>SUMIFS(APUS!$Y$10:$Y$1486,APUS!$M$10:$M$1486,INSUMOS!C902)</f>
        <v>0</v>
      </c>
      <c r="K902" s="511">
        <f t="shared" si="82"/>
        <v>0</v>
      </c>
      <c r="N902" s="512">
        <f>IFERROR(SUMIFS(APUS!$Z$10:$Z$62,APUS!$N$62:Q1486,INSUMOS!D902),0)</f>
        <v>0</v>
      </c>
      <c r="O902" s="513">
        <f t="shared" si="80"/>
        <v>0</v>
      </c>
      <c r="P902" s="348"/>
      <c r="Q902" s="514" t="str">
        <f t="shared" si="81"/>
        <v>SI</v>
      </c>
    </row>
    <row r="903" spans="3:17" hidden="1" x14ac:dyDescent="0.25">
      <c r="C903" s="358">
        <v>973</v>
      </c>
      <c r="D903" s="727"/>
      <c r="E903" s="727"/>
      <c r="F903" s="727"/>
      <c r="G903" s="727"/>
      <c r="H903" s="516"/>
      <c r="I903" s="531"/>
      <c r="J903" s="510">
        <f>SUMIFS(APUS!$Y$10:$Y$1486,APUS!$M$10:$M$1486,INSUMOS!C903)</f>
        <v>0</v>
      </c>
      <c r="K903" s="511">
        <f t="shared" si="82"/>
        <v>0</v>
      </c>
      <c r="N903" s="512">
        <f>IFERROR(SUMIFS(APUS!$Z$10:$Z$62,APUS!$N$62:Q1486,INSUMOS!D903),0)</f>
        <v>0</v>
      </c>
      <c r="O903" s="513">
        <f t="shared" si="80"/>
        <v>0</v>
      </c>
      <c r="P903" s="348"/>
      <c r="Q903" s="514" t="str">
        <f t="shared" si="81"/>
        <v>SI</v>
      </c>
    </row>
    <row r="904" spans="3:17" hidden="1" x14ac:dyDescent="0.25">
      <c r="C904" s="358">
        <v>974</v>
      </c>
      <c r="D904" s="727"/>
      <c r="E904" s="727"/>
      <c r="F904" s="727"/>
      <c r="G904" s="727"/>
      <c r="H904" s="516"/>
      <c r="I904" s="531"/>
      <c r="J904" s="510">
        <f>SUMIFS(APUS!$Y$10:$Y$1486,APUS!$M$10:$M$1486,INSUMOS!C904)</f>
        <v>0</v>
      </c>
      <c r="K904" s="511">
        <f t="shared" si="82"/>
        <v>0</v>
      </c>
      <c r="N904" s="512">
        <f>IFERROR(SUMIFS(APUS!$Z$10:$Z$62,APUS!$N$62:Q1486,INSUMOS!D904),0)</f>
        <v>0</v>
      </c>
      <c r="O904" s="513">
        <f t="shared" si="80"/>
        <v>0</v>
      </c>
      <c r="P904" s="348"/>
      <c r="Q904" s="514" t="str">
        <f t="shared" si="81"/>
        <v>SI</v>
      </c>
    </row>
    <row r="905" spans="3:17" hidden="1" x14ac:dyDescent="0.25">
      <c r="C905" s="358">
        <v>975</v>
      </c>
      <c r="D905" s="727"/>
      <c r="E905" s="727"/>
      <c r="F905" s="727"/>
      <c r="G905" s="727"/>
      <c r="H905" s="516"/>
      <c r="I905" s="531"/>
      <c r="J905" s="510">
        <f>SUMIFS(APUS!$Y$10:$Y$1486,APUS!$M$10:$M$1486,INSUMOS!C905)</f>
        <v>0</v>
      </c>
      <c r="K905" s="511">
        <f t="shared" si="82"/>
        <v>0</v>
      </c>
      <c r="N905" s="512">
        <f>IFERROR(SUMIFS(APUS!$Z$10:$Z$62,APUS!$N$62:Q1486,INSUMOS!D905),0)</f>
        <v>0</v>
      </c>
      <c r="O905" s="513">
        <f t="shared" si="80"/>
        <v>0</v>
      </c>
      <c r="P905" s="348"/>
      <c r="Q905" s="514" t="str">
        <f t="shared" si="81"/>
        <v>SI</v>
      </c>
    </row>
    <row r="906" spans="3:17" hidden="1" x14ac:dyDescent="0.25">
      <c r="C906" s="358">
        <v>976</v>
      </c>
      <c r="D906" s="727"/>
      <c r="E906" s="727"/>
      <c r="F906" s="727"/>
      <c r="G906" s="727"/>
      <c r="H906" s="516"/>
      <c r="I906" s="531"/>
      <c r="J906" s="510">
        <f>SUMIFS(APUS!$Y$10:$Y$1486,APUS!$M$10:$M$1486,INSUMOS!C906)</f>
        <v>0</v>
      </c>
      <c r="K906" s="511">
        <f t="shared" si="82"/>
        <v>0</v>
      </c>
      <c r="N906" s="512">
        <f>IFERROR(SUMIFS(APUS!$Z$10:$Z$62,APUS!$N$62:Q1486,INSUMOS!D906),0)</f>
        <v>0</v>
      </c>
      <c r="O906" s="513">
        <f t="shared" si="80"/>
        <v>0</v>
      </c>
      <c r="P906" s="348"/>
      <c r="Q906" s="514" t="str">
        <f t="shared" si="81"/>
        <v>SI</v>
      </c>
    </row>
    <row r="907" spans="3:17" hidden="1" x14ac:dyDescent="0.25">
      <c r="C907" s="358">
        <v>977</v>
      </c>
      <c r="D907" s="727"/>
      <c r="E907" s="727"/>
      <c r="F907" s="727"/>
      <c r="G907" s="727"/>
      <c r="H907" s="516"/>
      <c r="I907" s="531"/>
      <c r="J907" s="510">
        <f>SUMIFS(APUS!$Y$10:$Y$1486,APUS!$M$10:$M$1486,INSUMOS!C907)</f>
        <v>0</v>
      </c>
      <c r="K907" s="511">
        <f t="shared" si="82"/>
        <v>0</v>
      </c>
      <c r="N907" s="512">
        <f>IFERROR(SUMIFS(APUS!$Z$10:$Z$62,APUS!$N$62:Q1486,INSUMOS!D907),0)</f>
        <v>0</v>
      </c>
      <c r="O907" s="513">
        <f t="shared" si="80"/>
        <v>0</v>
      </c>
      <c r="P907" s="348"/>
      <c r="Q907" s="514" t="str">
        <f t="shared" si="81"/>
        <v>SI</v>
      </c>
    </row>
    <row r="908" spans="3:17" hidden="1" x14ac:dyDescent="0.25">
      <c r="C908" s="358">
        <v>978</v>
      </c>
      <c r="D908" s="727"/>
      <c r="E908" s="727"/>
      <c r="F908" s="727"/>
      <c r="G908" s="727"/>
      <c r="H908" s="516"/>
      <c r="I908" s="531"/>
      <c r="J908" s="510">
        <f>SUMIFS(APUS!$Y$10:$Y$1486,APUS!$M$10:$M$1486,INSUMOS!C908)</f>
        <v>0</v>
      </c>
      <c r="K908" s="511">
        <f t="shared" si="82"/>
        <v>0</v>
      </c>
      <c r="N908" s="512">
        <f>IFERROR(SUMIFS(APUS!$Z$10:$Z$62,APUS!$N$62:Q1486,INSUMOS!D908),0)</f>
        <v>0</v>
      </c>
      <c r="O908" s="513">
        <f t="shared" si="80"/>
        <v>0</v>
      </c>
      <c r="P908" s="348"/>
      <c r="Q908" s="514" t="str">
        <f t="shared" si="81"/>
        <v>SI</v>
      </c>
    </row>
    <row r="909" spans="3:17" hidden="1" x14ac:dyDescent="0.25">
      <c r="C909" s="358">
        <v>979</v>
      </c>
      <c r="D909" s="727"/>
      <c r="E909" s="727"/>
      <c r="F909" s="727"/>
      <c r="G909" s="727"/>
      <c r="H909" s="516"/>
      <c r="I909" s="531"/>
      <c r="J909" s="510">
        <f>SUMIFS(APUS!$Y$10:$Y$1486,APUS!$M$10:$M$1486,INSUMOS!C909)</f>
        <v>0</v>
      </c>
      <c r="K909" s="511">
        <f t="shared" si="82"/>
        <v>0</v>
      </c>
      <c r="N909" s="512">
        <f>IFERROR(SUMIFS(APUS!$Z$10:$Z$62,APUS!$N$62:Q1486,INSUMOS!D909),0)</f>
        <v>0</v>
      </c>
      <c r="O909" s="513">
        <f t="shared" si="80"/>
        <v>0</v>
      </c>
      <c r="P909" s="348"/>
      <c r="Q909" s="514" t="str">
        <f t="shared" si="81"/>
        <v>SI</v>
      </c>
    </row>
    <row r="910" spans="3:17" hidden="1" x14ac:dyDescent="0.25">
      <c r="C910" s="358">
        <v>980</v>
      </c>
      <c r="D910" s="727"/>
      <c r="E910" s="727"/>
      <c r="F910" s="727"/>
      <c r="G910" s="727"/>
      <c r="H910" s="516"/>
      <c r="I910" s="531"/>
      <c r="J910" s="510">
        <f>SUMIFS(APUS!$Y$10:$Y$1486,APUS!$M$10:$M$1486,INSUMOS!C910)</f>
        <v>0</v>
      </c>
      <c r="K910" s="511">
        <f t="shared" si="82"/>
        <v>0</v>
      </c>
      <c r="N910" s="512">
        <f>IFERROR(SUMIFS(APUS!$Z$10:$Z$62,APUS!$N$62:Q1486,INSUMOS!D910),0)</f>
        <v>0</v>
      </c>
      <c r="O910" s="513">
        <f t="shared" si="80"/>
        <v>0</v>
      </c>
      <c r="P910" s="348"/>
      <c r="Q910" s="514" t="str">
        <f t="shared" si="81"/>
        <v>SI</v>
      </c>
    </row>
    <row r="911" spans="3:17" hidden="1" x14ac:dyDescent="0.25">
      <c r="C911" s="358">
        <v>981</v>
      </c>
      <c r="D911" s="727"/>
      <c r="E911" s="727"/>
      <c r="F911" s="727"/>
      <c r="G911" s="727"/>
      <c r="H911" s="516"/>
      <c r="I911" s="531"/>
      <c r="J911" s="510">
        <f>SUMIFS(APUS!$Y$10:$Y$1486,APUS!$M$10:$M$1486,INSUMOS!C911)</f>
        <v>0</v>
      </c>
      <c r="K911" s="511">
        <f t="shared" si="82"/>
        <v>0</v>
      </c>
      <c r="N911" s="512">
        <f>IFERROR(SUMIFS(APUS!$Z$10:$Z$62,APUS!$N$62:Q1486,INSUMOS!D911),0)</f>
        <v>0</v>
      </c>
      <c r="O911" s="513">
        <f t="shared" si="80"/>
        <v>0</v>
      </c>
      <c r="P911" s="348"/>
      <c r="Q911" s="514" t="str">
        <f t="shared" si="81"/>
        <v>SI</v>
      </c>
    </row>
    <row r="912" spans="3:17" hidden="1" x14ac:dyDescent="0.25">
      <c r="C912" s="358">
        <v>982</v>
      </c>
      <c r="D912" s="727"/>
      <c r="E912" s="727"/>
      <c r="F912" s="727"/>
      <c r="G912" s="727"/>
      <c r="H912" s="516"/>
      <c r="I912" s="531"/>
      <c r="J912" s="510">
        <f>SUMIFS(APUS!$Y$10:$Y$1486,APUS!$M$10:$M$1486,INSUMOS!C912)</f>
        <v>0</v>
      </c>
      <c r="K912" s="511">
        <f t="shared" si="82"/>
        <v>0</v>
      </c>
      <c r="N912" s="512">
        <f>IFERROR(SUMIFS(APUS!$Z$10:$Z$62,APUS!$N$62:Q1486,INSUMOS!D912),0)</f>
        <v>0</v>
      </c>
      <c r="O912" s="513">
        <f t="shared" si="80"/>
        <v>0</v>
      </c>
      <c r="P912" s="348"/>
      <c r="Q912" s="514" t="str">
        <f t="shared" si="81"/>
        <v>SI</v>
      </c>
    </row>
    <row r="913" spans="3:17" hidden="1" x14ac:dyDescent="0.25">
      <c r="C913" s="358">
        <v>983</v>
      </c>
      <c r="D913" s="727"/>
      <c r="E913" s="727"/>
      <c r="F913" s="727"/>
      <c r="G913" s="727"/>
      <c r="H913" s="516"/>
      <c r="I913" s="531"/>
      <c r="J913" s="510">
        <f>SUMIFS(APUS!$Y$10:$Y$1486,APUS!$M$10:$M$1486,INSUMOS!C913)</f>
        <v>0</v>
      </c>
      <c r="K913" s="511">
        <f t="shared" si="82"/>
        <v>0</v>
      </c>
      <c r="N913" s="512">
        <f>IFERROR(SUMIFS(APUS!$Z$10:$Z$62,APUS!$N$62:Q1486,INSUMOS!D913),0)</f>
        <v>0</v>
      </c>
      <c r="O913" s="513">
        <f t="shared" si="80"/>
        <v>0</v>
      </c>
      <c r="P913" s="348"/>
      <c r="Q913" s="514" t="str">
        <f t="shared" si="81"/>
        <v>SI</v>
      </c>
    </row>
    <row r="914" spans="3:17" hidden="1" x14ac:dyDescent="0.25">
      <c r="C914" s="358">
        <v>984</v>
      </c>
      <c r="D914" s="727"/>
      <c r="E914" s="727"/>
      <c r="F914" s="727"/>
      <c r="G914" s="727"/>
      <c r="H914" s="516"/>
      <c r="I914" s="531"/>
      <c r="J914" s="510">
        <f>SUMIFS(APUS!$Y$10:$Y$1486,APUS!$M$10:$M$1486,INSUMOS!C914)</f>
        <v>0</v>
      </c>
      <c r="K914" s="511">
        <f t="shared" si="82"/>
        <v>0</v>
      </c>
      <c r="N914" s="512">
        <f>IFERROR(SUMIFS(APUS!$Z$10:$Z$62,APUS!$N$62:Q1486,INSUMOS!D914),0)</f>
        <v>0</v>
      </c>
      <c r="O914" s="513">
        <f t="shared" si="80"/>
        <v>0</v>
      </c>
      <c r="P914" s="348"/>
      <c r="Q914" s="514" t="str">
        <f t="shared" si="81"/>
        <v>SI</v>
      </c>
    </row>
    <row r="915" spans="3:17" hidden="1" x14ac:dyDescent="0.25">
      <c r="C915" s="358">
        <v>985</v>
      </c>
      <c r="D915" s="727"/>
      <c r="E915" s="727"/>
      <c r="F915" s="727"/>
      <c r="G915" s="727"/>
      <c r="H915" s="516"/>
      <c r="I915" s="531"/>
      <c r="J915" s="510">
        <f>SUMIFS(APUS!$Y$10:$Y$1486,APUS!$M$10:$M$1486,INSUMOS!C915)</f>
        <v>0</v>
      </c>
      <c r="K915" s="511">
        <f t="shared" si="82"/>
        <v>0</v>
      </c>
      <c r="N915" s="512">
        <f>IFERROR(SUMIFS(APUS!$Z$10:$Z$62,APUS!$N$62:Q1486,INSUMOS!D915),0)</f>
        <v>0</v>
      </c>
      <c r="O915" s="513">
        <f t="shared" si="80"/>
        <v>0</v>
      </c>
      <c r="P915" s="348"/>
      <c r="Q915" s="514" t="str">
        <f t="shared" si="81"/>
        <v>SI</v>
      </c>
    </row>
    <row r="916" spans="3:17" hidden="1" x14ac:dyDescent="0.25">
      <c r="C916" s="358">
        <v>986</v>
      </c>
      <c r="D916" s="727"/>
      <c r="E916" s="727"/>
      <c r="F916" s="727"/>
      <c r="G916" s="727"/>
      <c r="H916" s="516"/>
      <c r="I916" s="531"/>
      <c r="J916" s="510">
        <f>SUMIFS(APUS!$Y$10:$Y$1486,APUS!$M$10:$M$1486,INSUMOS!C916)</f>
        <v>0</v>
      </c>
      <c r="K916" s="511">
        <f t="shared" si="82"/>
        <v>0</v>
      </c>
      <c r="N916" s="512">
        <f>IFERROR(SUMIFS(APUS!$Z$10:$Z$62,APUS!$N$62:Q1486,INSUMOS!D916),0)</f>
        <v>0</v>
      </c>
      <c r="O916" s="513">
        <f t="shared" si="80"/>
        <v>0</v>
      </c>
      <c r="P916" s="348"/>
      <c r="Q916" s="514" t="str">
        <f t="shared" si="81"/>
        <v>SI</v>
      </c>
    </row>
    <row r="917" spans="3:17" hidden="1" x14ac:dyDescent="0.25">
      <c r="C917" s="358">
        <v>987</v>
      </c>
      <c r="D917" s="727"/>
      <c r="E917" s="727"/>
      <c r="F917" s="727"/>
      <c r="G917" s="727"/>
      <c r="H917" s="516"/>
      <c r="I917" s="531"/>
      <c r="J917" s="510">
        <f>SUMIFS(APUS!$Y$10:$Y$1486,APUS!$M$10:$M$1486,INSUMOS!C917)</f>
        <v>0</v>
      </c>
      <c r="K917" s="511">
        <f t="shared" si="82"/>
        <v>0</v>
      </c>
      <c r="N917" s="512">
        <f>IFERROR(SUMIFS(APUS!$Z$10:$Z$62,APUS!$N$62:Q1486,INSUMOS!D917),0)</f>
        <v>0</v>
      </c>
      <c r="O917" s="513">
        <f t="shared" si="80"/>
        <v>0</v>
      </c>
      <c r="P917" s="348"/>
      <c r="Q917" s="514" t="str">
        <f t="shared" si="81"/>
        <v>SI</v>
      </c>
    </row>
    <row r="918" spans="3:17" hidden="1" x14ac:dyDescent="0.25">
      <c r="C918" s="358">
        <v>988</v>
      </c>
      <c r="D918" s="727"/>
      <c r="E918" s="727"/>
      <c r="F918" s="727"/>
      <c r="G918" s="727"/>
      <c r="H918" s="516"/>
      <c r="I918" s="531"/>
      <c r="J918" s="510">
        <f>SUMIFS(APUS!$Y$10:$Y$1486,APUS!$M$10:$M$1486,INSUMOS!C918)</f>
        <v>0</v>
      </c>
      <c r="K918" s="511">
        <f t="shared" si="82"/>
        <v>0</v>
      </c>
      <c r="N918" s="512">
        <f>IFERROR(SUMIFS(APUS!$Z$10:$Z$62,APUS!$N$62:Q1486,INSUMOS!D918),0)</f>
        <v>0</v>
      </c>
      <c r="O918" s="513">
        <f t="shared" si="80"/>
        <v>0</v>
      </c>
      <c r="P918" s="348"/>
      <c r="Q918" s="514" t="str">
        <f t="shared" si="81"/>
        <v>SI</v>
      </c>
    </row>
    <row r="919" spans="3:17" hidden="1" x14ac:dyDescent="0.25">
      <c r="C919" s="358">
        <v>989</v>
      </c>
      <c r="D919" s="727"/>
      <c r="E919" s="727"/>
      <c r="F919" s="727"/>
      <c r="G919" s="727"/>
      <c r="H919" s="516"/>
      <c r="I919" s="531"/>
      <c r="J919" s="510">
        <f>SUMIFS(APUS!$Y$10:$Y$1486,APUS!$M$10:$M$1486,INSUMOS!C919)</f>
        <v>0</v>
      </c>
      <c r="K919" s="511">
        <f t="shared" si="82"/>
        <v>0</v>
      </c>
      <c r="N919" s="512">
        <f>IFERROR(SUMIFS(APUS!$Z$10:$Z$62,APUS!$N$62:Q1486,INSUMOS!D919),0)</f>
        <v>0</v>
      </c>
      <c r="O919" s="513">
        <f t="shared" si="80"/>
        <v>0</v>
      </c>
      <c r="P919" s="348"/>
      <c r="Q919" s="514" t="str">
        <f t="shared" si="81"/>
        <v>SI</v>
      </c>
    </row>
    <row r="920" spans="3:17" hidden="1" x14ac:dyDescent="0.25">
      <c r="C920" s="358">
        <v>990</v>
      </c>
      <c r="D920" s="727"/>
      <c r="E920" s="727"/>
      <c r="F920" s="727"/>
      <c r="G920" s="727"/>
      <c r="H920" s="516"/>
      <c r="I920" s="531"/>
      <c r="J920" s="510">
        <f>SUMIFS(APUS!$Y$10:$Y$1486,APUS!$M$10:$M$1486,INSUMOS!C920)</f>
        <v>0</v>
      </c>
      <c r="K920" s="511">
        <f t="shared" si="82"/>
        <v>0</v>
      </c>
      <c r="N920" s="512">
        <f>IFERROR(SUMIFS(APUS!$Z$10:$Z$62,APUS!$N$62:Q1486,INSUMOS!D920),0)</f>
        <v>0</v>
      </c>
      <c r="O920" s="513">
        <f t="shared" si="80"/>
        <v>0</v>
      </c>
      <c r="P920" s="348"/>
      <c r="Q920" s="514" t="str">
        <f t="shared" si="81"/>
        <v>SI</v>
      </c>
    </row>
    <row r="921" spans="3:17" hidden="1" x14ac:dyDescent="0.25">
      <c r="C921" s="358">
        <v>991</v>
      </c>
      <c r="D921" s="727"/>
      <c r="E921" s="727"/>
      <c r="F921" s="727"/>
      <c r="G921" s="727"/>
      <c r="H921" s="516"/>
      <c r="I921" s="531"/>
      <c r="J921" s="510">
        <f>SUMIFS(APUS!$Y$10:$Y$1486,APUS!$M$10:$M$1486,INSUMOS!C921)</f>
        <v>0</v>
      </c>
      <c r="K921" s="511">
        <f t="shared" si="82"/>
        <v>0</v>
      </c>
      <c r="N921" s="512">
        <f>IFERROR(SUMIFS(APUS!$Z$10:$Z$62,APUS!$N$62:Q1486,INSUMOS!D921),0)</f>
        <v>0</v>
      </c>
      <c r="O921" s="513">
        <f t="shared" si="80"/>
        <v>0</v>
      </c>
      <c r="P921" s="348"/>
      <c r="Q921" s="514" t="str">
        <f t="shared" si="81"/>
        <v>SI</v>
      </c>
    </row>
    <row r="922" spans="3:17" hidden="1" x14ac:dyDescent="0.25">
      <c r="C922" s="358">
        <v>992</v>
      </c>
      <c r="D922" s="727"/>
      <c r="E922" s="727"/>
      <c r="F922" s="727"/>
      <c r="G922" s="727"/>
      <c r="H922" s="516"/>
      <c r="I922" s="531"/>
      <c r="J922" s="510">
        <f>SUMIFS(APUS!$Y$10:$Y$1486,APUS!$M$10:$M$1486,INSUMOS!C922)</f>
        <v>0</v>
      </c>
      <c r="K922" s="511">
        <f t="shared" si="82"/>
        <v>0</v>
      </c>
      <c r="N922" s="512">
        <f>IFERROR(SUMIFS(APUS!$Z$10:$Z$62,APUS!$N$62:Q1486,INSUMOS!D922),0)</f>
        <v>0</v>
      </c>
      <c r="O922" s="513">
        <f t="shared" si="80"/>
        <v>0</v>
      </c>
      <c r="P922" s="348"/>
      <c r="Q922" s="514" t="str">
        <f t="shared" si="81"/>
        <v>SI</v>
      </c>
    </row>
    <row r="923" spans="3:17" hidden="1" x14ac:dyDescent="0.25">
      <c r="C923" s="358">
        <v>993</v>
      </c>
      <c r="D923" s="727"/>
      <c r="E923" s="727"/>
      <c r="F923" s="727"/>
      <c r="G923" s="727"/>
      <c r="H923" s="516"/>
      <c r="I923" s="531"/>
      <c r="J923" s="510">
        <f>SUMIFS(APUS!$Y$10:$Y$1486,APUS!$M$10:$M$1486,INSUMOS!C923)</f>
        <v>0</v>
      </c>
      <c r="K923" s="511">
        <f t="shared" si="82"/>
        <v>0</v>
      </c>
      <c r="N923" s="512">
        <f>IFERROR(SUMIFS(APUS!$Z$10:$Z$62,APUS!$N$62:Q1486,INSUMOS!D923),0)</f>
        <v>0</v>
      </c>
      <c r="O923" s="513">
        <f t="shared" si="80"/>
        <v>0</v>
      </c>
      <c r="P923" s="348"/>
      <c r="Q923" s="514" t="str">
        <f t="shared" si="81"/>
        <v>SI</v>
      </c>
    </row>
    <row r="924" spans="3:17" hidden="1" x14ac:dyDescent="0.25">
      <c r="C924" s="358">
        <v>994</v>
      </c>
      <c r="D924" s="727"/>
      <c r="E924" s="727"/>
      <c r="F924" s="727"/>
      <c r="G924" s="727"/>
      <c r="H924" s="516"/>
      <c r="I924" s="531"/>
      <c r="J924" s="510">
        <f>SUMIFS(APUS!$Y$10:$Y$1486,APUS!$M$10:$M$1486,INSUMOS!C924)</f>
        <v>0</v>
      </c>
      <c r="K924" s="511">
        <f t="shared" si="82"/>
        <v>0</v>
      </c>
      <c r="N924" s="512">
        <f>IFERROR(SUMIFS(APUS!$Z$10:$Z$62,APUS!$N$62:Q1486,INSUMOS!D924),0)</f>
        <v>0</v>
      </c>
      <c r="O924" s="513">
        <f t="shared" si="80"/>
        <v>0</v>
      </c>
      <c r="P924" s="348"/>
      <c r="Q924" s="514" t="str">
        <f t="shared" si="81"/>
        <v>SI</v>
      </c>
    </row>
    <row r="925" spans="3:17" hidden="1" x14ac:dyDescent="0.25">
      <c r="C925" s="358">
        <v>995</v>
      </c>
      <c r="D925" s="727"/>
      <c r="E925" s="727"/>
      <c r="F925" s="727"/>
      <c r="G925" s="727"/>
      <c r="H925" s="516"/>
      <c r="I925" s="531"/>
      <c r="J925" s="510">
        <f>SUMIFS(APUS!$Y$10:$Y$1486,APUS!$M$10:$M$1486,INSUMOS!C925)</f>
        <v>0</v>
      </c>
      <c r="K925" s="511">
        <f t="shared" si="82"/>
        <v>0</v>
      </c>
      <c r="N925" s="512">
        <f>IFERROR(SUMIFS(APUS!$Z$10:$Z$62,APUS!$N$62:Q1486,INSUMOS!D925),0)</f>
        <v>0</v>
      </c>
      <c r="O925" s="513">
        <f t="shared" si="80"/>
        <v>0</v>
      </c>
      <c r="P925" s="348"/>
      <c r="Q925" s="514" t="str">
        <f t="shared" si="81"/>
        <v>SI</v>
      </c>
    </row>
    <row r="926" spans="3:17" hidden="1" x14ac:dyDescent="0.25">
      <c r="C926" s="358">
        <v>996</v>
      </c>
      <c r="D926" s="727"/>
      <c r="E926" s="727"/>
      <c r="F926" s="727"/>
      <c r="G926" s="727"/>
      <c r="H926" s="516"/>
      <c r="I926" s="531"/>
      <c r="J926" s="510">
        <f>SUMIFS(APUS!$Y$10:$Y$1486,APUS!$M$10:$M$1486,INSUMOS!C926)</f>
        <v>0</v>
      </c>
      <c r="K926" s="511">
        <f t="shared" si="82"/>
        <v>0</v>
      </c>
      <c r="N926" s="512">
        <f>IFERROR(SUMIFS(APUS!$Z$10:$Z$62,APUS!$N$62:Q1486,INSUMOS!D926),0)</f>
        <v>0</v>
      </c>
      <c r="O926" s="513">
        <f t="shared" si="80"/>
        <v>0</v>
      </c>
      <c r="P926" s="348"/>
      <c r="Q926" s="514" t="str">
        <f t="shared" si="81"/>
        <v>SI</v>
      </c>
    </row>
    <row r="927" spans="3:17" hidden="1" x14ac:dyDescent="0.25">
      <c r="C927" s="358">
        <v>997</v>
      </c>
      <c r="D927" s="727"/>
      <c r="E927" s="727"/>
      <c r="F927" s="727"/>
      <c r="G927" s="727"/>
      <c r="H927" s="516"/>
      <c r="I927" s="531"/>
      <c r="J927" s="510">
        <f>SUMIFS(APUS!$Y$10:$Y$1486,APUS!$M$10:$M$1486,INSUMOS!C927)</f>
        <v>0</v>
      </c>
      <c r="K927" s="511">
        <f t="shared" si="82"/>
        <v>0</v>
      </c>
      <c r="N927" s="512">
        <f>IFERROR(SUMIFS(APUS!$Z$10:$Z$62,APUS!$N$62:Q1486,INSUMOS!D927),0)</f>
        <v>0</v>
      </c>
      <c r="O927" s="513">
        <f t="shared" si="80"/>
        <v>0</v>
      </c>
      <c r="P927" s="348"/>
      <c r="Q927" s="514" t="str">
        <f t="shared" si="81"/>
        <v>SI</v>
      </c>
    </row>
    <row r="928" spans="3:17" hidden="1" x14ac:dyDescent="0.25">
      <c r="C928" s="358">
        <v>998</v>
      </c>
      <c r="D928" s="727"/>
      <c r="E928" s="727"/>
      <c r="F928" s="727"/>
      <c r="G928" s="727"/>
      <c r="H928" s="516"/>
      <c r="I928" s="531"/>
      <c r="J928" s="510">
        <f>SUMIFS(APUS!$Y$10:$Y$1486,APUS!$M$10:$M$1486,INSUMOS!C928)</f>
        <v>0</v>
      </c>
      <c r="K928" s="511">
        <f t="shared" si="82"/>
        <v>0</v>
      </c>
      <c r="N928" s="512">
        <f>IFERROR(SUMIFS(APUS!$Z$10:$Z$62,APUS!$N$62:Q1486,INSUMOS!D928),0)</f>
        <v>0</v>
      </c>
      <c r="O928" s="513">
        <f t="shared" si="80"/>
        <v>0</v>
      </c>
      <c r="P928" s="348"/>
      <c r="Q928" s="514" t="str">
        <f t="shared" si="81"/>
        <v>SI</v>
      </c>
    </row>
    <row r="929" spans="3:17" hidden="1" x14ac:dyDescent="0.25">
      <c r="C929" s="358">
        <v>999</v>
      </c>
      <c r="D929" s="727"/>
      <c r="E929" s="727"/>
      <c r="F929" s="727"/>
      <c r="G929" s="727"/>
      <c r="H929" s="516"/>
      <c r="I929" s="531"/>
      <c r="J929" s="510">
        <f>SUMIFS(APUS!$Y$10:$Y$1486,APUS!$M$10:$M$1486,INSUMOS!C929)</f>
        <v>0</v>
      </c>
      <c r="K929" s="511">
        <f t="shared" si="82"/>
        <v>0</v>
      </c>
      <c r="N929" s="512">
        <f>IFERROR(SUMIFS(APUS!$Z$10:$Z$62,APUS!$N$62:Q1486,INSUMOS!D929),0)</f>
        <v>0</v>
      </c>
      <c r="O929" s="513">
        <f t="shared" si="80"/>
        <v>0</v>
      </c>
      <c r="P929" s="348"/>
      <c r="Q929" s="514" t="str">
        <f t="shared" si="81"/>
        <v>SI</v>
      </c>
    </row>
    <row r="930" spans="3:17" hidden="1" x14ac:dyDescent="0.25">
      <c r="C930" s="358">
        <v>1000</v>
      </c>
      <c r="D930" s="727"/>
      <c r="E930" s="727"/>
      <c r="F930" s="727"/>
      <c r="G930" s="727"/>
      <c r="H930" s="516"/>
      <c r="I930" s="531"/>
      <c r="J930" s="510">
        <f>SUMIFS(APUS!$Y$10:$Y$1486,APUS!$M$10:$M$1486,INSUMOS!C930)</f>
        <v>0</v>
      </c>
      <c r="K930" s="511">
        <f t="shared" si="82"/>
        <v>0</v>
      </c>
      <c r="N930" s="512">
        <f>IFERROR(SUMIFS(APUS!$Z$10:$Z$62,APUS!$N$62:Q1486,INSUMOS!D930),0)</f>
        <v>0</v>
      </c>
      <c r="O930" s="513">
        <f t="shared" si="80"/>
        <v>0</v>
      </c>
      <c r="P930" s="348"/>
      <c r="Q930" s="514" t="str">
        <f t="shared" si="81"/>
        <v>SI</v>
      </c>
    </row>
    <row r="931" spans="3:17" x14ac:dyDescent="0.25">
      <c r="C931" s="358"/>
      <c r="D931" s="718"/>
      <c r="E931" s="718"/>
      <c r="F931" s="718"/>
      <c r="G931" s="718"/>
      <c r="H931" s="314"/>
      <c r="I931" s="515"/>
      <c r="J931" s="510"/>
      <c r="K931" s="511"/>
    </row>
    <row r="932" spans="3:17" x14ac:dyDescent="0.25">
      <c r="C932" s="799" t="str">
        <f>+"SUBTOTAL "&amp;C309</f>
        <v>SUBTOTAL MATERIALES</v>
      </c>
      <c r="D932" s="799"/>
      <c r="E932" s="799"/>
      <c r="F932" s="799"/>
      <c r="G932" s="799"/>
      <c r="H932" s="799"/>
      <c r="I932" s="799"/>
      <c r="J932" s="799"/>
      <c r="K932" s="525">
        <f>+SUM(K330:K931)</f>
        <v>135241677.59576157</v>
      </c>
    </row>
    <row r="933" spans="3:17" x14ac:dyDescent="0.25">
      <c r="C933" s="537"/>
      <c r="D933" s="403"/>
      <c r="E933" s="345"/>
      <c r="F933" s="345"/>
      <c r="G933" s="345"/>
      <c r="H933" s="538"/>
      <c r="I933" s="539"/>
      <c r="J933" s="540"/>
      <c r="K933" s="345"/>
    </row>
    <row r="934" spans="3:17" x14ac:dyDescent="0.25">
      <c r="C934" s="799" t="s">
        <v>288</v>
      </c>
      <c r="D934" s="799"/>
      <c r="E934" s="799"/>
      <c r="F934" s="799"/>
      <c r="G934" s="799"/>
      <c r="H934" s="799"/>
      <c r="I934" s="799"/>
      <c r="J934" s="799"/>
      <c r="K934" s="525">
        <f>ROUND(K932+K307+K234+K215+K110,0)</f>
        <v>277989301</v>
      </c>
      <c r="N934" s="541">
        <f>PPTO!H63</f>
        <v>234307454</v>
      </c>
    </row>
    <row r="935" spans="3:17" x14ac:dyDescent="0.25">
      <c r="N935" s="542">
        <f>N934-K934</f>
        <v>-43681847</v>
      </c>
    </row>
    <row r="936" spans="3:17" x14ac:dyDescent="0.25">
      <c r="C936" s="458" t="s">
        <v>131</v>
      </c>
      <c r="D936" s="432"/>
      <c r="E936" s="794"/>
      <c r="F936" s="794"/>
      <c r="G936" s="433"/>
      <c r="H936" s="494" t="s">
        <v>129</v>
      </c>
      <c r="I936" s="494"/>
      <c r="N936" s="543"/>
    </row>
    <row r="937" spans="3:17" x14ac:dyDescent="0.25">
      <c r="C937" s="431"/>
      <c r="D937" s="432"/>
      <c r="E937" s="431"/>
      <c r="F937" s="433"/>
      <c r="G937" s="433"/>
      <c r="H937" s="434"/>
      <c r="K937" s="543"/>
    </row>
    <row r="938" spans="3:17" x14ac:dyDescent="0.25">
      <c r="C938" s="431"/>
      <c r="D938" s="432"/>
      <c r="E938" s="431"/>
      <c r="F938" s="433"/>
      <c r="G938" s="495"/>
      <c r="H938" s="496"/>
    </row>
    <row r="939" spans="3:17" x14ac:dyDescent="0.25">
      <c r="C939" s="497"/>
      <c r="D939" s="432"/>
      <c r="E939" s="431"/>
      <c r="F939" s="433"/>
      <c r="G939" s="433"/>
      <c r="H939" s="434"/>
    </row>
    <row r="940" spans="3:17" x14ac:dyDescent="0.25">
      <c r="C940" s="271" t="str">
        <f>INFORMACION!C25</f>
        <v>ING. JEYSON JULIAN LEON RUEDA</v>
      </c>
      <c r="D940" s="271"/>
      <c r="E940" s="271"/>
      <c r="F940" s="271"/>
      <c r="G940" s="271"/>
      <c r="H940" s="795" t="str">
        <f>INFORMACION!$C$14</f>
        <v>ARQ. YASMID ROCÍO CARRILLO MORA</v>
      </c>
      <c r="I940" s="795"/>
      <c r="J940" s="795"/>
      <c r="K940" s="795"/>
    </row>
    <row r="941" spans="3:17" x14ac:dyDescent="0.25">
      <c r="C941" s="272" t="str">
        <f>INFORMACION!C26</f>
        <v>MP. 68202-416348 STD</v>
      </c>
      <c r="D941" s="272"/>
      <c r="E941" s="272"/>
      <c r="F941" s="272"/>
      <c r="G941" s="272"/>
      <c r="H941" s="796" t="str">
        <f>INFORMACION!$C$15</f>
        <v>SECRETARIA DE PLANEACIÓN Y OBRAS PÚBLICAS</v>
      </c>
      <c r="I941" s="796"/>
      <c r="J941" s="796"/>
      <c r="K941" s="796"/>
    </row>
    <row r="942" spans="3:17" ht="14.4" x14ac:dyDescent="0.3">
      <c r="C942" s="498"/>
      <c r="D942" s="443"/>
      <c r="E942" s="443"/>
      <c r="F942" s="443"/>
      <c r="G942" s="443"/>
      <c r="H942" s="792" t="str">
        <f>INFORMACION!$C$16</f>
        <v>MUNICIPIO DE PINCHOTE</v>
      </c>
      <c r="I942" s="792"/>
      <c r="J942" s="792"/>
      <c r="K942" s="792"/>
    </row>
  </sheetData>
  <mergeCells count="919">
    <mergeCell ref="D324:G324"/>
    <mergeCell ref="C3:J3"/>
    <mergeCell ref="K3:K5"/>
    <mergeCell ref="D296:G296"/>
    <mergeCell ref="D297:G297"/>
    <mergeCell ref="D298:G298"/>
    <mergeCell ref="D299:G299"/>
    <mergeCell ref="D300:G300"/>
    <mergeCell ref="D301:G301"/>
    <mergeCell ref="D302:G302"/>
    <mergeCell ref="D107:G107"/>
    <mergeCell ref="D108:G108"/>
    <mergeCell ref="C217:K217"/>
    <mergeCell ref="C234:J234"/>
    <mergeCell ref="D101:G101"/>
    <mergeCell ref="D102:G102"/>
    <mergeCell ref="D103:G103"/>
    <mergeCell ref="D104:G104"/>
    <mergeCell ref="D105:G105"/>
    <mergeCell ref="D106:G106"/>
    <mergeCell ref="D167:F167"/>
    <mergeCell ref="D168:F168"/>
    <mergeCell ref="D169:F169"/>
    <mergeCell ref="D170:F170"/>
    <mergeCell ref="D930:G930"/>
    <mergeCell ref="D721:G721"/>
    <mergeCell ref="D921:G921"/>
    <mergeCell ref="D922:G922"/>
    <mergeCell ref="D923:G923"/>
    <mergeCell ref="D924:G924"/>
    <mergeCell ref="D925:G925"/>
    <mergeCell ref="D926:G926"/>
    <mergeCell ref="D927:G927"/>
    <mergeCell ref="D928:G928"/>
    <mergeCell ref="D929:G929"/>
    <mergeCell ref="D912:G912"/>
    <mergeCell ref="D913:G913"/>
    <mergeCell ref="D914:G914"/>
    <mergeCell ref="D915:G915"/>
    <mergeCell ref="D916:G916"/>
    <mergeCell ref="D917:G917"/>
    <mergeCell ref="D918:G918"/>
    <mergeCell ref="D919:G919"/>
    <mergeCell ref="D920:G920"/>
    <mergeCell ref="D903:G903"/>
    <mergeCell ref="D904:G904"/>
    <mergeCell ref="D905:G905"/>
    <mergeCell ref="D906:G906"/>
    <mergeCell ref="D907:G907"/>
    <mergeCell ref="D908:G908"/>
    <mergeCell ref="D909:G909"/>
    <mergeCell ref="D910:G910"/>
    <mergeCell ref="D911:G911"/>
    <mergeCell ref="D894:G894"/>
    <mergeCell ref="D895:G895"/>
    <mergeCell ref="D896:G896"/>
    <mergeCell ref="D897:G897"/>
    <mergeCell ref="D898:G898"/>
    <mergeCell ref="D899:G899"/>
    <mergeCell ref="D900:G900"/>
    <mergeCell ref="D901:G901"/>
    <mergeCell ref="D902:G902"/>
    <mergeCell ref="D885:G885"/>
    <mergeCell ref="D886:G886"/>
    <mergeCell ref="D887:G887"/>
    <mergeCell ref="D888:G888"/>
    <mergeCell ref="D889:G889"/>
    <mergeCell ref="D890:G890"/>
    <mergeCell ref="D891:G891"/>
    <mergeCell ref="D892:G892"/>
    <mergeCell ref="D893:G893"/>
    <mergeCell ref="D876:G876"/>
    <mergeCell ref="D877:G877"/>
    <mergeCell ref="D878:G878"/>
    <mergeCell ref="D879:G879"/>
    <mergeCell ref="D880:G880"/>
    <mergeCell ref="D881:G881"/>
    <mergeCell ref="D882:G882"/>
    <mergeCell ref="D883:G883"/>
    <mergeCell ref="D884:G884"/>
    <mergeCell ref="D867:G867"/>
    <mergeCell ref="D868:G868"/>
    <mergeCell ref="D869:G869"/>
    <mergeCell ref="D870:G870"/>
    <mergeCell ref="D871:G871"/>
    <mergeCell ref="D872:G872"/>
    <mergeCell ref="D873:G873"/>
    <mergeCell ref="D874:G874"/>
    <mergeCell ref="D875:G875"/>
    <mergeCell ref="D858:G858"/>
    <mergeCell ref="D859:G859"/>
    <mergeCell ref="D860:G860"/>
    <mergeCell ref="D861:G861"/>
    <mergeCell ref="D862:G862"/>
    <mergeCell ref="D863:G863"/>
    <mergeCell ref="D864:G864"/>
    <mergeCell ref="D865:G865"/>
    <mergeCell ref="D866:G866"/>
    <mergeCell ref="D822:G822"/>
    <mergeCell ref="D823:G823"/>
    <mergeCell ref="D824:G824"/>
    <mergeCell ref="D825:G825"/>
    <mergeCell ref="D826:G826"/>
    <mergeCell ref="D827:G827"/>
    <mergeCell ref="D828:G828"/>
    <mergeCell ref="D829:G829"/>
    <mergeCell ref="D857:G857"/>
    <mergeCell ref="D812:G812"/>
    <mergeCell ref="D813:G813"/>
    <mergeCell ref="D814:G814"/>
    <mergeCell ref="D815:G815"/>
    <mergeCell ref="D816:G816"/>
    <mergeCell ref="D817:G817"/>
    <mergeCell ref="D818:G818"/>
    <mergeCell ref="D819:G819"/>
    <mergeCell ref="D821:G821"/>
    <mergeCell ref="D820:G820"/>
    <mergeCell ref="D797:G797"/>
    <mergeCell ref="D798:G798"/>
    <mergeCell ref="D805:G805"/>
    <mergeCell ref="D806:G806"/>
    <mergeCell ref="D807:G807"/>
    <mergeCell ref="D808:G808"/>
    <mergeCell ref="D809:G809"/>
    <mergeCell ref="D810:G810"/>
    <mergeCell ref="D811:G811"/>
    <mergeCell ref="D800:G800"/>
    <mergeCell ref="D325:G325"/>
    <mergeCell ref="D329:G329"/>
    <mergeCell ref="D845:G845"/>
    <mergeCell ref="D846:G846"/>
    <mergeCell ref="D847:G847"/>
    <mergeCell ref="D848:G848"/>
    <mergeCell ref="D849:G849"/>
    <mergeCell ref="D850:G850"/>
    <mergeCell ref="D565:G565"/>
    <mergeCell ref="D566:G566"/>
    <mergeCell ref="D567:G567"/>
    <mergeCell ref="D568:G568"/>
    <mergeCell ref="D569:G569"/>
    <mergeCell ref="D570:G570"/>
    <mergeCell ref="D571:G571"/>
    <mergeCell ref="D572:G572"/>
    <mergeCell ref="D573:G573"/>
    <mergeCell ref="D574:G574"/>
    <mergeCell ref="D575:G575"/>
    <mergeCell ref="D576:G576"/>
    <mergeCell ref="D577:G577"/>
    <mergeCell ref="D578:G578"/>
    <mergeCell ref="D579:G579"/>
    <mergeCell ref="D735:G735"/>
    <mergeCell ref="D696:G696"/>
    <mergeCell ref="D697:G697"/>
    <mergeCell ref="D698:G698"/>
    <mergeCell ref="D699:G699"/>
    <mergeCell ref="D700:G700"/>
    <mergeCell ref="D701:G701"/>
    <mergeCell ref="D563:G563"/>
    <mergeCell ref="D564:G564"/>
    <mergeCell ref="D799:G799"/>
    <mergeCell ref="D736:G736"/>
    <mergeCell ref="D728:G728"/>
    <mergeCell ref="D781:G781"/>
    <mergeCell ref="D783:G783"/>
    <mergeCell ref="D786:G786"/>
    <mergeCell ref="D787:G787"/>
    <mergeCell ref="D788:G788"/>
    <mergeCell ref="D789:G789"/>
    <mergeCell ref="D790:G790"/>
    <mergeCell ref="D791:G791"/>
    <mergeCell ref="D792:G792"/>
    <mergeCell ref="D793:G793"/>
    <mergeCell ref="D794:G794"/>
    <mergeCell ref="D795:G795"/>
    <mergeCell ref="D796:G796"/>
    <mergeCell ref="D692:G692"/>
    <mergeCell ref="D356:G356"/>
    <mergeCell ref="D357:G357"/>
    <mergeCell ref="D358:G358"/>
    <mergeCell ref="D363:G363"/>
    <mergeCell ref="D364:G364"/>
    <mergeCell ref="D365:G365"/>
    <mergeCell ref="D366:G366"/>
    <mergeCell ref="D367:G367"/>
    <mergeCell ref="D368:G368"/>
    <mergeCell ref="D369:G369"/>
    <mergeCell ref="D372:G372"/>
    <mergeCell ref="D373:G373"/>
    <mergeCell ref="D362:G362"/>
    <mergeCell ref="D390:G390"/>
    <mergeCell ref="D580:G580"/>
    <mergeCell ref="D387:G387"/>
    <mergeCell ref="D388:G388"/>
    <mergeCell ref="D389:G389"/>
    <mergeCell ref="D391:G391"/>
    <mergeCell ref="D385:G385"/>
    <mergeCell ref="D386:G386"/>
    <mergeCell ref="D392:G392"/>
    <mergeCell ref="D393:G393"/>
    <mergeCell ref="D311:G311"/>
    <mergeCell ref="D312:G312"/>
    <mergeCell ref="D313:G313"/>
    <mergeCell ref="D315:G315"/>
    <mergeCell ref="D316:G316"/>
    <mergeCell ref="D318:G318"/>
    <mergeCell ref="D319:G319"/>
    <mergeCell ref="D321:G321"/>
    <mergeCell ref="D322:G322"/>
    <mergeCell ref="D314:G314"/>
    <mergeCell ref="D320:G320"/>
    <mergeCell ref="D317:G317"/>
    <mergeCell ref="C110:J110"/>
    <mergeCell ref="D126:F126"/>
    <mergeCell ref="D127:F127"/>
    <mergeCell ref="D128:F128"/>
    <mergeCell ref="D129:F129"/>
    <mergeCell ref="D146:F146"/>
    <mergeCell ref="D147:F147"/>
    <mergeCell ref="D148:F148"/>
    <mergeCell ref="C112:K112"/>
    <mergeCell ref="D113:F113"/>
    <mergeCell ref="D114:F114"/>
    <mergeCell ref="D130:F130"/>
    <mergeCell ref="D131:F131"/>
    <mergeCell ref="D132:F132"/>
    <mergeCell ref="D133:F133"/>
    <mergeCell ref="D134:F134"/>
    <mergeCell ref="D135:F135"/>
    <mergeCell ref="D136:F136"/>
    <mergeCell ref="D139:F139"/>
    <mergeCell ref="D141:F141"/>
    <mergeCell ref="D142:F142"/>
    <mergeCell ref="D143:F143"/>
    <mergeCell ref="D144:F144"/>
    <mergeCell ref="D145:F145"/>
    <mergeCell ref="D95:G95"/>
    <mergeCell ref="D96:G96"/>
    <mergeCell ref="D97:G97"/>
    <mergeCell ref="D98:G98"/>
    <mergeCell ref="D99:G99"/>
    <mergeCell ref="D100:G100"/>
    <mergeCell ref="D89:G89"/>
    <mergeCell ref="D90:G90"/>
    <mergeCell ref="D91:G91"/>
    <mergeCell ref="D92:G92"/>
    <mergeCell ref="D93:G93"/>
    <mergeCell ref="D94:G94"/>
    <mergeCell ref="D85:G85"/>
    <mergeCell ref="D86:G86"/>
    <mergeCell ref="D87:G87"/>
    <mergeCell ref="D88:G88"/>
    <mergeCell ref="D77:G77"/>
    <mergeCell ref="D78:G78"/>
    <mergeCell ref="D79:G79"/>
    <mergeCell ref="D80:G80"/>
    <mergeCell ref="D81:G81"/>
    <mergeCell ref="D82:G82"/>
    <mergeCell ref="D50:G50"/>
    <mergeCell ref="D51:G51"/>
    <mergeCell ref="D52:G52"/>
    <mergeCell ref="D53:G53"/>
    <mergeCell ref="D54:G54"/>
    <mergeCell ref="D58:G58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109:G109"/>
    <mergeCell ref="D55:G55"/>
    <mergeCell ref="D56:G56"/>
    <mergeCell ref="D57:G57"/>
    <mergeCell ref="D59:G59"/>
    <mergeCell ref="D60:G60"/>
    <mergeCell ref="D61:G61"/>
    <mergeCell ref="D62:G62"/>
    <mergeCell ref="D63:G63"/>
    <mergeCell ref="D64:G64"/>
    <mergeCell ref="D71:G71"/>
    <mergeCell ref="D72:G72"/>
    <mergeCell ref="D73:G73"/>
    <mergeCell ref="D74:G74"/>
    <mergeCell ref="D75:G75"/>
    <mergeCell ref="D76:G76"/>
    <mergeCell ref="D65:G65"/>
    <mergeCell ref="D66:G66"/>
    <mergeCell ref="D67:G67"/>
    <mergeCell ref="D68:G68"/>
    <mergeCell ref="D69:G69"/>
    <mergeCell ref="D70:G70"/>
    <mergeCell ref="D83:G83"/>
    <mergeCell ref="D84:G84"/>
    <mergeCell ref="D23:G23"/>
    <mergeCell ref="D25:G25"/>
    <mergeCell ref="D36:G36"/>
    <mergeCell ref="D37:G37"/>
    <mergeCell ref="D38:G38"/>
    <mergeCell ref="D39:G39"/>
    <mergeCell ref="D30:G30"/>
    <mergeCell ref="D24:G24"/>
    <mergeCell ref="D26:G26"/>
    <mergeCell ref="D27:G27"/>
    <mergeCell ref="D28:G28"/>
    <mergeCell ref="D29:G29"/>
    <mergeCell ref="D31:G31"/>
    <mergeCell ref="D32:G32"/>
    <mergeCell ref="D33:G33"/>
    <mergeCell ref="D34:G34"/>
    <mergeCell ref="D35:G35"/>
    <mergeCell ref="C4:D4"/>
    <mergeCell ref="C5:D5"/>
    <mergeCell ref="D13:G13"/>
    <mergeCell ref="D14:G14"/>
    <mergeCell ref="D15:G15"/>
    <mergeCell ref="D16:G16"/>
    <mergeCell ref="D17:G17"/>
    <mergeCell ref="D18:G18"/>
    <mergeCell ref="C8:K8"/>
    <mergeCell ref="D9:G9"/>
    <mergeCell ref="D10:G10"/>
    <mergeCell ref="D11:G11"/>
    <mergeCell ref="D12:G12"/>
    <mergeCell ref="E5:J5"/>
    <mergeCell ref="E4:J4"/>
    <mergeCell ref="D200:F200"/>
    <mergeCell ref="D22:G22"/>
    <mergeCell ref="J6:K6"/>
    <mergeCell ref="C6:D6"/>
    <mergeCell ref="E6:H6"/>
    <mergeCell ref="D19:G19"/>
    <mergeCell ref="D20:G20"/>
    <mergeCell ref="D21:G21"/>
    <mergeCell ref="C236:K236"/>
    <mergeCell ref="D155:F155"/>
    <mergeCell ref="D156:F156"/>
    <mergeCell ref="D157:F157"/>
    <mergeCell ref="D158:F158"/>
    <mergeCell ref="D115:F115"/>
    <mergeCell ref="D116:F116"/>
    <mergeCell ref="D117:F117"/>
    <mergeCell ref="D118:F118"/>
    <mergeCell ref="D119:F119"/>
    <mergeCell ref="D120:F120"/>
    <mergeCell ref="D121:F121"/>
    <mergeCell ref="D122:F122"/>
    <mergeCell ref="D123:F123"/>
    <mergeCell ref="D124:F124"/>
    <mergeCell ref="D125:F125"/>
    <mergeCell ref="D173:F173"/>
    <mergeCell ref="D166:F166"/>
    <mergeCell ref="D193:F193"/>
    <mergeCell ref="D194:F194"/>
    <mergeCell ref="D195:F195"/>
    <mergeCell ref="D198:F198"/>
    <mergeCell ref="D199:F199"/>
    <mergeCell ref="D196:F196"/>
    <mergeCell ref="D197:F197"/>
    <mergeCell ref="D172:F172"/>
    <mergeCell ref="D178:F178"/>
    <mergeCell ref="D179:F179"/>
    <mergeCell ref="D180:F180"/>
    <mergeCell ref="D181:F181"/>
    <mergeCell ref="D182:F182"/>
    <mergeCell ref="D183:F183"/>
    <mergeCell ref="D184:F184"/>
    <mergeCell ref="D171:F171"/>
    <mergeCell ref="D149:F149"/>
    <mergeCell ref="D137:F137"/>
    <mergeCell ref="D138:F138"/>
    <mergeCell ref="D140:F140"/>
    <mergeCell ref="D154:F154"/>
    <mergeCell ref="D189:F189"/>
    <mergeCell ref="D190:F190"/>
    <mergeCell ref="D191:F191"/>
    <mergeCell ref="D192:F192"/>
    <mergeCell ref="D150:F150"/>
    <mergeCell ref="D185:F185"/>
    <mergeCell ref="D186:F186"/>
    <mergeCell ref="D187:F187"/>
    <mergeCell ref="D188:F188"/>
    <mergeCell ref="D174:F174"/>
    <mergeCell ref="D175:F175"/>
    <mergeCell ref="D176:F176"/>
    <mergeCell ref="D177:F177"/>
    <mergeCell ref="D151:F151"/>
    <mergeCell ref="D152:F152"/>
    <mergeCell ref="D153:F153"/>
    <mergeCell ref="D159:F159"/>
    <mergeCell ref="D160:F160"/>
    <mergeCell ref="D161:F161"/>
    <mergeCell ref="D162:F162"/>
    <mergeCell ref="D163:F163"/>
    <mergeCell ref="D164:F164"/>
    <mergeCell ref="D165:F165"/>
    <mergeCell ref="D295:G295"/>
    <mergeCell ref="D305:G305"/>
    <mergeCell ref="D201:F201"/>
    <mergeCell ref="D202:F202"/>
    <mergeCell ref="D203:F203"/>
    <mergeCell ref="D204:F204"/>
    <mergeCell ref="D205:F205"/>
    <mergeCell ref="D206:F206"/>
    <mergeCell ref="D207:F207"/>
    <mergeCell ref="D208:F208"/>
    <mergeCell ref="D209:F209"/>
    <mergeCell ref="D238:G238"/>
    <mergeCell ref="D239:G239"/>
    <mergeCell ref="D240:G240"/>
    <mergeCell ref="D241:G241"/>
    <mergeCell ref="D242:G242"/>
    <mergeCell ref="D243:G243"/>
    <mergeCell ref="D244:G244"/>
    <mergeCell ref="D237:G237"/>
    <mergeCell ref="D303:G303"/>
    <mergeCell ref="D247:G247"/>
    <mergeCell ref="D248:G248"/>
    <mergeCell ref="D249:G249"/>
    <mergeCell ref="D251:G251"/>
    <mergeCell ref="D252:G252"/>
    <mergeCell ref="D253:G253"/>
    <mergeCell ref="D254:G254"/>
    <mergeCell ref="D250:G250"/>
    <mergeCell ref="D304:G304"/>
    <mergeCell ref="D291:G291"/>
    <mergeCell ref="D292:G292"/>
    <mergeCell ref="D293:G293"/>
    <mergeCell ref="D284:G284"/>
    <mergeCell ref="D285:G285"/>
    <mergeCell ref="D286:G286"/>
    <mergeCell ref="D287:G287"/>
    <mergeCell ref="D288:G288"/>
    <mergeCell ref="D289:G289"/>
    <mergeCell ref="D290:G290"/>
    <mergeCell ref="D294:G294"/>
    <mergeCell ref="D323:G323"/>
    <mergeCell ref="D327:G327"/>
    <mergeCell ref="D328:G328"/>
    <mergeCell ref="D330:G330"/>
    <mergeCell ref="D350:G350"/>
    <mergeCell ref="D351:G351"/>
    <mergeCell ref="D352:G352"/>
    <mergeCell ref="D326:G326"/>
    <mergeCell ref="D331:G331"/>
    <mergeCell ref="D332:G332"/>
    <mergeCell ref="D333:G333"/>
    <mergeCell ref="D334:G334"/>
    <mergeCell ref="D335:G335"/>
    <mergeCell ref="D336:G336"/>
    <mergeCell ref="D337:G337"/>
    <mergeCell ref="D338:G338"/>
    <mergeCell ref="D339:G339"/>
    <mergeCell ref="D340:G340"/>
    <mergeCell ref="D341:G341"/>
    <mergeCell ref="D342:G342"/>
    <mergeCell ref="D343:G343"/>
    <mergeCell ref="D344:G344"/>
    <mergeCell ref="D345:G345"/>
    <mergeCell ref="D346:G346"/>
    <mergeCell ref="D702:G702"/>
    <mergeCell ref="D703:G703"/>
    <mergeCell ref="D704:G704"/>
    <mergeCell ref="D705:G705"/>
    <mergeCell ref="D706:G706"/>
    <mergeCell ref="D707:G707"/>
    <mergeCell ref="D708:G708"/>
    <mergeCell ref="D709:G709"/>
    <mergeCell ref="D710:G710"/>
    <mergeCell ref="D726:G726"/>
    <mergeCell ref="D727:G727"/>
    <mergeCell ref="D711:G711"/>
    <mergeCell ref="D712:G712"/>
    <mergeCell ref="D713:G713"/>
    <mergeCell ref="D714:G714"/>
    <mergeCell ref="D715:G715"/>
    <mergeCell ref="D716:G716"/>
    <mergeCell ref="D717:G717"/>
    <mergeCell ref="D718:G718"/>
    <mergeCell ref="D719:G719"/>
    <mergeCell ref="D748:G748"/>
    <mergeCell ref="D749:G749"/>
    <mergeCell ref="D750:G750"/>
    <mergeCell ref="D754:G754"/>
    <mergeCell ref="D720:G720"/>
    <mergeCell ref="D738:G738"/>
    <mergeCell ref="D739:G739"/>
    <mergeCell ref="D740:G740"/>
    <mergeCell ref="D741:G741"/>
    <mergeCell ref="D742:G742"/>
    <mergeCell ref="D743:G743"/>
    <mergeCell ref="D751:G751"/>
    <mergeCell ref="D752:G752"/>
    <mergeCell ref="D729:G729"/>
    <mergeCell ref="D730:G730"/>
    <mergeCell ref="D731:G731"/>
    <mergeCell ref="D732:G732"/>
    <mergeCell ref="D733:G733"/>
    <mergeCell ref="D734:G734"/>
    <mergeCell ref="D737:G737"/>
    <mergeCell ref="D722:G722"/>
    <mergeCell ref="D723:G723"/>
    <mergeCell ref="D724:G724"/>
    <mergeCell ref="D725:G725"/>
    <mergeCell ref="D931:G931"/>
    <mergeCell ref="C932:J932"/>
    <mergeCell ref="C934:J934"/>
    <mergeCell ref="D830:G830"/>
    <mergeCell ref="D831:G831"/>
    <mergeCell ref="D832:G832"/>
    <mergeCell ref="D833:G833"/>
    <mergeCell ref="D834:G834"/>
    <mergeCell ref="D835:G835"/>
    <mergeCell ref="D836:G836"/>
    <mergeCell ref="D837:G837"/>
    <mergeCell ref="D838:G838"/>
    <mergeCell ref="D839:G839"/>
    <mergeCell ref="D840:G840"/>
    <mergeCell ref="D841:G841"/>
    <mergeCell ref="D842:G842"/>
    <mergeCell ref="D843:G843"/>
    <mergeCell ref="D844:G844"/>
    <mergeCell ref="D854:G854"/>
    <mergeCell ref="D855:G855"/>
    <mergeCell ref="D856:G856"/>
    <mergeCell ref="D852:G852"/>
    <mergeCell ref="D853:G853"/>
    <mergeCell ref="D851:G851"/>
    <mergeCell ref="D347:G347"/>
    <mergeCell ref="D348:G348"/>
    <mergeCell ref="D349:G349"/>
    <mergeCell ref="D354:G354"/>
    <mergeCell ref="D355:G355"/>
    <mergeCell ref="D353:G353"/>
    <mergeCell ref="D383:G383"/>
    <mergeCell ref="D384:G384"/>
    <mergeCell ref="D359:G359"/>
    <mergeCell ref="D360:G360"/>
    <mergeCell ref="D361:G361"/>
    <mergeCell ref="D380:G380"/>
    <mergeCell ref="D381:G381"/>
    <mergeCell ref="D370:G370"/>
    <mergeCell ref="D371:G371"/>
    <mergeCell ref="D374:G374"/>
    <mergeCell ref="D375:G375"/>
    <mergeCell ref="D376:G376"/>
    <mergeCell ref="D377:G377"/>
    <mergeCell ref="D378:G378"/>
    <mergeCell ref="D379:G379"/>
    <mergeCell ref="D382:G382"/>
    <mergeCell ref="D394:G394"/>
    <mergeCell ref="D395:G395"/>
    <mergeCell ref="D396:G396"/>
    <mergeCell ref="D397:G397"/>
    <mergeCell ref="D398:G398"/>
    <mergeCell ref="D399:G399"/>
    <mergeCell ref="D400:G400"/>
    <mergeCell ref="D401:G401"/>
    <mergeCell ref="D402:G402"/>
    <mergeCell ref="D403:G403"/>
    <mergeCell ref="D404:G404"/>
    <mergeCell ref="D405:G405"/>
    <mergeCell ref="D406:G406"/>
    <mergeCell ref="D407:G407"/>
    <mergeCell ref="D408:G408"/>
    <mergeCell ref="D409:G409"/>
    <mergeCell ref="D410:G410"/>
    <mergeCell ref="D411:G411"/>
    <mergeCell ref="D412:G412"/>
    <mergeCell ref="D413:G413"/>
    <mergeCell ref="D414:G414"/>
    <mergeCell ref="D415:G415"/>
    <mergeCell ref="D416:G416"/>
    <mergeCell ref="D417:G417"/>
    <mergeCell ref="D418:G418"/>
    <mergeCell ref="D419:G419"/>
    <mergeCell ref="D420:G420"/>
    <mergeCell ref="D421:G421"/>
    <mergeCell ref="D422:G422"/>
    <mergeCell ref="D423:G423"/>
    <mergeCell ref="D424:G424"/>
    <mergeCell ref="D425:G425"/>
    <mergeCell ref="D426:G426"/>
    <mergeCell ref="D427:G427"/>
    <mergeCell ref="D428:G428"/>
    <mergeCell ref="D429:G429"/>
    <mergeCell ref="D430:G430"/>
    <mergeCell ref="D431:G431"/>
    <mergeCell ref="D432:G432"/>
    <mergeCell ref="D433:G433"/>
    <mergeCell ref="D434:G434"/>
    <mergeCell ref="D435:G435"/>
    <mergeCell ref="D436:G436"/>
    <mergeCell ref="D437:G437"/>
    <mergeCell ref="D438:G438"/>
    <mergeCell ref="D439:G439"/>
    <mergeCell ref="D440:G440"/>
    <mergeCell ref="D441:G441"/>
    <mergeCell ref="D442:G442"/>
    <mergeCell ref="D443:G443"/>
    <mergeCell ref="D444:G444"/>
    <mergeCell ref="D445:G445"/>
    <mergeCell ref="D446:G446"/>
    <mergeCell ref="D447:G447"/>
    <mergeCell ref="D448:G448"/>
    <mergeCell ref="D449:G449"/>
    <mergeCell ref="D450:G450"/>
    <mergeCell ref="D451:G451"/>
    <mergeCell ref="D452:G452"/>
    <mergeCell ref="D453:G453"/>
    <mergeCell ref="D454:G454"/>
    <mergeCell ref="D455:G455"/>
    <mergeCell ref="D456:G456"/>
    <mergeCell ref="D457:G457"/>
    <mergeCell ref="D458:G458"/>
    <mergeCell ref="D459:G459"/>
    <mergeCell ref="D460:G460"/>
    <mergeCell ref="D461:G461"/>
    <mergeCell ref="D462:G462"/>
    <mergeCell ref="D463:G463"/>
    <mergeCell ref="D464:G464"/>
    <mergeCell ref="D465:G465"/>
    <mergeCell ref="D466:G466"/>
    <mergeCell ref="D467:G467"/>
    <mergeCell ref="D468:G468"/>
    <mergeCell ref="D469:G469"/>
    <mergeCell ref="D470:G470"/>
    <mergeCell ref="D471:G471"/>
    <mergeCell ref="D472:G472"/>
    <mergeCell ref="D473:G473"/>
    <mergeCell ref="D474:G474"/>
    <mergeCell ref="D475:G475"/>
    <mergeCell ref="D476:G476"/>
    <mergeCell ref="D477:G477"/>
    <mergeCell ref="D478:G478"/>
    <mergeCell ref="D479:G479"/>
    <mergeCell ref="D480:G480"/>
    <mergeCell ref="D481:G481"/>
    <mergeCell ref="D482:G482"/>
    <mergeCell ref="D483:G483"/>
    <mergeCell ref="D484:G484"/>
    <mergeCell ref="D485:G485"/>
    <mergeCell ref="D486:G486"/>
    <mergeCell ref="D487:G487"/>
    <mergeCell ref="D488:G488"/>
    <mergeCell ref="D489:G489"/>
    <mergeCell ref="D490:G490"/>
    <mergeCell ref="D491:G491"/>
    <mergeCell ref="D492:G492"/>
    <mergeCell ref="D493:G493"/>
    <mergeCell ref="D494:G494"/>
    <mergeCell ref="D495:G495"/>
    <mergeCell ref="D496:G496"/>
    <mergeCell ref="D497:G497"/>
    <mergeCell ref="D498:G498"/>
    <mergeCell ref="D499:G499"/>
    <mergeCell ref="D500:G500"/>
    <mergeCell ref="D501:G501"/>
    <mergeCell ref="D502:G502"/>
    <mergeCell ref="D503:G503"/>
    <mergeCell ref="D504:G504"/>
    <mergeCell ref="D505:G505"/>
    <mergeCell ref="D506:G506"/>
    <mergeCell ref="D507:G507"/>
    <mergeCell ref="D508:G508"/>
    <mergeCell ref="D509:G509"/>
    <mergeCell ref="D510:G510"/>
    <mergeCell ref="D511:G511"/>
    <mergeCell ref="D512:G512"/>
    <mergeCell ref="D513:G513"/>
    <mergeCell ref="D514:G514"/>
    <mergeCell ref="D515:G515"/>
    <mergeCell ref="D516:G516"/>
    <mergeCell ref="D517:G517"/>
    <mergeCell ref="D518:G518"/>
    <mergeCell ref="D519:G519"/>
    <mergeCell ref="D520:G520"/>
    <mergeCell ref="D521:G521"/>
    <mergeCell ref="D522:G522"/>
    <mergeCell ref="D523:G523"/>
    <mergeCell ref="D524:G524"/>
    <mergeCell ref="D525:G525"/>
    <mergeCell ref="D526:G526"/>
    <mergeCell ref="D527:G527"/>
    <mergeCell ref="D528:G528"/>
    <mergeCell ref="D529:G529"/>
    <mergeCell ref="D530:G530"/>
    <mergeCell ref="D531:G531"/>
    <mergeCell ref="D532:G532"/>
    <mergeCell ref="D533:G533"/>
    <mergeCell ref="D534:G534"/>
    <mergeCell ref="D535:G535"/>
    <mergeCell ref="D536:G536"/>
    <mergeCell ref="D537:G537"/>
    <mergeCell ref="D538:G538"/>
    <mergeCell ref="D539:G539"/>
    <mergeCell ref="D540:G540"/>
    <mergeCell ref="D541:G541"/>
    <mergeCell ref="D542:G542"/>
    <mergeCell ref="D543:G543"/>
    <mergeCell ref="D544:G544"/>
    <mergeCell ref="D545:G545"/>
    <mergeCell ref="D546:G546"/>
    <mergeCell ref="D547:G547"/>
    <mergeCell ref="D548:G548"/>
    <mergeCell ref="D549:G549"/>
    <mergeCell ref="D550:G550"/>
    <mergeCell ref="D551:G551"/>
    <mergeCell ref="D552:G552"/>
    <mergeCell ref="D553:G553"/>
    <mergeCell ref="D554:G554"/>
    <mergeCell ref="D555:G555"/>
    <mergeCell ref="D556:G556"/>
    <mergeCell ref="D557:G557"/>
    <mergeCell ref="D558:G558"/>
    <mergeCell ref="D559:G559"/>
    <mergeCell ref="D560:G560"/>
    <mergeCell ref="D561:G561"/>
    <mergeCell ref="D562:G562"/>
    <mergeCell ref="D581:G581"/>
    <mergeCell ref="D582:G582"/>
    <mergeCell ref="D583:G583"/>
    <mergeCell ref="D584:G584"/>
    <mergeCell ref="D585:G585"/>
    <mergeCell ref="D586:G586"/>
    <mergeCell ref="D587:G587"/>
    <mergeCell ref="D588:G588"/>
    <mergeCell ref="D589:G589"/>
    <mergeCell ref="D590:G590"/>
    <mergeCell ref="D591:G591"/>
    <mergeCell ref="D592:G592"/>
    <mergeCell ref="D593:G593"/>
    <mergeCell ref="D594:G594"/>
    <mergeCell ref="D595:G595"/>
    <mergeCell ref="D596:G596"/>
    <mergeCell ref="D597:G597"/>
    <mergeCell ref="D598:G598"/>
    <mergeCell ref="D599:G599"/>
    <mergeCell ref="D600:G600"/>
    <mergeCell ref="D601:G601"/>
    <mergeCell ref="D602:G602"/>
    <mergeCell ref="D603:G603"/>
    <mergeCell ref="D604:G604"/>
    <mergeCell ref="D605:G605"/>
    <mergeCell ref="D606:G606"/>
    <mergeCell ref="D607:G607"/>
    <mergeCell ref="D608:G608"/>
    <mergeCell ref="D609:G609"/>
    <mergeCell ref="D629:G629"/>
    <mergeCell ref="D630:G630"/>
    <mergeCell ref="D631:G631"/>
    <mergeCell ref="D632:G632"/>
    <mergeCell ref="D633:G633"/>
    <mergeCell ref="D634:G634"/>
    <mergeCell ref="D635:G635"/>
    <mergeCell ref="D610:G610"/>
    <mergeCell ref="D611:G611"/>
    <mergeCell ref="D612:G612"/>
    <mergeCell ref="D613:G613"/>
    <mergeCell ref="D614:G614"/>
    <mergeCell ref="D615:G615"/>
    <mergeCell ref="D616:G616"/>
    <mergeCell ref="D617:G617"/>
    <mergeCell ref="D618:G618"/>
    <mergeCell ref="D619:G619"/>
    <mergeCell ref="D620:G620"/>
    <mergeCell ref="D621:G621"/>
    <mergeCell ref="D622:G622"/>
    <mergeCell ref="D623:G623"/>
    <mergeCell ref="D624:G624"/>
    <mergeCell ref="D625:G625"/>
    <mergeCell ref="D626:G626"/>
    <mergeCell ref="D627:G627"/>
    <mergeCell ref="D636:G636"/>
    <mergeCell ref="D639:G639"/>
    <mergeCell ref="D680:G680"/>
    <mergeCell ref="D681:G681"/>
    <mergeCell ref="D682:G682"/>
    <mergeCell ref="D683:G683"/>
    <mergeCell ref="D684:G684"/>
    <mergeCell ref="D685:G685"/>
    <mergeCell ref="D664:G664"/>
    <mergeCell ref="D665:G665"/>
    <mergeCell ref="D666:G666"/>
    <mergeCell ref="D667:G667"/>
    <mergeCell ref="D668:G668"/>
    <mergeCell ref="D669:G669"/>
    <mergeCell ref="D670:G670"/>
    <mergeCell ref="D671:G671"/>
    <mergeCell ref="D672:G672"/>
    <mergeCell ref="D678:G678"/>
    <mergeCell ref="D679:G679"/>
    <mergeCell ref="D659:G659"/>
    <mergeCell ref="D660:G660"/>
    <mergeCell ref="D661:G661"/>
    <mergeCell ref="D662:G662"/>
    <mergeCell ref="D785:G785"/>
    <mergeCell ref="D801:G801"/>
    <mergeCell ref="D802:G802"/>
    <mergeCell ref="D803:G803"/>
    <mergeCell ref="D804:G804"/>
    <mergeCell ref="D689:G689"/>
    <mergeCell ref="D690:G690"/>
    <mergeCell ref="D691:G691"/>
    <mergeCell ref="D694:G694"/>
    <mergeCell ref="D695:G695"/>
    <mergeCell ref="D693:G693"/>
    <mergeCell ref="D774:G774"/>
    <mergeCell ref="D775:G775"/>
    <mergeCell ref="D776:G776"/>
    <mergeCell ref="D777:G777"/>
    <mergeCell ref="D778:G778"/>
    <mergeCell ref="D779:G779"/>
    <mergeCell ref="D765:G765"/>
    <mergeCell ref="D766:G766"/>
    <mergeCell ref="D767:G767"/>
    <mergeCell ref="D769:G769"/>
    <mergeCell ref="D770:G770"/>
    <mergeCell ref="D771:G771"/>
    <mergeCell ref="D772:G772"/>
    <mergeCell ref="D648:G648"/>
    <mergeCell ref="D640:G640"/>
    <mergeCell ref="D641:G641"/>
    <mergeCell ref="D642:G642"/>
    <mergeCell ref="D643:G643"/>
    <mergeCell ref="D663:G663"/>
    <mergeCell ref="D780:G780"/>
    <mergeCell ref="D782:G782"/>
    <mergeCell ref="D784:G784"/>
    <mergeCell ref="D773:G773"/>
    <mergeCell ref="D756:G756"/>
    <mergeCell ref="D757:G757"/>
    <mergeCell ref="D758:G758"/>
    <mergeCell ref="D759:G759"/>
    <mergeCell ref="D760:G760"/>
    <mergeCell ref="D761:G761"/>
    <mergeCell ref="D762:G762"/>
    <mergeCell ref="D763:G763"/>
    <mergeCell ref="D764:G764"/>
    <mergeCell ref="D753:G753"/>
    <mergeCell ref="D744:G744"/>
    <mergeCell ref="D745:G745"/>
    <mergeCell ref="D746:G746"/>
    <mergeCell ref="D747:G747"/>
    <mergeCell ref="D628:G628"/>
    <mergeCell ref="E936:F936"/>
    <mergeCell ref="H940:K940"/>
    <mergeCell ref="H941:K941"/>
    <mergeCell ref="D256:G256"/>
    <mergeCell ref="D755:G755"/>
    <mergeCell ref="D259:G259"/>
    <mergeCell ref="D260:G260"/>
    <mergeCell ref="D261:G261"/>
    <mergeCell ref="D262:G262"/>
    <mergeCell ref="D263:G263"/>
    <mergeCell ref="D264:G264"/>
    <mergeCell ref="D265:G265"/>
    <mergeCell ref="D266:G266"/>
    <mergeCell ref="D267:G267"/>
    <mergeCell ref="D657:G657"/>
    <mergeCell ref="D649:G649"/>
    <mergeCell ref="D650:G650"/>
    <mergeCell ref="D651:G651"/>
    <mergeCell ref="D652:G652"/>
    <mergeCell ref="D653:G653"/>
    <mergeCell ref="D654:G654"/>
    <mergeCell ref="D637:G637"/>
    <mergeCell ref="D638:G638"/>
    <mergeCell ref="H942:K942"/>
    <mergeCell ref="D268:G268"/>
    <mergeCell ref="D269:G269"/>
    <mergeCell ref="D270:G270"/>
    <mergeCell ref="D271:G271"/>
    <mergeCell ref="D272:G272"/>
    <mergeCell ref="D273:G273"/>
    <mergeCell ref="D274:G274"/>
    <mergeCell ref="D768:G768"/>
    <mergeCell ref="D673:G673"/>
    <mergeCell ref="D674:G674"/>
    <mergeCell ref="D675:G675"/>
    <mergeCell ref="D676:G676"/>
    <mergeCell ref="D686:G686"/>
    <mergeCell ref="D687:G687"/>
    <mergeCell ref="D688:G688"/>
    <mergeCell ref="D677:G677"/>
    <mergeCell ref="D655:G655"/>
    <mergeCell ref="D656:G656"/>
    <mergeCell ref="D658:G658"/>
    <mergeCell ref="D644:G644"/>
    <mergeCell ref="D645:G645"/>
    <mergeCell ref="D646:G646"/>
    <mergeCell ref="D647:G647"/>
    <mergeCell ref="D210:F210"/>
    <mergeCell ref="D213:F213"/>
    <mergeCell ref="C309:K309"/>
    <mergeCell ref="D310:G310"/>
    <mergeCell ref="D211:F211"/>
    <mergeCell ref="D212:F212"/>
    <mergeCell ref="D214:F214"/>
    <mergeCell ref="C215:J215"/>
    <mergeCell ref="D255:G255"/>
    <mergeCell ref="D306:G306"/>
    <mergeCell ref="D275:G275"/>
    <mergeCell ref="D276:G276"/>
    <mergeCell ref="D277:G277"/>
    <mergeCell ref="D278:G278"/>
    <mergeCell ref="D279:G279"/>
    <mergeCell ref="D280:G280"/>
    <mergeCell ref="D281:G281"/>
    <mergeCell ref="D282:G282"/>
    <mergeCell ref="D283:G283"/>
    <mergeCell ref="C307:J307"/>
    <mergeCell ref="D257:G257"/>
    <mergeCell ref="D258:G258"/>
    <mergeCell ref="D245:G245"/>
    <mergeCell ref="D246:G246"/>
  </mergeCells>
  <phoneticPr fontId="21" type="noConversion"/>
  <pageMargins left="0.7" right="0.7" top="0.75" bottom="0.75" header="0.3" footer="0.3"/>
  <pageSetup scale="63" fitToHeight="0" orientation="portrait" r:id="rId1"/>
  <rowBreaks count="1" manualBreakCount="1">
    <brk id="943" min="1" max="1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F719-57C4-4039-91BC-E381545C07F1}">
  <dimension ref="A1:C31"/>
  <sheetViews>
    <sheetView topLeftCell="A13" workbookViewId="0">
      <selection activeCell="D36" sqref="D36"/>
    </sheetView>
  </sheetViews>
  <sheetFormatPr baseColWidth="10" defaultRowHeight="14.4" x14ac:dyDescent="0.3"/>
  <cols>
    <col min="1" max="1" width="44.109375" bestFit="1" customWidth="1"/>
    <col min="2" max="2" width="8.44140625" customWidth="1"/>
    <col min="3" max="3" width="14.33203125" customWidth="1"/>
  </cols>
  <sheetData>
    <row r="1" spans="1:3" x14ac:dyDescent="0.3">
      <c r="A1" s="228" t="s">
        <v>98</v>
      </c>
      <c r="B1" s="228" t="s">
        <v>112</v>
      </c>
      <c r="C1" t="s">
        <v>719</v>
      </c>
    </row>
    <row r="2" spans="1:3" x14ac:dyDescent="0.3">
      <c r="A2" t="s">
        <v>228</v>
      </c>
      <c r="B2" s="229" t="s">
        <v>212</v>
      </c>
      <c r="C2" s="184">
        <v>600</v>
      </c>
    </row>
    <row r="3" spans="1:3" x14ac:dyDescent="0.3">
      <c r="A3" t="s">
        <v>229</v>
      </c>
      <c r="B3" s="229" t="s">
        <v>34</v>
      </c>
      <c r="C3" s="184">
        <v>70000</v>
      </c>
    </row>
    <row r="4" spans="1:3" x14ac:dyDescent="0.3">
      <c r="A4" t="s">
        <v>230</v>
      </c>
      <c r="B4" s="229" t="s">
        <v>34</v>
      </c>
      <c r="C4" s="184">
        <v>100000</v>
      </c>
    </row>
    <row r="5" spans="1:3" x14ac:dyDescent="0.3">
      <c r="A5" t="s">
        <v>549</v>
      </c>
      <c r="B5" s="229" t="s">
        <v>34</v>
      </c>
      <c r="C5" s="184"/>
    </row>
    <row r="6" spans="1:3" x14ac:dyDescent="0.3">
      <c r="A6" t="s">
        <v>234</v>
      </c>
      <c r="B6" s="229" t="s">
        <v>34</v>
      </c>
      <c r="C6" s="184"/>
    </row>
    <row r="7" spans="1:3" x14ac:dyDescent="0.3">
      <c r="A7" t="s">
        <v>232</v>
      </c>
      <c r="B7" s="229" t="s">
        <v>233</v>
      </c>
      <c r="C7" s="184">
        <v>4800</v>
      </c>
    </row>
    <row r="8" spans="1:3" x14ac:dyDescent="0.3">
      <c r="A8" t="s">
        <v>235</v>
      </c>
      <c r="B8" s="229" t="s">
        <v>36</v>
      </c>
      <c r="C8" s="184">
        <v>1500</v>
      </c>
    </row>
    <row r="9" spans="1:3" x14ac:dyDescent="0.3">
      <c r="A9" t="s">
        <v>238</v>
      </c>
      <c r="B9" s="229" t="s">
        <v>212</v>
      </c>
      <c r="C9" s="184">
        <v>4900</v>
      </c>
    </row>
    <row r="10" spans="1:3" x14ac:dyDescent="0.3">
      <c r="A10" t="s">
        <v>239</v>
      </c>
      <c r="B10" s="229" t="s">
        <v>240</v>
      </c>
      <c r="C10" s="184">
        <v>7000</v>
      </c>
    </row>
    <row r="11" spans="1:3" x14ac:dyDescent="0.3">
      <c r="A11" t="s">
        <v>696</v>
      </c>
      <c r="B11" s="229" t="s">
        <v>35</v>
      </c>
      <c r="C11" s="184"/>
    </row>
    <row r="12" spans="1:3" x14ac:dyDescent="0.3">
      <c r="A12" t="s">
        <v>695</v>
      </c>
      <c r="B12" s="229" t="s">
        <v>35</v>
      </c>
      <c r="C12" s="184"/>
    </row>
    <row r="13" spans="1:3" x14ac:dyDescent="0.3">
      <c r="A13" t="s">
        <v>241</v>
      </c>
      <c r="B13" s="229" t="s">
        <v>36</v>
      </c>
      <c r="C13" s="184"/>
    </row>
    <row r="14" spans="1:3" x14ac:dyDescent="0.3">
      <c r="C14" s="184"/>
    </row>
    <row r="15" spans="1:3" x14ac:dyDescent="0.3">
      <c r="A15" t="s">
        <v>319</v>
      </c>
      <c r="B15" s="229" t="s">
        <v>35</v>
      </c>
      <c r="C15" s="184">
        <v>2367</v>
      </c>
    </row>
    <row r="16" spans="1:3" x14ac:dyDescent="0.3">
      <c r="A16" t="s">
        <v>322</v>
      </c>
      <c r="B16" s="229" t="s">
        <v>35</v>
      </c>
      <c r="C16" s="184">
        <v>5950</v>
      </c>
    </row>
    <row r="17" spans="1:3" x14ac:dyDescent="0.3">
      <c r="A17" t="s">
        <v>329</v>
      </c>
      <c r="B17" s="229" t="s">
        <v>35</v>
      </c>
      <c r="C17" s="184">
        <v>14617</v>
      </c>
    </row>
    <row r="18" spans="1:3" x14ac:dyDescent="0.3">
      <c r="A18" t="s">
        <v>257</v>
      </c>
      <c r="B18" s="229" t="s">
        <v>258</v>
      </c>
      <c r="C18" s="184">
        <v>41950</v>
      </c>
    </row>
    <row r="19" spans="1:3" x14ac:dyDescent="0.3">
      <c r="A19" t="s">
        <v>259</v>
      </c>
      <c r="B19" s="229" t="s">
        <v>258</v>
      </c>
      <c r="C19" s="184">
        <v>87000</v>
      </c>
    </row>
    <row r="20" spans="1:3" x14ac:dyDescent="0.3">
      <c r="C20" s="184"/>
    </row>
    <row r="21" spans="1:3" x14ac:dyDescent="0.3">
      <c r="A21" t="s">
        <v>387</v>
      </c>
      <c r="B21" s="229" t="s">
        <v>36</v>
      </c>
      <c r="C21" s="184"/>
    </row>
    <row r="22" spans="1:3" x14ac:dyDescent="0.3">
      <c r="A22" t="s">
        <v>692</v>
      </c>
      <c r="B22" s="229" t="s">
        <v>36</v>
      </c>
      <c r="C22" s="184"/>
    </row>
    <row r="23" spans="1:3" x14ac:dyDescent="0.3">
      <c r="A23" t="s">
        <v>497</v>
      </c>
      <c r="B23" s="229" t="s">
        <v>36</v>
      </c>
      <c r="C23" s="184"/>
    </row>
    <row r="24" spans="1:3" x14ac:dyDescent="0.3">
      <c r="A24" t="s">
        <v>694</v>
      </c>
      <c r="B24" s="229" t="s">
        <v>36</v>
      </c>
      <c r="C24" s="184"/>
    </row>
    <row r="25" spans="1:3" x14ac:dyDescent="0.3">
      <c r="A25" t="s">
        <v>693</v>
      </c>
      <c r="B25" s="229" t="s">
        <v>36</v>
      </c>
      <c r="C25" s="184"/>
    </row>
    <row r="26" spans="1:3" x14ac:dyDescent="0.3">
      <c r="A26" t="s">
        <v>388</v>
      </c>
      <c r="B26" s="229" t="s">
        <v>36</v>
      </c>
      <c r="C26" s="184"/>
    </row>
    <row r="27" spans="1:3" x14ac:dyDescent="0.3">
      <c r="C27" s="184"/>
    </row>
    <row r="28" spans="1:3" x14ac:dyDescent="0.3">
      <c r="A28" t="s">
        <v>688</v>
      </c>
      <c r="B28" s="229" t="s">
        <v>36</v>
      </c>
      <c r="C28" s="184"/>
    </row>
    <row r="29" spans="1:3" x14ac:dyDescent="0.3">
      <c r="A29" t="s">
        <v>691</v>
      </c>
      <c r="B29" s="229" t="s">
        <v>36</v>
      </c>
      <c r="C29" s="184"/>
    </row>
    <row r="30" spans="1:3" x14ac:dyDescent="0.3">
      <c r="A30" t="s">
        <v>689</v>
      </c>
      <c r="B30" s="229" t="s">
        <v>36</v>
      </c>
      <c r="C30" s="184"/>
    </row>
    <row r="31" spans="1:3" x14ac:dyDescent="0.3">
      <c r="A31" t="s">
        <v>690</v>
      </c>
      <c r="B31" s="229" t="s">
        <v>36</v>
      </c>
      <c r="C31" s="18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BBC78-7141-4CF4-8E17-9226A9710159}">
  <sheetPr>
    <pageSetUpPr fitToPage="1"/>
  </sheetPr>
  <dimension ref="C2:J83"/>
  <sheetViews>
    <sheetView view="pageBreakPreview" topLeftCell="A34" zoomScale="90" zoomScaleNormal="100" zoomScaleSheetLayoutView="90" workbookViewId="0">
      <selection activeCell="E66" sqref="E66"/>
    </sheetView>
  </sheetViews>
  <sheetFormatPr baseColWidth="10" defaultColWidth="10.88671875" defaultRowHeight="13.8" x14ac:dyDescent="0.25"/>
  <cols>
    <col min="1" max="1" width="10.88671875" style="270"/>
    <col min="2" max="2" width="2.109375" style="270" customWidth="1"/>
    <col min="3" max="3" width="47.6640625" style="270" bestFit="1" customWidth="1"/>
    <col min="4" max="4" width="17.109375" style="270" customWidth="1"/>
    <col min="5" max="5" width="14.6640625" style="270" bestFit="1" customWidth="1"/>
    <col min="6" max="6" width="13.33203125" style="270" customWidth="1"/>
    <col min="7" max="7" width="16.6640625" style="270" customWidth="1"/>
    <col min="8" max="8" width="14.6640625" style="270" customWidth="1"/>
    <col min="9" max="9" width="12.44140625" style="270" bestFit="1" customWidth="1"/>
    <col min="10" max="10" width="15.6640625" style="270" customWidth="1"/>
    <col min="11" max="11" width="2.109375" style="270" customWidth="1"/>
    <col min="12" max="16384" width="10.88671875" style="270"/>
  </cols>
  <sheetData>
    <row r="2" spans="3:10" ht="42.6" customHeight="1" x14ac:dyDescent="0.25">
      <c r="C2" s="807" t="str">
        <f>INFORMACION!A3</f>
        <v>CONSTRUCCIÓN DE PAVIMENTO EN PIEDRA LABOR Y OPTIMIZACIÓN DE LA RED DE ALCANTARILLADO SANITARIO CALLE 5 ENTRE CARRERA 3 Y 4 DEL CASCO URBANO DEL MUNICIPIO DE PINCHOTE, DEPARTAMENTO DE SANTANDER</v>
      </c>
      <c r="D2" s="807"/>
      <c r="E2" s="807"/>
      <c r="F2" s="807"/>
      <c r="G2" s="807"/>
      <c r="H2" s="807"/>
      <c r="I2" s="807"/>
      <c r="J2" s="807"/>
    </row>
    <row r="3" spans="3:10" x14ac:dyDescent="0.25">
      <c r="C3" s="556" t="s">
        <v>130</v>
      </c>
      <c r="D3" s="811" t="str">
        <f>INSUMOS!E4</f>
        <v>ALCALDIA MUNICIPAL DE PINCHOTE</v>
      </c>
      <c r="E3" s="811"/>
      <c r="F3" s="811"/>
      <c r="G3" s="811"/>
      <c r="H3" s="807"/>
      <c r="I3" s="807"/>
      <c r="J3" s="807"/>
    </row>
    <row r="4" spans="3:10" x14ac:dyDescent="0.25">
      <c r="C4" s="314" t="s">
        <v>41</v>
      </c>
      <c r="D4" s="706" t="str">
        <f>INFORMACION!A6</f>
        <v>PINCHOTE, SANTANDER</v>
      </c>
      <c r="E4" s="706"/>
      <c r="F4" s="314" t="s">
        <v>31</v>
      </c>
      <c r="G4" s="557" t="str">
        <f>PRESENTACION!$A$43</f>
        <v>ABRIL DE 2026</v>
      </c>
      <c r="H4" s="807"/>
      <c r="I4" s="807"/>
      <c r="J4" s="807"/>
    </row>
    <row r="5" spans="3:10" ht="6" customHeight="1" x14ac:dyDescent="0.25">
      <c r="C5" s="558"/>
      <c r="D5" s="275"/>
      <c r="E5" s="275"/>
      <c r="F5" s="275"/>
      <c r="G5" s="558"/>
      <c r="H5" s="559"/>
      <c r="I5" s="275"/>
      <c r="J5" s="275"/>
    </row>
    <row r="6" spans="3:10" ht="20.399999999999999" x14ac:dyDescent="0.25">
      <c r="C6" s="810" t="s">
        <v>159</v>
      </c>
      <c r="D6" s="810"/>
      <c r="E6" s="810"/>
      <c r="F6" s="810"/>
      <c r="G6" s="810"/>
      <c r="H6" s="810"/>
      <c r="I6" s="810"/>
      <c r="J6" s="810"/>
    </row>
    <row r="7" spans="3:10" ht="7.5" customHeight="1" x14ac:dyDescent="0.25">
      <c r="D7" s="554"/>
      <c r="E7" s="554"/>
    </row>
    <row r="8" spans="3:10" x14ac:dyDescent="0.25">
      <c r="C8" s="560" t="s">
        <v>899</v>
      </c>
      <c r="D8" s="561">
        <v>1750905</v>
      </c>
      <c r="E8" s="562"/>
      <c r="F8" s="563"/>
      <c r="G8" s="563"/>
      <c r="H8" s="562"/>
      <c r="I8" s="562"/>
      <c r="J8" s="562"/>
    </row>
    <row r="9" spans="3:10" x14ac:dyDescent="0.25">
      <c r="C9" s="560" t="s">
        <v>900</v>
      </c>
      <c r="D9" s="561">
        <v>249095</v>
      </c>
      <c r="E9" s="564"/>
      <c r="F9" s="563"/>
      <c r="G9" s="563"/>
      <c r="H9" s="562"/>
      <c r="I9" s="562"/>
      <c r="J9" s="562"/>
    </row>
    <row r="10" spans="3:10" ht="7.5" customHeight="1" x14ac:dyDescent="0.25">
      <c r="C10" s="551"/>
      <c r="E10" s="554"/>
      <c r="I10" s="554"/>
    </row>
    <row r="11" spans="3:10" ht="15" customHeight="1" x14ac:dyDescent="0.25">
      <c r="C11" s="813" t="s">
        <v>160</v>
      </c>
      <c r="D11" s="813"/>
      <c r="E11" s="554"/>
      <c r="F11" s="813" t="s">
        <v>161</v>
      </c>
      <c r="G11" s="813"/>
      <c r="H11" s="813"/>
      <c r="I11" s="813"/>
      <c r="J11" s="813"/>
    </row>
    <row r="12" spans="3:10" x14ac:dyDescent="0.25">
      <c r="C12" s="565" t="s">
        <v>162</v>
      </c>
      <c r="D12" s="566">
        <v>0.125</v>
      </c>
      <c r="E12" s="554"/>
      <c r="F12" s="808" t="s">
        <v>162</v>
      </c>
      <c r="G12" s="808"/>
      <c r="H12" s="808"/>
      <c r="I12" s="808"/>
      <c r="J12" s="566">
        <v>0.125</v>
      </c>
    </row>
    <row r="13" spans="3:10" x14ac:dyDescent="0.25">
      <c r="C13" s="565" t="s">
        <v>163</v>
      </c>
      <c r="D13" s="566">
        <v>0.16</v>
      </c>
      <c r="E13" s="554"/>
      <c r="F13" s="808" t="s">
        <v>163</v>
      </c>
      <c r="G13" s="808"/>
      <c r="H13" s="808"/>
      <c r="I13" s="808"/>
      <c r="J13" s="566">
        <v>0.16</v>
      </c>
    </row>
    <row r="14" spans="3:10" ht="15" customHeight="1" x14ac:dyDescent="0.25">
      <c r="C14" s="565" t="s">
        <v>164</v>
      </c>
      <c r="D14" s="566">
        <v>6.9599999999999995E-2</v>
      </c>
      <c r="E14" s="554"/>
      <c r="F14" s="808" t="s">
        <v>164</v>
      </c>
      <c r="G14" s="808"/>
      <c r="H14" s="808"/>
      <c r="I14" s="808"/>
      <c r="J14" s="566">
        <v>6.9599999999999995E-2</v>
      </c>
    </row>
    <row r="15" spans="3:10" x14ac:dyDescent="0.25">
      <c r="C15" s="565" t="s">
        <v>165</v>
      </c>
      <c r="D15" s="566">
        <v>4.1700000000000001E-2</v>
      </c>
      <c r="E15" s="554"/>
      <c r="F15" s="808" t="s">
        <v>165</v>
      </c>
      <c r="G15" s="808"/>
      <c r="H15" s="808"/>
      <c r="I15" s="808"/>
      <c r="J15" s="566">
        <v>4.1700000000000001E-2</v>
      </c>
    </row>
    <row r="16" spans="3:10" ht="15" customHeight="1" x14ac:dyDescent="0.25">
      <c r="C16" s="565" t="s">
        <v>166</v>
      </c>
      <c r="D16" s="566">
        <v>8.3299999999999999E-2</v>
      </c>
      <c r="E16" s="554"/>
      <c r="F16" s="808" t="s">
        <v>166</v>
      </c>
      <c r="G16" s="808"/>
      <c r="H16" s="808"/>
      <c r="I16" s="808"/>
      <c r="J16" s="566">
        <v>8.3299999999999999E-2</v>
      </c>
    </row>
    <row r="17" spans="3:10" x14ac:dyDescent="0.25">
      <c r="C17" s="565" t="s">
        <v>167</v>
      </c>
      <c r="D17" s="566">
        <v>8.3299999999999999E-2</v>
      </c>
      <c r="E17" s="554"/>
      <c r="F17" s="808" t="s">
        <v>167</v>
      </c>
      <c r="G17" s="808"/>
      <c r="H17" s="808"/>
      <c r="I17" s="808"/>
      <c r="J17" s="566">
        <v>8.3299999999999999E-2</v>
      </c>
    </row>
    <row r="18" spans="3:10" ht="15" customHeight="1" x14ac:dyDescent="0.25">
      <c r="C18" s="565" t="s">
        <v>168</v>
      </c>
      <c r="D18" s="566">
        <v>0.01</v>
      </c>
      <c r="E18" s="554"/>
      <c r="F18" s="808" t="s">
        <v>168</v>
      </c>
      <c r="G18" s="808"/>
      <c r="H18" s="808"/>
      <c r="I18" s="808"/>
      <c r="J18" s="566">
        <v>0.01</v>
      </c>
    </row>
    <row r="19" spans="3:10" x14ac:dyDescent="0.25">
      <c r="C19" s="565" t="s">
        <v>169</v>
      </c>
      <c r="D19" s="566">
        <v>0.02</v>
      </c>
      <c r="E19" s="554"/>
      <c r="F19" s="808" t="s">
        <v>169</v>
      </c>
      <c r="G19" s="808"/>
      <c r="H19" s="808"/>
      <c r="I19" s="808"/>
      <c r="J19" s="566">
        <v>0.02</v>
      </c>
    </row>
    <row r="20" spans="3:10" x14ac:dyDescent="0.25">
      <c r="C20" s="565" t="s">
        <v>170</v>
      </c>
      <c r="D20" s="566">
        <v>0.03</v>
      </c>
      <c r="E20" s="554"/>
      <c r="F20" s="808" t="s">
        <v>170</v>
      </c>
      <c r="G20" s="808"/>
      <c r="H20" s="808"/>
      <c r="I20" s="808"/>
      <c r="J20" s="566">
        <v>0.03</v>
      </c>
    </row>
    <row r="21" spans="3:10" ht="15" customHeight="1" x14ac:dyDescent="0.25">
      <c r="C21" s="565" t="s">
        <v>171</v>
      </c>
      <c r="D21" s="566">
        <v>0.04</v>
      </c>
      <c r="E21" s="554"/>
      <c r="F21" s="808" t="s">
        <v>171</v>
      </c>
      <c r="G21" s="808"/>
      <c r="H21" s="808"/>
      <c r="I21" s="808"/>
      <c r="J21" s="566">
        <v>0.04</v>
      </c>
    </row>
    <row r="22" spans="3:10" ht="30" customHeight="1" x14ac:dyDescent="0.25">
      <c r="C22" s="567" t="s">
        <v>172</v>
      </c>
      <c r="D22" s="566">
        <v>0.1</v>
      </c>
      <c r="E22" s="554"/>
      <c r="F22" s="809" t="s">
        <v>172</v>
      </c>
      <c r="G22" s="809"/>
      <c r="H22" s="809"/>
      <c r="I22" s="809"/>
      <c r="J22" s="566"/>
    </row>
    <row r="23" spans="3:10" ht="15" customHeight="1" x14ac:dyDescent="0.25">
      <c r="C23" s="567" t="s">
        <v>173</v>
      </c>
      <c r="D23" s="566">
        <v>3.7100000000000001E-2</v>
      </c>
      <c r="E23" s="554"/>
      <c r="F23" s="809" t="s">
        <v>173</v>
      </c>
      <c r="G23" s="809"/>
      <c r="H23" s="809"/>
      <c r="I23" s="809"/>
      <c r="J23" s="566"/>
    </row>
    <row r="24" spans="3:10" x14ac:dyDescent="0.25">
      <c r="C24" s="568" t="s">
        <v>16</v>
      </c>
      <c r="D24" s="569">
        <f>SUM(D12:D23)</f>
        <v>0.80000000000000016</v>
      </c>
      <c r="E24" s="554"/>
      <c r="F24" s="817" t="s">
        <v>16</v>
      </c>
      <c r="G24" s="817"/>
      <c r="H24" s="817"/>
      <c r="I24" s="817"/>
      <c r="J24" s="569">
        <f>SUM(J12:J23)</f>
        <v>0.66290000000000016</v>
      </c>
    </row>
    <row r="26" spans="3:10" ht="45" customHeight="1" x14ac:dyDescent="0.25">
      <c r="C26" s="570" t="s">
        <v>98</v>
      </c>
      <c r="D26" s="570" t="s">
        <v>174</v>
      </c>
      <c r="E26" s="571" t="s">
        <v>107</v>
      </c>
      <c r="F26" s="570" t="s">
        <v>120</v>
      </c>
      <c r="G26" s="570" t="s">
        <v>175</v>
      </c>
      <c r="H26" s="570" t="s">
        <v>176</v>
      </c>
      <c r="I26" s="570" t="s">
        <v>209</v>
      </c>
      <c r="J26" s="570" t="s">
        <v>177</v>
      </c>
    </row>
    <row r="27" spans="3:10" x14ac:dyDescent="0.25">
      <c r="C27" s="572" t="s">
        <v>184</v>
      </c>
      <c r="D27" s="573" t="s">
        <v>187</v>
      </c>
      <c r="E27" s="574"/>
      <c r="F27" s="575"/>
      <c r="G27" s="575">
        <f>+SUM(G28:G29)</f>
        <v>16606.333333333332</v>
      </c>
      <c r="H27" s="575">
        <f>+SUM(H28:H29)</f>
        <v>0</v>
      </c>
      <c r="I27" s="575">
        <f>+SUM(I28:I29)</f>
        <v>167952</v>
      </c>
      <c r="J27" s="575">
        <f>+SUM(H27:I27)</f>
        <v>167952</v>
      </c>
    </row>
    <row r="28" spans="3:10" x14ac:dyDescent="0.25">
      <c r="C28" s="576" t="s">
        <v>179</v>
      </c>
      <c r="D28" s="574">
        <v>1.6</v>
      </c>
      <c r="E28" s="574">
        <v>1</v>
      </c>
      <c r="F28" s="577">
        <f>ROUND((((($D$8+$D$9)/30)*D28)*E28),0)</f>
        <v>106667</v>
      </c>
      <c r="G28" s="577">
        <f>$D$9/30</f>
        <v>8303.1666666666661</v>
      </c>
      <c r="H28" s="578">
        <v>0</v>
      </c>
      <c r="I28" s="579">
        <f>ROUND((F28+G28)*$D$24,0)</f>
        <v>91976</v>
      </c>
      <c r="J28" s="580">
        <f>+SUM(F28:I28)</f>
        <v>206946.16666666669</v>
      </c>
    </row>
    <row r="29" spans="3:10" x14ac:dyDescent="0.25">
      <c r="C29" s="576" t="s">
        <v>178</v>
      </c>
      <c r="D29" s="574">
        <v>1.3</v>
      </c>
      <c r="E29" s="574">
        <v>1</v>
      </c>
      <c r="F29" s="577">
        <f>ROUND((((($D$8+$D$9)/30)*D29)*E29),0)</f>
        <v>86667</v>
      </c>
      <c r="G29" s="577">
        <f>$D$9/30</f>
        <v>8303.1666666666661</v>
      </c>
      <c r="H29" s="578">
        <f>$H$28</f>
        <v>0</v>
      </c>
      <c r="I29" s="579">
        <f>ROUND((F29+G29)*$D$24,0)</f>
        <v>75976</v>
      </c>
      <c r="J29" s="580">
        <f>+SUM(F29:I29)</f>
        <v>170946.16666666669</v>
      </c>
    </row>
    <row r="30" spans="3:10" ht="6" hidden="1" customHeight="1" x14ac:dyDescent="0.25">
      <c r="C30" s="581"/>
      <c r="D30" s="534"/>
      <c r="E30" s="574"/>
      <c r="F30" s="582"/>
      <c r="G30" s="582"/>
      <c r="H30" s="578"/>
      <c r="I30" s="583"/>
      <c r="J30" s="580"/>
    </row>
    <row r="31" spans="3:10" hidden="1" x14ac:dyDescent="0.25">
      <c r="C31" s="572" t="s">
        <v>185</v>
      </c>
      <c r="D31" s="573" t="s">
        <v>187</v>
      </c>
      <c r="E31" s="584"/>
      <c r="F31" s="575"/>
      <c r="G31" s="575">
        <f>+SUM(G32:G33)</f>
        <v>16606.333333333332</v>
      </c>
      <c r="H31" s="575">
        <f>+SUM(H32:H33)</f>
        <v>0</v>
      </c>
      <c r="I31" s="575">
        <f>+SUM(I32:I33)</f>
        <v>153286</v>
      </c>
      <c r="J31" s="575">
        <f>+SUM(H31:I31)</f>
        <v>153286</v>
      </c>
    </row>
    <row r="32" spans="3:10" hidden="1" x14ac:dyDescent="0.25">
      <c r="C32" s="576" t="s">
        <v>181</v>
      </c>
      <c r="D32" s="574">
        <v>1.05</v>
      </c>
      <c r="E32" s="574">
        <v>1</v>
      </c>
      <c r="F32" s="577">
        <f>ROUND((((($D$8+$D$9)/30)*1.45)*D32),0)</f>
        <v>101500</v>
      </c>
      <c r="G32" s="577">
        <f>$D$9/30</f>
        <v>8303.1666666666661</v>
      </c>
      <c r="H32" s="578">
        <f t="shared" ref="H32:H33" si="0">$H$28</f>
        <v>0</v>
      </c>
      <c r="I32" s="579">
        <f>ROUND((F32+G32)*$D$24,0)</f>
        <v>87843</v>
      </c>
      <c r="J32" s="580">
        <f t="shared" ref="J32:J33" si="1">+SUM(F32:I32)</f>
        <v>197646.16666666669</v>
      </c>
    </row>
    <row r="33" spans="3:10" hidden="1" x14ac:dyDescent="0.25">
      <c r="C33" s="576" t="s">
        <v>180</v>
      </c>
      <c r="D33" s="574">
        <f>+D32</f>
        <v>1.05</v>
      </c>
      <c r="E33" s="574">
        <v>1</v>
      </c>
      <c r="F33" s="577">
        <f>ROUND((((($D$8+$D$9)/30)*1.05)*D33),0)</f>
        <v>73500</v>
      </c>
      <c r="G33" s="577">
        <f>$D$9/30</f>
        <v>8303.1666666666661</v>
      </c>
      <c r="H33" s="578">
        <f t="shared" si="0"/>
        <v>0</v>
      </c>
      <c r="I33" s="579">
        <f>ROUND((F33+G33)*$D$24,0)</f>
        <v>65443</v>
      </c>
      <c r="J33" s="580">
        <f t="shared" si="1"/>
        <v>147246.16666666669</v>
      </c>
    </row>
    <row r="34" spans="3:10" ht="6" customHeight="1" x14ac:dyDescent="0.25">
      <c r="C34" s="581"/>
      <c r="D34" s="534"/>
      <c r="E34" s="574"/>
      <c r="F34" s="582"/>
      <c r="G34" s="582"/>
      <c r="H34" s="578"/>
      <c r="I34" s="583"/>
      <c r="J34" s="580"/>
    </row>
    <row r="35" spans="3:10" x14ac:dyDescent="0.25">
      <c r="C35" s="585" t="s">
        <v>567</v>
      </c>
      <c r="D35" s="573" t="s">
        <v>187</v>
      </c>
      <c r="E35" s="574"/>
      <c r="F35" s="575"/>
      <c r="G35" s="575">
        <f>+SUM(G36:G37)</f>
        <v>16606.333333333332</v>
      </c>
      <c r="H35" s="575">
        <f>+SUM(H36:H37)</f>
        <v>0</v>
      </c>
      <c r="I35" s="575">
        <f>+SUM(I36:I37)</f>
        <v>223152</v>
      </c>
      <c r="J35" s="575">
        <f>+SUM(H35:I35)</f>
        <v>223152</v>
      </c>
    </row>
    <row r="36" spans="3:10" x14ac:dyDescent="0.25">
      <c r="C36" s="576" t="s">
        <v>565</v>
      </c>
      <c r="D36" s="574">
        <v>1.7</v>
      </c>
      <c r="E36" s="574">
        <v>1</v>
      </c>
      <c r="F36" s="577">
        <f>ROUND((((($D$8+$D$9)/30)*1.45)*D36),0)</f>
        <v>164333</v>
      </c>
      <c r="G36" s="577">
        <f t="shared" ref="G36:G37" si="2">$D$9/30</f>
        <v>8303.1666666666661</v>
      </c>
      <c r="H36" s="578">
        <f t="shared" ref="H36:H37" si="3">$H$28</f>
        <v>0</v>
      </c>
      <c r="I36" s="579">
        <f>ROUND((F36+G36)*$D$24,0)</f>
        <v>138109</v>
      </c>
      <c r="J36" s="580">
        <f t="shared" ref="J36:J37" si="4">+SUM(F36:I36)</f>
        <v>310745.16666666663</v>
      </c>
    </row>
    <row r="37" spans="3:10" x14ac:dyDescent="0.25">
      <c r="C37" s="576" t="s">
        <v>566</v>
      </c>
      <c r="D37" s="574">
        <v>1.4</v>
      </c>
      <c r="E37" s="574">
        <v>1</v>
      </c>
      <c r="F37" s="577">
        <f>ROUND((((($D$8+$D$9)/30)*1.05)*D37),0)</f>
        <v>98000</v>
      </c>
      <c r="G37" s="577">
        <f t="shared" si="2"/>
        <v>8303.1666666666661</v>
      </c>
      <c r="H37" s="578">
        <f t="shared" si="3"/>
        <v>0</v>
      </c>
      <c r="I37" s="579">
        <f>ROUND((F37+G37)*$D$24,0)</f>
        <v>85043</v>
      </c>
      <c r="J37" s="580">
        <f t="shared" si="4"/>
        <v>191346.16666666669</v>
      </c>
    </row>
    <row r="38" spans="3:10" ht="6" hidden="1" customHeight="1" x14ac:dyDescent="0.25">
      <c r="C38" s="581"/>
      <c r="D38" s="534"/>
      <c r="E38" s="574"/>
      <c r="F38" s="582"/>
      <c r="G38" s="582"/>
      <c r="H38" s="578"/>
      <c r="I38" s="583"/>
      <c r="J38" s="580"/>
    </row>
    <row r="39" spans="3:10" hidden="1" x14ac:dyDescent="0.25">
      <c r="C39" s="585" t="s">
        <v>186</v>
      </c>
      <c r="D39" s="573" t="s">
        <v>187</v>
      </c>
      <c r="E39" s="574"/>
      <c r="F39" s="575"/>
      <c r="G39" s="575">
        <f>+SUM(G40:G41)</f>
        <v>16606.333333333332</v>
      </c>
      <c r="H39" s="575">
        <f>+SUM(H40:H41)</f>
        <v>0</v>
      </c>
      <c r="I39" s="575">
        <f>+SUM(I40:I41)</f>
        <v>159952</v>
      </c>
      <c r="J39" s="575">
        <f>+SUM(H39:I39)</f>
        <v>159952</v>
      </c>
    </row>
    <row r="40" spans="3:10" hidden="1" x14ac:dyDescent="0.25">
      <c r="C40" s="576" t="s">
        <v>191</v>
      </c>
      <c r="D40" s="574">
        <v>1.1000000000000001</v>
      </c>
      <c r="E40" s="574">
        <v>1</v>
      </c>
      <c r="F40" s="577">
        <f>ROUND((((($D$8+$D$9)/30)*1.45)*D40),0)</f>
        <v>106333</v>
      </c>
      <c r="G40" s="577">
        <f t="shared" ref="G40:G41" si="5">$D$9/30</f>
        <v>8303.1666666666661</v>
      </c>
      <c r="H40" s="578">
        <f t="shared" ref="H40:H41" si="6">$H$28</f>
        <v>0</v>
      </c>
      <c r="I40" s="579">
        <f>ROUND((F40+G40)*$D$24,0)</f>
        <v>91709</v>
      </c>
      <c r="J40" s="580">
        <f t="shared" ref="J40:J41" si="7">+SUM(F40:I40)</f>
        <v>206345.16666666669</v>
      </c>
    </row>
    <row r="41" spans="3:10" hidden="1" x14ac:dyDescent="0.25">
      <c r="C41" s="576" t="s">
        <v>192</v>
      </c>
      <c r="D41" s="574">
        <f>+D40</f>
        <v>1.1000000000000001</v>
      </c>
      <c r="E41" s="574">
        <v>1</v>
      </c>
      <c r="F41" s="577">
        <f>ROUND((((($D$8+$D$9)/30)*1.05)*D41),0)</f>
        <v>77000</v>
      </c>
      <c r="G41" s="577">
        <f t="shared" si="5"/>
        <v>8303.1666666666661</v>
      </c>
      <c r="H41" s="578">
        <f t="shared" si="6"/>
        <v>0</v>
      </c>
      <c r="I41" s="579">
        <f>ROUND((F41+G41)*$D$24,0)</f>
        <v>68243</v>
      </c>
      <c r="J41" s="580">
        <f t="shared" si="7"/>
        <v>153546.16666666669</v>
      </c>
    </row>
    <row r="42" spans="3:10" ht="6" hidden="1" customHeight="1" x14ac:dyDescent="0.25">
      <c r="C42" s="581"/>
      <c r="D42" s="534"/>
      <c r="E42" s="574"/>
      <c r="F42" s="582"/>
      <c r="G42" s="582"/>
      <c r="H42" s="578"/>
      <c r="I42" s="583"/>
      <c r="J42" s="580"/>
    </row>
    <row r="43" spans="3:10" hidden="1" x14ac:dyDescent="0.25">
      <c r="C43" s="585" t="s">
        <v>188</v>
      </c>
      <c r="D43" s="573" t="s">
        <v>187</v>
      </c>
      <c r="E43" s="574"/>
      <c r="F43" s="575"/>
      <c r="G43" s="575">
        <f>+SUM(G44:G45)</f>
        <v>16606.333333333332</v>
      </c>
      <c r="H43" s="575">
        <f>+SUM(H44:H45)</f>
        <v>0</v>
      </c>
      <c r="I43" s="575">
        <f>+SUM(I44:I45)</f>
        <v>173286</v>
      </c>
      <c r="J43" s="575">
        <f>+SUM(H43:I43)</f>
        <v>173286</v>
      </c>
    </row>
    <row r="44" spans="3:10" hidden="1" x14ac:dyDescent="0.25">
      <c r="C44" s="576" t="s">
        <v>193</v>
      </c>
      <c r="D44" s="574">
        <v>1.2</v>
      </c>
      <c r="E44" s="574">
        <v>1</v>
      </c>
      <c r="F44" s="577">
        <f>ROUND((((($D$8+$D$9)/30)*1.45)*D44),0)</f>
        <v>116000</v>
      </c>
      <c r="G44" s="577">
        <f t="shared" ref="G44:G45" si="8">$D$9/30</f>
        <v>8303.1666666666661</v>
      </c>
      <c r="H44" s="578">
        <f t="shared" ref="H44:H45" si="9">$H$28</f>
        <v>0</v>
      </c>
      <c r="I44" s="579">
        <f t="shared" ref="I44:I45" si="10">ROUND((F44+G44)*$D$24,0)</f>
        <v>99443</v>
      </c>
      <c r="J44" s="580">
        <f t="shared" ref="J44:J45" si="11">+SUM(F44:I44)</f>
        <v>223746.16666666669</v>
      </c>
    </row>
    <row r="45" spans="3:10" hidden="1" x14ac:dyDescent="0.25">
      <c r="C45" s="576" t="s">
        <v>194</v>
      </c>
      <c r="D45" s="574">
        <f>+D44</f>
        <v>1.2</v>
      </c>
      <c r="E45" s="574">
        <v>1</v>
      </c>
      <c r="F45" s="577">
        <f>ROUND((((($D$8+$D$9)/30)*1.05)*D45),0)</f>
        <v>84000</v>
      </c>
      <c r="G45" s="577">
        <f t="shared" si="8"/>
        <v>8303.1666666666661</v>
      </c>
      <c r="H45" s="578">
        <f t="shared" si="9"/>
        <v>0</v>
      </c>
      <c r="I45" s="579">
        <f t="shared" si="10"/>
        <v>73843</v>
      </c>
      <c r="J45" s="580">
        <f t="shared" si="11"/>
        <v>166146.16666666669</v>
      </c>
    </row>
    <row r="46" spans="3:10" ht="6" customHeight="1" x14ac:dyDescent="0.25">
      <c r="C46" s="581"/>
      <c r="D46" s="534"/>
      <c r="E46" s="574"/>
      <c r="F46" s="582"/>
      <c r="G46" s="582"/>
      <c r="H46" s="578"/>
      <c r="I46" s="583"/>
      <c r="J46" s="580"/>
    </row>
    <row r="47" spans="3:10" x14ac:dyDescent="0.25">
      <c r="C47" s="585" t="s">
        <v>190</v>
      </c>
      <c r="D47" s="573" t="s">
        <v>187</v>
      </c>
      <c r="E47" s="574"/>
      <c r="F47" s="575"/>
      <c r="G47" s="575">
        <f>+SUM(G48:G49)</f>
        <v>16606.333333333332</v>
      </c>
      <c r="H47" s="575">
        <f>+SUM(H48:H49)</f>
        <v>0</v>
      </c>
      <c r="I47" s="575">
        <f>+SUM(I48:I49)</f>
        <v>162619</v>
      </c>
      <c r="J47" s="575">
        <f>+SUM(H47:I47)</f>
        <v>162619</v>
      </c>
    </row>
    <row r="48" spans="3:10" x14ac:dyDescent="0.25">
      <c r="C48" s="576" t="s">
        <v>183</v>
      </c>
      <c r="D48" s="574">
        <v>1.6</v>
      </c>
      <c r="E48" s="574">
        <v>1</v>
      </c>
      <c r="F48" s="577">
        <f>ROUND((((($D$8+$D$9)/30)*D48)*E48),0)</f>
        <v>106667</v>
      </c>
      <c r="G48" s="577">
        <f t="shared" ref="G48:G49" si="12">$D$9/30</f>
        <v>8303.1666666666661</v>
      </c>
      <c r="H48" s="578">
        <f t="shared" ref="H48:H49" si="13">$H$28</f>
        <v>0</v>
      </c>
      <c r="I48" s="579">
        <f t="shared" ref="I48:I49" si="14">ROUND((F48+G48)*$D$24,0)</f>
        <v>91976</v>
      </c>
      <c r="J48" s="580">
        <f>+SUM(H48:I48)</f>
        <v>91976</v>
      </c>
    </row>
    <row r="49" spans="3:10" x14ac:dyDescent="0.25">
      <c r="C49" s="576" t="s">
        <v>182</v>
      </c>
      <c r="D49" s="574">
        <v>1.2</v>
      </c>
      <c r="E49" s="574">
        <v>1</v>
      </c>
      <c r="F49" s="577">
        <f>ROUND((((($D$8+$D$9)/30)*D49)*E49),0)</f>
        <v>80000</v>
      </c>
      <c r="G49" s="577">
        <f t="shared" si="12"/>
        <v>8303.1666666666661</v>
      </c>
      <c r="H49" s="578">
        <f t="shared" si="13"/>
        <v>0</v>
      </c>
      <c r="I49" s="579">
        <f t="shared" si="14"/>
        <v>70643</v>
      </c>
      <c r="J49" s="580">
        <f>+SUM(H49:I49)</f>
        <v>70643</v>
      </c>
    </row>
    <row r="50" spans="3:10" ht="6" hidden="1" customHeight="1" x14ac:dyDescent="0.25">
      <c r="C50" s="581"/>
      <c r="D50" s="534"/>
      <c r="E50" s="574"/>
      <c r="F50" s="582"/>
      <c r="G50" s="582"/>
      <c r="H50" s="578"/>
      <c r="I50" s="583"/>
      <c r="J50" s="580"/>
    </row>
    <row r="51" spans="3:10" hidden="1" x14ac:dyDescent="0.25">
      <c r="C51" s="585" t="s">
        <v>189</v>
      </c>
      <c r="D51" s="573" t="s">
        <v>187</v>
      </c>
      <c r="E51" s="574"/>
      <c r="F51" s="575"/>
      <c r="G51" s="575">
        <f>+SUM(G52:G53)</f>
        <v>16606.333333333332</v>
      </c>
      <c r="H51" s="575">
        <f>+SUM(H52:H53)</f>
        <v>0</v>
      </c>
      <c r="I51" s="575">
        <f>+SUM(I52:I53)</f>
        <v>178619</v>
      </c>
      <c r="J51" s="575">
        <f>+SUM(H51:I51)</f>
        <v>178619</v>
      </c>
    </row>
    <row r="52" spans="3:10" hidden="1" x14ac:dyDescent="0.25">
      <c r="C52" s="576" t="s">
        <v>157</v>
      </c>
      <c r="D52" s="574">
        <v>1.75</v>
      </c>
      <c r="E52" s="574">
        <v>1</v>
      </c>
      <c r="F52" s="577">
        <f>ROUND((((($D$8+$D$9)/30)*D52)*E52),0)</f>
        <v>116667</v>
      </c>
      <c r="G52" s="577">
        <f t="shared" ref="G52:G53" si="15">$D$9/30</f>
        <v>8303.1666666666661</v>
      </c>
      <c r="H52" s="578">
        <f t="shared" ref="H52:H53" si="16">$H$28</f>
        <v>0</v>
      </c>
      <c r="I52" s="579">
        <f t="shared" ref="I52:I53" si="17">ROUND((F52+G52)*$D$24,0)</f>
        <v>99976</v>
      </c>
      <c r="J52" s="580">
        <f>+SUM(F52:I52)</f>
        <v>224946.16666666669</v>
      </c>
    </row>
    <row r="53" spans="3:10" hidden="1" x14ac:dyDescent="0.25">
      <c r="C53" s="576" t="s">
        <v>158</v>
      </c>
      <c r="D53" s="574">
        <v>1.35</v>
      </c>
      <c r="E53" s="574">
        <v>1</v>
      </c>
      <c r="F53" s="577">
        <f>ROUND((((($D$8+$D$9)/30)*D53)*E53),0)</f>
        <v>90000</v>
      </c>
      <c r="G53" s="577">
        <f t="shared" si="15"/>
        <v>8303.1666666666661</v>
      </c>
      <c r="H53" s="578">
        <f t="shared" si="16"/>
        <v>0</v>
      </c>
      <c r="I53" s="579">
        <f t="shared" si="17"/>
        <v>78643</v>
      </c>
      <c r="J53" s="580">
        <f>+SUM(F53:I53)</f>
        <v>176946.16666666669</v>
      </c>
    </row>
    <row r="54" spans="3:10" ht="6" hidden="1" customHeight="1" x14ac:dyDescent="0.25">
      <c r="C54" s="567"/>
      <c r="D54" s="534"/>
      <c r="E54" s="574"/>
      <c r="F54" s="580"/>
      <c r="G54" s="580"/>
      <c r="H54" s="578"/>
      <c r="I54" s="534"/>
      <c r="J54" s="580"/>
    </row>
    <row r="55" spans="3:10" x14ac:dyDescent="0.25">
      <c r="C55" s="815"/>
      <c r="D55" s="815"/>
      <c r="E55" s="815"/>
      <c r="F55" s="815"/>
      <c r="G55" s="815"/>
      <c r="H55" s="815"/>
      <c r="I55" s="815"/>
      <c r="J55" s="815"/>
    </row>
    <row r="56" spans="3:10" ht="6.75" customHeight="1" x14ac:dyDescent="0.25"/>
    <row r="57" spans="3:10" x14ac:dyDescent="0.25">
      <c r="C57" s="814" t="s">
        <v>98</v>
      </c>
      <c r="D57" s="814"/>
      <c r="E57" s="586" t="s">
        <v>195</v>
      </c>
      <c r="F57" s="587" t="s">
        <v>196</v>
      </c>
      <c r="G57" s="588" t="s">
        <v>210</v>
      </c>
      <c r="H57" s="586" t="s">
        <v>197</v>
      </c>
      <c r="I57" s="554"/>
    </row>
    <row r="58" spans="3:10" x14ac:dyDescent="0.25">
      <c r="C58" s="812" t="s">
        <v>198</v>
      </c>
      <c r="D58" s="812"/>
      <c r="E58" s="580">
        <v>4900000</v>
      </c>
      <c r="F58" s="589">
        <f>$J$24</f>
        <v>0.66290000000000016</v>
      </c>
      <c r="G58" s="580">
        <f t="shared" ref="G58:G70" si="18">E58*F58</f>
        <v>3248210.0000000009</v>
      </c>
      <c r="H58" s="590">
        <f t="shared" ref="H58:H70" si="19">E58+G58</f>
        <v>8148210.0000000009</v>
      </c>
      <c r="I58" s="591"/>
      <c r="J58" s="543"/>
    </row>
    <row r="59" spans="3:10" x14ac:dyDescent="0.25">
      <c r="C59" s="812" t="s">
        <v>199</v>
      </c>
      <c r="D59" s="812"/>
      <c r="E59" s="580">
        <v>3225000</v>
      </c>
      <c r="F59" s="589">
        <f t="shared" ref="F59:F65" si="20">$J$24</f>
        <v>0.66290000000000016</v>
      </c>
      <c r="G59" s="580">
        <f t="shared" si="18"/>
        <v>2137852.5000000005</v>
      </c>
      <c r="H59" s="590">
        <f t="shared" si="19"/>
        <v>5362852.5</v>
      </c>
      <c r="I59" s="591"/>
    </row>
    <row r="60" spans="3:10" x14ac:dyDescent="0.25">
      <c r="C60" s="812" t="s">
        <v>200</v>
      </c>
      <c r="D60" s="812"/>
      <c r="E60" s="580">
        <v>2700000</v>
      </c>
      <c r="F60" s="589">
        <f t="shared" si="20"/>
        <v>0.66290000000000016</v>
      </c>
      <c r="G60" s="580">
        <f t="shared" si="18"/>
        <v>1789830.0000000005</v>
      </c>
      <c r="H60" s="590">
        <f t="shared" si="19"/>
        <v>4489830</v>
      </c>
      <c r="I60" s="591"/>
    </row>
    <row r="61" spans="3:10" x14ac:dyDescent="0.25">
      <c r="C61" s="812" t="s">
        <v>201</v>
      </c>
      <c r="D61" s="812"/>
      <c r="E61" s="580">
        <v>2000000</v>
      </c>
      <c r="F61" s="589">
        <f t="shared" si="20"/>
        <v>0.66290000000000016</v>
      </c>
      <c r="G61" s="580">
        <f t="shared" si="18"/>
        <v>1325800.0000000002</v>
      </c>
      <c r="H61" s="590">
        <f t="shared" si="19"/>
        <v>3325800</v>
      </c>
      <c r="I61" s="591"/>
      <c r="J61" s="543"/>
    </row>
    <row r="62" spans="3:10" x14ac:dyDescent="0.25">
      <c r="C62" s="820" t="s">
        <v>547</v>
      </c>
      <c r="D62" s="820"/>
      <c r="E62" s="580">
        <v>3500000</v>
      </c>
      <c r="F62" s="589">
        <f t="shared" si="20"/>
        <v>0.66290000000000016</v>
      </c>
      <c r="G62" s="580">
        <f t="shared" si="18"/>
        <v>2320150.0000000005</v>
      </c>
      <c r="H62" s="590">
        <f t="shared" si="19"/>
        <v>5820150</v>
      </c>
      <c r="I62" s="591"/>
    </row>
    <row r="63" spans="3:10" x14ac:dyDescent="0.25">
      <c r="C63" s="820" t="s">
        <v>425</v>
      </c>
      <c r="D63" s="820"/>
      <c r="E63" s="580">
        <v>3500000</v>
      </c>
      <c r="F63" s="589">
        <f t="shared" si="20"/>
        <v>0.66290000000000016</v>
      </c>
      <c r="G63" s="580">
        <f t="shared" si="18"/>
        <v>2320150.0000000005</v>
      </c>
      <c r="H63" s="590">
        <f t="shared" si="19"/>
        <v>5820150</v>
      </c>
      <c r="I63" s="591"/>
    </row>
    <row r="64" spans="3:10" x14ac:dyDescent="0.25">
      <c r="C64" s="820" t="s">
        <v>548</v>
      </c>
      <c r="D64" s="820"/>
      <c r="E64" s="580">
        <v>3000000</v>
      </c>
      <c r="F64" s="589">
        <f t="shared" si="20"/>
        <v>0.66290000000000016</v>
      </c>
      <c r="G64" s="580">
        <f t="shared" ref="G64" si="21">E64*F64</f>
        <v>1988700.0000000005</v>
      </c>
      <c r="H64" s="590">
        <f t="shared" ref="H64" si="22">E64+G64</f>
        <v>4988700</v>
      </c>
      <c r="I64" s="591"/>
    </row>
    <row r="65" spans="3:10" x14ac:dyDescent="0.25">
      <c r="C65" s="812" t="s">
        <v>202</v>
      </c>
      <c r="D65" s="812"/>
      <c r="E65" s="580">
        <v>2800000</v>
      </c>
      <c r="F65" s="589">
        <f t="shared" si="20"/>
        <v>0.66290000000000016</v>
      </c>
      <c r="G65" s="580">
        <f t="shared" si="18"/>
        <v>1856120.0000000005</v>
      </c>
      <c r="H65" s="590">
        <f t="shared" si="19"/>
        <v>4656120</v>
      </c>
      <c r="I65" s="591"/>
    </row>
    <row r="66" spans="3:10" x14ac:dyDescent="0.25">
      <c r="C66" s="808" t="s">
        <v>203</v>
      </c>
      <c r="D66" s="808"/>
      <c r="E66" s="580">
        <v>1750905</v>
      </c>
      <c r="F66" s="589">
        <f>$D$24</f>
        <v>0.80000000000000016</v>
      </c>
      <c r="G66" s="580">
        <f t="shared" si="18"/>
        <v>1400724.0000000002</v>
      </c>
      <c r="H66" s="590">
        <f t="shared" si="19"/>
        <v>3151629</v>
      </c>
      <c r="I66" s="554"/>
    </row>
    <row r="67" spans="3:10" x14ac:dyDescent="0.25">
      <c r="C67" s="808" t="s">
        <v>204</v>
      </c>
      <c r="D67" s="808"/>
      <c r="E67" s="580">
        <v>1500000</v>
      </c>
      <c r="F67" s="589">
        <f t="shared" ref="F67:F70" si="23">$D$24</f>
        <v>0.80000000000000016</v>
      </c>
      <c r="G67" s="580">
        <f t="shared" si="18"/>
        <v>1200000.0000000002</v>
      </c>
      <c r="H67" s="590">
        <f t="shared" si="19"/>
        <v>2700000</v>
      </c>
      <c r="I67" s="554"/>
    </row>
    <row r="68" spans="3:10" x14ac:dyDescent="0.25">
      <c r="C68" s="808" t="s">
        <v>205</v>
      </c>
      <c r="D68" s="808"/>
      <c r="E68" s="580">
        <v>1000000</v>
      </c>
      <c r="F68" s="589">
        <f t="shared" si="23"/>
        <v>0.80000000000000016</v>
      </c>
      <c r="G68" s="580">
        <f t="shared" si="18"/>
        <v>800000.00000000012</v>
      </c>
      <c r="H68" s="590">
        <f t="shared" si="19"/>
        <v>1800000</v>
      </c>
      <c r="I68" s="554"/>
    </row>
    <row r="69" spans="3:10" x14ac:dyDescent="0.25">
      <c r="C69" s="808" t="s">
        <v>206</v>
      </c>
      <c r="D69" s="808"/>
      <c r="E69" s="580">
        <f>D8+D9</f>
        <v>2000000</v>
      </c>
      <c r="F69" s="589">
        <f t="shared" si="23"/>
        <v>0.80000000000000016</v>
      </c>
      <c r="G69" s="580">
        <f t="shared" si="18"/>
        <v>1600000.0000000002</v>
      </c>
      <c r="H69" s="590">
        <f t="shared" si="19"/>
        <v>3600000</v>
      </c>
      <c r="I69" s="554"/>
    </row>
    <row r="70" spans="3:10" x14ac:dyDescent="0.25">
      <c r="C70" s="808" t="s">
        <v>207</v>
      </c>
      <c r="D70" s="808"/>
      <c r="E70" s="580">
        <v>1300000</v>
      </c>
      <c r="F70" s="592">
        <f t="shared" si="23"/>
        <v>0.80000000000000016</v>
      </c>
      <c r="G70" s="580">
        <f t="shared" si="18"/>
        <v>1040000.0000000002</v>
      </c>
      <c r="H70" s="590">
        <f t="shared" si="19"/>
        <v>2340000</v>
      </c>
      <c r="I70" s="554"/>
    </row>
    <row r="71" spans="3:10" ht="6" customHeight="1" x14ac:dyDescent="0.25">
      <c r="C71" s="551"/>
      <c r="E71" s="554"/>
      <c r="I71" s="554"/>
    </row>
    <row r="72" spans="3:10" x14ac:dyDescent="0.25">
      <c r="C72" s="818" t="s">
        <v>208</v>
      </c>
      <c r="D72" s="818"/>
      <c r="E72" s="818"/>
      <c r="F72" s="818"/>
      <c r="G72" s="818"/>
      <c r="H72" s="818"/>
      <c r="I72" s="818"/>
      <c r="J72" s="818"/>
    </row>
    <row r="73" spans="3:10" x14ac:dyDescent="0.25">
      <c r="C73" s="818"/>
      <c r="D73" s="818"/>
      <c r="E73" s="818"/>
      <c r="F73" s="818"/>
      <c r="G73" s="818"/>
      <c r="H73" s="818"/>
      <c r="I73" s="818"/>
      <c r="J73" s="818"/>
    </row>
    <row r="74" spans="3:10" x14ac:dyDescent="0.25">
      <c r="C74" s="551"/>
      <c r="E74" s="554"/>
      <c r="I74" s="554"/>
    </row>
    <row r="75" spans="3:10" x14ac:dyDescent="0.25">
      <c r="C75" s="593" t="s">
        <v>128</v>
      </c>
      <c r="E75" s="554"/>
      <c r="F75" s="593" t="s">
        <v>129</v>
      </c>
      <c r="I75" s="554"/>
    </row>
    <row r="76" spans="3:10" x14ac:dyDescent="0.25">
      <c r="C76" s="551"/>
      <c r="E76" s="554"/>
      <c r="I76" s="554"/>
    </row>
    <row r="77" spans="3:10" x14ac:dyDescent="0.25">
      <c r="C77" s="551"/>
      <c r="E77" s="554"/>
      <c r="I77" s="594"/>
    </row>
    <row r="78" spans="3:10" x14ac:dyDescent="0.25">
      <c r="C78" s="551"/>
      <c r="E78" s="554"/>
      <c r="I78" s="554"/>
    </row>
    <row r="79" spans="3:10" x14ac:dyDescent="0.25">
      <c r="C79" s="551"/>
      <c r="E79" s="554"/>
      <c r="I79" s="554"/>
    </row>
    <row r="80" spans="3:10" ht="15.6" x14ac:dyDescent="0.3">
      <c r="C80" s="271" t="str">
        <f>INFORMACION!C25</f>
        <v>ING. JEYSON JULIAN LEON RUEDA</v>
      </c>
      <c r="D80" s="271"/>
      <c r="E80" s="591"/>
      <c r="F80" s="819" t="str">
        <f>INFORMACION!C14</f>
        <v>ARQ. YASMID ROCÍO CARRILLO MORA</v>
      </c>
      <c r="G80" s="819"/>
      <c r="H80" s="819"/>
      <c r="I80" s="819"/>
    </row>
    <row r="81" spans="3:9" ht="15.6" x14ac:dyDescent="0.3">
      <c r="C81" s="272" t="str">
        <f>INFORMACION!C26</f>
        <v>MP. 68202-416348 STD</v>
      </c>
      <c r="D81" s="272"/>
      <c r="E81" s="595"/>
      <c r="F81" s="816" t="str">
        <f>INFORMACION!C15</f>
        <v>SECRETARIA DE PLANEACIÓN Y OBRAS PÚBLICAS</v>
      </c>
      <c r="G81" s="816"/>
      <c r="H81" s="816"/>
      <c r="I81" s="816"/>
    </row>
    <row r="82" spans="3:9" ht="15.6" x14ac:dyDescent="0.3">
      <c r="C82" s="551"/>
      <c r="E82" s="591"/>
      <c r="F82" s="816" t="str">
        <f>INFORMACION!C16</f>
        <v>MUNICIPIO DE PINCHOTE</v>
      </c>
      <c r="G82" s="816"/>
      <c r="H82" s="816"/>
      <c r="I82" s="816"/>
    </row>
    <row r="83" spans="3:9" ht="8.25" customHeight="1" x14ac:dyDescent="0.25"/>
  </sheetData>
  <mergeCells count="39">
    <mergeCell ref="C68:D68"/>
    <mergeCell ref="F82:I82"/>
    <mergeCell ref="F81:I81"/>
    <mergeCell ref="F23:I23"/>
    <mergeCell ref="F24:I24"/>
    <mergeCell ref="C72:J73"/>
    <mergeCell ref="F80:I80"/>
    <mergeCell ref="C58:D58"/>
    <mergeCell ref="C59:D59"/>
    <mergeCell ref="C60:D60"/>
    <mergeCell ref="C61:D61"/>
    <mergeCell ref="C62:D62"/>
    <mergeCell ref="C63:D63"/>
    <mergeCell ref="C64:D64"/>
    <mergeCell ref="C70:D70"/>
    <mergeCell ref="C69:D69"/>
    <mergeCell ref="C65:D65"/>
    <mergeCell ref="C66:D66"/>
    <mergeCell ref="C67:D67"/>
    <mergeCell ref="C11:D11"/>
    <mergeCell ref="C57:D57"/>
    <mergeCell ref="C55:J55"/>
    <mergeCell ref="F11:J11"/>
    <mergeCell ref="F12:I12"/>
    <mergeCell ref="F13:I13"/>
    <mergeCell ref="F14:I14"/>
    <mergeCell ref="F15:I15"/>
    <mergeCell ref="F16:I16"/>
    <mergeCell ref="F18:I18"/>
    <mergeCell ref="F19:I19"/>
    <mergeCell ref="F21:I21"/>
    <mergeCell ref="F17:I17"/>
    <mergeCell ref="C2:G2"/>
    <mergeCell ref="F20:I20"/>
    <mergeCell ref="F22:I22"/>
    <mergeCell ref="C6:J6"/>
    <mergeCell ref="D3:G3"/>
    <mergeCell ref="D4:E4"/>
    <mergeCell ref="H2:J4"/>
  </mergeCells>
  <conditionalFormatting sqref="C2 D3">
    <cfRule type="cellIs" dxfId="8" priority="1" stopIfTrue="1" operator="equal">
      <formula>"ESCRIBA AQUÍ EL NOMBRE DE LA OBRA"</formula>
    </cfRule>
  </conditionalFormatting>
  <pageMargins left="0.7" right="0.7" top="0.75" bottom="0.75" header="0.3" footer="0.3"/>
  <pageSetup scale="57" fitToHeight="0" orientation="portrait" r:id="rId1"/>
  <ignoredErrors>
    <ignoredError sqref="D3 C2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0C3E-4FE4-4276-9E28-C019643C75B1}">
  <sheetPr>
    <pageSetUpPr fitToPage="1"/>
  </sheetPr>
  <dimension ref="B2:K70"/>
  <sheetViews>
    <sheetView view="pageBreakPreview" topLeftCell="A9" zoomScale="60" zoomScaleNormal="80" workbookViewId="0">
      <selection activeCell="P39" sqref="P39"/>
    </sheetView>
  </sheetViews>
  <sheetFormatPr baseColWidth="10" defaultColWidth="11.44140625" defaultRowHeight="13.8" x14ac:dyDescent="0.25"/>
  <cols>
    <col min="1" max="1" width="1.44140625" style="270" customWidth="1"/>
    <col min="2" max="2" width="11.88671875" style="270" customWidth="1"/>
    <col min="3" max="4" width="38.5546875" style="270" customWidth="1"/>
    <col min="5" max="5" width="19.44140625" style="270" bestFit="1" customWidth="1"/>
    <col min="6" max="6" width="4.44140625" style="270" bestFit="1" customWidth="1"/>
    <col min="7" max="7" width="6.6640625" style="270" customWidth="1"/>
    <col min="8" max="8" width="20.5546875" style="270" bestFit="1" customWidth="1"/>
    <col min="9" max="9" width="24.109375" style="270" bestFit="1" customWidth="1"/>
    <col min="10" max="10" width="1.44140625" style="270" customWidth="1"/>
    <col min="11" max="11" width="12.5546875" style="270" bestFit="1" customWidth="1"/>
    <col min="12" max="16384" width="11.44140625" style="270"/>
  </cols>
  <sheetData>
    <row r="2" spans="2:9" x14ac:dyDescent="0.25">
      <c r="B2" s="711" t="s">
        <v>390</v>
      </c>
      <c r="C2" s="711"/>
      <c r="D2" s="711"/>
      <c r="E2" s="711"/>
      <c r="F2" s="711"/>
      <c r="G2" s="711"/>
      <c r="H2" s="711"/>
      <c r="I2" s="711"/>
    </row>
    <row r="3" spans="2:9" ht="48" customHeight="1" x14ac:dyDescent="0.25">
      <c r="B3" s="460" t="s">
        <v>25</v>
      </c>
      <c r="C3" s="711" t="str">
        <f>INFORMACION!$A$3</f>
        <v>CONSTRUCCIÓN DE PAVIMENTO EN PIEDRA LABOR Y OPTIMIZACIÓN DE LA RED DE ALCANTARILLADO SANITARIO CALLE 5 ENTRE CARRERA 3 Y 4 DEL CASCO URBANO DEL MUNICIPIO DE PINCHOTE, DEPARTAMENTO DE SANTANDER</v>
      </c>
      <c r="D3" s="711"/>
      <c r="E3" s="711"/>
      <c r="F3" s="711"/>
      <c r="G3" s="711"/>
      <c r="H3" s="711"/>
      <c r="I3" s="711"/>
    </row>
    <row r="4" spans="2:9" ht="15" customHeight="1" x14ac:dyDescent="0.25">
      <c r="B4" s="828" t="s">
        <v>130</v>
      </c>
      <c r="C4" s="828"/>
      <c r="D4" s="711" t="str">
        <f>INFORMACION!A12</f>
        <v>ALCALDIA MUNICIPAL DE PINCHOTE</v>
      </c>
      <c r="E4" s="711"/>
      <c r="F4" s="711"/>
      <c r="G4" s="711"/>
      <c r="H4" s="711"/>
      <c r="I4" s="711"/>
    </row>
    <row r="5" spans="2:9" x14ac:dyDescent="0.25">
      <c r="B5" s="460" t="s">
        <v>391</v>
      </c>
      <c r="C5" s="711" t="s">
        <v>392</v>
      </c>
      <c r="D5" s="711"/>
      <c r="E5" s="711"/>
      <c r="F5" s="711"/>
      <c r="G5" s="711"/>
      <c r="H5" s="711"/>
      <c r="I5" s="711"/>
    </row>
    <row r="6" spans="2:9" x14ac:dyDescent="0.25">
      <c r="B6" s="711" t="str">
        <f>PPTO!C5</f>
        <v>LOCALIZACIÓN:PINCHOTE, SANTANDER</v>
      </c>
      <c r="C6" s="711"/>
      <c r="D6" s="711"/>
      <c r="E6" s="711" t="s">
        <v>31</v>
      </c>
      <c r="F6" s="711"/>
      <c r="G6" s="711"/>
      <c r="H6" s="834" t="str">
        <f>PRESENTACION!$A$43</f>
        <v>ABRIL DE 2026</v>
      </c>
      <c r="I6" s="711"/>
    </row>
    <row r="7" spans="2:9" x14ac:dyDescent="0.25">
      <c r="B7" s="825"/>
      <c r="C7" s="825"/>
      <c r="D7" s="825"/>
      <c r="E7" s="825"/>
      <c r="F7" s="825"/>
      <c r="G7" s="825"/>
      <c r="H7" s="825"/>
      <c r="I7" s="825"/>
    </row>
    <row r="8" spans="2:9" x14ac:dyDescent="0.25">
      <c r="B8" s="596"/>
      <c r="C8" s="597"/>
      <c r="D8" s="597"/>
      <c r="E8" s="831" t="s">
        <v>88</v>
      </c>
      <c r="F8" s="831"/>
      <c r="G8" s="831"/>
      <c r="H8" s="831"/>
      <c r="I8" s="598">
        <f>PPTO!H45+PPTO!H63</f>
        <v>265814571</v>
      </c>
    </row>
    <row r="9" spans="2:9" x14ac:dyDescent="0.25">
      <c r="B9" s="596"/>
      <c r="C9" s="461" t="s">
        <v>142</v>
      </c>
      <c r="D9" s="599">
        <f>I61</f>
        <v>0.30700000000000005</v>
      </c>
      <c r="E9" s="831" t="s">
        <v>393</v>
      </c>
      <c r="F9" s="831"/>
      <c r="G9" s="831"/>
      <c r="H9" s="831"/>
      <c r="I9" s="598">
        <f>PPTO!H46+PPTO!H64</f>
        <v>77086226</v>
      </c>
    </row>
    <row r="10" spans="2:9" x14ac:dyDescent="0.25">
      <c r="B10" s="596"/>
      <c r="C10" s="461" t="s">
        <v>19</v>
      </c>
      <c r="D10" s="599">
        <v>0.01</v>
      </c>
      <c r="E10" s="831" t="s">
        <v>394</v>
      </c>
      <c r="F10" s="831"/>
      <c r="G10" s="831"/>
      <c r="H10" s="831"/>
      <c r="I10" s="598">
        <f>PPTO!H47+PPTO!H65</f>
        <v>2658146</v>
      </c>
    </row>
    <row r="11" spans="2:9" x14ac:dyDescent="0.25">
      <c r="B11" s="600"/>
      <c r="C11" s="461" t="s">
        <v>143</v>
      </c>
      <c r="D11" s="599">
        <v>0.05</v>
      </c>
      <c r="E11" s="831" t="s">
        <v>395</v>
      </c>
      <c r="F11" s="831"/>
      <c r="G11" s="831"/>
      <c r="H11" s="831"/>
      <c r="I11" s="598">
        <f>PPTO!H48+PPTO!H66</f>
        <v>13290729</v>
      </c>
    </row>
    <row r="12" spans="2:9" x14ac:dyDescent="0.25">
      <c r="B12" s="600"/>
      <c r="C12" s="443"/>
      <c r="D12" s="443"/>
      <c r="E12" s="831" t="s">
        <v>23</v>
      </c>
      <c r="F12" s="831"/>
      <c r="G12" s="831"/>
      <c r="H12" s="831"/>
      <c r="I12" s="598">
        <f>PPTO!H75</f>
        <v>442901434</v>
      </c>
    </row>
    <row r="13" spans="2:9" hidden="1" x14ac:dyDescent="0.25">
      <c r="B13" s="600"/>
      <c r="C13" s="443"/>
      <c r="D13" s="443"/>
      <c r="E13" s="831" t="s">
        <v>630</v>
      </c>
      <c r="F13" s="831"/>
      <c r="G13" s="831"/>
      <c r="H13" s="831"/>
      <c r="I13" s="598">
        <f>PPTO!H71</f>
        <v>0</v>
      </c>
    </row>
    <row r="14" spans="2:9" hidden="1" x14ac:dyDescent="0.25">
      <c r="B14" s="596"/>
      <c r="C14" s="443"/>
      <c r="D14" s="443"/>
      <c r="E14" s="831" t="s">
        <v>396</v>
      </c>
      <c r="F14" s="831"/>
      <c r="G14" s="831"/>
      <c r="H14" s="831"/>
      <c r="I14" s="598">
        <f>PPTO!H72</f>
        <v>0</v>
      </c>
    </row>
    <row r="15" spans="2:9" x14ac:dyDescent="0.25">
      <c r="B15" s="601"/>
      <c r="C15" s="602"/>
      <c r="D15" s="602"/>
      <c r="E15" s="832" t="s">
        <v>397</v>
      </c>
      <c r="F15" s="832"/>
      <c r="G15" s="832"/>
      <c r="H15" s="832"/>
      <c r="I15" s="603">
        <f>PPTO!H75</f>
        <v>442901434</v>
      </c>
    </row>
    <row r="16" spans="2:9" x14ac:dyDescent="0.25">
      <c r="B16" s="825"/>
      <c r="C16" s="825"/>
      <c r="D16" s="825"/>
      <c r="E16" s="825"/>
      <c r="F16" s="825"/>
      <c r="G16" s="825"/>
      <c r="H16" s="825"/>
      <c r="I16" s="825"/>
    </row>
    <row r="17" spans="2:11" x14ac:dyDescent="0.25">
      <c r="B17" s="833" t="s">
        <v>398</v>
      </c>
      <c r="C17" s="833"/>
      <c r="D17" s="833"/>
      <c r="E17" s="833"/>
      <c r="F17" s="833"/>
      <c r="G17" s="833"/>
      <c r="H17" s="833"/>
      <c r="I17" s="833"/>
    </row>
    <row r="18" spans="2:11" x14ac:dyDescent="0.25">
      <c r="B18" s="833"/>
      <c r="C18" s="833"/>
      <c r="D18" s="833"/>
      <c r="E18" s="833"/>
      <c r="F18" s="833"/>
      <c r="G18" s="833"/>
      <c r="H18" s="833"/>
      <c r="I18" s="833"/>
    </row>
    <row r="19" spans="2:11" x14ac:dyDescent="0.25">
      <c r="B19" s="604" t="s">
        <v>399</v>
      </c>
      <c r="C19" s="826" t="s">
        <v>400</v>
      </c>
      <c r="D19" s="826"/>
      <c r="E19" s="826"/>
      <c r="F19" s="826"/>
      <c r="G19" s="826"/>
      <c r="H19" s="826"/>
      <c r="I19" s="623">
        <f>SUM(I20:I46)</f>
        <v>8.8999999999999996E-2</v>
      </c>
    </row>
    <row r="20" spans="2:11" x14ac:dyDescent="0.25">
      <c r="B20" s="606"/>
      <c r="C20" s="830" t="s">
        <v>401</v>
      </c>
      <c r="D20" s="830"/>
      <c r="E20" s="830"/>
      <c r="F20" s="830"/>
      <c r="G20" s="830"/>
      <c r="H20" s="830"/>
      <c r="I20" s="830"/>
    </row>
    <row r="21" spans="2:11" x14ac:dyDescent="0.25">
      <c r="B21" s="607"/>
      <c r="C21" s="828" t="s">
        <v>402</v>
      </c>
      <c r="D21" s="828"/>
      <c r="E21" s="828"/>
      <c r="F21" s="828"/>
      <c r="G21" s="828"/>
      <c r="H21" s="828"/>
      <c r="I21" s="828"/>
    </row>
    <row r="22" spans="2:11" x14ac:dyDescent="0.25">
      <c r="B22" s="607">
        <v>1</v>
      </c>
      <c r="C22" s="827" t="s">
        <v>198</v>
      </c>
      <c r="D22" s="827"/>
      <c r="E22" s="608">
        <f>'DESGLOCE DE PERSONAL'!H58</f>
        <v>8148210.0000000009</v>
      </c>
      <c r="F22" s="609">
        <f>INFORMACION!A22</f>
        <v>2</v>
      </c>
      <c r="G22" s="610">
        <v>0.2</v>
      </c>
      <c r="H22" s="611">
        <f>ROUND(E22*F22*G22,0)*B22</f>
        <v>3259284</v>
      </c>
      <c r="I22" s="612">
        <f>ROUND(((H22*100%)/$I$8),4)</f>
        <v>1.23E-2</v>
      </c>
      <c r="K22" s="613"/>
    </row>
    <row r="23" spans="2:11" x14ac:dyDescent="0.25">
      <c r="B23" s="607">
        <v>1</v>
      </c>
      <c r="C23" s="827" t="s">
        <v>199</v>
      </c>
      <c r="D23" s="827" t="s">
        <v>403</v>
      </c>
      <c r="E23" s="608">
        <f>'DESGLOCE DE PERSONAL'!H59</f>
        <v>5362852.5</v>
      </c>
      <c r="F23" s="459">
        <f>+$F$22</f>
        <v>2</v>
      </c>
      <c r="G23" s="610">
        <v>1</v>
      </c>
      <c r="H23" s="611">
        <f>ROUND(E23*F23*G23,0)*B23</f>
        <v>10725705</v>
      </c>
      <c r="I23" s="612">
        <f t="shared" ref="I23:I39" si="0">ROUND(((H23*100%)/$I$8),4)</f>
        <v>4.0399999999999998E-2</v>
      </c>
    </row>
    <row r="24" spans="2:11" hidden="1" x14ac:dyDescent="0.25">
      <c r="B24" s="607">
        <v>0</v>
      </c>
      <c r="C24" s="827" t="s">
        <v>404</v>
      </c>
      <c r="D24" s="827" t="s">
        <v>403</v>
      </c>
      <c r="E24" s="608">
        <f>'DESGLOCE DE PERSONAL'!H60</f>
        <v>4489830</v>
      </c>
      <c r="F24" s="459">
        <f>+$F$22</f>
        <v>2</v>
      </c>
      <c r="G24" s="610">
        <v>1</v>
      </c>
      <c r="H24" s="611">
        <f t="shared" ref="H24" si="1">ROUND(E24*F24*G24,0)*B24</f>
        <v>0</v>
      </c>
      <c r="I24" s="612">
        <f t="shared" si="0"/>
        <v>0</v>
      </c>
    </row>
    <row r="25" spans="2:11" x14ac:dyDescent="0.25">
      <c r="B25" s="607">
        <v>1</v>
      </c>
      <c r="C25" s="812" t="s">
        <v>202</v>
      </c>
      <c r="D25" s="812"/>
      <c r="E25" s="608">
        <f>'DESGLOCE DE PERSONAL'!H65</f>
        <v>4656120</v>
      </c>
      <c r="F25" s="459">
        <f t="shared" ref="F25:F31" si="2">+$F$22</f>
        <v>2</v>
      </c>
      <c r="G25" s="610">
        <v>0.5</v>
      </c>
      <c r="H25" s="611">
        <f>ROUND(E25*F25*G25,0)*B25</f>
        <v>4656120</v>
      </c>
      <c r="I25" s="612">
        <f t="shared" si="0"/>
        <v>1.7500000000000002E-2</v>
      </c>
    </row>
    <row r="26" spans="2:11" hidden="1" x14ac:dyDescent="0.25">
      <c r="B26" s="607">
        <v>0</v>
      </c>
      <c r="C26" s="812" t="s">
        <v>546</v>
      </c>
      <c r="D26" s="812"/>
      <c r="E26" s="608">
        <f>'DESGLOCE DE PERSONAL'!H62</f>
        <v>5820150</v>
      </c>
      <c r="F26" s="459">
        <f t="shared" si="2"/>
        <v>2</v>
      </c>
      <c r="G26" s="610">
        <v>0.1</v>
      </c>
      <c r="H26" s="611">
        <f t="shared" ref="H26" si="3">ROUND(E26*F26*G26,0)*B26</f>
        <v>0</v>
      </c>
      <c r="I26" s="612">
        <f t="shared" ref="I26" si="4">ROUND(((H26*100%)/$I$8),4)</f>
        <v>0</v>
      </c>
    </row>
    <row r="27" spans="2:11" hidden="1" x14ac:dyDescent="0.25">
      <c r="B27" s="607">
        <v>0</v>
      </c>
      <c r="C27" s="812" t="s">
        <v>548</v>
      </c>
      <c r="D27" s="812"/>
      <c r="E27" s="608">
        <f>'DESGLOCE DE PERSONAL'!H64</f>
        <v>4988700</v>
      </c>
      <c r="F27" s="459">
        <f t="shared" si="2"/>
        <v>2</v>
      </c>
      <c r="G27" s="610">
        <v>0.1</v>
      </c>
      <c r="H27" s="611">
        <f t="shared" ref="H27" si="5">ROUND(E27*F27*G27,0)*B27</f>
        <v>0</v>
      </c>
      <c r="I27" s="612">
        <f t="shared" ref="I27" si="6">ROUND(((H27*100%)/$I$8),4)</f>
        <v>0</v>
      </c>
    </row>
    <row r="28" spans="2:11" hidden="1" x14ac:dyDescent="0.25">
      <c r="B28" s="607">
        <v>0</v>
      </c>
      <c r="C28" s="812" t="s">
        <v>205</v>
      </c>
      <c r="D28" s="812"/>
      <c r="E28" s="608">
        <f>'DESGLOCE DE PERSONAL'!H68</f>
        <v>1800000</v>
      </c>
      <c r="F28" s="459">
        <f t="shared" si="2"/>
        <v>2</v>
      </c>
      <c r="G28" s="610">
        <v>1</v>
      </c>
      <c r="H28" s="611">
        <f t="shared" ref="H28:H31" si="7">ROUND(E28*F28*G28,0)*B28</f>
        <v>0</v>
      </c>
      <c r="I28" s="612">
        <f t="shared" si="0"/>
        <v>0</v>
      </c>
    </row>
    <row r="29" spans="2:11" hidden="1" x14ac:dyDescent="0.25">
      <c r="B29" s="607">
        <v>0</v>
      </c>
      <c r="C29" s="812" t="s">
        <v>204</v>
      </c>
      <c r="D29" s="812"/>
      <c r="E29" s="608">
        <f>'DESGLOCE DE PERSONAL'!H67</f>
        <v>2700000</v>
      </c>
      <c r="F29" s="459">
        <f t="shared" si="2"/>
        <v>2</v>
      </c>
      <c r="G29" s="610">
        <v>0.2</v>
      </c>
      <c r="H29" s="611">
        <f t="shared" si="7"/>
        <v>0</v>
      </c>
      <c r="I29" s="612">
        <f t="shared" si="0"/>
        <v>0</v>
      </c>
    </row>
    <row r="30" spans="2:11" x14ac:dyDescent="0.25">
      <c r="B30" s="607">
        <v>1</v>
      </c>
      <c r="C30" s="812" t="s">
        <v>203</v>
      </c>
      <c r="D30" s="812"/>
      <c r="E30" s="608">
        <f>'DESGLOCE DE PERSONAL'!H66</f>
        <v>3151629</v>
      </c>
      <c r="F30" s="459">
        <f t="shared" si="2"/>
        <v>2</v>
      </c>
      <c r="G30" s="610">
        <v>0.5</v>
      </c>
      <c r="H30" s="611">
        <f t="shared" si="7"/>
        <v>3151629</v>
      </c>
      <c r="I30" s="612">
        <f t="shared" si="0"/>
        <v>1.1900000000000001E-2</v>
      </c>
    </row>
    <row r="31" spans="2:11" hidden="1" x14ac:dyDescent="0.25">
      <c r="B31" s="607">
        <v>0</v>
      </c>
      <c r="C31" s="827" t="s">
        <v>206</v>
      </c>
      <c r="D31" s="827"/>
      <c r="E31" s="608">
        <f>'DESGLOCE DE PERSONAL'!H69</f>
        <v>3600000</v>
      </c>
      <c r="F31" s="459">
        <f t="shared" si="2"/>
        <v>2</v>
      </c>
      <c r="G31" s="610">
        <v>1</v>
      </c>
      <c r="H31" s="611">
        <f t="shared" si="7"/>
        <v>0</v>
      </c>
      <c r="I31" s="612">
        <f t="shared" si="0"/>
        <v>0</v>
      </c>
    </row>
    <row r="32" spans="2:11" x14ac:dyDescent="0.25">
      <c r="B32" s="607"/>
      <c r="C32" s="828" t="s">
        <v>405</v>
      </c>
      <c r="D32" s="828"/>
      <c r="E32" s="828"/>
      <c r="F32" s="828"/>
      <c r="G32" s="828"/>
      <c r="H32" s="585"/>
      <c r="I32" s="612"/>
    </row>
    <row r="33" spans="2:9" hidden="1" x14ac:dyDescent="0.25">
      <c r="B33" s="607">
        <v>0</v>
      </c>
      <c r="C33" s="827" t="s">
        <v>406</v>
      </c>
      <c r="D33" s="827"/>
      <c r="E33" s="608">
        <v>1020000</v>
      </c>
      <c r="F33" s="459">
        <f t="shared" ref="F33:F38" si="8">+$F$22</f>
        <v>2</v>
      </c>
      <c r="G33" s="610"/>
      <c r="H33" s="611">
        <f>+E33*F33*B33</f>
        <v>0</v>
      </c>
      <c r="I33" s="612">
        <f t="shared" si="0"/>
        <v>0</v>
      </c>
    </row>
    <row r="34" spans="2:9" x14ac:dyDescent="0.25">
      <c r="B34" s="607">
        <v>1</v>
      </c>
      <c r="C34" s="827" t="s">
        <v>407</v>
      </c>
      <c r="D34" s="827"/>
      <c r="E34" s="608">
        <v>200000</v>
      </c>
      <c r="F34" s="459">
        <f t="shared" si="8"/>
        <v>2</v>
      </c>
      <c r="G34" s="610"/>
      <c r="H34" s="611">
        <f t="shared" ref="H34:H37" si="9">+E34*F34*B34</f>
        <v>400000</v>
      </c>
      <c r="I34" s="612">
        <f t="shared" si="0"/>
        <v>1.5E-3</v>
      </c>
    </row>
    <row r="35" spans="2:9" ht="49.5" customHeight="1" x14ac:dyDescent="0.25">
      <c r="B35" s="607">
        <v>1</v>
      </c>
      <c r="C35" s="827" t="s">
        <v>408</v>
      </c>
      <c r="D35" s="827"/>
      <c r="E35" s="608">
        <v>360000</v>
      </c>
      <c r="F35" s="459">
        <f t="shared" si="8"/>
        <v>2</v>
      </c>
      <c r="G35" s="610"/>
      <c r="H35" s="611">
        <f t="shared" si="9"/>
        <v>720000</v>
      </c>
      <c r="I35" s="612">
        <f>ROUND(((H35*100%)/$I$8),4)</f>
        <v>2.7000000000000001E-3</v>
      </c>
    </row>
    <row r="36" spans="2:9" hidden="1" x14ac:dyDescent="0.25">
      <c r="B36" s="607">
        <v>0</v>
      </c>
      <c r="C36" s="827" t="s">
        <v>409</v>
      </c>
      <c r="D36" s="827"/>
      <c r="E36" s="608">
        <v>110000</v>
      </c>
      <c r="F36" s="459">
        <f t="shared" si="8"/>
        <v>2</v>
      </c>
      <c r="G36" s="610"/>
      <c r="H36" s="611">
        <f t="shared" si="9"/>
        <v>0</v>
      </c>
      <c r="I36" s="612">
        <f>ROUND(((H36*100%)/$I$8),4)</f>
        <v>0</v>
      </c>
    </row>
    <row r="37" spans="2:9" hidden="1" x14ac:dyDescent="0.25">
      <c r="B37" s="607">
        <v>0</v>
      </c>
      <c r="C37" s="827" t="s">
        <v>410</v>
      </c>
      <c r="D37" s="827"/>
      <c r="E37" s="608">
        <v>110000</v>
      </c>
      <c r="F37" s="459">
        <f t="shared" si="8"/>
        <v>2</v>
      </c>
      <c r="G37" s="610"/>
      <c r="H37" s="611">
        <f t="shared" si="9"/>
        <v>0</v>
      </c>
      <c r="I37" s="612">
        <f t="shared" si="0"/>
        <v>0</v>
      </c>
    </row>
    <row r="38" spans="2:9" hidden="1" x14ac:dyDescent="0.25">
      <c r="B38" s="607">
        <v>0</v>
      </c>
      <c r="C38" s="827" t="s">
        <v>498</v>
      </c>
      <c r="D38" s="827"/>
      <c r="E38" s="608">
        <v>120000</v>
      </c>
      <c r="F38" s="459">
        <f t="shared" si="8"/>
        <v>2</v>
      </c>
      <c r="G38" s="610"/>
      <c r="H38" s="611">
        <f t="shared" ref="H38" si="10">+E38*F38*B38</f>
        <v>0</v>
      </c>
      <c r="I38" s="612">
        <f t="shared" ref="I38" si="11">ROUND(((H38*100%)/$I$8),4)</f>
        <v>0</v>
      </c>
    </row>
    <row r="39" spans="2:9" ht="30.75" customHeight="1" x14ac:dyDescent="0.25">
      <c r="B39" s="607">
        <v>1</v>
      </c>
      <c r="C39" s="827" t="s">
        <v>411</v>
      </c>
      <c r="D39" s="827"/>
      <c r="E39" s="608">
        <v>80000</v>
      </c>
      <c r="F39" s="459">
        <v>6</v>
      </c>
      <c r="G39" s="610"/>
      <c r="H39" s="611">
        <f>+E39*F39*B39</f>
        <v>480000</v>
      </c>
      <c r="I39" s="612">
        <f t="shared" si="0"/>
        <v>1.8E-3</v>
      </c>
    </row>
    <row r="40" spans="2:9" x14ac:dyDescent="0.25">
      <c r="B40" s="607">
        <v>1</v>
      </c>
      <c r="C40" s="827" t="s">
        <v>602</v>
      </c>
      <c r="D40" s="827"/>
      <c r="E40" s="608">
        <v>250000</v>
      </c>
      <c r="F40" s="459">
        <v>1</v>
      </c>
      <c r="G40" s="610"/>
      <c r="H40" s="611">
        <f>+E40*F40*B40</f>
        <v>250000</v>
      </c>
      <c r="I40" s="612">
        <f t="shared" ref="I40" si="12">ROUND(((H40*100%)/$I$8),4)</f>
        <v>8.9999999999999998E-4</v>
      </c>
    </row>
    <row r="41" spans="2:9" hidden="1" x14ac:dyDescent="0.25">
      <c r="B41" s="607"/>
      <c r="C41" s="828" t="s">
        <v>412</v>
      </c>
      <c r="D41" s="828"/>
      <c r="E41" s="828"/>
      <c r="F41" s="828"/>
      <c r="G41" s="828"/>
      <c r="H41" s="828"/>
      <c r="I41" s="828"/>
    </row>
    <row r="42" spans="2:9" hidden="1" x14ac:dyDescent="0.25">
      <c r="B42" s="607">
        <v>0</v>
      </c>
      <c r="C42" s="827" t="s">
        <v>739</v>
      </c>
      <c r="D42" s="827"/>
      <c r="E42" s="608">
        <v>1500000</v>
      </c>
      <c r="F42" s="459">
        <v>1</v>
      </c>
      <c r="G42" s="610"/>
      <c r="H42" s="611">
        <f>+E42*F42*B42</f>
        <v>0</v>
      </c>
      <c r="I42" s="612">
        <f>ROUND(((H42*100%)/$I$8),4)</f>
        <v>0</v>
      </c>
    </row>
    <row r="43" spans="2:9" hidden="1" x14ac:dyDescent="0.25">
      <c r="B43" s="607">
        <v>0</v>
      </c>
      <c r="C43" s="827" t="s">
        <v>413</v>
      </c>
      <c r="D43" s="827"/>
      <c r="E43" s="608">
        <v>1700000</v>
      </c>
      <c r="F43" s="459">
        <v>1</v>
      </c>
      <c r="G43" s="610"/>
      <c r="H43" s="611">
        <f>+E43*F43*B43</f>
        <v>0</v>
      </c>
      <c r="I43" s="612">
        <f>ROUND(((H43*100%)/$I$8),4)</f>
        <v>0</v>
      </c>
    </row>
    <row r="44" spans="2:9" hidden="1" x14ac:dyDescent="0.25">
      <c r="B44" s="607">
        <v>0</v>
      </c>
      <c r="C44" s="827" t="s">
        <v>414</v>
      </c>
      <c r="D44" s="827"/>
      <c r="E44" s="608">
        <v>400000</v>
      </c>
      <c r="F44" s="459">
        <v>1</v>
      </c>
      <c r="G44" s="610"/>
      <c r="H44" s="611">
        <f>+E44*F44*B44</f>
        <v>0</v>
      </c>
      <c r="I44" s="612">
        <f t="shared" ref="I44:I45" si="13">ROUND(((H44*100%)/$I$8),4)</f>
        <v>0</v>
      </c>
    </row>
    <row r="45" spans="2:9" hidden="1" x14ac:dyDescent="0.25">
      <c r="B45" s="607">
        <v>0</v>
      </c>
      <c r="C45" s="827" t="s">
        <v>415</v>
      </c>
      <c r="D45" s="827"/>
      <c r="E45" s="608">
        <v>250000</v>
      </c>
      <c r="F45" s="459">
        <v>2</v>
      </c>
      <c r="G45" s="610"/>
      <c r="H45" s="611">
        <f>+E45*F45*B45</f>
        <v>0</v>
      </c>
      <c r="I45" s="612">
        <f t="shared" si="13"/>
        <v>0</v>
      </c>
    </row>
    <row r="46" spans="2:9" x14ac:dyDescent="0.25">
      <c r="B46" s="825"/>
      <c r="C46" s="825"/>
      <c r="D46" s="825"/>
      <c r="E46" s="825"/>
      <c r="F46" s="825"/>
      <c r="G46" s="825"/>
      <c r="H46" s="825"/>
      <c r="I46" s="825"/>
    </row>
    <row r="47" spans="2:9" x14ac:dyDescent="0.25">
      <c r="B47" s="604" t="s">
        <v>416</v>
      </c>
      <c r="C47" s="826" t="s">
        <v>417</v>
      </c>
      <c r="D47" s="826"/>
      <c r="E47" s="826"/>
      <c r="F47" s="826"/>
      <c r="G47" s="826"/>
      <c r="H47" s="826"/>
      <c r="I47" s="623">
        <f>SUM(I48:I57)</f>
        <v>0.20400000000000001</v>
      </c>
    </row>
    <row r="48" spans="2:9" x14ac:dyDescent="0.25">
      <c r="B48" s="461">
        <v>1</v>
      </c>
      <c r="C48" s="823" t="s">
        <v>734</v>
      </c>
      <c r="D48" s="823"/>
      <c r="E48" s="823"/>
      <c r="F48" s="822">
        <v>0.01</v>
      </c>
      <c r="G48" s="822"/>
      <c r="H48" s="614">
        <f>(SUM($I$8))*F48</f>
        <v>2658145.71</v>
      </c>
      <c r="I48" s="615">
        <f>ROUND(((H48*100%)/$I$8),4)</f>
        <v>0.01</v>
      </c>
    </row>
    <row r="49" spans="2:9" x14ac:dyDescent="0.25">
      <c r="B49" s="461">
        <v>1</v>
      </c>
      <c r="C49" s="823" t="s">
        <v>735</v>
      </c>
      <c r="D49" s="823"/>
      <c r="E49" s="823"/>
      <c r="F49" s="822">
        <v>0.04</v>
      </c>
      <c r="G49" s="822"/>
      <c r="H49" s="614">
        <f>(SUM($I$8))*F49</f>
        <v>10632582.84</v>
      </c>
      <c r="I49" s="615">
        <f t="shared" ref="I49:I56" si="14">ROUND(((H49*100%)/$I$8),4)</f>
        <v>0.04</v>
      </c>
    </row>
    <row r="50" spans="2:9" x14ac:dyDescent="0.25">
      <c r="B50" s="461">
        <v>1</v>
      </c>
      <c r="C50" s="821" t="s">
        <v>418</v>
      </c>
      <c r="D50" s="821"/>
      <c r="E50" s="821"/>
      <c r="F50" s="822">
        <v>0.02</v>
      </c>
      <c r="G50" s="822"/>
      <c r="H50" s="614">
        <f t="shared" ref="H50:H56" si="15">(SUM($I$8))*F50</f>
        <v>5316291.42</v>
      </c>
      <c r="I50" s="615">
        <f t="shared" si="14"/>
        <v>0.02</v>
      </c>
    </row>
    <row r="51" spans="2:9" x14ac:dyDescent="0.25">
      <c r="B51" s="461">
        <v>1</v>
      </c>
      <c r="C51" s="823" t="s">
        <v>736</v>
      </c>
      <c r="D51" s="823"/>
      <c r="E51" s="823"/>
      <c r="F51" s="822">
        <v>0.02</v>
      </c>
      <c r="G51" s="822"/>
      <c r="H51" s="614">
        <f t="shared" si="15"/>
        <v>5316291.42</v>
      </c>
      <c r="I51" s="615">
        <f t="shared" si="14"/>
        <v>0.02</v>
      </c>
    </row>
    <row r="52" spans="2:9" x14ac:dyDescent="0.25">
      <c r="B52" s="461">
        <v>1</v>
      </c>
      <c r="C52" s="823" t="s">
        <v>737</v>
      </c>
      <c r="D52" s="823"/>
      <c r="E52" s="823"/>
      <c r="F52" s="822">
        <v>0.02</v>
      </c>
      <c r="G52" s="822"/>
      <c r="H52" s="614">
        <f t="shared" ref="H52" si="16">(SUM($I$8))*F52</f>
        <v>5316291.42</v>
      </c>
      <c r="I52" s="615">
        <f t="shared" si="14"/>
        <v>0.02</v>
      </c>
    </row>
    <row r="53" spans="2:9" x14ac:dyDescent="0.25">
      <c r="B53" s="461">
        <v>1</v>
      </c>
      <c r="C53" s="821" t="s">
        <v>738</v>
      </c>
      <c r="D53" s="821"/>
      <c r="E53" s="821"/>
      <c r="F53" s="822">
        <v>0.05</v>
      </c>
      <c r="G53" s="822"/>
      <c r="H53" s="614">
        <f t="shared" ref="H53" si="17">(SUM($I$8))*F53</f>
        <v>13290728.550000001</v>
      </c>
      <c r="I53" s="615">
        <f t="shared" si="14"/>
        <v>0.05</v>
      </c>
    </row>
    <row r="54" spans="2:9" x14ac:dyDescent="0.25">
      <c r="B54" s="461">
        <v>1</v>
      </c>
      <c r="C54" s="821" t="s">
        <v>419</v>
      </c>
      <c r="D54" s="821"/>
      <c r="E54" s="821"/>
      <c r="F54" s="822">
        <v>0.02</v>
      </c>
      <c r="G54" s="822"/>
      <c r="H54" s="614">
        <f t="shared" si="15"/>
        <v>5316291.42</v>
      </c>
      <c r="I54" s="615">
        <f t="shared" si="14"/>
        <v>0.02</v>
      </c>
    </row>
    <row r="55" spans="2:9" x14ac:dyDescent="0.25">
      <c r="B55" s="461">
        <v>1</v>
      </c>
      <c r="C55" s="821" t="s">
        <v>420</v>
      </c>
      <c r="D55" s="821"/>
      <c r="E55" s="821"/>
      <c r="F55" s="822">
        <v>0.02</v>
      </c>
      <c r="G55" s="822"/>
      <c r="H55" s="614">
        <f t="shared" si="15"/>
        <v>5316291.42</v>
      </c>
      <c r="I55" s="615">
        <f t="shared" si="14"/>
        <v>0.02</v>
      </c>
    </row>
    <row r="56" spans="2:9" x14ac:dyDescent="0.25">
      <c r="B56" s="461">
        <v>1</v>
      </c>
      <c r="C56" s="821" t="s">
        <v>421</v>
      </c>
      <c r="D56" s="821"/>
      <c r="E56" s="821"/>
      <c r="F56" s="829">
        <v>4.0000000000000001E-3</v>
      </c>
      <c r="G56" s="829"/>
      <c r="H56" s="614">
        <f t="shared" si="15"/>
        <v>1063258.284</v>
      </c>
      <c r="I56" s="615">
        <f t="shared" si="14"/>
        <v>4.0000000000000001E-3</v>
      </c>
    </row>
    <row r="57" spans="2:9" x14ac:dyDescent="0.25">
      <c r="B57" s="825"/>
      <c r="C57" s="825"/>
      <c r="D57" s="825"/>
      <c r="E57" s="825"/>
      <c r="F57" s="825"/>
      <c r="G57" s="825"/>
      <c r="H57" s="825"/>
      <c r="I57" s="825"/>
    </row>
    <row r="58" spans="2:9" x14ac:dyDescent="0.25">
      <c r="B58" s="604" t="s">
        <v>422</v>
      </c>
      <c r="C58" s="826" t="s">
        <v>423</v>
      </c>
      <c r="D58" s="826"/>
      <c r="E58" s="826"/>
      <c r="F58" s="826"/>
      <c r="G58" s="826"/>
      <c r="H58" s="826"/>
      <c r="I58" s="605">
        <f>SUM(I59)</f>
        <v>1.4E-2</v>
      </c>
    </row>
    <row r="59" spans="2:9" x14ac:dyDescent="0.25">
      <c r="B59" s="607"/>
      <c r="C59" s="827" t="s">
        <v>423</v>
      </c>
      <c r="D59" s="827"/>
      <c r="E59" s="827"/>
      <c r="F59" s="822">
        <v>1.4E-2</v>
      </c>
      <c r="G59" s="822"/>
      <c r="H59" s="614">
        <f>$I$8*F59</f>
        <v>3721403.9939999999</v>
      </c>
      <c r="I59" s="615">
        <f t="shared" ref="I59" si="18">ROUND(((H59*100%)/$I$8),4)</f>
        <v>1.4E-2</v>
      </c>
    </row>
    <row r="60" spans="2:9" x14ac:dyDescent="0.25">
      <c r="B60" s="825"/>
      <c r="C60" s="825"/>
      <c r="D60" s="825"/>
      <c r="E60" s="825"/>
      <c r="F60" s="825"/>
      <c r="G60" s="825"/>
      <c r="H60" s="825"/>
      <c r="I60" s="825"/>
    </row>
    <row r="61" spans="2:9" x14ac:dyDescent="0.25">
      <c r="B61" s="824" t="s">
        <v>424</v>
      </c>
      <c r="C61" s="824"/>
      <c r="D61" s="824"/>
      <c r="E61" s="824"/>
      <c r="F61" s="824"/>
      <c r="G61" s="824"/>
      <c r="H61" s="824"/>
      <c r="I61" s="624">
        <f>I58+I47+I19</f>
        <v>0.30700000000000005</v>
      </c>
    </row>
    <row r="63" spans="2:9" x14ac:dyDescent="0.25">
      <c r="B63" s="593" t="s">
        <v>128</v>
      </c>
      <c r="D63" s="554"/>
      <c r="E63" s="593" t="s">
        <v>129</v>
      </c>
      <c r="H63" s="554"/>
    </row>
    <row r="64" spans="2:9" x14ac:dyDescent="0.25">
      <c r="B64" s="551"/>
      <c r="D64" s="554"/>
      <c r="H64" s="554"/>
    </row>
    <row r="65" spans="2:8" x14ac:dyDescent="0.25">
      <c r="B65" s="551"/>
      <c r="D65" s="554"/>
      <c r="H65" s="554"/>
    </row>
    <row r="66" spans="2:8" x14ac:dyDescent="0.25">
      <c r="B66" s="551"/>
      <c r="D66" s="554"/>
      <c r="H66" s="554"/>
    </row>
    <row r="67" spans="2:8" x14ac:dyDescent="0.25">
      <c r="B67" s="551"/>
      <c r="D67" s="554"/>
      <c r="H67" s="554"/>
    </row>
    <row r="68" spans="2:8" x14ac:dyDescent="0.25">
      <c r="B68" s="271" t="str">
        <f>INFORMACION!C25</f>
        <v>ING. JEYSON JULIAN LEON RUEDA</v>
      </c>
      <c r="C68" s="271"/>
      <c r="D68" s="591"/>
      <c r="E68" s="271" t="str">
        <f>INFORMACION!$C$14</f>
        <v>ARQ. YASMID ROCÍO CARRILLO MORA</v>
      </c>
      <c r="F68" s="271"/>
      <c r="G68" s="271"/>
      <c r="H68" s="271"/>
    </row>
    <row r="69" spans="2:8" x14ac:dyDescent="0.25">
      <c r="B69" s="272" t="str">
        <f>INFORMACION!C26</f>
        <v>MP. 68202-416348 STD</v>
      </c>
      <c r="C69" s="272"/>
      <c r="D69" s="595"/>
      <c r="E69" s="272" t="str">
        <f>INFORMACION!$C$15</f>
        <v>SECRETARIA DE PLANEACIÓN Y OBRAS PÚBLICAS</v>
      </c>
      <c r="F69" s="272"/>
      <c r="G69" s="272"/>
      <c r="H69" s="272"/>
    </row>
    <row r="70" spans="2:8" x14ac:dyDescent="0.25">
      <c r="B70" s="551"/>
      <c r="D70" s="591"/>
      <c r="E70" s="272" t="str">
        <f>INFORMACION!$C$16</f>
        <v>MUNICIPIO DE PINCHOTE</v>
      </c>
      <c r="F70" s="272"/>
      <c r="G70" s="272"/>
      <c r="H70" s="272"/>
    </row>
  </sheetData>
  <mergeCells count="73">
    <mergeCell ref="E13:H13"/>
    <mergeCell ref="E12:H12"/>
    <mergeCell ref="B2:G2"/>
    <mergeCell ref="C3:G3"/>
    <mergeCell ref="B6:D6"/>
    <mergeCell ref="E6:G6"/>
    <mergeCell ref="H6:I6"/>
    <mergeCell ref="B7:I7"/>
    <mergeCell ref="E8:H8"/>
    <mergeCell ref="E9:H9"/>
    <mergeCell ref="E10:H10"/>
    <mergeCell ref="E11:H11"/>
    <mergeCell ref="D4:G4"/>
    <mergeCell ref="C5:G5"/>
    <mergeCell ref="H2:I5"/>
    <mergeCell ref="E14:H14"/>
    <mergeCell ref="E15:H15"/>
    <mergeCell ref="B16:I16"/>
    <mergeCell ref="B17:I18"/>
    <mergeCell ref="C19:H19"/>
    <mergeCell ref="C20:I20"/>
    <mergeCell ref="C21:I21"/>
    <mergeCell ref="C22:D22"/>
    <mergeCell ref="C23:D23"/>
    <mergeCell ref="C24:D24"/>
    <mergeCell ref="B46:I46"/>
    <mergeCell ref="C47:H47"/>
    <mergeCell ref="C40:D40"/>
    <mergeCell ref="C37:D37"/>
    <mergeCell ref="C25:D25"/>
    <mergeCell ref="C28:D28"/>
    <mergeCell ref="C29:D29"/>
    <mergeCell ref="C30:D30"/>
    <mergeCell ref="C31:D31"/>
    <mergeCell ref="C32:G32"/>
    <mergeCell ref="C33:D33"/>
    <mergeCell ref="C34:D34"/>
    <mergeCell ref="C35:D35"/>
    <mergeCell ref="C36:D36"/>
    <mergeCell ref="C26:D26"/>
    <mergeCell ref="C27:D27"/>
    <mergeCell ref="C39:D39"/>
    <mergeCell ref="C41:I41"/>
    <mergeCell ref="C43:D43"/>
    <mergeCell ref="C44:D44"/>
    <mergeCell ref="C45:D45"/>
    <mergeCell ref="C42:D42"/>
    <mergeCell ref="C38:D38"/>
    <mergeCell ref="B4:C4"/>
    <mergeCell ref="C56:E56"/>
    <mergeCell ref="F56:G56"/>
    <mergeCell ref="C49:E49"/>
    <mergeCell ref="F49:G49"/>
    <mergeCell ref="C50:E50"/>
    <mergeCell ref="F50:G50"/>
    <mergeCell ref="C51:E51"/>
    <mergeCell ref="F51:G51"/>
    <mergeCell ref="C54:E54"/>
    <mergeCell ref="F54:G54"/>
    <mergeCell ref="C55:E55"/>
    <mergeCell ref="F55:G55"/>
    <mergeCell ref="C48:E48"/>
    <mergeCell ref="F48:G48"/>
    <mergeCell ref="C53:E53"/>
    <mergeCell ref="F53:G53"/>
    <mergeCell ref="C52:E52"/>
    <mergeCell ref="F52:G52"/>
    <mergeCell ref="B61:H61"/>
    <mergeCell ref="B57:I57"/>
    <mergeCell ref="C58:H58"/>
    <mergeCell ref="C59:E59"/>
    <mergeCell ref="F59:G59"/>
    <mergeCell ref="B60:I60"/>
  </mergeCells>
  <pageMargins left="0.7" right="0.7" top="0.75" bottom="0.75" header="0.3" footer="0.3"/>
  <pageSetup scale="54" fitToHeight="0" orientation="portrait" r:id="rId1"/>
  <ignoredErrors>
    <ignoredError sqref="B57:I58 B61:H61 B60:I60 B59:E59 G59:H59 B50:H50 B55:E55 B51 D51:E51 B56:E56 H56 G51:H51 B54:E54 H54 H55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28321-454D-4A39-BD7A-A2E09D9BB410}">
  <sheetPr>
    <pageSetUpPr fitToPage="1"/>
  </sheetPr>
  <dimension ref="B1:I54"/>
  <sheetViews>
    <sheetView view="pageBreakPreview" topLeftCell="A36" zoomScaleNormal="100" zoomScaleSheetLayoutView="100" workbookViewId="0">
      <selection activeCell="H46" sqref="H46"/>
    </sheetView>
  </sheetViews>
  <sheetFormatPr baseColWidth="10" defaultRowHeight="14.4" x14ac:dyDescent="0.3"/>
  <cols>
    <col min="1" max="1" width="1.44140625" customWidth="1"/>
    <col min="2" max="2" width="69" customWidth="1"/>
    <col min="3" max="3" width="23.33203125" customWidth="1"/>
    <col min="4" max="4" width="7" bestFit="1" customWidth="1"/>
    <col min="5" max="5" width="16.109375" bestFit="1" customWidth="1"/>
    <col min="6" max="6" width="1.44140625" customWidth="1"/>
    <col min="8" max="8" width="11.33203125" bestFit="1" customWidth="1"/>
  </cols>
  <sheetData>
    <row r="1" spans="2:9" ht="7.5" customHeight="1" x14ac:dyDescent="0.3"/>
    <row r="2" spans="2:9" ht="49.5" customHeight="1" x14ac:dyDescent="0.3">
      <c r="B2" s="853" t="s">
        <v>426</v>
      </c>
      <c r="C2" s="854"/>
      <c r="D2" s="853"/>
      <c r="E2" s="853"/>
    </row>
    <row r="3" spans="2:9" ht="45" customHeight="1" x14ac:dyDescent="0.3">
      <c r="B3" s="851" t="str">
        <f>CONCATENATE(INFORMACION!H2," ",INFORMACION!H3)</f>
        <v>INTERVENTORIA TECNICA ADMINISTRATIVA FINANCIERA Y AMBIENTAL PARA LA CONSTRUCCIÓN DE PAVIMENTO EN PIEDRA LABOR Y OPTIMIZACIÓN DE LA RED DE ALCANTARILLADO SANITARIO CALLE 5 ENTRE CARRERA 3 Y 4 DEL CASCO URBANO DEL MUNICIPIO DE PINCHOTE, DEPARTAMENTO DE SANTANDER</v>
      </c>
      <c r="C3" s="852"/>
      <c r="D3" s="851"/>
      <c r="E3" s="853"/>
    </row>
    <row r="4" spans="2:9" x14ac:dyDescent="0.3">
      <c r="B4" s="855" t="str">
        <f>PPTO!C5</f>
        <v>LOCALIZACIÓN:PINCHOTE, SANTANDER</v>
      </c>
      <c r="C4" s="856"/>
      <c r="D4" s="100" t="s">
        <v>31</v>
      </c>
      <c r="E4" s="199" t="str">
        <f>PRESENTACION!$A$43</f>
        <v>ABRIL DE 2026</v>
      </c>
    </row>
    <row r="5" spans="2:9" ht="15" customHeight="1" x14ac:dyDescent="0.3">
      <c r="B5" s="849" t="s">
        <v>427</v>
      </c>
      <c r="C5" s="850"/>
      <c r="D5" s="849"/>
      <c r="E5" s="849"/>
    </row>
    <row r="6" spans="2:9" ht="15" customHeight="1" x14ac:dyDescent="0.3">
      <c r="B6" s="849" t="s">
        <v>428</v>
      </c>
      <c r="C6" s="850"/>
      <c r="D6" s="849"/>
      <c r="E6" s="849"/>
    </row>
    <row r="7" spans="2:9" ht="15" customHeight="1" x14ac:dyDescent="0.3">
      <c r="B7" s="843" t="s">
        <v>429</v>
      </c>
      <c r="C7" s="844"/>
      <c r="D7" s="843"/>
      <c r="E7" s="200">
        <f>D8/100</f>
        <v>1</v>
      </c>
    </row>
    <row r="8" spans="2:9" ht="15" customHeight="1" x14ac:dyDescent="0.3">
      <c r="B8" s="839" t="s">
        <v>603</v>
      </c>
      <c r="C8" s="840"/>
      <c r="D8" s="185">
        <v>100</v>
      </c>
      <c r="E8" s="186"/>
    </row>
    <row r="9" spans="2:9" ht="15" customHeight="1" x14ac:dyDescent="0.3">
      <c r="B9" s="846" t="s">
        <v>430</v>
      </c>
      <c r="C9" s="847"/>
      <c r="D9" s="846"/>
      <c r="E9" s="200">
        <f>+D23/100</f>
        <v>0.72829999999999995</v>
      </c>
      <c r="H9" s="75"/>
      <c r="I9" s="75"/>
    </row>
    <row r="10" spans="2:9" ht="15" customHeight="1" x14ac:dyDescent="0.3">
      <c r="B10" s="848" t="s">
        <v>431</v>
      </c>
      <c r="C10" s="844"/>
      <c r="D10" s="193"/>
      <c r="E10" s="193"/>
      <c r="H10" s="75"/>
      <c r="I10" s="75"/>
    </row>
    <row r="11" spans="2:9" ht="15" customHeight="1" x14ac:dyDescent="0.3">
      <c r="B11" s="837" t="s">
        <v>604</v>
      </c>
      <c r="C11" s="838"/>
      <c r="D11" s="185">
        <v>8.33</v>
      </c>
      <c r="E11" s="845"/>
      <c r="H11" s="75"/>
      <c r="I11" s="75"/>
    </row>
    <row r="12" spans="2:9" ht="15" customHeight="1" x14ac:dyDescent="0.3">
      <c r="B12" s="837" t="s">
        <v>605</v>
      </c>
      <c r="C12" s="838"/>
      <c r="D12" s="185">
        <v>8.33</v>
      </c>
      <c r="E12" s="845"/>
      <c r="H12" s="75"/>
      <c r="I12" s="75"/>
    </row>
    <row r="13" spans="2:9" ht="15" customHeight="1" x14ac:dyDescent="0.3">
      <c r="B13" s="837" t="s">
        <v>606</v>
      </c>
      <c r="C13" s="838"/>
      <c r="D13" s="185">
        <v>1</v>
      </c>
      <c r="E13" s="845"/>
      <c r="H13" s="75"/>
      <c r="I13" s="75"/>
    </row>
    <row r="14" spans="2:9" ht="15" customHeight="1" x14ac:dyDescent="0.3">
      <c r="B14" s="837" t="s">
        <v>165</v>
      </c>
      <c r="C14" s="838"/>
      <c r="D14" s="185">
        <v>4.17</v>
      </c>
      <c r="E14" s="845"/>
      <c r="H14" s="75"/>
      <c r="I14" s="75"/>
    </row>
    <row r="15" spans="2:9" ht="15" customHeight="1" x14ac:dyDescent="0.3">
      <c r="B15" s="837" t="s">
        <v>607</v>
      </c>
      <c r="C15" s="838"/>
      <c r="D15" s="185">
        <v>28.5</v>
      </c>
      <c r="E15" s="845"/>
      <c r="H15" s="75"/>
      <c r="I15" s="75"/>
    </row>
    <row r="16" spans="2:9" ht="15" customHeight="1" x14ac:dyDescent="0.3">
      <c r="B16" s="837" t="s">
        <v>608</v>
      </c>
      <c r="C16" s="838"/>
      <c r="D16" s="185">
        <v>4</v>
      </c>
      <c r="E16" s="845"/>
      <c r="H16" s="75"/>
      <c r="I16" s="75"/>
    </row>
    <row r="17" spans="2:9" ht="15" customHeight="1" x14ac:dyDescent="0.3">
      <c r="B17" s="837" t="s">
        <v>609</v>
      </c>
      <c r="C17" s="838"/>
      <c r="D17" s="185">
        <v>2.5</v>
      </c>
      <c r="E17" s="845"/>
      <c r="H17" s="75"/>
      <c r="I17" s="75"/>
    </row>
    <row r="18" spans="2:9" ht="15" customHeight="1" x14ac:dyDescent="0.3">
      <c r="B18" s="837" t="s">
        <v>169</v>
      </c>
      <c r="C18" s="838"/>
      <c r="D18" s="185">
        <v>2</v>
      </c>
      <c r="E18" s="845"/>
      <c r="H18" s="75"/>
      <c r="I18" s="75"/>
    </row>
    <row r="19" spans="2:9" ht="15" customHeight="1" x14ac:dyDescent="0.3">
      <c r="B19" s="837" t="s">
        <v>170</v>
      </c>
      <c r="C19" s="838"/>
      <c r="D19" s="185">
        <v>3</v>
      </c>
      <c r="E19" s="845"/>
      <c r="H19" s="75"/>
      <c r="I19" s="75"/>
    </row>
    <row r="20" spans="2:9" ht="15" customHeight="1" x14ac:dyDescent="0.3">
      <c r="B20" s="837" t="s">
        <v>610</v>
      </c>
      <c r="C20" s="838"/>
      <c r="D20" s="185">
        <v>3</v>
      </c>
      <c r="E20" s="845"/>
    </row>
    <row r="21" spans="2:9" ht="15" hidden="1" customHeight="1" x14ac:dyDescent="0.3">
      <c r="B21" s="837" t="s">
        <v>667</v>
      </c>
      <c r="C21" s="838"/>
      <c r="D21" s="185">
        <v>0</v>
      </c>
      <c r="E21" s="845"/>
    </row>
    <row r="22" spans="2:9" ht="15" customHeight="1" x14ac:dyDescent="0.3">
      <c r="B22" s="837" t="s">
        <v>624</v>
      </c>
      <c r="C22" s="838"/>
      <c r="D22" s="185">
        <v>8</v>
      </c>
      <c r="E22" s="845"/>
    </row>
    <row r="23" spans="2:9" ht="15" customHeight="1" x14ac:dyDescent="0.3">
      <c r="B23" s="841" t="s">
        <v>139</v>
      </c>
      <c r="C23" s="842"/>
      <c r="D23" s="186">
        <f>SUM(D11:D22)</f>
        <v>72.83</v>
      </c>
      <c r="E23" s="845"/>
    </row>
    <row r="24" spans="2:9" ht="15" customHeight="1" x14ac:dyDescent="0.3">
      <c r="B24" s="843" t="s">
        <v>772</v>
      </c>
      <c r="C24" s="844"/>
      <c r="D24" s="843"/>
      <c r="E24" s="200">
        <f>+D36/100</f>
        <v>0.20499999999999999</v>
      </c>
    </row>
    <row r="25" spans="2:9" ht="15" customHeight="1" x14ac:dyDescent="0.3">
      <c r="B25" s="843" t="s">
        <v>611</v>
      </c>
      <c r="C25" s="844"/>
      <c r="D25" s="843"/>
      <c r="E25" s="843"/>
    </row>
    <row r="26" spans="2:9" ht="15" hidden="1" customHeight="1" x14ac:dyDescent="0.3">
      <c r="B26" s="835" t="s">
        <v>612</v>
      </c>
      <c r="C26" s="836"/>
      <c r="D26" s="185">
        <v>0</v>
      </c>
      <c r="E26" s="845"/>
    </row>
    <row r="27" spans="2:9" ht="15" customHeight="1" x14ac:dyDescent="0.3">
      <c r="B27" s="835" t="s">
        <v>613</v>
      </c>
      <c r="C27" s="836"/>
      <c r="D27" s="185">
        <v>8</v>
      </c>
      <c r="E27" s="845"/>
    </row>
    <row r="28" spans="2:9" ht="15" customHeight="1" x14ac:dyDescent="0.3">
      <c r="B28" s="835" t="s">
        <v>614</v>
      </c>
      <c r="C28" s="836"/>
      <c r="D28" s="185">
        <v>2</v>
      </c>
      <c r="E28" s="845"/>
    </row>
    <row r="29" spans="2:9" ht="15" hidden="1" customHeight="1" x14ac:dyDescent="0.3">
      <c r="B29" s="835" t="s">
        <v>615</v>
      </c>
      <c r="C29" s="836"/>
      <c r="D29" s="185">
        <v>0</v>
      </c>
      <c r="E29" s="845"/>
    </row>
    <row r="30" spans="2:9" ht="15" customHeight="1" x14ac:dyDescent="0.3">
      <c r="B30" s="835" t="s">
        <v>616</v>
      </c>
      <c r="C30" s="836"/>
      <c r="D30" s="185">
        <v>5</v>
      </c>
      <c r="E30" s="845"/>
    </row>
    <row r="31" spans="2:9" ht="15" hidden="1" customHeight="1" x14ac:dyDescent="0.3">
      <c r="B31" s="835" t="s">
        <v>617</v>
      </c>
      <c r="C31" s="836"/>
      <c r="D31" s="185">
        <v>0</v>
      </c>
      <c r="E31" s="845"/>
    </row>
    <row r="32" spans="2:9" ht="15" customHeight="1" x14ac:dyDescent="0.3">
      <c r="B32" s="835" t="s">
        <v>618</v>
      </c>
      <c r="C32" s="836"/>
      <c r="D32" s="185">
        <v>2</v>
      </c>
      <c r="E32" s="845"/>
    </row>
    <row r="33" spans="2:5" ht="15" customHeight="1" x14ac:dyDescent="0.3">
      <c r="B33" s="835" t="s">
        <v>619</v>
      </c>
      <c r="C33" s="836"/>
      <c r="D33" s="185">
        <v>2</v>
      </c>
      <c r="E33" s="845"/>
    </row>
    <row r="34" spans="2:5" ht="15" customHeight="1" x14ac:dyDescent="0.3">
      <c r="B34" s="835" t="s">
        <v>620</v>
      </c>
      <c r="C34" s="836"/>
      <c r="D34" s="185">
        <v>0.5</v>
      </c>
      <c r="E34" s="845"/>
    </row>
    <row r="35" spans="2:5" ht="15" customHeight="1" x14ac:dyDescent="0.3">
      <c r="B35" s="835" t="s">
        <v>621</v>
      </c>
      <c r="C35" s="836"/>
      <c r="D35" s="185">
        <v>1</v>
      </c>
      <c r="E35" s="845"/>
    </row>
    <row r="36" spans="2:5" ht="15" customHeight="1" x14ac:dyDescent="0.3">
      <c r="B36" s="841" t="s">
        <v>139</v>
      </c>
      <c r="C36" s="842"/>
      <c r="D36" s="186">
        <f>SUM(D25:D35)</f>
        <v>20.5</v>
      </c>
      <c r="E36" s="845"/>
    </row>
    <row r="37" spans="2:5" ht="15" customHeight="1" x14ac:dyDescent="0.3">
      <c r="B37" s="843" t="s">
        <v>773</v>
      </c>
      <c r="C37" s="844"/>
      <c r="D37" s="843"/>
      <c r="E37" s="200">
        <f>D40/100</f>
        <v>0.184</v>
      </c>
    </row>
    <row r="38" spans="2:5" ht="15" customHeight="1" x14ac:dyDescent="0.3">
      <c r="B38" s="837" t="s">
        <v>432</v>
      </c>
      <c r="C38" s="838"/>
      <c r="D38" s="187">
        <v>3</v>
      </c>
      <c r="E38" s="859"/>
    </row>
    <row r="39" spans="2:5" ht="15" customHeight="1" x14ac:dyDescent="0.3">
      <c r="B39" s="837" t="s">
        <v>433</v>
      </c>
      <c r="C39" s="838"/>
      <c r="D39" s="187">
        <v>15.4</v>
      </c>
      <c r="E39" s="859"/>
    </row>
    <row r="40" spans="2:5" ht="15" customHeight="1" x14ac:dyDescent="0.3">
      <c r="B40" s="841" t="s">
        <v>139</v>
      </c>
      <c r="C40" s="842"/>
      <c r="D40" s="186">
        <f>SUM(D38:D39)</f>
        <v>18.399999999999999</v>
      </c>
      <c r="E40" s="859"/>
    </row>
    <row r="41" spans="2:5" ht="15" customHeight="1" x14ac:dyDescent="0.3">
      <c r="B41" s="860" t="s">
        <v>774</v>
      </c>
      <c r="C41" s="861"/>
      <c r="D41" s="847"/>
      <c r="E41" s="201">
        <f>D43/100</f>
        <v>0.08</v>
      </c>
    </row>
    <row r="42" spans="2:5" ht="15" customHeight="1" x14ac:dyDescent="0.3">
      <c r="B42" s="839" t="s">
        <v>622</v>
      </c>
      <c r="C42" s="840"/>
      <c r="D42" s="185">
        <v>8</v>
      </c>
      <c r="E42" s="862"/>
    </row>
    <row r="43" spans="2:5" ht="15" customHeight="1" x14ac:dyDescent="0.3">
      <c r="B43" s="841" t="s">
        <v>139</v>
      </c>
      <c r="C43" s="842"/>
      <c r="D43" s="188">
        <f>SUM(D42:D42)</f>
        <v>8</v>
      </c>
      <c r="E43" s="863"/>
    </row>
    <row r="44" spans="2:5" ht="15" customHeight="1" x14ac:dyDescent="0.3">
      <c r="B44" s="849" t="s">
        <v>434</v>
      </c>
      <c r="C44" s="850"/>
      <c r="D44" s="849"/>
      <c r="E44" s="186">
        <f>E7+E9+E24+E37+E41</f>
        <v>2.1973000000000003</v>
      </c>
    </row>
    <row r="45" spans="2:5" ht="15" customHeight="1" x14ac:dyDescent="0.3">
      <c r="B45" s="849" t="s">
        <v>623</v>
      </c>
      <c r="C45" s="850"/>
      <c r="D45" s="849"/>
      <c r="E45" s="849"/>
    </row>
    <row r="46" spans="2:5" ht="15" customHeight="1" x14ac:dyDescent="0.3">
      <c r="B46" s="857">
        <f>ROUND(E44,1)</f>
        <v>2.2000000000000002</v>
      </c>
      <c r="C46" s="858"/>
      <c r="D46" s="857"/>
      <c r="E46" s="857"/>
    </row>
    <row r="47" spans="2:5" x14ac:dyDescent="0.3">
      <c r="B47" s="19" t="s">
        <v>131</v>
      </c>
      <c r="C47" s="135" t="s">
        <v>129</v>
      </c>
    </row>
    <row r="48" spans="2:5" x14ac:dyDescent="0.3">
      <c r="B48" s="5"/>
      <c r="C48" s="5"/>
    </row>
    <row r="49" spans="2:3" x14ac:dyDescent="0.3">
      <c r="B49" s="5"/>
      <c r="C49" s="5"/>
    </row>
    <row r="50" spans="2:3" x14ac:dyDescent="0.3">
      <c r="B50" s="133"/>
      <c r="C50" s="133"/>
    </row>
    <row r="51" spans="2:3" x14ac:dyDescent="0.3">
      <c r="C51" s="132"/>
    </row>
    <row r="52" spans="2:3" x14ac:dyDescent="0.3">
      <c r="B52" s="132" t="str">
        <f>PPTO!C81</f>
        <v>ING. JEYSON JULIAN LEON RUEDA</v>
      </c>
      <c r="C52" s="132" t="str">
        <f>PPTO!E81</f>
        <v>ARQ. YASMID ROCÍO CARRILLO MORA</v>
      </c>
    </row>
    <row r="53" spans="2:3" x14ac:dyDescent="0.3">
      <c r="B53" s="131" t="str">
        <f>PPTO!C82</f>
        <v>MP. 68202-416348 STD</v>
      </c>
      <c r="C53" t="str">
        <f>PPTO!E82</f>
        <v>SECRETARIA DE PLANEACIÓN Y OBRAS PÚBLICAS</v>
      </c>
    </row>
    <row r="54" spans="2:3" x14ac:dyDescent="0.3">
      <c r="C54" t="str">
        <f>PPTO!E83</f>
        <v>MUNICIPIO DE PINCHOTE</v>
      </c>
    </row>
  </sheetData>
  <mergeCells count="50">
    <mergeCell ref="B45:E45"/>
    <mergeCell ref="B46:E46"/>
    <mergeCell ref="E38:E40"/>
    <mergeCell ref="B41:D41"/>
    <mergeCell ref="E42:E43"/>
    <mergeCell ref="B44:D44"/>
    <mergeCell ref="B43:C43"/>
    <mergeCell ref="B6:E6"/>
    <mergeCell ref="B5:E5"/>
    <mergeCell ref="B3:D3"/>
    <mergeCell ref="B2:D2"/>
    <mergeCell ref="E2:E3"/>
    <mergeCell ref="B4:C4"/>
    <mergeCell ref="B37:D37"/>
    <mergeCell ref="B7:D7"/>
    <mergeCell ref="E26:E36"/>
    <mergeCell ref="B24:D24"/>
    <mergeCell ref="B25:E25"/>
    <mergeCell ref="B9:D9"/>
    <mergeCell ref="E11:E23"/>
    <mergeCell ref="B10:C10"/>
    <mergeCell ref="B11:C11"/>
    <mergeCell ref="B12:C12"/>
    <mergeCell ref="B13:C13"/>
    <mergeCell ref="B14:C14"/>
    <mergeCell ref="B15:C15"/>
    <mergeCell ref="B16:C16"/>
    <mergeCell ref="B17:C17"/>
    <mergeCell ref="B28:C28"/>
    <mergeCell ref="B18:C18"/>
    <mergeCell ref="B19:C19"/>
    <mergeCell ref="B20:C20"/>
    <mergeCell ref="B21:C21"/>
    <mergeCell ref="B22:C22"/>
    <mergeCell ref="B35:C35"/>
    <mergeCell ref="B38:C38"/>
    <mergeCell ref="B39:C39"/>
    <mergeCell ref="B42:C42"/>
    <mergeCell ref="B8:C8"/>
    <mergeCell ref="B40:C40"/>
    <mergeCell ref="B36:C36"/>
    <mergeCell ref="B23:C23"/>
    <mergeCell ref="B30:C30"/>
    <mergeCell ref="B31:C31"/>
    <mergeCell ref="B32:C32"/>
    <mergeCell ref="B33:C33"/>
    <mergeCell ref="B34:C34"/>
    <mergeCell ref="B26:C26"/>
    <mergeCell ref="B27:C27"/>
    <mergeCell ref="B29:C29"/>
  </mergeCells>
  <conditionalFormatting sqref="B3:C3">
    <cfRule type="cellIs" dxfId="7" priority="1" stopIfTrue="1" operator="equal">
      <formula>"ESCRIBA AQUÍ EL NOMBRE DE LA OBRA"</formula>
    </cfRule>
  </conditionalFormatting>
  <pageMargins left="0.7" right="0.7" top="0.75" bottom="0.75" header="0.3" footer="0.3"/>
  <pageSetup scale="76" fitToHeight="0" orientation="portrait" r:id="rId1"/>
  <ignoredErrors>
    <ignoredError sqref="D3:D4 B3:B4" unlocked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BD642-83C1-468C-BA55-3B8151C820B2}">
  <sheetPr>
    <pageSetUpPr fitToPage="1"/>
  </sheetPr>
  <dimension ref="B1:M47"/>
  <sheetViews>
    <sheetView view="pageBreakPreview" topLeftCell="A27" zoomScaleNormal="100" zoomScaleSheetLayoutView="100" workbookViewId="0">
      <selection activeCell="H46" sqref="H46"/>
    </sheetView>
  </sheetViews>
  <sheetFormatPr baseColWidth="10" defaultColWidth="10.88671875" defaultRowHeight="14.4" x14ac:dyDescent="0.3"/>
  <cols>
    <col min="1" max="1" width="1.44140625" customWidth="1"/>
    <col min="3" max="3" width="14.6640625" customWidth="1"/>
    <col min="4" max="6" width="17.44140625" customWidth="1"/>
    <col min="7" max="7" width="16.109375" bestFit="1" customWidth="1"/>
    <col min="8" max="8" width="14.5546875" customWidth="1"/>
    <col min="9" max="9" width="11.88671875" customWidth="1"/>
    <col min="10" max="10" width="17.109375" bestFit="1" customWidth="1"/>
    <col min="11" max="11" width="1.44140625" customWidth="1"/>
    <col min="13" max="13" width="15.109375" bestFit="1" customWidth="1"/>
  </cols>
  <sheetData>
    <row r="1" spans="2:10" ht="7.5" customHeight="1" thickBot="1" x14ac:dyDescent="0.35"/>
    <row r="2" spans="2:10" ht="30.6" x14ac:dyDescent="0.3">
      <c r="B2" s="864" t="s">
        <v>435</v>
      </c>
      <c r="C2" s="865"/>
      <c r="D2" s="865"/>
      <c r="E2" s="865"/>
      <c r="F2" s="865"/>
      <c r="G2" s="865"/>
      <c r="H2" s="865"/>
      <c r="I2" s="865"/>
      <c r="J2" s="897"/>
    </row>
    <row r="3" spans="2:10" ht="15" customHeight="1" x14ac:dyDescent="0.3">
      <c r="B3" s="874" t="s">
        <v>130</v>
      </c>
      <c r="C3" s="851"/>
      <c r="D3" s="851" t="str">
        <f>INFORMACION!A12</f>
        <v>ALCALDIA MUNICIPAL DE PINCHOTE</v>
      </c>
      <c r="E3" s="851"/>
      <c r="F3" s="851"/>
      <c r="G3" s="851"/>
      <c r="H3" s="866"/>
      <c r="I3" s="866"/>
      <c r="J3" s="898"/>
    </row>
    <row r="4" spans="2:10" ht="37.5" customHeight="1" x14ac:dyDescent="0.3">
      <c r="B4" s="231" t="s">
        <v>27</v>
      </c>
      <c r="C4" s="851" t="str">
        <f>INFORMACION!$A$3</f>
        <v>CONSTRUCCIÓN DE PAVIMENTO EN PIEDRA LABOR Y OPTIMIZACIÓN DE LA RED DE ALCANTARILLADO SANITARIO CALLE 5 ENTRE CARRERA 3 Y 4 DEL CASCO URBANO DEL MUNICIPIO DE PINCHOTE, DEPARTAMENTO DE SANTANDER</v>
      </c>
      <c r="D4" s="851"/>
      <c r="E4" s="851"/>
      <c r="F4" s="851"/>
      <c r="G4" s="851"/>
      <c r="H4" s="851"/>
      <c r="I4" s="851"/>
      <c r="J4" s="898"/>
    </row>
    <row r="5" spans="2:10" ht="24" customHeight="1" x14ac:dyDescent="0.3">
      <c r="B5" s="874" t="str">
        <f>PPTO!C5</f>
        <v>LOCALIZACIÓN:PINCHOTE, SANTANDER</v>
      </c>
      <c r="C5" s="851"/>
      <c r="D5" s="851"/>
      <c r="E5" s="851"/>
      <c r="F5" s="851"/>
      <c r="G5" s="851"/>
      <c r="H5" s="194" t="s">
        <v>31</v>
      </c>
      <c r="I5" s="875" t="str">
        <f>PRESENTACION!$A$43</f>
        <v>ABRIL DE 2026</v>
      </c>
      <c r="J5" s="876"/>
    </row>
    <row r="6" spans="2:10" ht="33.75" customHeight="1" thickBot="1" x14ac:dyDescent="0.35">
      <c r="B6" s="899" t="str">
        <f>FM!B3</f>
        <v>INTERVENTORIA TECNICA ADMINISTRATIVA FINANCIERA Y AMBIENTAL PARA LA CONSTRUCCIÓN DE PAVIMENTO EN PIEDRA LABOR Y OPTIMIZACIÓN DE LA RED DE ALCANTARILLADO SANITARIO CALLE 5 ENTRE CARRERA 3 Y 4 DEL CASCO URBANO DEL MUNICIPIO DE PINCHOTE, DEPARTAMENTO DE SANTANDER</v>
      </c>
      <c r="C6" s="900"/>
      <c r="D6" s="900"/>
      <c r="E6" s="900"/>
      <c r="F6" s="900"/>
      <c r="G6" s="900"/>
      <c r="H6" s="900"/>
      <c r="I6" s="900"/>
      <c r="J6" s="901"/>
    </row>
    <row r="7" spans="2:10" ht="15" thickBot="1" x14ac:dyDescent="0.35">
      <c r="B7" s="902"/>
      <c r="C7" s="902"/>
      <c r="D7" s="902"/>
      <c r="E7" s="902"/>
      <c r="F7" s="902"/>
      <c r="G7" s="902"/>
      <c r="H7" s="902"/>
      <c r="I7" s="902"/>
      <c r="J7" s="902"/>
    </row>
    <row r="8" spans="2:10" ht="15" thickBot="1" x14ac:dyDescent="0.35">
      <c r="B8" s="903" t="s">
        <v>436</v>
      </c>
      <c r="C8" s="904"/>
      <c r="D8" s="904"/>
      <c r="E8" s="232">
        <f>INFORMACION!A22</f>
        <v>2</v>
      </c>
      <c r="F8" s="233" t="s">
        <v>437</v>
      </c>
      <c r="G8" s="234"/>
      <c r="H8" s="234"/>
      <c r="I8" s="234"/>
      <c r="J8" s="235"/>
    </row>
    <row r="9" spans="2:10" ht="15" thickBot="1" x14ac:dyDescent="0.35">
      <c r="B9" s="905"/>
      <c r="C9" s="905"/>
      <c r="D9" s="905"/>
      <c r="E9" s="905"/>
      <c r="F9" s="905"/>
      <c r="G9" s="905"/>
      <c r="H9" s="905"/>
      <c r="I9" s="905"/>
      <c r="J9" s="905"/>
    </row>
    <row r="10" spans="2:10" x14ac:dyDescent="0.3">
      <c r="B10" s="906" t="s">
        <v>438</v>
      </c>
      <c r="C10" s="908" t="s">
        <v>439</v>
      </c>
      <c r="D10" s="908"/>
      <c r="E10" s="908" t="s">
        <v>440</v>
      </c>
      <c r="F10" s="908"/>
      <c r="G10" s="908"/>
      <c r="H10" s="908" t="s">
        <v>441</v>
      </c>
      <c r="I10" s="908" t="s">
        <v>442</v>
      </c>
      <c r="J10" s="909" t="s">
        <v>443</v>
      </c>
    </row>
    <row r="11" spans="2:10" x14ac:dyDescent="0.3">
      <c r="B11" s="907"/>
      <c r="C11" s="869"/>
      <c r="D11" s="869"/>
      <c r="E11" s="869" t="s">
        <v>444</v>
      </c>
      <c r="F11" s="869"/>
      <c r="G11" s="869"/>
      <c r="H11" s="869"/>
      <c r="I11" s="869"/>
      <c r="J11" s="910"/>
    </row>
    <row r="12" spans="2:10" x14ac:dyDescent="0.3">
      <c r="B12" s="236" t="s">
        <v>399</v>
      </c>
      <c r="C12" s="877" t="s">
        <v>445</v>
      </c>
      <c r="D12" s="877"/>
      <c r="E12" s="877"/>
      <c r="F12" s="877"/>
      <c r="G12" s="877"/>
      <c r="H12" s="877"/>
      <c r="I12" s="877"/>
      <c r="J12" s="878"/>
    </row>
    <row r="13" spans="2:10" x14ac:dyDescent="0.3">
      <c r="B13" s="237" t="s">
        <v>446</v>
      </c>
      <c r="C13" s="877" t="s">
        <v>447</v>
      </c>
      <c r="D13" s="877"/>
      <c r="E13" s="877"/>
      <c r="F13" s="877"/>
      <c r="G13" s="877"/>
      <c r="H13" s="877"/>
      <c r="I13" s="877"/>
      <c r="J13" s="878"/>
    </row>
    <row r="14" spans="2:10" x14ac:dyDescent="0.3">
      <c r="B14" s="237">
        <v>1</v>
      </c>
      <c r="C14" s="870" t="s">
        <v>448</v>
      </c>
      <c r="D14" s="870"/>
      <c r="E14" s="870"/>
      <c r="F14" s="870"/>
      <c r="G14" s="238">
        <f>'DESGLOCE DE PERSONAL'!E58</f>
        <v>4900000</v>
      </c>
      <c r="H14" s="239">
        <f>E8</f>
        <v>2</v>
      </c>
      <c r="I14" s="240">
        <v>0.3</v>
      </c>
      <c r="J14" s="241">
        <f t="shared" ref="J14:J16" si="0">ROUND(B14*G14*H14*I14,2)</f>
        <v>2940000</v>
      </c>
    </row>
    <row r="15" spans="2:10" x14ac:dyDescent="0.3">
      <c r="B15" s="237">
        <v>1</v>
      </c>
      <c r="C15" s="870" t="s">
        <v>449</v>
      </c>
      <c r="D15" s="870"/>
      <c r="E15" s="870"/>
      <c r="F15" s="870"/>
      <c r="G15" s="238">
        <f>'DESGLOCE DE PERSONAL'!E59</f>
        <v>3225000</v>
      </c>
      <c r="H15" s="239">
        <f>H14</f>
        <v>2</v>
      </c>
      <c r="I15" s="240">
        <v>1</v>
      </c>
      <c r="J15" s="241">
        <f t="shared" si="0"/>
        <v>6450000</v>
      </c>
    </row>
    <row r="16" spans="2:10" hidden="1" x14ac:dyDescent="0.3">
      <c r="B16" s="237">
        <v>0</v>
      </c>
      <c r="C16" s="870" t="s">
        <v>200</v>
      </c>
      <c r="D16" s="870"/>
      <c r="E16" s="870"/>
      <c r="F16" s="870"/>
      <c r="G16" s="238">
        <f>'DESGLOCE DE PERSONAL'!E60</f>
        <v>2700000</v>
      </c>
      <c r="H16" s="239">
        <f>H14</f>
        <v>2</v>
      </c>
      <c r="I16" s="242">
        <v>1</v>
      </c>
      <c r="J16" s="241">
        <f t="shared" si="0"/>
        <v>0</v>
      </c>
    </row>
    <row r="17" spans="2:10" ht="15" hidden="1" customHeight="1" x14ac:dyDescent="0.3">
      <c r="B17" s="237">
        <v>0</v>
      </c>
      <c r="C17" s="911" t="s">
        <v>546</v>
      </c>
      <c r="D17" s="912"/>
      <c r="E17" s="912"/>
      <c r="F17" s="913"/>
      <c r="G17" s="238">
        <f>'DESGLOCE DE PERSONAL'!E63</f>
        <v>3500000</v>
      </c>
      <c r="H17" s="239">
        <f t="shared" ref="H17:H18" si="1">H15</f>
        <v>2</v>
      </c>
      <c r="I17" s="242">
        <v>0.2</v>
      </c>
      <c r="J17" s="241">
        <f t="shared" ref="J17:J18" si="2">ROUND(B17*G17*H17*I17,2)</f>
        <v>0</v>
      </c>
    </row>
    <row r="18" spans="2:10" ht="15" hidden="1" customHeight="1" x14ac:dyDescent="0.3">
      <c r="B18" s="237">
        <v>0</v>
      </c>
      <c r="C18" s="911" t="s">
        <v>548</v>
      </c>
      <c r="D18" s="912"/>
      <c r="E18" s="912"/>
      <c r="F18" s="913"/>
      <c r="G18" s="238">
        <f>'DESGLOCE DE PERSONAL'!E64</f>
        <v>3000000</v>
      </c>
      <c r="H18" s="239">
        <f t="shared" si="1"/>
        <v>2</v>
      </c>
      <c r="I18" s="242">
        <v>0.2</v>
      </c>
      <c r="J18" s="241">
        <f t="shared" si="2"/>
        <v>0</v>
      </c>
    </row>
    <row r="19" spans="2:10" hidden="1" x14ac:dyDescent="0.3">
      <c r="B19" s="237" t="s">
        <v>446</v>
      </c>
      <c r="C19" s="877" t="s">
        <v>450</v>
      </c>
      <c r="D19" s="877"/>
      <c r="E19" s="877"/>
      <c r="F19" s="877"/>
      <c r="G19" s="877"/>
      <c r="H19" s="877"/>
      <c r="I19" s="877"/>
      <c r="J19" s="878"/>
    </row>
    <row r="20" spans="2:10" hidden="1" x14ac:dyDescent="0.3">
      <c r="B20" s="237">
        <v>0</v>
      </c>
      <c r="C20" s="870" t="s">
        <v>451</v>
      </c>
      <c r="D20" s="870"/>
      <c r="E20" s="870"/>
      <c r="F20" s="870"/>
      <c r="G20" s="243">
        <f>('DESGLOCE DE PERSONAL'!F52+'DESGLOCE DE PERSONAL'!G52+'DESGLOCE DE PERSONAL'!H52)*30</f>
        <v>3749105</v>
      </c>
      <c r="H20" s="239">
        <f>H14</f>
        <v>2</v>
      </c>
      <c r="I20" s="240">
        <v>0.3</v>
      </c>
      <c r="J20" s="241">
        <f>ROUND(B20*G20*H20*I20,2)</f>
        <v>0</v>
      </c>
    </row>
    <row r="21" spans="2:10" hidden="1" x14ac:dyDescent="0.3">
      <c r="B21" s="237"/>
      <c r="C21" s="870" t="s">
        <v>452</v>
      </c>
      <c r="D21" s="870"/>
      <c r="E21" s="870"/>
      <c r="F21" s="870"/>
      <c r="G21" s="243">
        <f>('DESGLOCE DE PERSONAL'!F53+'DESGLOCE DE PERSONAL'!G53+'DESGLOCE DE PERSONAL'!H53)*30</f>
        <v>2949095</v>
      </c>
      <c r="H21" s="239">
        <f>+H20</f>
        <v>2</v>
      </c>
      <c r="I21" s="240">
        <v>0.15</v>
      </c>
      <c r="J21" s="241">
        <f>ROUND(B21*G21*H21*I21,2)</f>
        <v>0</v>
      </c>
    </row>
    <row r="22" spans="2:10" hidden="1" x14ac:dyDescent="0.3">
      <c r="B22" s="237"/>
      <c r="C22" s="871" t="s">
        <v>453</v>
      </c>
      <c r="D22" s="872"/>
      <c r="E22" s="872"/>
      <c r="F22" s="873"/>
      <c r="G22" s="243">
        <f>'DESGLOCE DE PERSONAL'!E66</f>
        <v>1750905</v>
      </c>
      <c r="H22" s="239">
        <f t="shared" ref="H22:H23" si="3">+H21</f>
        <v>2</v>
      </c>
      <c r="I22" s="240">
        <v>1</v>
      </c>
      <c r="J22" s="241">
        <f t="shared" ref="J22:J23" si="4">ROUND(B22*G22*H22*I22,2)</f>
        <v>0</v>
      </c>
    </row>
    <row r="23" spans="2:10" hidden="1" x14ac:dyDescent="0.3">
      <c r="B23" s="237"/>
      <c r="C23" s="871" t="s">
        <v>454</v>
      </c>
      <c r="D23" s="872"/>
      <c r="E23" s="872"/>
      <c r="F23" s="873"/>
      <c r="G23" s="243">
        <f>'DESGLOCE DE PERSONAL'!E67</f>
        <v>1500000</v>
      </c>
      <c r="H23" s="239">
        <f t="shared" si="3"/>
        <v>2</v>
      </c>
      <c r="I23" s="240">
        <v>0.3</v>
      </c>
      <c r="J23" s="241">
        <f t="shared" si="4"/>
        <v>0</v>
      </c>
    </row>
    <row r="24" spans="2:10" x14ac:dyDescent="0.3">
      <c r="B24" s="237"/>
      <c r="C24" s="870"/>
      <c r="D24" s="870"/>
      <c r="E24" s="870"/>
      <c r="F24" s="870"/>
      <c r="G24" s="238"/>
      <c r="H24" s="239"/>
      <c r="I24" s="240"/>
      <c r="J24" s="241"/>
    </row>
    <row r="25" spans="2:10" x14ac:dyDescent="0.3">
      <c r="B25" s="891"/>
      <c r="C25" s="893" t="s">
        <v>455</v>
      </c>
      <c r="D25" s="893"/>
      <c r="E25" s="893"/>
      <c r="F25" s="893"/>
      <c r="G25" s="893"/>
      <c r="H25" s="893"/>
      <c r="I25" s="893"/>
      <c r="J25" s="241">
        <f>ROUND(SUM(J14:J24),2)</f>
        <v>9390000</v>
      </c>
    </row>
    <row r="26" spans="2:10" x14ac:dyDescent="0.3">
      <c r="B26" s="891"/>
      <c r="C26" s="893" t="s">
        <v>456</v>
      </c>
      <c r="D26" s="894"/>
      <c r="E26" s="894"/>
      <c r="F26" s="894"/>
      <c r="G26" s="894"/>
      <c r="H26" s="894"/>
      <c r="I26" s="894"/>
      <c r="J26" s="244">
        <f>FM!B46</f>
        <v>2.2000000000000002</v>
      </c>
    </row>
    <row r="27" spans="2:10" ht="15" thickBot="1" x14ac:dyDescent="0.35">
      <c r="B27" s="892"/>
      <c r="C27" s="895" t="s">
        <v>457</v>
      </c>
      <c r="D27" s="896"/>
      <c r="E27" s="896"/>
      <c r="F27" s="896"/>
      <c r="G27" s="896"/>
      <c r="H27" s="896"/>
      <c r="I27" s="896"/>
      <c r="J27" s="245">
        <f>ROUND(J25*J26,0)</f>
        <v>20658000</v>
      </c>
    </row>
    <row r="28" spans="2:10" ht="15" thickBot="1" x14ac:dyDescent="0.35">
      <c r="B28" s="885"/>
      <c r="C28" s="885"/>
      <c r="D28" s="885"/>
      <c r="E28" s="885"/>
      <c r="F28" s="885"/>
      <c r="G28" s="885"/>
      <c r="H28" s="885"/>
      <c r="I28" s="885"/>
      <c r="J28" s="885"/>
    </row>
    <row r="29" spans="2:10" x14ac:dyDescent="0.3">
      <c r="B29" s="246" t="s">
        <v>416</v>
      </c>
      <c r="C29" s="247" t="s">
        <v>458</v>
      </c>
      <c r="D29" s="248"/>
      <c r="E29" s="248"/>
      <c r="F29" s="249"/>
      <c r="G29" s="248"/>
      <c r="H29" s="867"/>
      <c r="I29" s="867"/>
      <c r="J29" s="868"/>
    </row>
    <row r="30" spans="2:10" ht="39.6" x14ac:dyDescent="0.3">
      <c r="B30" s="250" t="s">
        <v>459</v>
      </c>
      <c r="C30" s="869" t="s">
        <v>460</v>
      </c>
      <c r="D30" s="869"/>
      <c r="E30" s="869"/>
      <c r="F30" s="251" t="s">
        <v>461</v>
      </c>
      <c r="G30" s="252" t="s">
        <v>462</v>
      </c>
      <c r="H30" s="253" t="s">
        <v>463</v>
      </c>
      <c r="I30" s="253" t="s">
        <v>464</v>
      </c>
      <c r="J30" s="254" t="s">
        <v>443</v>
      </c>
    </row>
    <row r="31" spans="2:10" ht="26.25" customHeight="1" x14ac:dyDescent="0.3">
      <c r="B31" s="255">
        <v>1</v>
      </c>
      <c r="C31" s="887" t="s">
        <v>465</v>
      </c>
      <c r="D31" s="887"/>
      <c r="E31" s="887"/>
      <c r="F31" s="256" t="s">
        <v>466</v>
      </c>
      <c r="G31" s="257">
        <v>380000</v>
      </c>
      <c r="H31" s="258">
        <v>1</v>
      </c>
      <c r="I31" s="259">
        <f>+$E$8</f>
        <v>2</v>
      </c>
      <c r="J31" s="260">
        <f>ROUND(G31*H31*I31,2)</f>
        <v>760000</v>
      </c>
    </row>
    <row r="32" spans="2:10" ht="26.25" customHeight="1" x14ac:dyDescent="0.3">
      <c r="B32" s="255">
        <v>1</v>
      </c>
      <c r="C32" s="887" t="s">
        <v>467</v>
      </c>
      <c r="D32" s="887"/>
      <c r="E32" s="887"/>
      <c r="F32" s="256" t="s">
        <v>466</v>
      </c>
      <c r="G32" s="257">
        <v>140000</v>
      </c>
      <c r="H32" s="258">
        <v>1</v>
      </c>
      <c r="I32" s="259">
        <f t="shared" ref="I32:I33" si="5">+$E$8</f>
        <v>2</v>
      </c>
      <c r="J32" s="260">
        <f>ROUND(G32*H32*I32,2)</f>
        <v>280000</v>
      </c>
    </row>
    <row r="33" spans="2:13" hidden="1" x14ac:dyDescent="0.3">
      <c r="B33" s="255">
        <v>0</v>
      </c>
      <c r="C33" s="887" t="s">
        <v>468</v>
      </c>
      <c r="D33" s="887"/>
      <c r="E33" s="887"/>
      <c r="F33" s="256" t="s">
        <v>466</v>
      </c>
      <c r="G33" s="257">
        <v>200000</v>
      </c>
      <c r="H33" s="258">
        <v>0.3</v>
      </c>
      <c r="I33" s="259">
        <f t="shared" si="5"/>
        <v>2</v>
      </c>
      <c r="J33" s="260">
        <f>ROUND(G33*H33*I33,2)*B33</f>
        <v>0</v>
      </c>
    </row>
    <row r="34" spans="2:13" ht="15.75" customHeight="1" thickBot="1" x14ac:dyDescent="0.35">
      <c r="B34" s="261"/>
      <c r="C34" s="886" t="s">
        <v>469</v>
      </c>
      <c r="D34" s="883"/>
      <c r="E34" s="883"/>
      <c r="F34" s="883"/>
      <c r="G34" s="883"/>
      <c r="H34" s="883"/>
      <c r="I34" s="884"/>
      <c r="J34" s="262">
        <f>+SUM(J31:J33)</f>
        <v>1040000</v>
      </c>
    </row>
    <row r="35" spans="2:13" ht="15" thickBot="1" x14ac:dyDescent="0.35">
      <c r="B35" s="885"/>
      <c r="C35" s="885"/>
      <c r="D35" s="885"/>
      <c r="E35" s="885"/>
      <c r="F35" s="885"/>
      <c r="G35" s="885"/>
      <c r="H35" s="885"/>
      <c r="I35" s="885"/>
      <c r="J35" s="885"/>
    </row>
    <row r="36" spans="2:13" ht="15" customHeight="1" x14ac:dyDescent="0.3">
      <c r="B36" s="888" t="s">
        <v>470</v>
      </c>
      <c r="C36" s="889"/>
      <c r="D36" s="889"/>
      <c r="E36" s="889"/>
      <c r="F36" s="889"/>
      <c r="G36" s="889"/>
      <c r="H36" s="889"/>
      <c r="I36" s="890"/>
      <c r="J36" s="263">
        <f>J27+J34</f>
        <v>21698000</v>
      </c>
    </row>
    <row r="37" spans="2:13" x14ac:dyDescent="0.3">
      <c r="B37" s="879" t="s">
        <v>471</v>
      </c>
      <c r="C37" s="880"/>
      <c r="D37" s="880"/>
      <c r="E37" s="880"/>
      <c r="F37" s="880"/>
      <c r="G37" s="880"/>
      <c r="H37" s="880"/>
      <c r="I37" s="881"/>
      <c r="J37" s="264">
        <f>ROUND(J36*0.19,0)</f>
        <v>4122620</v>
      </c>
      <c r="M37" s="101"/>
    </row>
    <row r="38" spans="2:13" ht="15.75" customHeight="1" thickBot="1" x14ac:dyDescent="0.35">
      <c r="B38" s="882" t="s">
        <v>472</v>
      </c>
      <c r="C38" s="883"/>
      <c r="D38" s="883"/>
      <c r="E38" s="883"/>
      <c r="F38" s="883"/>
      <c r="G38" s="883"/>
      <c r="H38" s="883"/>
      <c r="I38" s="884"/>
      <c r="J38" s="265">
        <f>ROUND(J36+J37,0)</f>
        <v>25820620</v>
      </c>
      <c r="M38" s="101"/>
    </row>
    <row r="39" spans="2:13" x14ac:dyDescent="0.3">
      <c r="J39" s="266"/>
    </row>
    <row r="40" spans="2:13" x14ac:dyDescent="0.3">
      <c r="B40" s="77" t="s">
        <v>128</v>
      </c>
      <c r="C40" s="1"/>
      <c r="D40" s="108"/>
      <c r="G40" s="77" t="s">
        <v>129</v>
      </c>
      <c r="H40" s="1"/>
      <c r="I40" s="1"/>
      <c r="J40" s="108"/>
      <c r="M40" s="101"/>
    </row>
    <row r="41" spans="2:13" x14ac:dyDescent="0.3">
      <c r="B41" s="75"/>
      <c r="C41" s="1"/>
      <c r="D41" s="108"/>
      <c r="G41" s="1"/>
      <c r="H41" s="1"/>
      <c r="I41" s="1"/>
      <c r="J41" s="108"/>
    </row>
    <row r="42" spans="2:13" x14ac:dyDescent="0.3">
      <c r="B42" s="75"/>
      <c r="C42" s="1"/>
      <c r="D42" s="108"/>
      <c r="G42" s="1"/>
      <c r="H42" s="1"/>
      <c r="I42" s="1"/>
      <c r="J42" s="108"/>
    </row>
    <row r="43" spans="2:13" x14ac:dyDescent="0.3">
      <c r="B43" s="75"/>
      <c r="C43" s="1"/>
      <c r="D43" s="108"/>
      <c r="G43" s="1"/>
      <c r="H43" s="1"/>
      <c r="I43" s="1"/>
      <c r="J43" s="108"/>
    </row>
    <row r="44" spans="2:13" x14ac:dyDescent="0.3">
      <c r="B44" s="75"/>
      <c r="C44" s="1"/>
      <c r="D44" s="108"/>
      <c r="G44" s="1"/>
      <c r="H44" s="1"/>
      <c r="I44" s="1"/>
      <c r="J44" s="108"/>
    </row>
    <row r="45" spans="2:13" ht="15.6" x14ac:dyDescent="0.3">
      <c r="B45" s="110" t="str">
        <f>INFORMACION!C25</f>
        <v>ING. JEYSON JULIAN LEON RUEDA</v>
      </c>
      <c r="C45" s="110"/>
      <c r="D45" s="110"/>
      <c r="E45" s="110"/>
      <c r="G45" s="127" t="str">
        <f>INFORMACION!$C$14</f>
        <v>ARQ. YASMID ROCÍO CARRILLO MORA</v>
      </c>
      <c r="H45" s="127"/>
      <c r="I45" s="127"/>
      <c r="J45" s="127"/>
    </row>
    <row r="46" spans="2:13" ht="15.6" x14ac:dyDescent="0.3">
      <c r="B46" s="111" t="str">
        <f>INFORMACION!C26</f>
        <v>MP. 68202-416348 STD</v>
      </c>
      <c r="C46" s="111"/>
      <c r="D46" s="111"/>
      <c r="E46" s="111"/>
      <c r="G46" s="128" t="str">
        <f>INFORMACION!$C$15</f>
        <v>SECRETARIA DE PLANEACIÓN Y OBRAS PÚBLICAS</v>
      </c>
      <c r="H46" s="128"/>
      <c r="I46" s="128"/>
      <c r="J46" s="128"/>
    </row>
    <row r="47" spans="2:13" ht="15.6" x14ac:dyDescent="0.3">
      <c r="B47" s="75"/>
      <c r="C47" s="1"/>
      <c r="D47" s="76"/>
      <c r="G47" s="128" t="str">
        <f>INFORMACION!$C$16</f>
        <v>MUNICIPIO DE PINCHOTE</v>
      </c>
      <c r="H47" s="128"/>
      <c r="I47" s="128"/>
      <c r="J47" s="128"/>
    </row>
  </sheetData>
  <mergeCells count="47">
    <mergeCell ref="C19:J19"/>
    <mergeCell ref="B6:J6"/>
    <mergeCell ref="B7:J7"/>
    <mergeCell ref="B8:D8"/>
    <mergeCell ref="B9:J9"/>
    <mergeCell ref="B10:B11"/>
    <mergeCell ref="C10:D11"/>
    <mergeCell ref="E10:G10"/>
    <mergeCell ref="H10:H11"/>
    <mergeCell ref="I10:I11"/>
    <mergeCell ref="J10:J11"/>
    <mergeCell ref="E11:G11"/>
    <mergeCell ref="C16:F16"/>
    <mergeCell ref="C17:F17"/>
    <mergeCell ref="C18:F18"/>
    <mergeCell ref="B5:G5"/>
    <mergeCell ref="C4:I4"/>
    <mergeCell ref="B37:I37"/>
    <mergeCell ref="B38:I38"/>
    <mergeCell ref="B35:J35"/>
    <mergeCell ref="C34:I34"/>
    <mergeCell ref="C32:E32"/>
    <mergeCell ref="C33:E33"/>
    <mergeCell ref="B36:I36"/>
    <mergeCell ref="C31:E31"/>
    <mergeCell ref="B25:B27"/>
    <mergeCell ref="C25:I25"/>
    <mergeCell ref="C26:I26"/>
    <mergeCell ref="C27:I27"/>
    <mergeCell ref="B28:J28"/>
    <mergeCell ref="J2:J4"/>
    <mergeCell ref="B2:G2"/>
    <mergeCell ref="D3:G3"/>
    <mergeCell ref="H2:I3"/>
    <mergeCell ref="H29:J29"/>
    <mergeCell ref="C30:E30"/>
    <mergeCell ref="C21:F21"/>
    <mergeCell ref="C22:F22"/>
    <mergeCell ref="C23:F23"/>
    <mergeCell ref="C20:F20"/>
    <mergeCell ref="B3:C3"/>
    <mergeCell ref="C24:F24"/>
    <mergeCell ref="I5:J5"/>
    <mergeCell ref="C12:J12"/>
    <mergeCell ref="C13:J13"/>
    <mergeCell ref="C14:F14"/>
    <mergeCell ref="C15:F15"/>
  </mergeCells>
  <conditionalFormatting sqref="B4">
    <cfRule type="cellIs" dxfId="6" priority="1" stopIfTrue="1" operator="equal">
      <formula>"ESCRIBA AQUÍ EL NOMBRE DE LA OBRA"</formula>
    </cfRule>
  </conditionalFormatting>
  <pageMargins left="0.7" right="0.7" top="0.75" bottom="0.75" header="0.3" footer="0.3"/>
  <pageSetup scale="64" fitToHeight="0" orientation="portrait" r:id="rId1"/>
  <ignoredErrors>
    <ignoredError sqref="C4 D3 B5" unlocked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51C85-1046-455A-8B06-63DF6C25895F}">
  <sheetPr>
    <pageSetUpPr fitToPage="1"/>
  </sheetPr>
  <dimension ref="C2:M53"/>
  <sheetViews>
    <sheetView view="pageBreakPreview" topLeftCell="A19" zoomScale="70" zoomScaleNormal="60" zoomScaleSheetLayoutView="70" workbookViewId="0">
      <selection activeCell="H46" sqref="H46"/>
    </sheetView>
  </sheetViews>
  <sheetFormatPr baseColWidth="10" defaultRowHeight="14.4" x14ac:dyDescent="0.3"/>
  <cols>
    <col min="2" max="2" width="1.44140625" customWidth="1"/>
    <col min="3" max="3" width="5" bestFit="1" customWidth="1"/>
    <col min="4" max="4" width="33.33203125" customWidth="1"/>
    <col min="5" max="5" width="23.33203125" customWidth="1"/>
    <col min="6" max="6" width="25" customWidth="1"/>
    <col min="7" max="7" width="7.109375" bestFit="1" customWidth="1"/>
    <col min="8" max="8" width="7.109375" customWidth="1"/>
    <col min="9" max="9" width="11.5546875" bestFit="1" customWidth="1"/>
    <col min="10" max="10" width="17.6640625" bestFit="1" customWidth="1"/>
    <col min="11" max="11" width="1.44140625" customWidth="1"/>
    <col min="13" max="13" width="14.44140625" bestFit="1" customWidth="1"/>
  </cols>
  <sheetData>
    <row r="2" spans="3:11" ht="27.75" customHeight="1" x14ac:dyDescent="0.3">
      <c r="C2" s="866" t="s">
        <v>511</v>
      </c>
      <c r="D2" s="866"/>
      <c r="E2" s="866"/>
      <c r="F2" s="866"/>
      <c r="G2" s="866"/>
      <c r="H2" s="866"/>
      <c r="I2" s="866"/>
      <c r="J2" s="866"/>
      <c r="K2" s="123"/>
    </row>
    <row r="3" spans="3:11" ht="18" customHeight="1" x14ac:dyDescent="0.3">
      <c r="C3" s="866"/>
      <c r="D3" s="866"/>
      <c r="E3" s="866"/>
      <c r="F3" s="866"/>
      <c r="G3" s="866"/>
      <c r="H3" s="866"/>
      <c r="I3" s="866"/>
      <c r="J3" s="866"/>
      <c r="K3" s="123"/>
    </row>
    <row r="4" spans="3:11" ht="15.75" customHeight="1" x14ac:dyDescent="0.3">
      <c r="C4" s="915" t="s">
        <v>130</v>
      </c>
      <c r="D4" s="915"/>
      <c r="E4" s="915" t="str">
        <f>INFORMACION!A12</f>
        <v>ALCALDIA MUNICIPAL DE PINCHOTE</v>
      </c>
      <c r="F4" s="915"/>
      <c r="G4" s="866"/>
      <c r="H4" s="866"/>
      <c r="I4" s="866"/>
      <c r="J4" s="866"/>
      <c r="K4" s="123"/>
    </row>
    <row r="5" spans="3:11" ht="30.75" customHeight="1" x14ac:dyDescent="0.3">
      <c r="C5" s="851" t="str">
        <f>INFORMACION!$A$3</f>
        <v>CONSTRUCCIÓN DE PAVIMENTO EN PIEDRA LABOR Y OPTIMIZACIÓN DE LA RED DE ALCANTARILLADO SANITARIO CALLE 5 ENTRE CARRERA 3 Y 4 DEL CASCO URBANO DEL MUNICIPIO DE PINCHOTE, DEPARTAMENTO DE SANTANDER</v>
      </c>
      <c r="D5" s="851"/>
      <c r="E5" s="851"/>
      <c r="F5" s="851"/>
      <c r="G5" s="851"/>
      <c r="H5" s="851"/>
      <c r="I5" s="851"/>
      <c r="J5" s="866"/>
      <c r="K5" s="124"/>
    </row>
    <row r="6" spans="3:11" ht="15.75" customHeight="1" x14ac:dyDescent="0.3">
      <c r="C6" s="927" t="str">
        <f>PPTO!$C$5</f>
        <v>LOCALIZACIÓN:PINCHOTE, SANTANDER</v>
      </c>
      <c r="D6" s="927"/>
      <c r="E6" s="927"/>
      <c r="F6" s="927"/>
      <c r="G6" s="926" t="s">
        <v>31</v>
      </c>
      <c r="H6" s="926"/>
      <c r="I6" s="926" t="str">
        <f>PRESENTACION!$A$43</f>
        <v>ABRIL DE 2026</v>
      </c>
      <c r="J6" s="926"/>
      <c r="K6" s="125"/>
    </row>
    <row r="8" spans="3:11" x14ac:dyDescent="0.3">
      <c r="C8" s="918" t="s">
        <v>512</v>
      </c>
      <c r="D8" s="918"/>
      <c r="E8" s="918"/>
      <c r="F8" s="226">
        <f>INFORMACION!A22</f>
        <v>2</v>
      </c>
      <c r="G8" s="919" t="s">
        <v>441</v>
      </c>
      <c r="H8" s="919"/>
      <c r="I8" s="919"/>
      <c r="J8" s="919"/>
      <c r="K8" s="126"/>
    </row>
    <row r="9" spans="3:11" x14ac:dyDescent="0.3">
      <c r="C9" s="928" t="s">
        <v>499</v>
      </c>
      <c r="D9" s="928"/>
      <c r="E9" s="928"/>
      <c r="F9" s="928"/>
      <c r="G9" s="928"/>
      <c r="H9" s="928"/>
      <c r="I9" s="928"/>
      <c r="J9" s="928"/>
    </row>
    <row r="10" spans="3:11" x14ac:dyDescent="0.3">
      <c r="C10" s="221" t="s">
        <v>5</v>
      </c>
      <c r="D10" s="221" t="s">
        <v>500</v>
      </c>
      <c r="E10" s="929" t="s">
        <v>501</v>
      </c>
      <c r="F10" s="929"/>
      <c r="G10" s="221" t="s">
        <v>6</v>
      </c>
      <c r="H10" s="221" t="s">
        <v>107</v>
      </c>
      <c r="I10" s="222" t="s">
        <v>502</v>
      </c>
      <c r="J10" s="223" t="s">
        <v>503</v>
      </c>
    </row>
    <row r="11" spans="3:11" x14ac:dyDescent="0.3">
      <c r="C11" s="930" t="s">
        <v>399</v>
      </c>
      <c r="D11" s="932" t="s">
        <v>504</v>
      </c>
      <c r="E11" s="922" t="s">
        <v>744</v>
      </c>
      <c r="F11" s="922"/>
      <c r="G11" s="922"/>
      <c r="H11" s="922"/>
      <c r="I11" s="922"/>
      <c r="J11" s="227">
        <f>SUM(J12:J13)</f>
        <v>157500</v>
      </c>
    </row>
    <row r="12" spans="3:11" x14ac:dyDescent="0.3">
      <c r="C12" s="931"/>
      <c r="D12" s="933"/>
      <c r="E12" s="923" t="s">
        <v>745</v>
      </c>
      <c r="F12" s="923"/>
      <c r="G12" s="202" t="s">
        <v>36</v>
      </c>
      <c r="H12" s="202">
        <v>50</v>
      </c>
      <c r="I12" s="203">
        <v>150</v>
      </c>
      <c r="J12" s="203">
        <f t="shared" ref="J12" si="0">ROUND(+H12*I12,0)</f>
        <v>7500</v>
      </c>
    </row>
    <row r="13" spans="3:11" x14ac:dyDescent="0.3">
      <c r="C13" s="931"/>
      <c r="D13" s="933"/>
      <c r="E13" s="923" t="s">
        <v>746</v>
      </c>
      <c r="F13" s="923"/>
      <c r="G13" s="202" t="s">
        <v>36</v>
      </c>
      <c r="H13" s="202">
        <v>1</v>
      </c>
      <c r="I13" s="203">
        <v>150000</v>
      </c>
      <c r="J13" s="203">
        <f t="shared" ref="J13" si="1">ROUND(+H13*I13,0)</f>
        <v>150000</v>
      </c>
    </row>
    <row r="14" spans="3:11" x14ac:dyDescent="0.3">
      <c r="C14" s="931"/>
      <c r="D14" s="933"/>
      <c r="E14" s="922" t="s">
        <v>747</v>
      </c>
      <c r="F14" s="922"/>
      <c r="G14" s="922"/>
      <c r="H14" s="922"/>
      <c r="I14" s="922"/>
      <c r="J14" s="227">
        <f>SUM(J15)</f>
        <v>1662900</v>
      </c>
    </row>
    <row r="15" spans="3:11" x14ac:dyDescent="0.3">
      <c r="C15" s="931"/>
      <c r="D15" s="933"/>
      <c r="E15" s="923" t="s">
        <v>775</v>
      </c>
      <c r="F15" s="923"/>
      <c r="G15" s="202" t="s">
        <v>506</v>
      </c>
      <c r="H15" s="204">
        <f>F8</f>
        <v>2</v>
      </c>
      <c r="I15" s="203">
        <f>'DESGLOCE DE PERSONAL'!H61</f>
        <v>3325800</v>
      </c>
      <c r="J15" s="203">
        <f>ROUND(+H15*I15,0)*25%</f>
        <v>1662900</v>
      </c>
    </row>
    <row r="16" spans="3:11" ht="14.4" customHeight="1" x14ac:dyDescent="0.3">
      <c r="C16" s="931"/>
      <c r="D16" s="933"/>
      <c r="E16" s="922" t="s">
        <v>748</v>
      </c>
      <c r="F16" s="922"/>
      <c r="G16" s="922"/>
      <c r="H16" s="922"/>
      <c r="I16" s="922"/>
      <c r="J16" s="227">
        <f>SUM(J17:J18)</f>
        <v>505000</v>
      </c>
    </row>
    <row r="17" spans="3:10" x14ac:dyDescent="0.3">
      <c r="C17" s="931"/>
      <c r="D17" s="933"/>
      <c r="E17" s="923" t="s">
        <v>749</v>
      </c>
      <c r="F17" s="923"/>
      <c r="G17" s="202" t="s">
        <v>36</v>
      </c>
      <c r="H17" s="202">
        <v>1</v>
      </c>
      <c r="I17" s="203">
        <v>350000</v>
      </c>
      <c r="J17" s="203">
        <f t="shared" ref="J17:J18" si="2">ROUND(+H17*I17,0)</f>
        <v>350000</v>
      </c>
    </row>
    <row r="18" spans="3:10" x14ac:dyDescent="0.3">
      <c r="C18" s="931"/>
      <c r="D18" s="933"/>
      <c r="E18" s="923" t="s">
        <v>750</v>
      </c>
      <c r="F18" s="923"/>
      <c r="G18" s="202" t="s">
        <v>505</v>
      </c>
      <c r="H18" s="202">
        <v>10</v>
      </c>
      <c r="I18" s="203">
        <v>15500</v>
      </c>
      <c r="J18" s="203">
        <f t="shared" si="2"/>
        <v>155000</v>
      </c>
    </row>
    <row r="19" spans="3:10" x14ac:dyDescent="0.3">
      <c r="C19" s="931"/>
      <c r="D19" s="933"/>
      <c r="E19" s="922" t="s">
        <v>751</v>
      </c>
      <c r="F19" s="922"/>
      <c r="G19" s="922"/>
      <c r="H19" s="922"/>
      <c r="I19" s="922"/>
      <c r="J19" s="227">
        <f>SUM(J20)</f>
        <v>180000</v>
      </c>
    </row>
    <row r="20" spans="3:10" x14ac:dyDescent="0.3">
      <c r="C20" s="931"/>
      <c r="D20" s="933"/>
      <c r="E20" s="923" t="s">
        <v>752</v>
      </c>
      <c r="F20" s="923"/>
      <c r="G20" s="202" t="s">
        <v>771</v>
      </c>
      <c r="H20" s="202">
        <v>9000</v>
      </c>
      <c r="I20" s="203">
        <v>20</v>
      </c>
      <c r="J20" s="203">
        <f t="shared" ref="J20" si="3">ROUND(+H20*I20,0)</f>
        <v>180000</v>
      </c>
    </row>
    <row r="21" spans="3:10" ht="30.6" customHeight="1" x14ac:dyDescent="0.3">
      <c r="C21" s="931"/>
      <c r="D21" s="933"/>
      <c r="E21" s="922" t="s">
        <v>753</v>
      </c>
      <c r="F21" s="922"/>
      <c r="G21" s="922"/>
      <c r="H21" s="922"/>
      <c r="I21" s="922"/>
      <c r="J21" s="227">
        <f>SUM(J22:J24)</f>
        <v>295000</v>
      </c>
    </row>
    <row r="22" spans="3:10" x14ac:dyDescent="0.3">
      <c r="C22" s="931"/>
      <c r="D22" s="933"/>
      <c r="E22" s="923" t="s">
        <v>755</v>
      </c>
      <c r="F22" s="923"/>
      <c r="G22" s="202" t="s">
        <v>36</v>
      </c>
      <c r="H22" s="202">
        <v>5</v>
      </c>
      <c r="I22" s="203">
        <v>5000</v>
      </c>
      <c r="J22" s="203">
        <f t="shared" ref="J22:J23" si="4">ROUND(+H22*I22,0)</f>
        <v>25000</v>
      </c>
    </row>
    <row r="23" spans="3:10" x14ac:dyDescent="0.3">
      <c r="C23" s="931"/>
      <c r="D23" s="933"/>
      <c r="E23" s="923" t="s">
        <v>754</v>
      </c>
      <c r="F23" s="923"/>
      <c r="G23" s="202" t="s">
        <v>509</v>
      </c>
      <c r="H23" s="202">
        <v>10</v>
      </c>
      <c r="I23" s="203">
        <v>7000</v>
      </c>
      <c r="J23" s="203">
        <f t="shared" si="4"/>
        <v>70000</v>
      </c>
    </row>
    <row r="24" spans="3:10" x14ac:dyDescent="0.3">
      <c r="C24" s="931"/>
      <c r="D24" s="933"/>
      <c r="E24" s="923" t="s">
        <v>756</v>
      </c>
      <c r="F24" s="923"/>
      <c r="G24" s="202" t="s">
        <v>36</v>
      </c>
      <c r="H24" s="202">
        <v>1</v>
      </c>
      <c r="I24" s="203">
        <v>200000</v>
      </c>
      <c r="J24" s="203">
        <f t="shared" ref="J24" si="5">ROUND(+H24*I24,0)</f>
        <v>200000</v>
      </c>
    </row>
    <row r="25" spans="3:10" x14ac:dyDescent="0.3">
      <c r="C25" s="931"/>
      <c r="D25" s="933"/>
      <c r="E25" s="922" t="s">
        <v>757</v>
      </c>
      <c r="F25" s="922"/>
      <c r="G25" s="922"/>
      <c r="H25" s="922"/>
      <c r="I25" s="922"/>
      <c r="J25" s="227">
        <f>SUM(J26:J27)</f>
        <v>41000</v>
      </c>
    </row>
    <row r="26" spans="3:10" x14ac:dyDescent="0.3">
      <c r="C26" s="931"/>
      <c r="D26" s="933"/>
      <c r="E26" s="923" t="s">
        <v>759</v>
      </c>
      <c r="F26" s="923"/>
      <c r="G26" s="202" t="s">
        <v>36</v>
      </c>
      <c r="H26" s="202">
        <v>2</v>
      </c>
      <c r="I26" s="203">
        <v>5000</v>
      </c>
      <c r="J26" s="203">
        <f t="shared" ref="J26:J27" si="6">ROUND(+H26*I26,0)</f>
        <v>10000</v>
      </c>
    </row>
    <row r="27" spans="3:10" ht="14.4" customHeight="1" x14ac:dyDescent="0.3">
      <c r="C27" s="931"/>
      <c r="D27" s="933"/>
      <c r="E27" s="923" t="s">
        <v>760</v>
      </c>
      <c r="F27" s="923"/>
      <c r="G27" s="202" t="s">
        <v>505</v>
      </c>
      <c r="H27" s="202">
        <v>2</v>
      </c>
      <c r="I27" s="203">
        <v>15500</v>
      </c>
      <c r="J27" s="203">
        <f t="shared" si="6"/>
        <v>31000</v>
      </c>
    </row>
    <row r="28" spans="3:10" x14ac:dyDescent="0.3">
      <c r="C28" s="931"/>
      <c r="D28" s="933"/>
      <c r="E28" s="922" t="s">
        <v>758</v>
      </c>
      <c r="F28" s="922"/>
      <c r="G28" s="922"/>
      <c r="H28" s="922"/>
      <c r="I28" s="922"/>
      <c r="J28" s="227">
        <f>SUM(J29:J31)</f>
        <v>327000</v>
      </c>
    </row>
    <row r="29" spans="3:10" x14ac:dyDescent="0.3">
      <c r="C29" s="931"/>
      <c r="D29" s="933"/>
      <c r="E29" s="923" t="s">
        <v>761</v>
      </c>
      <c r="F29" s="923"/>
      <c r="G29" s="202" t="s">
        <v>505</v>
      </c>
      <c r="H29" s="202">
        <v>10</v>
      </c>
      <c r="I29" s="203">
        <v>15500</v>
      </c>
      <c r="J29" s="203">
        <f t="shared" ref="J29:J31" si="7">ROUND(+H29*I29,0)</f>
        <v>155000</v>
      </c>
    </row>
    <row r="30" spans="3:10" x14ac:dyDescent="0.3">
      <c r="C30" s="931"/>
      <c r="D30" s="933"/>
      <c r="E30" s="923" t="s">
        <v>762</v>
      </c>
      <c r="F30" s="923"/>
      <c r="G30" s="202" t="s">
        <v>36</v>
      </c>
      <c r="H30" s="202">
        <v>5</v>
      </c>
      <c r="I30" s="203">
        <v>5000</v>
      </c>
      <c r="J30" s="203">
        <f t="shared" si="7"/>
        <v>25000</v>
      </c>
    </row>
    <row r="31" spans="3:10" x14ac:dyDescent="0.3">
      <c r="C31" s="931"/>
      <c r="D31" s="933"/>
      <c r="E31" s="923" t="s">
        <v>763</v>
      </c>
      <c r="F31" s="923"/>
      <c r="G31" s="202" t="s">
        <v>509</v>
      </c>
      <c r="H31" s="202">
        <v>21</v>
      </c>
      <c r="I31" s="203">
        <v>7000</v>
      </c>
      <c r="J31" s="203">
        <f t="shared" si="7"/>
        <v>147000</v>
      </c>
    </row>
    <row r="32" spans="3:10" ht="14.4" customHeight="1" x14ac:dyDescent="0.3">
      <c r="C32" s="930" t="s">
        <v>416</v>
      </c>
      <c r="D32" s="932" t="s">
        <v>507</v>
      </c>
      <c r="E32" s="922" t="s">
        <v>764</v>
      </c>
      <c r="F32" s="922"/>
      <c r="G32" s="922"/>
      <c r="H32" s="922"/>
      <c r="I32" s="922"/>
      <c r="J32" s="227">
        <f>SUM(J33:J35)</f>
        <v>925000</v>
      </c>
    </row>
    <row r="33" spans="3:13" x14ac:dyDescent="0.3">
      <c r="C33" s="931"/>
      <c r="D33" s="933"/>
      <c r="E33" s="923" t="s">
        <v>765</v>
      </c>
      <c r="F33" s="923"/>
      <c r="G33" s="202" t="s">
        <v>36</v>
      </c>
      <c r="H33" s="202">
        <v>7</v>
      </c>
      <c r="I33" s="203">
        <v>55000</v>
      </c>
      <c r="J33" s="203">
        <f t="shared" ref="J33:J35" si="8">ROUND(+H33*I33,0)</f>
        <v>385000</v>
      </c>
    </row>
    <row r="34" spans="3:13" x14ac:dyDescent="0.3">
      <c r="C34" s="931"/>
      <c r="D34" s="933"/>
      <c r="E34" s="923" t="s">
        <v>670</v>
      </c>
      <c r="F34" s="923"/>
      <c r="G34" s="202" t="s">
        <v>36</v>
      </c>
      <c r="H34" s="202">
        <v>4</v>
      </c>
      <c r="I34" s="203">
        <v>60000</v>
      </c>
      <c r="J34" s="203">
        <f t="shared" ref="J34" si="9">ROUND(+H34*I34,0)</f>
        <v>240000</v>
      </c>
    </row>
    <row r="35" spans="3:13" x14ac:dyDescent="0.3">
      <c r="C35" s="931"/>
      <c r="D35" s="933"/>
      <c r="E35" s="923" t="s">
        <v>767</v>
      </c>
      <c r="F35" s="923"/>
      <c r="G35" s="202" t="s">
        <v>36</v>
      </c>
      <c r="H35" s="202">
        <v>2</v>
      </c>
      <c r="I35" s="203">
        <v>150000</v>
      </c>
      <c r="J35" s="203">
        <f t="shared" si="8"/>
        <v>300000</v>
      </c>
    </row>
    <row r="36" spans="3:13" x14ac:dyDescent="0.3">
      <c r="C36" s="931"/>
      <c r="D36" s="933"/>
      <c r="E36" s="922" t="s">
        <v>768</v>
      </c>
      <c r="F36" s="922"/>
      <c r="G36" s="922"/>
      <c r="H36" s="922"/>
      <c r="I36" s="922"/>
      <c r="J36" s="227">
        <f>SUM(J37)</f>
        <v>189066</v>
      </c>
    </row>
    <row r="37" spans="3:13" ht="30" customHeight="1" x14ac:dyDescent="0.3">
      <c r="C37" s="931"/>
      <c r="D37" s="933"/>
      <c r="E37" s="923" t="s">
        <v>769</v>
      </c>
      <c r="F37" s="923"/>
      <c r="G37" s="202" t="s">
        <v>36</v>
      </c>
      <c r="H37" s="202">
        <v>1</v>
      </c>
      <c r="I37" s="203">
        <v>189066</v>
      </c>
      <c r="J37" s="203">
        <f t="shared" ref="J37" si="10">ROUND(+H37*I37,0)</f>
        <v>189066</v>
      </c>
    </row>
    <row r="38" spans="3:13" x14ac:dyDescent="0.3">
      <c r="C38" s="921" t="s">
        <v>422</v>
      </c>
      <c r="D38" s="924" t="s">
        <v>770</v>
      </c>
      <c r="E38" s="922" t="s">
        <v>721</v>
      </c>
      <c r="F38" s="922"/>
      <c r="G38" s="922"/>
      <c r="H38" s="922"/>
      <c r="I38" s="922"/>
      <c r="J38" s="227">
        <f>SUM(J39:J41)</f>
        <v>439500</v>
      </c>
    </row>
    <row r="39" spans="3:13" x14ac:dyDescent="0.3">
      <c r="C39" s="921"/>
      <c r="D39" s="924"/>
      <c r="E39" s="923" t="s">
        <v>722</v>
      </c>
      <c r="F39" s="923"/>
      <c r="G39" s="202" t="s">
        <v>36</v>
      </c>
      <c r="H39" s="202">
        <v>4</v>
      </c>
      <c r="I39" s="203">
        <v>5000</v>
      </c>
      <c r="J39" s="203">
        <f>ROUND(+H39*I39,0)</f>
        <v>20000</v>
      </c>
    </row>
    <row r="40" spans="3:13" x14ac:dyDescent="0.3">
      <c r="C40" s="921"/>
      <c r="D40" s="924"/>
      <c r="E40" s="923" t="s">
        <v>671</v>
      </c>
      <c r="F40" s="923"/>
      <c r="G40" s="202" t="s">
        <v>508</v>
      </c>
      <c r="H40" s="202">
        <v>15</v>
      </c>
      <c r="I40" s="203">
        <v>15500</v>
      </c>
      <c r="J40" s="203">
        <f>ROUND(+H40*I40,0)</f>
        <v>232500</v>
      </c>
    </row>
    <row r="41" spans="3:13" x14ac:dyDescent="0.3">
      <c r="C41" s="921"/>
      <c r="D41" s="924"/>
      <c r="E41" s="923" t="s">
        <v>723</v>
      </c>
      <c r="F41" s="923"/>
      <c r="G41" s="205" t="s">
        <v>36</v>
      </c>
      <c r="H41" s="205">
        <v>22</v>
      </c>
      <c r="I41" s="203">
        <v>8500</v>
      </c>
      <c r="J41" s="203">
        <f t="shared" ref="J41" si="11">ROUND(+H41*I41,0)</f>
        <v>187000</v>
      </c>
    </row>
    <row r="42" spans="3:13" x14ac:dyDescent="0.3">
      <c r="C42" s="112"/>
      <c r="D42" s="113"/>
      <c r="E42" s="206"/>
      <c r="F42" s="206"/>
      <c r="G42" s="112"/>
      <c r="H42" s="112"/>
      <c r="I42" s="207"/>
      <c r="J42" s="207"/>
    </row>
    <row r="43" spans="3:13" x14ac:dyDescent="0.3">
      <c r="C43" s="114"/>
      <c r="D43" s="115"/>
      <c r="E43" s="116" t="s">
        <v>766</v>
      </c>
      <c r="F43" s="116"/>
      <c r="G43" s="117"/>
      <c r="H43" s="117"/>
      <c r="I43" s="118"/>
      <c r="J43" s="119"/>
    </row>
    <row r="44" spans="3:13" x14ac:dyDescent="0.3">
      <c r="C44" s="120"/>
      <c r="D44" s="121"/>
      <c r="E44" s="121"/>
      <c r="F44" s="920" t="s">
        <v>510</v>
      </c>
      <c r="G44" s="920"/>
      <c r="H44" s="920"/>
      <c r="I44" s="920"/>
      <c r="J44" s="230">
        <f>J11+J14+J16+J19+J21+J25+J28+J32+J36+J38</f>
        <v>4721966</v>
      </c>
      <c r="M44" s="101"/>
    </row>
    <row r="46" spans="3:13" x14ac:dyDescent="0.3">
      <c r="C46" s="77" t="s">
        <v>128</v>
      </c>
      <c r="D46" s="1"/>
      <c r="E46" s="108"/>
      <c r="F46" s="77" t="s">
        <v>129</v>
      </c>
      <c r="H46" s="77"/>
      <c r="I46" s="1"/>
      <c r="J46" s="1"/>
      <c r="K46" s="108"/>
      <c r="M46" s="101"/>
    </row>
    <row r="47" spans="3:13" x14ac:dyDescent="0.3">
      <c r="C47" s="75"/>
      <c r="D47" s="1"/>
      <c r="E47" s="108"/>
      <c r="H47" s="1"/>
      <c r="I47" s="1"/>
      <c r="J47" s="1"/>
      <c r="K47" s="108"/>
    </row>
    <row r="48" spans="3:13" x14ac:dyDescent="0.3">
      <c r="C48" s="75"/>
      <c r="D48" s="1"/>
      <c r="E48" s="108"/>
      <c r="H48" s="1"/>
      <c r="I48" s="1"/>
      <c r="J48" s="1"/>
      <c r="K48" s="108"/>
    </row>
    <row r="49" spans="3:11" x14ac:dyDescent="0.3">
      <c r="C49" s="75"/>
      <c r="D49" s="1"/>
      <c r="E49" s="108"/>
      <c r="H49" s="1"/>
      <c r="I49" s="1"/>
      <c r="J49" s="1"/>
      <c r="K49" s="108"/>
    </row>
    <row r="50" spans="3:11" x14ac:dyDescent="0.3">
      <c r="C50" s="75"/>
      <c r="D50" s="1"/>
      <c r="E50" s="108"/>
      <c r="H50" s="1"/>
      <c r="I50" s="1"/>
      <c r="J50" s="1"/>
      <c r="K50" s="108"/>
    </row>
    <row r="51" spans="3:11" ht="15.6" x14ac:dyDescent="0.3">
      <c r="C51" s="916" t="str">
        <f>PPTO!C81</f>
        <v>ING. JEYSON JULIAN LEON RUEDA</v>
      </c>
      <c r="D51" s="916"/>
      <c r="E51" s="916"/>
      <c r="F51" s="925" t="str">
        <f>INFORMACION!$C$14</f>
        <v>ARQ. YASMID ROCÍO CARRILLO MORA</v>
      </c>
      <c r="G51" s="925"/>
      <c r="H51" s="925"/>
      <c r="I51" s="925"/>
      <c r="J51" s="925"/>
      <c r="K51" s="127"/>
    </row>
    <row r="52" spans="3:11" ht="15.6" x14ac:dyDescent="0.3">
      <c r="C52" s="917" t="str">
        <f>PPTO!C82</f>
        <v>MP. 68202-416348 STD</v>
      </c>
      <c r="D52" s="917"/>
      <c r="E52" s="917"/>
      <c r="F52" s="914" t="str">
        <f>INFORMACION!$C$15</f>
        <v>SECRETARIA DE PLANEACIÓN Y OBRAS PÚBLICAS</v>
      </c>
      <c r="G52" s="914"/>
      <c r="H52" s="914"/>
      <c r="I52" s="914"/>
      <c r="J52" s="914"/>
      <c r="K52" s="128"/>
    </row>
    <row r="53" spans="3:11" ht="15.6" x14ac:dyDescent="0.3">
      <c r="C53" s="75"/>
      <c r="D53" s="1"/>
      <c r="E53" s="76"/>
      <c r="F53" s="914" t="str">
        <f>INFORMACION!$C$16</f>
        <v>MUNICIPIO DE PINCHOTE</v>
      </c>
      <c r="G53" s="914"/>
      <c r="H53" s="914"/>
      <c r="I53" s="914"/>
      <c r="J53" s="914"/>
      <c r="K53" s="128"/>
    </row>
  </sheetData>
  <mergeCells count="56">
    <mergeCell ref="C32:C37"/>
    <mergeCell ref="D32:D37"/>
    <mergeCell ref="E36:I36"/>
    <mergeCell ref="E37:F37"/>
    <mergeCell ref="C11:C31"/>
    <mergeCell ref="D11:D31"/>
    <mergeCell ref="E11:I11"/>
    <mergeCell ref="E12:F12"/>
    <mergeCell ref="E13:F13"/>
    <mergeCell ref="E14:I14"/>
    <mergeCell ref="E15:F15"/>
    <mergeCell ref="E25:I25"/>
    <mergeCell ref="E26:F26"/>
    <mergeCell ref="E19:I19"/>
    <mergeCell ref="E20:F20"/>
    <mergeCell ref="E27:F27"/>
    <mergeCell ref="I6:J6"/>
    <mergeCell ref="C6:F6"/>
    <mergeCell ref="E30:F30"/>
    <mergeCell ref="E31:F31"/>
    <mergeCell ref="G6:H6"/>
    <mergeCell ref="C9:J9"/>
    <mergeCell ref="E10:F10"/>
    <mergeCell ref="E16:I16"/>
    <mergeCell ref="E17:F17"/>
    <mergeCell ref="E18:F18"/>
    <mergeCell ref="E21:I21"/>
    <mergeCell ref="E22:F22"/>
    <mergeCell ref="E23:F23"/>
    <mergeCell ref="C5:I5"/>
    <mergeCell ref="J2:J5"/>
    <mergeCell ref="E4:F4"/>
    <mergeCell ref="C2:F3"/>
    <mergeCell ref="G2:I4"/>
    <mergeCell ref="F52:J52"/>
    <mergeCell ref="E34:F34"/>
    <mergeCell ref="E28:I28"/>
    <mergeCell ref="E24:F24"/>
    <mergeCell ref="E29:F29"/>
    <mergeCell ref="E38:I38"/>
    <mergeCell ref="F53:J53"/>
    <mergeCell ref="C4:D4"/>
    <mergeCell ref="C51:E51"/>
    <mergeCell ref="C52:E52"/>
    <mergeCell ref="C8:E8"/>
    <mergeCell ref="G8:J8"/>
    <mergeCell ref="F44:I44"/>
    <mergeCell ref="C38:C41"/>
    <mergeCell ref="E32:I32"/>
    <mergeCell ref="E33:F33"/>
    <mergeCell ref="E35:F35"/>
    <mergeCell ref="D38:D41"/>
    <mergeCell ref="E39:F39"/>
    <mergeCell ref="E40:F40"/>
    <mergeCell ref="E41:F41"/>
    <mergeCell ref="F51:J51"/>
  </mergeCells>
  <conditionalFormatting sqref="C9">
    <cfRule type="cellIs" dxfId="5" priority="2" operator="equal">
      <formula>"ESCRIBA AQUÍ EL NOMBRE DEL CAPITULO"</formula>
    </cfRule>
  </conditionalFormatting>
  <pageMargins left="0.7" right="0.7" top="0.75" bottom="0.75" header="0.3" footer="0.3"/>
  <pageSetup scale="68" fitToHeight="0" orientation="portrait" r:id="rId1"/>
  <ignoredErrors>
    <ignoredError sqref="C2 C6 G6:I6 C5 J6 C4:E4 G2 J2" unlockedFormula="1"/>
    <ignoredError sqref="J38:J41 J28 J16 J21:J25 J19 J32:J33 J35:J36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F0198-88F5-4273-80CA-1CF5A2F4267B}">
  <sheetPr>
    <pageSetUpPr fitToPage="1"/>
  </sheetPr>
  <dimension ref="B1:L37"/>
  <sheetViews>
    <sheetView view="pageBreakPreview" topLeftCell="A19" zoomScaleNormal="100" zoomScaleSheetLayoutView="100" workbookViewId="0">
      <selection activeCell="L4" sqref="L4"/>
    </sheetView>
  </sheetViews>
  <sheetFormatPr baseColWidth="10" defaultRowHeight="14.4" x14ac:dyDescent="0.3"/>
  <cols>
    <col min="1" max="1" width="2" customWidth="1"/>
    <col min="2" max="2" width="1.44140625" customWidth="1"/>
    <col min="3" max="3" width="10.5546875" customWidth="1"/>
    <col min="4" max="4" width="39.5546875" customWidth="1"/>
    <col min="8" max="8" width="13" bestFit="1" customWidth="1"/>
    <col min="9" max="9" width="20.5546875" bestFit="1" customWidth="1"/>
    <col min="10" max="10" width="1.44140625" customWidth="1"/>
    <col min="12" max="12" width="14" bestFit="1" customWidth="1"/>
  </cols>
  <sheetData>
    <row r="1" spans="2:10" ht="12.75" customHeight="1" x14ac:dyDescent="0.3"/>
    <row r="2" spans="2:10" ht="7.5" customHeight="1" x14ac:dyDescent="0.3">
      <c r="B2" s="136"/>
      <c r="C2" s="137"/>
      <c r="D2" s="138"/>
      <c r="E2" s="120"/>
      <c r="F2" s="120"/>
      <c r="G2" s="139"/>
      <c r="H2" s="140"/>
      <c r="I2" s="141"/>
      <c r="J2" s="142"/>
    </row>
    <row r="3" spans="2:10" ht="51.9" customHeight="1" x14ac:dyDescent="0.3">
      <c r="B3" s="143"/>
      <c r="C3" s="944" t="s">
        <v>643</v>
      </c>
      <c r="D3" s="945"/>
      <c r="E3" s="945"/>
      <c r="F3" s="945"/>
      <c r="G3" s="945"/>
      <c r="H3" s="946"/>
      <c r="I3" s="935"/>
      <c r="J3" s="144"/>
    </row>
    <row r="4" spans="2:10" ht="52.5" customHeight="1" x14ac:dyDescent="0.3">
      <c r="B4" s="143"/>
      <c r="C4" s="224" t="s">
        <v>644</v>
      </c>
      <c r="D4" s="851" t="str">
        <f>INFORMACION!A3</f>
        <v>CONSTRUCCIÓN DE PAVIMENTO EN PIEDRA LABOR Y OPTIMIZACIÓN DE LA RED DE ALCANTARILLADO SANITARIO CALLE 5 ENTRE CARRERA 3 Y 4 DEL CASCO URBANO DEL MUNICIPIO DE PINCHOTE, DEPARTAMENTO DE SANTANDER</v>
      </c>
      <c r="E4" s="851"/>
      <c r="F4" s="851"/>
      <c r="G4" s="851"/>
      <c r="H4" s="851"/>
      <c r="I4" s="936"/>
      <c r="J4" s="145"/>
    </row>
    <row r="5" spans="2:10" x14ac:dyDescent="0.3">
      <c r="B5" s="143"/>
      <c r="C5" s="937" t="str">
        <f>PPTO!C5</f>
        <v>LOCALIZACIÓN:PINCHOTE, SANTANDER</v>
      </c>
      <c r="D5" s="937"/>
      <c r="E5" s="937"/>
      <c r="F5" s="937"/>
      <c r="G5" s="937"/>
      <c r="H5" s="194" t="s">
        <v>31</v>
      </c>
      <c r="I5" s="225" t="str">
        <f>INFORMACION!A9</f>
        <v>ABRIL DE 2026</v>
      </c>
      <c r="J5" s="146"/>
    </row>
    <row r="6" spans="2:10" x14ac:dyDescent="0.3">
      <c r="B6" s="143"/>
      <c r="C6" s="147"/>
      <c r="D6" s="148"/>
      <c r="E6" s="149"/>
      <c r="F6" s="149"/>
      <c r="G6" s="149"/>
      <c r="H6" s="147"/>
      <c r="I6" s="150"/>
      <c r="J6" s="151"/>
    </row>
    <row r="7" spans="2:10" x14ac:dyDescent="0.3">
      <c r="B7" s="143"/>
      <c r="C7" s="221" t="s">
        <v>5</v>
      </c>
      <c r="D7" s="221" t="s">
        <v>98</v>
      </c>
      <c r="E7" s="942" t="s">
        <v>6</v>
      </c>
      <c r="F7" s="943"/>
      <c r="G7" s="221" t="s">
        <v>107</v>
      </c>
      <c r="H7" s="222" t="s">
        <v>502</v>
      </c>
      <c r="I7" s="223" t="s">
        <v>503</v>
      </c>
      <c r="J7" s="152"/>
    </row>
    <row r="8" spans="2:10" x14ac:dyDescent="0.3">
      <c r="B8" s="143"/>
      <c r="C8" s="153"/>
      <c r="D8" s="154"/>
      <c r="E8" s="74"/>
      <c r="F8" s="74"/>
      <c r="G8" s="74"/>
      <c r="H8" s="153"/>
      <c r="I8" s="155"/>
      <c r="J8" s="153"/>
    </row>
    <row r="9" spans="2:10" x14ac:dyDescent="0.3">
      <c r="B9" s="156"/>
      <c r="C9" s="220" t="s">
        <v>645</v>
      </c>
      <c r="D9" s="938" t="s">
        <v>646</v>
      </c>
      <c r="E9" s="938"/>
      <c r="F9" s="938"/>
      <c r="G9" s="938"/>
      <c r="H9" s="938"/>
      <c r="I9" s="939"/>
      <c r="J9" s="120"/>
    </row>
    <row r="10" spans="2:10" ht="26.4" x14ac:dyDescent="0.3">
      <c r="B10" s="157"/>
      <c r="C10" s="211" t="s">
        <v>647</v>
      </c>
      <c r="D10" s="158" t="s">
        <v>648</v>
      </c>
      <c r="E10" s="940" t="s">
        <v>649</v>
      </c>
      <c r="F10" s="941"/>
      <c r="G10" s="159">
        <f>INFORMACION!A22</f>
        <v>2</v>
      </c>
      <c r="H10" s="160"/>
      <c r="I10" s="160"/>
      <c r="J10" s="161"/>
    </row>
    <row r="11" spans="2:10" ht="26.4" x14ac:dyDescent="0.3">
      <c r="B11" s="157"/>
      <c r="C11" s="211" t="s">
        <v>148</v>
      </c>
      <c r="D11" s="158" t="s">
        <v>98</v>
      </c>
      <c r="E11" s="162" t="s">
        <v>6</v>
      </c>
      <c r="F11" s="162" t="s">
        <v>650</v>
      </c>
      <c r="G11" s="163" t="s">
        <v>100</v>
      </c>
      <c r="H11" s="164" t="s">
        <v>156</v>
      </c>
      <c r="I11" s="160"/>
      <c r="J11" s="161"/>
    </row>
    <row r="12" spans="2:10" x14ac:dyDescent="0.3">
      <c r="B12" s="157"/>
      <c r="C12" s="211">
        <v>25</v>
      </c>
      <c r="D12" s="158" t="str">
        <f>+VLOOKUP(C12,[8]INSUMOS!$C$7:$K$94,2,FALSE)</f>
        <v>AYUDANTE</v>
      </c>
      <c r="E12" s="162" t="str">
        <f>+VLOOKUP(C12,[8]INSUMOS!$C$7:$K$94,3,FALSE)</f>
        <v>JORNAL+PS</v>
      </c>
      <c r="F12" s="162">
        <v>2</v>
      </c>
      <c r="G12" s="165">
        <v>0.15</v>
      </c>
      <c r="H12" s="160">
        <f>'DESGLOCE DE PERSONAL'!$J$29*30</f>
        <v>5128385.0000000009</v>
      </c>
      <c r="I12" s="160">
        <f>ROUND(H12*G12*F12*G10,0)</f>
        <v>3077031</v>
      </c>
      <c r="J12" s="161"/>
    </row>
    <row r="13" spans="2:10" ht="52.8" x14ac:dyDescent="0.3">
      <c r="B13" s="157"/>
      <c r="C13" s="211" t="s">
        <v>651</v>
      </c>
      <c r="D13" s="158" t="s">
        <v>653</v>
      </c>
      <c r="E13" s="940" t="s">
        <v>6</v>
      </c>
      <c r="F13" s="941"/>
      <c r="G13" s="163">
        <v>8</v>
      </c>
      <c r="H13" s="160">
        <v>48500</v>
      </c>
      <c r="I13" s="160">
        <f t="shared" ref="I13:I18" si="0">ROUND(G13 * H13,2)</f>
        <v>388000</v>
      </c>
      <c r="J13" s="161"/>
    </row>
    <row r="14" spans="2:10" ht="52.8" x14ac:dyDescent="0.3">
      <c r="B14" s="157"/>
      <c r="C14" s="211" t="s">
        <v>652</v>
      </c>
      <c r="D14" s="158" t="s">
        <v>655</v>
      </c>
      <c r="E14" s="940" t="s">
        <v>6</v>
      </c>
      <c r="F14" s="941"/>
      <c r="G14" s="163">
        <v>6</v>
      </c>
      <c r="H14" s="160">
        <v>205000</v>
      </c>
      <c r="I14" s="160">
        <f t="shared" si="0"/>
        <v>1230000</v>
      </c>
      <c r="J14" s="161"/>
    </row>
    <row r="15" spans="2:10" ht="39.6" x14ac:dyDescent="0.3">
      <c r="B15" s="157"/>
      <c r="C15" s="211" t="s">
        <v>654</v>
      </c>
      <c r="D15" s="158" t="s">
        <v>657</v>
      </c>
      <c r="E15" s="940" t="s">
        <v>6</v>
      </c>
      <c r="F15" s="941"/>
      <c r="G15" s="163">
        <v>2</v>
      </c>
      <c r="H15" s="160">
        <v>39000</v>
      </c>
      <c r="I15" s="160">
        <f t="shared" si="0"/>
        <v>78000</v>
      </c>
      <c r="J15" s="161"/>
    </row>
    <row r="16" spans="2:10" ht="39.6" x14ac:dyDescent="0.3">
      <c r="B16" s="157"/>
      <c r="C16" s="211" t="s">
        <v>656</v>
      </c>
      <c r="D16" s="158" t="s">
        <v>659</v>
      </c>
      <c r="E16" s="940" t="s">
        <v>6</v>
      </c>
      <c r="F16" s="941"/>
      <c r="G16" s="163">
        <v>6</v>
      </c>
      <c r="H16" s="160">
        <v>25000</v>
      </c>
      <c r="I16" s="160">
        <f t="shared" si="0"/>
        <v>150000</v>
      </c>
      <c r="J16" s="161"/>
    </row>
    <row r="17" spans="2:12" ht="39.6" x14ac:dyDescent="0.3">
      <c r="B17" s="157"/>
      <c r="C17" s="211" t="s">
        <v>658</v>
      </c>
      <c r="D17" s="158" t="s">
        <v>660</v>
      </c>
      <c r="E17" s="940" t="s">
        <v>6</v>
      </c>
      <c r="F17" s="941"/>
      <c r="G17" s="163">
        <v>6</v>
      </c>
      <c r="H17" s="160">
        <v>235000</v>
      </c>
      <c r="I17" s="160">
        <f t="shared" si="0"/>
        <v>1410000</v>
      </c>
      <c r="J17" s="161"/>
    </row>
    <row r="18" spans="2:12" ht="39.6" x14ac:dyDescent="0.3">
      <c r="B18" s="157"/>
      <c r="C18" s="211" t="s">
        <v>665</v>
      </c>
      <c r="D18" s="158" t="s">
        <v>662</v>
      </c>
      <c r="E18" s="940" t="s">
        <v>6</v>
      </c>
      <c r="F18" s="941"/>
      <c r="G18" s="163">
        <v>6</v>
      </c>
      <c r="H18" s="160">
        <v>205000</v>
      </c>
      <c r="I18" s="160">
        <f t="shared" si="0"/>
        <v>1230000</v>
      </c>
      <c r="J18" s="161"/>
    </row>
    <row r="19" spans="2:12" ht="39.6" x14ac:dyDescent="0.3">
      <c r="B19" s="157"/>
      <c r="C19" s="211" t="s">
        <v>661</v>
      </c>
      <c r="D19" s="158" t="s">
        <v>663</v>
      </c>
      <c r="E19" s="162" t="s">
        <v>649</v>
      </c>
      <c r="F19" s="166">
        <f>G10</f>
        <v>2</v>
      </c>
      <c r="G19" s="163">
        <v>2</v>
      </c>
      <c r="H19" s="160">
        <v>180000</v>
      </c>
      <c r="I19" s="160">
        <f>ROUND(H19*G19*F19,2)</f>
        <v>720000</v>
      </c>
      <c r="J19" s="161"/>
    </row>
    <row r="20" spans="2:12" x14ac:dyDescent="0.3">
      <c r="B20" s="156"/>
      <c r="C20" s="212"/>
      <c r="D20" s="158"/>
      <c r="E20" s="162"/>
      <c r="F20" s="162"/>
      <c r="G20" s="209"/>
      <c r="H20" s="210"/>
      <c r="I20" s="213"/>
      <c r="J20" s="167"/>
    </row>
    <row r="21" spans="2:12" x14ac:dyDescent="0.3">
      <c r="B21" s="156"/>
      <c r="C21" s="214"/>
      <c r="D21" s="215"/>
      <c r="E21" s="216"/>
      <c r="F21" s="216"/>
      <c r="G21" s="217"/>
      <c r="H21" s="218"/>
      <c r="I21" s="219"/>
      <c r="J21" s="167"/>
    </row>
    <row r="22" spans="2:12" x14ac:dyDescent="0.3">
      <c r="B22" s="143"/>
      <c r="C22" s="153"/>
      <c r="D22" s="154"/>
      <c r="E22" s="74"/>
      <c r="F22" s="74"/>
      <c r="G22" s="74"/>
      <c r="H22" s="153"/>
      <c r="I22" s="168"/>
      <c r="J22" s="153"/>
    </row>
    <row r="23" spans="2:12" ht="15" thickBot="1" x14ac:dyDescent="0.35">
      <c r="B23" s="169"/>
      <c r="C23" s="120"/>
      <c r="D23" s="120"/>
      <c r="E23" s="120"/>
      <c r="F23" s="120"/>
      <c r="G23" s="170"/>
      <c r="H23" s="171"/>
      <c r="I23" s="141"/>
      <c r="J23" s="172"/>
    </row>
    <row r="24" spans="2:12" ht="15" thickBot="1" x14ac:dyDescent="0.35">
      <c r="B24" s="169"/>
      <c r="C24" s="120"/>
      <c r="D24" s="934" t="s">
        <v>664</v>
      </c>
      <c r="E24" s="934"/>
      <c r="F24" s="934"/>
      <c r="G24" s="934"/>
      <c r="H24" s="934"/>
      <c r="I24" s="208">
        <f>+SUM(I10:I20)</f>
        <v>8283031</v>
      </c>
      <c r="J24" s="173"/>
      <c r="L24" s="122"/>
    </row>
    <row r="25" spans="2:12" x14ac:dyDescent="0.3">
      <c r="B25" s="169"/>
      <c r="C25" s="120"/>
      <c r="D25" s="120"/>
      <c r="E25" s="120"/>
      <c r="F25" s="120"/>
      <c r="G25" s="170"/>
      <c r="H25" s="174"/>
      <c r="I25" s="174"/>
      <c r="J25" s="120"/>
    </row>
    <row r="26" spans="2:12" x14ac:dyDescent="0.3">
      <c r="B26" s="143"/>
      <c r="C26" s="120"/>
      <c r="D26" s="120"/>
      <c r="E26" s="120"/>
      <c r="F26" s="120"/>
      <c r="G26" s="170"/>
      <c r="H26" s="120"/>
      <c r="I26" s="174"/>
      <c r="J26" s="120"/>
    </row>
    <row r="27" spans="2:12" ht="15.6" x14ac:dyDescent="0.3">
      <c r="B27" s="143"/>
      <c r="C27" s="175" t="s">
        <v>128</v>
      </c>
      <c r="D27" s="176"/>
      <c r="E27" s="177"/>
      <c r="F27" s="175" t="s">
        <v>129</v>
      </c>
      <c r="G27" s="176"/>
      <c r="H27" s="6"/>
      <c r="I27" s="174"/>
      <c r="J27" s="120"/>
    </row>
    <row r="28" spans="2:12" ht="15.6" x14ac:dyDescent="0.3">
      <c r="B28" s="143"/>
      <c r="C28" s="178"/>
      <c r="D28" s="176"/>
      <c r="E28" s="3"/>
      <c r="F28" s="178"/>
      <c r="G28" s="176"/>
      <c r="H28" s="6"/>
      <c r="I28" s="179"/>
      <c r="J28" s="167"/>
    </row>
    <row r="29" spans="2:12" ht="15.6" x14ac:dyDescent="0.3">
      <c r="B29" s="143"/>
      <c r="C29" s="178"/>
      <c r="D29" s="176"/>
      <c r="E29" s="3"/>
      <c r="F29" s="178"/>
      <c r="G29" s="176"/>
      <c r="H29" s="6"/>
      <c r="I29" s="179"/>
      <c r="J29" s="167"/>
    </row>
    <row r="30" spans="2:12" ht="15.6" x14ac:dyDescent="0.3">
      <c r="B30" s="143"/>
      <c r="C30" s="178"/>
      <c r="D30" s="176"/>
      <c r="E30" s="3"/>
      <c r="F30" s="178"/>
      <c r="G30" s="176"/>
      <c r="H30" s="6"/>
      <c r="I30" s="179"/>
      <c r="J30" s="167"/>
    </row>
    <row r="31" spans="2:12" ht="15.6" x14ac:dyDescent="0.3">
      <c r="B31" s="143"/>
      <c r="C31" s="127" t="str">
        <f>INFORMACION!C25</f>
        <v>ING. JEYSON JULIAN LEON RUEDA</v>
      </c>
      <c r="D31" s="127"/>
      <c r="E31" s="3"/>
      <c r="F31" s="127" t="str">
        <f>INFORMACION!C14</f>
        <v>ARQ. YASMID ROCÍO CARRILLO MORA</v>
      </c>
      <c r="G31" s="127"/>
      <c r="H31" s="127"/>
      <c r="I31" s="127"/>
      <c r="J31" s="120"/>
    </row>
    <row r="32" spans="2:12" ht="15.6" x14ac:dyDescent="0.3">
      <c r="B32" s="143"/>
      <c r="C32" s="128" t="str">
        <f>INFORMACION!C26</f>
        <v>MP. 68202-416348 STD</v>
      </c>
      <c r="D32" s="128"/>
      <c r="E32" s="37"/>
      <c r="F32" s="128" t="str">
        <f>INFORMACION!C15</f>
        <v>SECRETARIA DE PLANEACIÓN Y OBRAS PÚBLICAS</v>
      </c>
      <c r="G32" s="128"/>
      <c r="H32" s="128"/>
      <c r="I32" s="128"/>
      <c r="J32" s="120"/>
    </row>
    <row r="33" spans="2:10" ht="15.6" x14ac:dyDescent="0.3">
      <c r="B33" s="153"/>
      <c r="C33" s="56"/>
      <c r="D33" s="37"/>
      <c r="E33" s="37"/>
      <c r="F33" s="128" t="str">
        <f>INFORMACION!C16</f>
        <v>MUNICIPIO DE PINCHOTE</v>
      </c>
      <c r="G33" s="128"/>
      <c r="H33" s="128"/>
      <c r="I33" s="128"/>
      <c r="J33" s="153"/>
    </row>
    <row r="34" spans="2:10" x14ac:dyDescent="0.3">
      <c r="B34" s="153"/>
      <c r="C34" s="153"/>
      <c r="D34" s="180"/>
      <c r="E34" s="180"/>
      <c r="F34" s="180"/>
      <c r="G34" s="180"/>
      <c r="H34" s="180"/>
      <c r="I34" s="153"/>
      <c r="J34" s="153"/>
    </row>
    <row r="35" spans="2:10" x14ac:dyDescent="0.3">
      <c r="B35" s="153"/>
      <c r="C35" s="153"/>
      <c r="D35" s="153"/>
      <c r="E35" s="153"/>
      <c r="F35" s="153"/>
      <c r="G35" s="74"/>
      <c r="H35" s="153"/>
      <c r="I35" s="153"/>
      <c r="J35" s="153"/>
    </row>
    <row r="36" spans="2:10" x14ac:dyDescent="0.3">
      <c r="B36" s="153"/>
      <c r="C36" s="153"/>
      <c r="D36" s="153"/>
      <c r="E36" s="153"/>
      <c r="F36" s="153"/>
      <c r="G36" s="74"/>
      <c r="H36" s="153"/>
      <c r="I36" s="153"/>
      <c r="J36" s="153"/>
    </row>
    <row r="37" spans="2:10" x14ac:dyDescent="0.3">
      <c r="B37" s="153"/>
      <c r="C37" s="153"/>
      <c r="D37" s="153"/>
      <c r="E37" s="153"/>
      <c r="F37" s="153"/>
      <c r="G37" s="74"/>
      <c r="H37" s="153"/>
      <c r="I37" s="153"/>
      <c r="J37" s="153"/>
    </row>
  </sheetData>
  <mergeCells count="14">
    <mergeCell ref="D24:H24"/>
    <mergeCell ref="D4:H4"/>
    <mergeCell ref="I3:I4"/>
    <mergeCell ref="C5:G5"/>
    <mergeCell ref="D9:I9"/>
    <mergeCell ref="E13:F13"/>
    <mergeCell ref="E14:F14"/>
    <mergeCell ref="E15:F15"/>
    <mergeCell ref="E16:F16"/>
    <mergeCell ref="E17:F17"/>
    <mergeCell ref="E18:F18"/>
    <mergeCell ref="E7:F7"/>
    <mergeCell ref="E10:F10"/>
    <mergeCell ref="C3:H3"/>
  </mergeCells>
  <phoneticPr fontId="21" type="noConversion"/>
  <conditionalFormatting sqref="C4">
    <cfRule type="cellIs" dxfId="4" priority="1" stopIfTrue="1" operator="equal">
      <formula>"ESCRIBA AQUÍ EL NOMBRE DE LA OBRA"</formula>
    </cfRule>
  </conditionalFormatting>
  <conditionalFormatting sqref="C9:D9">
    <cfRule type="cellIs" dxfId="3" priority="4" operator="equal">
      <formula>"ESCRIBA AQUÍ EL NOMBRE DEL CAPITULO"</formula>
    </cfRule>
  </conditionalFormatting>
  <conditionalFormatting sqref="I23">
    <cfRule type="cellIs" dxfId="2" priority="2" stopIfTrue="1" operator="notEqual">
      <formula>0</formula>
    </cfRule>
    <cfRule type="cellIs" dxfId="1" priority="3" stopIfTrue="1" operator="equal">
      <formula>0</formula>
    </cfRule>
  </conditionalFormatting>
  <conditionalFormatting sqref="I2:J2">
    <cfRule type="cellIs" dxfId="0" priority="5" stopIfTrue="1" operator="equal">
      <formula>"CHEQ. INSUMOS"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4" orientation="portrait" r:id="rId1"/>
  <ignoredErrors>
    <ignoredError sqref="D4 I5 C5 G10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"/>
  <sheetViews>
    <sheetView workbookViewId="0"/>
  </sheetViews>
  <sheetFormatPr baseColWidth="10" defaultRowHeight="14.4" x14ac:dyDescent="0.3"/>
  <cols>
    <col min="3" max="5" width="7" bestFit="1" customWidth="1"/>
    <col min="6" max="6" width="6" bestFit="1" customWidth="1"/>
    <col min="7" max="8" width="5" bestFit="1" customWidth="1"/>
    <col min="9" max="9" width="6" bestFit="1" customWidth="1"/>
    <col min="10" max="10" width="12" bestFit="1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17</vt:i4>
      </vt:variant>
    </vt:vector>
  </HeadingPairs>
  <TitlesOfParts>
    <vt:vector size="33" baseType="lpstr">
      <vt:lpstr>INFORMACION</vt:lpstr>
      <vt:lpstr>PRESENTACION</vt:lpstr>
      <vt:lpstr>PPTO</vt:lpstr>
      <vt:lpstr>RENDIMIENTO</vt:lpstr>
      <vt:lpstr>ITEMS</vt:lpstr>
      <vt:lpstr>PPTO DIRECTO</vt:lpstr>
      <vt:lpstr>APUS</vt:lpstr>
      <vt:lpstr>INSUMOS</vt:lpstr>
      <vt:lpstr>COTIZACIONES</vt:lpstr>
      <vt:lpstr>DESGLOCE DE PERSONAL</vt:lpstr>
      <vt:lpstr>AIU</vt:lpstr>
      <vt:lpstr>FM</vt:lpstr>
      <vt:lpstr>PPTO INTERVENTORIA</vt:lpstr>
      <vt:lpstr>PPTO PMA</vt:lpstr>
      <vt:lpstr>PPTO PMT</vt:lpstr>
      <vt:lpstr>Hoja4</vt:lpstr>
      <vt:lpstr>AIU!Área_de_impresión</vt:lpstr>
      <vt:lpstr>APUS!Área_de_impresión</vt:lpstr>
      <vt:lpstr>'DESGLOCE DE PERSONAL'!Área_de_impresión</vt:lpstr>
      <vt:lpstr>FM!Área_de_impresión</vt:lpstr>
      <vt:lpstr>INFORMACION!Área_de_impresión</vt:lpstr>
      <vt:lpstr>INSUMOS!Área_de_impresión</vt:lpstr>
      <vt:lpstr>ITEMS!Área_de_impresión</vt:lpstr>
      <vt:lpstr>PPTO!Área_de_impresión</vt:lpstr>
      <vt:lpstr>'PPTO DIRECTO'!Área_de_impresión</vt:lpstr>
      <vt:lpstr>'PPTO INTERVENTORIA'!Área_de_impresión</vt:lpstr>
      <vt:lpstr>'PPTO PMA'!Área_de_impresión</vt:lpstr>
      <vt:lpstr>'PPTO PMT'!Área_de_impresión</vt:lpstr>
      <vt:lpstr>PRESENTACION!Área_de_impresión</vt:lpstr>
      <vt:lpstr>APUS!Títulos_a_imprimir</vt:lpstr>
      <vt:lpstr>ITEMS!Títulos_a_imprimir</vt:lpstr>
      <vt:lpstr>PPTO!Títulos_a_imprimir</vt:lpstr>
      <vt:lpstr>'PPTO DIRECTO'!Títulos_a_imprimir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POWERCOM STORE</dc:creator>
  <cp:lastModifiedBy>laura</cp:lastModifiedBy>
  <cp:lastPrinted>2026-04-24T01:40:44Z</cp:lastPrinted>
  <dcterms:created xsi:type="dcterms:W3CDTF">2020-04-26T13:51:27Z</dcterms:created>
  <dcterms:modified xsi:type="dcterms:W3CDTF">2026-06-18T16:18:54Z</dcterms:modified>
</cp:coreProperties>
</file>