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tmp" ContentType="image/gi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pivotTables/pivotTable3.xml" ContentType="application/vnd.openxmlformats-officedocument.spreadsheetml.pivotTable+xml"/>
  <Override PartName="/xl/drawings/drawing7.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codeName="{00000000-0000-0000-0000-000000000000}"/>
  <workbookPr updateLinks="never" codeName="ThisWorkbook" defaultThemeVersion="202300"/>
  <mc:AlternateContent xmlns:mc="http://schemas.openxmlformats.org/markup-compatibility/2006">
    <mc:Choice Requires="x15">
      <x15ac:absPath xmlns:x15ac="http://schemas.microsoft.com/office/spreadsheetml/2010/11/ac" url="C:\Users\Sarit\Downloads\"/>
    </mc:Choice>
  </mc:AlternateContent>
  <xr:revisionPtr revIDLastSave="0" documentId="8_{09E9A9FB-BFF2-4A6E-BA86-8E290D52FB11}" xr6:coauthVersionLast="47" xr6:coauthVersionMax="47" xr10:uidLastSave="{00000000-0000-0000-0000-000000000000}"/>
  <bookViews>
    <workbookView xWindow="-120" yWindow="-120" windowWidth="20730" windowHeight="11040" firstSheet="5" activeTab="5" xr2:uid="{6AE49A48-5C1E-49FE-96E4-86AAF7CA509A}"/>
  </bookViews>
  <sheets>
    <sheet name="EstudioRecibido" sheetId="12" state="hidden" r:id="rId1"/>
    <sheet name="REV_Estudio" sheetId="4" state="hidden" r:id="rId2"/>
    <sheet name="TablaD_3Provedores" sheetId="9" state="hidden" r:id="rId3"/>
    <sheet name="VF_EstudioEntregado" sheetId="15" state="hidden" r:id="rId4"/>
    <sheet name="ITEMS_BolsaOperador" sheetId="14" state="hidden" r:id="rId5"/>
    <sheet name="FORMATO DE OFERTA ECONÓMICA" sheetId="11" r:id="rId6"/>
    <sheet name="Tres_Entidad" sheetId="7" state="hidden" r:id="rId7"/>
    <sheet name="TablaDinamicaTres_Entidad" sheetId="8" state="hidden" r:id="rId8"/>
    <sheet name="Lista" sheetId="2" state="hidden" r:id="rId9"/>
  </sheets>
  <externalReferences>
    <externalReference r:id="rId10"/>
  </externalReferences>
  <definedNames>
    <definedName name="_xlnm._FilterDatabase" localSheetId="0" hidden="1">EstudioRecibido!$A$10:$AD$148</definedName>
    <definedName name="_xlnm._FilterDatabase" localSheetId="5" hidden="1">'FORMATO DE OFERTA ECONÓMICA'!$C$11:$D$25</definedName>
    <definedName name="_xlnm._FilterDatabase" localSheetId="4" hidden="1">ITEMS_BolsaOperador!$A$2:$BX$247</definedName>
    <definedName name="_xlnm._FilterDatabase" localSheetId="1" hidden="1">REV_Estudio!$A$10:$BP$165</definedName>
    <definedName name="_xlnm._FilterDatabase" localSheetId="3" hidden="1">VF_EstudioEntregado!$A$10:$AD$165</definedName>
    <definedName name="_xleta.OR" hidden="1" xlm="1">#NAME?</definedName>
    <definedName name="_xleta.ROUND" hidden="1" xlm="1">#NAME?</definedName>
    <definedName name="_xlnm.Print_Area" localSheetId="0">EstudioRecibido!$A$1:$AN$500</definedName>
    <definedName name="_xlnm.Print_Area" localSheetId="4">ITEMS_BolsaOperador!$A$1:$BA$134</definedName>
    <definedName name="_xlnm.Print_Area" localSheetId="1">REV_Estudio!$A$1:$AK$517</definedName>
    <definedName name="_xlnm.Print_Area" localSheetId="3">VF_EstudioEntregado!$A$1:$AD$517</definedName>
  </definedNames>
  <calcPr calcId="191028"/>
  <pivotCaches>
    <pivotCache cacheId="0" r:id="rId11"/>
    <pivotCache cacheId="1" r:id="rId12"/>
    <pivotCache cacheId="2" r:id="rId13"/>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4" i="11" l="1"/>
  <c r="H11" i="11"/>
  <c r="F8" i="11"/>
  <c r="H151" i="11"/>
  <c r="I148" i="11"/>
  <c r="H147" i="11"/>
  <c r="H144" i="11"/>
  <c r="H143" i="11"/>
  <c r="J142" i="11"/>
  <c r="J140" i="11"/>
  <c r="H139" i="11"/>
  <c r="H136" i="11"/>
  <c r="H135" i="11"/>
  <c r="J134" i="11"/>
  <c r="I131" i="11"/>
  <c r="I128" i="11"/>
  <c r="J127" i="11"/>
  <c r="J126" i="11"/>
  <c r="J123" i="11"/>
  <c r="H122" i="11"/>
  <c r="I118" i="11"/>
  <c r="H116" i="11"/>
  <c r="H115" i="11"/>
  <c r="E116" i="11"/>
  <c r="E115" i="11"/>
  <c r="H129" i="11"/>
  <c r="H121" i="11"/>
  <c r="H118" i="11"/>
  <c r="K118" i="11" s="1"/>
  <c r="H117" i="11"/>
  <c r="H119" i="11"/>
  <c r="H123" i="11"/>
  <c r="H124" i="11"/>
  <c r="H125" i="11"/>
  <c r="H127" i="11"/>
  <c r="H130" i="11"/>
  <c r="K130" i="11" s="1"/>
  <c r="H132" i="11"/>
  <c r="H133" i="11"/>
  <c r="K133" i="11" s="1"/>
  <c r="H134" i="11"/>
  <c r="H137" i="11"/>
  <c r="H138" i="11"/>
  <c r="H140" i="11"/>
  <c r="H141" i="11"/>
  <c r="H142" i="11"/>
  <c r="H145" i="11"/>
  <c r="K145" i="11" s="1"/>
  <c r="H146" i="11"/>
  <c r="K146" i="11" s="1"/>
  <c r="H148" i="11"/>
  <c r="L148" i="11" s="1"/>
  <c r="H149" i="11"/>
  <c r="L149" i="11" s="1"/>
  <c r="H150" i="11"/>
  <c r="K150" i="11" s="1"/>
  <c r="H12" i="11"/>
  <c r="H13" i="11"/>
  <c r="H14" i="11"/>
  <c r="H15" i="11"/>
  <c r="H16" i="11"/>
  <c r="H17" i="11"/>
  <c r="H18" i="11"/>
  <c r="H19" i="11"/>
  <c r="H20" i="11"/>
  <c r="H21" i="11"/>
  <c r="H22" i="11"/>
  <c r="H23" i="11"/>
  <c r="H24" i="11"/>
  <c r="H25" i="11"/>
  <c r="H26" i="11"/>
  <c r="H27" i="11"/>
  <c r="H28" i="11"/>
  <c r="H29" i="11"/>
  <c r="H30" i="11"/>
  <c r="H31" i="11"/>
  <c r="H32" i="11"/>
  <c r="H33" i="11"/>
  <c r="H34" i="11"/>
  <c r="H35" i="11"/>
  <c r="H36" i="11"/>
  <c r="H37" i="11"/>
  <c r="H38" i="11"/>
  <c r="H39" i="11"/>
  <c r="H40" i="11"/>
  <c r="H41" i="11"/>
  <c r="H42" i="11"/>
  <c r="H43" i="11"/>
  <c r="H44" i="11"/>
  <c r="H45" i="11"/>
  <c r="H46" i="11"/>
  <c r="H47" i="11"/>
  <c r="H48" i="11"/>
  <c r="H49" i="11"/>
  <c r="H50" i="11"/>
  <c r="H51" i="11"/>
  <c r="H52" i="11"/>
  <c r="H53" i="11"/>
  <c r="H54" i="11"/>
  <c r="H55" i="11"/>
  <c r="H56" i="11"/>
  <c r="H57" i="11"/>
  <c r="H58" i="11"/>
  <c r="H59" i="11"/>
  <c r="H60" i="11"/>
  <c r="H61" i="11"/>
  <c r="H62" i="11"/>
  <c r="H63" i="11"/>
  <c r="H64" i="11"/>
  <c r="H65" i="11"/>
  <c r="H66" i="11"/>
  <c r="H67" i="11"/>
  <c r="H68" i="11"/>
  <c r="H69" i="11"/>
  <c r="H70" i="11"/>
  <c r="H71" i="11"/>
  <c r="H72" i="11"/>
  <c r="H73" i="11"/>
  <c r="H74" i="11"/>
  <c r="H75" i="11"/>
  <c r="H76" i="11"/>
  <c r="H77" i="11"/>
  <c r="H78" i="11"/>
  <c r="H79" i="11"/>
  <c r="H80" i="11"/>
  <c r="H81" i="11"/>
  <c r="H82" i="11"/>
  <c r="H83" i="11"/>
  <c r="H84" i="11"/>
  <c r="H85" i="11"/>
  <c r="H86" i="11"/>
  <c r="H87" i="11"/>
  <c r="H88" i="11"/>
  <c r="H89" i="11"/>
  <c r="H90" i="11"/>
  <c r="H91" i="11"/>
  <c r="H92" i="11"/>
  <c r="H93" i="11"/>
  <c r="H94" i="11"/>
  <c r="H95" i="11"/>
  <c r="H96" i="11"/>
  <c r="H97" i="11"/>
  <c r="H98" i="11"/>
  <c r="H99" i="11"/>
  <c r="H100" i="11"/>
  <c r="H101" i="11"/>
  <c r="H102" i="11"/>
  <c r="H103" i="11"/>
  <c r="H104" i="11"/>
  <c r="H105" i="11"/>
  <c r="H106" i="11"/>
  <c r="H107" i="11"/>
  <c r="H108" i="11"/>
  <c r="H109" i="11"/>
  <c r="H110" i="11"/>
  <c r="H111" i="11"/>
  <c r="J131" i="15"/>
  <c r="I117" i="11"/>
  <c r="J117" i="11"/>
  <c r="I119" i="11"/>
  <c r="J119" i="11"/>
  <c r="I121" i="11"/>
  <c r="J121" i="11"/>
  <c r="I122" i="11"/>
  <c r="J122" i="11"/>
  <c r="I123" i="11"/>
  <c r="I124" i="11"/>
  <c r="J124" i="11"/>
  <c r="I125" i="11"/>
  <c r="J125" i="11"/>
  <c r="I126" i="11"/>
  <c r="I127" i="11"/>
  <c r="I129" i="11"/>
  <c r="J129" i="11"/>
  <c r="I130" i="11"/>
  <c r="J130" i="11"/>
  <c r="I132" i="11"/>
  <c r="J132" i="11"/>
  <c r="I133" i="11"/>
  <c r="J133" i="11"/>
  <c r="L133" i="11"/>
  <c r="I134" i="11"/>
  <c r="I135" i="11"/>
  <c r="J135" i="11"/>
  <c r="I137" i="11"/>
  <c r="J137" i="11"/>
  <c r="I138" i="11"/>
  <c r="J138" i="11"/>
  <c r="I139" i="11"/>
  <c r="J139" i="11"/>
  <c r="I140" i="11"/>
  <c r="I141" i="11"/>
  <c r="J141" i="11"/>
  <c r="I142" i="11"/>
  <c r="I143" i="11"/>
  <c r="J143" i="11"/>
  <c r="I145" i="11"/>
  <c r="J145" i="11"/>
  <c r="I146" i="11"/>
  <c r="J146" i="11"/>
  <c r="I147" i="11"/>
  <c r="J147" i="11"/>
  <c r="J148" i="11"/>
  <c r="I149" i="11"/>
  <c r="J149" i="11"/>
  <c r="I150" i="11"/>
  <c r="J150" i="11"/>
  <c r="J151" i="11"/>
  <c r="I115" i="11"/>
  <c r="A145" i="11"/>
  <c r="B145" i="11"/>
  <c r="C145" i="11"/>
  <c r="E145" i="11"/>
  <c r="F145" i="11"/>
  <c r="A146" i="11"/>
  <c r="B146" i="11"/>
  <c r="C146" i="11"/>
  <c r="E146" i="11"/>
  <c r="F146" i="11" s="1"/>
  <c r="L146" i="11" s="1"/>
  <c r="A147" i="11"/>
  <c r="B147" i="11"/>
  <c r="C147" i="11"/>
  <c r="E147" i="11"/>
  <c r="F147" i="11" s="1"/>
  <c r="A148" i="11"/>
  <c r="B148" i="11"/>
  <c r="C148" i="11"/>
  <c r="E148" i="11"/>
  <c r="F148" i="11"/>
  <c r="A149" i="11"/>
  <c r="B149" i="11"/>
  <c r="C149" i="11"/>
  <c r="E149" i="11"/>
  <c r="F149" i="11" s="1"/>
  <c r="A150" i="11"/>
  <c r="B150" i="11"/>
  <c r="C150" i="11"/>
  <c r="E150" i="11"/>
  <c r="F150" i="11"/>
  <c r="A151" i="11"/>
  <c r="B151" i="11"/>
  <c r="C151" i="11"/>
  <c r="E151" i="11"/>
  <c r="F151" i="11"/>
  <c r="A144" i="11"/>
  <c r="B144" i="11"/>
  <c r="C144" i="11"/>
  <c r="E144" i="11"/>
  <c r="A118" i="11"/>
  <c r="A119" i="11"/>
  <c r="A120" i="11"/>
  <c r="A121" i="11"/>
  <c r="A122" i="11"/>
  <c r="A123" i="11"/>
  <c r="A124" i="11"/>
  <c r="A125" i="11"/>
  <c r="A126" i="11"/>
  <c r="A127" i="11"/>
  <c r="A128" i="11"/>
  <c r="A129" i="11"/>
  <c r="A130" i="11"/>
  <c r="A131" i="11"/>
  <c r="A132" i="11"/>
  <c r="A133" i="11"/>
  <c r="A134" i="11"/>
  <c r="A135" i="11"/>
  <c r="A136" i="11"/>
  <c r="A137" i="11"/>
  <c r="A138" i="11"/>
  <c r="A139" i="11"/>
  <c r="A140" i="11"/>
  <c r="A141" i="11"/>
  <c r="A142" i="11"/>
  <c r="A143" i="11"/>
  <c r="B116" i="11"/>
  <c r="C116" i="11"/>
  <c r="B117" i="11"/>
  <c r="C117" i="11"/>
  <c r="E117" i="11"/>
  <c r="B118" i="11"/>
  <c r="C118" i="11"/>
  <c r="E118" i="11"/>
  <c r="F118" i="11"/>
  <c r="B119" i="11"/>
  <c r="C119" i="11"/>
  <c r="E119" i="11"/>
  <c r="F119" i="11"/>
  <c r="B120" i="11"/>
  <c r="C120" i="11"/>
  <c r="E120" i="11"/>
  <c r="F120" i="11" s="1"/>
  <c r="B121" i="11"/>
  <c r="C121" i="11"/>
  <c r="E121" i="11"/>
  <c r="F121" i="11"/>
  <c r="B122" i="11"/>
  <c r="C122" i="11"/>
  <c r="E122" i="11"/>
  <c r="F122" i="11"/>
  <c r="B123" i="11"/>
  <c r="C123" i="11"/>
  <c r="F123" i="11"/>
  <c r="E123" i="11"/>
  <c r="B124" i="11"/>
  <c r="C124" i="11"/>
  <c r="E124" i="11"/>
  <c r="B125" i="11"/>
  <c r="C125" i="11"/>
  <c r="E125" i="11"/>
  <c r="B126" i="11"/>
  <c r="C126" i="11"/>
  <c r="E126" i="11"/>
  <c r="F126" i="11"/>
  <c r="B127" i="11"/>
  <c r="C127" i="11"/>
  <c r="E127" i="11"/>
  <c r="B128" i="11"/>
  <c r="C128" i="11"/>
  <c r="E128" i="11"/>
  <c r="F128" i="11" s="1"/>
  <c r="B129" i="11"/>
  <c r="C129" i="11"/>
  <c r="E129" i="11"/>
  <c r="F129" i="11"/>
  <c r="B130" i="11"/>
  <c r="C130" i="11"/>
  <c r="E130" i="11"/>
  <c r="F130" i="11" s="1"/>
  <c r="B131" i="11"/>
  <c r="C131" i="11"/>
  <c r="E131" i="11"/>
  <c r="B132" i="11"/>
  <c r="C132" i="11"/>
  <c r="E132" i="11"/>
  <c r="F132" i="11"/>
  <c r="B133" i="11"/>
  <c r="C133" i="11"/>
  <c r="E133" i="11"/>
  <c r="F133" i="11"/>
  <c r="B134" i="11"/>
  <c r="C134" i="11"/>
  <c r="E134" i="11"/>
  <c r="B135" i="11"/>
  <c r="C135" i="11"/>
  <c r="E135" i="11"/>
  <c r="B136" i="11"/>
  <c r="C136" i="11"/>
  <c r="E136" i="11"/>
  <c r="F136" i="11"/>
  <c r="B137" i="11"/>
  <c r="C137" i="11"/>
  <c r="E137" i="11"/>
  <c r="F137" i="11" s="1"/>
  <c r="B138" i="11"/>
  <c r="C138" i="11"/>
  <c r="E138" i="11"/>
  <c r="B139" i="11"/>
  <c r="C139" i="11"/>
  <c r="E139" i="11"/>
  <c r="B140" i="11"/>
  <c r="C140" i="11"/>
  <c r="E140" i="11"/>
  <c r="F140" i="11"/>
  <c r="B141" i="11"/>
  <c r="C141" i="11"/>
  <c r="E141" i="11"/>
  <c r="B142" i="11"/>
  <c r="C142" i="11"/>
  <c r="E142" i="11"/>
  <c r="F142" i="11" s="1"/>
  <c r="L142" i="11" s="1"/>
  <c r="B143" i="11"/>
  <c r="C143" i="11"/>
  <c r="E143" i="11"/>
  <c r="F143" i="11"/>
  <c r="B115" i="11"/>
  <c r="A116" i="11"/>
  <c r="A117" i="11"/>
  <c r="A115" i="11"/>
  <c r="B95" i="11"/>
  <c r="C95" i="11"/>
  <c r="D95" i="11"/>
  <c r="E95" i="11"/>
  <c r="B96" i="11"/>
  <c r="C96" i="11"/>
  <c r="D96" i="11"/>
  <c r="E96" i="11"/>
  <c r="F96" i="11" s="1"/>
  <c r="B97" i="11"/>
  <c r="C97" i="11"/>
  <c r="D97" i="11"/>
  <c r="E97" i="11"/>
  <c r="F97" i="11" s="1"/>
  <c r="B98" i="11"/>
  <c r="C98" i="11"/>
  <c r="D98" i="11"/>
  <c r="E98" i="11"/>
  <c r="F98" i="11" s="1"/>
  <c r="B99" i="11"/>
  <c r="C99" i="11"/>
  <c r="D99" i="11"/>
  <c r="E99" i="11"/>
  <c r="B100" i="11"/>
  <c r="C100" i="11"/>
  <c r="D100" i="11"/>
  <c r="E100" i="11"/>
  <c r="F100" i="11"/>
  <c r="B101" i="11"/>
  <c r="C101" i="11"/>
  <c r="D101" i="11"/>
  <c r="E101" i="11"/>
  <c r="F101" i="11"/>
  <c r="B102" i="11"/>
  <c r="C102" i="11"/>
  <c r="D102" i="11"/>
  <c r="E102" i="11"/>
  <c r="F102" i="11" s="1"/>
  <c r="B103" i="11"/>
  <c r="C103" i="11"/>
  <c r="D103" i="11"/>
  <c r="E103" i="11"/>
  <c r="B104" i="11"/>
  <c r="C104" i="11"/>
  <c r="D104" i="11"/>
  <c r="E104" i="11"/>
  <c r="B105" i="11"/>
  <c r="C105" i="11"/>
  <c r="D105" i="11"/>
  <c r="E105" i="11"/>
  <c r="B106" i="11"/>
  <c r="C106" i="11"/>
  <c r="D106" i="11"/>
  <c r="E106" i="11"/>
  <c r="B107" i="11"/>
  <c r="C107" i="11"/>
  <c r="D107" i="11"/>
  <c r="E107" i="11"/>
  <c r="B108" i="11"/>
  <c r="C108" i="11"/>
  <c r="D108" i="11"/>
  <c r="E108" i="11"/>
  <c r="F108" i="11" s="1"/>
  <c r="B109" i="11"/>
  <c r="C109" i="11"/>
  <c r="D109" i="11"/>
  <c r="E109" i="11"/>
  <c r="F109" i="11"/>
  <c r="B110" i="11"/>
  <c r="C110" i="11"/>
  <c r="D110" i="11"/>
  <c r="E110" i="11"/>
  <c r="B111" i="11"/>
  <c r="C111" i="11"/>
  <c r="D111" i="11"/>
  <c r="E111" i="11"/>
  <c r="F111" i="11"/>
  <c r="B12" i="11"/>
  <c r="C12" i="11"/>
  <c r="D12" i="11"/>
  <c r="E12" i="11"/>
  <c r="F12" i="11"/>
  <c r="B13" i="11"/>
  <c r="C13" i="11"/>
  <c r="D13" i="11"/>
  <c r="E13" i="11"/>
  <c r="F13" i="11" s="1"/>
  <c r="B14" i="11"/>
  <c r="D14" i="11"/>
  <c r="E14" i="11"/>
  <c r="F14" i="11"/>
  <c r="B15" i="11"/>
  <c r="C15" i="11"/>
  <c r="D15" i="11"/>
  <c r="E15" i="11"/>
  <c r="B16" i="11"/>
  <c r="C16" i="11"/>
  <c r="D16" i="11"/>
  <c r="E16" i="11"/>
  <c r="B17" i="11"/>
  <c r="C17" i="11"/>
  <c r="D17" i="11"/>
  <c r="E17" i="11"/>
  <c r="B18" i="11"/>
  <c r="C18" i="11"/>
  <c r="D18" i="11"/>
  <c r="E18" i="11"/>
  <c r="F18" i="11" s="1"/>
  <c r="B19" i="11"/>
  <c r="C19" i="11"/>
  <c r="D19" i="11"/>
  <c r="E19" i="11"/>
  <c r="F19" i="11" s="1"/>
  <c r="B20" i="11"/>
  <c r="C20" i="11"/>
  <c r="D20" i="11"/>
  <c r="E20" i="11"/>
  <c r="F20" i="11"/>
  <c r="B21" i="11"/>
  <c r="C21" i="11"/>
  <c r="D21" i="11"/>
  <c r="E21" i="11"/>
  <c r="B22" i="11"/>
  <c r="C22" i="11"/>
  <c r="D22" i="11"/>
  <c r="E22" i="11"/>
  <c r="B23" i="11"/>
  <c r="C23" i="11"/>
  <c r="D23" i="11"/>
  <c r="E23" i="11"/>
  <c r="F23" i="11"/>
  <c r="B24" i="11"/>
  <c r="C24" i="11"/>
  <c r="D24" i="11"/>
  <c r="E24" i="11"/>
  <c r="F24" i="11" s="1"/>
  <c r="B25" i="11"/>
  <c r="C25" i="11"/>
  <c r="D25" i="11"/>
  <c r="E25" i="11"/>
  <c r="F25" i="11" s="1"/>
  <c r="B26" i="11"/>
  <c r="C26" i="11"/>
  <c r="D26" i="11"/>
  <c r="E26" i="11"/>
  <c r="F26" i="11"/>
  <c r="B27" i="11"/>
  <c r="C27" i="11"/>
  <c r="D27" i="11"/>
  <c r="E27" i="11"/>
  <c r="F27" i="11" s="1"/>
  <c r="B28" i="11"/>
  <c r="C28" i="11"/>
  <c r="D28" i="11"/>
  <c r="E28" i="11"/>
  <c r="B29" i="11"/>
  <c r="C29" i="11"/>
  <c r="D29" i="11"/>
  <c r="E29" i="11"/>
  <c r="B30" i="11"/>
  <c r="C30" i="11"/>
  <c r="D30" i="11"/>
  <c r="E30" i="11"/>
  <c r="B31" i="11"/>
  <c r="C31" i="11"/>
  <c r="D31" i="11"/>
  <c r="E31" i="11"/>
  <c r="F31" i="11"/>
  <c r="B32" i="11"/>
  <c r="C32" i="11"/>
  <c r="D32" i="11"/>
  <c r="E32" i="11"/>
  <c r="B33" i="11"/>
  <c r="C33" i="11"/>
  <c r="D33" i="11"/>
  <c r="E33" i="11"/>
  <c r="F33" i="11" s="1"/>
  <c r="B34" i="11"/>
  <c r="C34" i="11"/>
  <c r="D34" i="11"/>
  <c r="E34" i="11"/>
  <c r="F34" i="11"/>
  <c r="B35" i="11"/>
  <c r="C35" i="11"/>
  <c r="D35" i="11"/>
  <c r="E35" i="11"/>
  <c r="F35" i="11"/>
  <c r="B36" i="11"/>
  <c r="C36" i="11"/>
  <c r="D36" i="11"/>
  <c r="E36" i="11"/>
  <c r="F36" i="11"/>
  <c r="B37" i="11"/>
  <c r="C37" i="11"/>
  <c r="D37" i="11"/>
  <c r="E37" i="11"/>
  <c r="B38" i="11"/>
  <c r="C38" i="11"/>
  <c r="D38" i="11"/>
  <c r="E38" i="11"/>
  <c r="B39" i="11"/>
  <c r="C39" i="11"/>
  <c r="D39" i="11"/>
  <c r="E39" i="11"/>
  <c r="B40" i="11"/>
  <c r="C40" i="11"/>
  <c r="D40" i="11"/>
  <c r="E40" i="11"/>
  <c r="B41" i="11"/>
  <c r="C41" i="11"/>
  <c r="D41" i="11"/>
  <c r="E41" i="11"/>
  <c r="F41" i="11" s="1"/>
  <c r="B42" i="11"/>
  <c r="C42" i="11"/>
  <c r="D42" i="11"/>
  <c r="E42" i="11"/>
  <c r="F42" i="11"/>
  <c r="B43" i="11"/>
  <c r="C43" i="11"/>
  <c r="D43" i="11"/>
  <c r="E43" i="11"/>
  <c r="B44" i="11"/>
  <c r="C44" i="11"/>
  <c r="D44" i="11"/>
  <c r="E44" i="11"/>
  <c r="F44" i="11"/>
  <c r="B45" i="11"/>
  <c r="C45" i="11"/>
  <c r="D45" i="11"/>
  <c r="E45" i="11"/>
  <c r="B46" i="11"/>
  <c r="C46" i="11"/>
  <c r="D46" i="11"/>
  <c r="E46" i="11"/>
  <c r="B47" i="11"/>
  <c r="C47" i="11"/>
  <c r="D47" i="11"/>
  <c r="E47" i="11"/>
  <c r="B48" i="11"/>
  <c r="C48" i="11"/>
  <c r="D48" i="11"/>
  <c r="E48" i="11"/>
  <c r="F48" i="11" s="1"/>
  <c r="B49" i="11"/>
  <c r="C49" i="11"/>
  <c r="D49" i="11"/>
  <c r="E49" i="11"/>
  <c r="F49" i="11"/>
  <c r="B50" i="11"/>
  <c r="C50" i="11"/>
  <c r="D50" i="11"/>
  <c r="E50" i="11"/>
  <c r="F50" i="11" s="1"/>
  <c r="B51" i="11"/>
  <c r="C51" i="11"/>
  <c r="D51" i="11"/>
  <c r="E51" i="11"/>
  <c r="B52" i="11"/>
  <c r="C52" i="11"/>
  <c r="D52" i="11"/>
  <c r="E52" i="11"/>
  <c r="F52" i="11"/>
  <c r="B53" i="11"/>
  <c r="C53" i="11"/>
  <c r="D53" i="11"/>
  <c r="E53" i="11"/>
  <c r="B54" i="11"/>
  <c r="C54" i="11"/>
  <c r="D54" i="11"/>
  <c r="E54" i="11"/>
  <c r="B55" i="11"/>
  <c r="C55" i="11"/>
  <c r="D55" i="11"/>
  <c r="E55" i="11"/>
  <c r="B56" i="11"/>
  <c r="C56" i="11"/>
  <c r="D56" i="11"/>
  <c r="E56" i="11"/>
  <c r="F56" i="11" s="1"/>
  <c r="B57" i="11"/>
  <c r="C57" i="11"/>
  <c r="D57" i="11"/>
  <c r="E57" i="11"/>
  <c r="F57" i="11" s="1"/>
  <c r="B58" i="11"/>
  <c r="C58" i="11"/>
  <c r="D58" i="11"/>
  <c r="E58" i="11"/>
  <c r="B59" i="11"/>
  <c r="C59" i="11"/>
  <c r="D59" i="11"/>
  <c r="E59" i="11"/>
  <c r="F59" i="11"/>
  <c r="B60" i="11"/>
  <c r="C60" i="11"/>
  <c r="D60" i="11"/>
  <c r="E60" i="11"/>
  <c r="F60" i="11" s="1"/>
  <c r="B61" i="11"/>
  <c r="C61" i="11"/>
  <c r="D61" i="11"/>
  <c r="E61" i="11"/>
  <c r="F61" i="11" s="1"/>
  <c r="B62" i="11"/>
  <c r="C62" i="11"/>
  <c r="D62" i="11"/>
  <c r="E62" i="11"/>
  <c r="F62" i="11" s="1"/>
  <c r="B63" i="11"/>
  <c r="C63" i="11"/>
  <c r="D63" i="11"/>
  <c r="E63" i="11"/>
  <c r="F63" i="11"/>
  <c r="B64" i="11"/>
  <c r="C64" i="11"/>
  <c r="D64" i="11"/>
  <c r="E64" i="11"/>
  <c r="F64" i="11"/>
  <c r="B65" i="11"/>
  <c r="C65" i="11"/>
  <c r="D65" i="11"/>
  <c r="E65" i="11"/>
  <c r="B66" i="11"/>
  <c r="C66" i="11"/>
  <c r="D66" i="11"/>
  <c r="E66" i="11"/>
  <c r="F66" i="11"/>
  <c r="B67" i="11"/>
  <c r="C67" i="11"/>
  <c r="D67" i="11"/>
  <c r="E67" i="11"/>
  <c r="F67" i="11" s="1"/>
  <c r="B68" i="11"/>
  <c r="C68" i="11"/>
  <c r="D68" i="11"/>
  <c r="E68" i="11"/>
  <c r="B69" i="11"/>
  <c r="C69" i="11"/>
  <c r="D69" i="11"/>
  <c r="E69" i="11"/>
  <c r="F69" i="11" s="1"/>
  <c r="B70" i="11"/>
  <c r="C70" i="11"/>
  <c r="D70" i="11"/>
  <c r="E70" i="11"/>
  <c r="B71" i="11"/>
  <c r="C71" i="11"/>
  <c r="D71" i="11"/>
  <c r="E71" i="11"/>
  <c r="F71" i="11"/>
  <c r="B72" i="11"/>
  <c r="C72" i="11"/>
  <c r="D72" i="11"/>
  <c r="E72" i="11"/>
  <c r="B73" i="11"/>
  <c r="C73" i="11"/>
  <c r="D73" i="11"/>
  <c r="E73" i="11"/>
  <c r="B74" i="11"/>
  <c r="C74" i="11"/>
  <c r="D74" i="11"/>
  <c r="E74" i="11"/>
  <c r="F74" i="11"/>
  <c r="B75" i="11"/>
  <c r="C75" i="11"/>
  <c r="D75" i="11"/>
  <c r="E75" i="11"/>
  <c r="F75" i="11"/>
  <c r="B76" i="11"/>
  <c r="C76" i="11"/>
  <c r="D76" i="11"/>
  <c r="E76" i="11"/>
  <c r="B77" i="11"/>
  <c r="C77" i="11"/>
  <c r="D77" i="11"/>
  <c r="E77" i="11"/>
  <c r="F77" i="11"/>
  <c r="B78" i="11"/>
  <c r="C78" i="11"/>
  <c r="D78" i="11"/>
  <c r="E78" i="11"/>
  <c r="F78" i="11"/>
  <c r="B79" i="11"/>
  <c r="C79" i="11"/>
  <c r="D79" i="11"/>
  <c r="E79" i="11"/>
  <c r="F79" i="11" s="1"/>
  <c r="B80" i="11"/>
  <c r="C80" i="11"/>
  <c r="D80" i="11"/>
  <c r="F80" i="11" s="1"/>
  <c r="E80" i="11"/>
  <c r="B81" i="11"/>
  <c r="C81" i="11"/>
  <c r="D81" i="11"/>
  <c r="E81" i="11"/>
  <c r="F81" i="11"/>
  <c r="B82" i="11"/>
  <c r="C82" i="11"/>
  <c r="D82" i="11"/>
  <c r="E82" i="11"/>
  <c r="B83" i="11"/>
  <c r="C83" i="11"/>
  <c r="D83" i="11"/>
  <c r="E83" i="11"/>
  <c r="F83" i="11"/>
  <c r="B84" i="11"/>
  <c r="C84" i="11"/>
  <c r="D84" i="11"/>
  <c r="E84" i="11"/>
  <c r="B85" i="11"/>
  <c r="C85" i="11"/>
  <c r="D85" i="11"/>
  <c r="E85" i="11"/>
  <c r="B86" i="11"/>
  <c r="C86" i="11"/>
  <c r="D86" i="11"/>
  <c r="E86" i="11"/>
  <c r="B87" i="11"/>
  <c r="C87" i="11"/>
  <c r="D87" i="11"/>
  <c r="E87" i="11"/>
  <c r="F87" i="11" s="1"/>
  <c r="B88" i="11"/>
  <c r="C88" i="11"/>
  <c r="D88" i="11"/>
  <c r="E88" i="11"/>
  <c r="F88" i="11" s="1"/>
  <c r="B89" i="11"/>
  <c r="C89" i="11"/>
  <c r="D89" i="11"/>
  <c r="E89" i="11"/>
  <c r="F89" i="11" s="1"/>
  <c r="B90" i="11"/>
  <c r="C90" i="11"/>
  <c r="D90" i="11"/>
  <c r="E90" i="11"/>
  <c r="B91" i="11"/>
  <c r="C91" i="11"/>
  <c r="D91" i="11"/>
  <c r="E91" i="11"/>
  <c r="B92" i="11"/>
  <c r="C92" i="11"/>
  <c r="D92" i="11"/>
  <c r="E92" i="11"/>
  <c r="F92" i="11" s="1"/>
  <c r="B93" i="11"/>
  <c r="C93" i="11"/>
  <c r="D93" i="11"/>
  <c r="E93" i="11"/>
  <c r="F93" i="11" s="1"/>
  <c r="B94" i="11"/>
  <c r="C94" i="11"/>
  <c r="D94" i="11"/>
  <c r="E94" i="11"/>
  <c r="F94" i="11" s="1"/>
  <c r="I12" i="11"/>
  <c r="I13" i="11"/>
  <c r="I14" i="11"/>
  <c r="I15" i="11"/>
  <c r="I16" i="11"/>
  <c r="I17" i="11"/>
  <c r="I18" i="11"/>
  <c r="I19" i="11"/>
  <c r="I20" i="11"/>
  <c r="I21" i="11"/>
  <c r="I22" i="11"/>
  <c r="I23" i="11"/>
  <c r="I24" i="11"/>
  <c r="I25" i="11"/>
  <c r="I26" i="11"/>
  <c r="I27" i="11"/>
  <c r="I28" i="11"/>
  <c r="I29" i="11"/>
  <c r="I30" i="11"/>
  <c r="I31" i="11"/>
  <c r="I32" i="11"/>
  <c r="I33" i="11"/>
  <c r="I34" i="11"/>
  <c r="I35" i="11"/>
  <c r="I36" i="11"/>
  <c r="I37" i="11"/>
  <c r="I38" i="11"/>
  <c r="I39" i="11"/>
  <c r="I40" i="11"/>
  <c r="I41" i="11"/>
  <c r="I42" i="11"/>
  <c r="I43" i="11"/>
  <c r="I44" i="11"/>
  <c r="I45" i="11"/>
  <c r="I46" i="11"/>
  <c r="I47" i="11"/>
  <c r="I48" i="11"/>
  <c r="I49" i="11"/>
  <c r="I50" i="11"/>
  <c r="I51" i="11"/>
  <c r="I52" i="11"/>
  <c r="I53" i="11"/>
  <c r="I54" i="11"/>
  <c r="I55" i="11"/>
  <c r="I56" i="11"/>
  <c r="I57" i="11"/>
  <c r="I58" i="11"/>
  <c r="I59" i="11"/>
  <c r="I60" i="11"/>
  <c r="I61" i="11"/>
  <c r="I62" i="11"/>
  <c r="I63" i="11"/>
  <c r="I64" i="11"/>
  <c r="I65" i="11"/>
  <c r="I66" i="11"/>
  <c r="I67" i="11"/>
  <c r="I68" i="11"/>
  <c r="I69" i="11"/>
  <c r="I70" i="11"/>
  <c r="I71" i="11"/>
  <c r="I72" i="11"/>
  <c r="I73" i="11"/>
  <c r="I74" i="11"/>
  <c r="I75" i="11"/>
  <c r="I76" i="11"/>
  <c r="I77" i="11"/>
  <c r="I78" i="11"/>
  <c r="I79" i="11"/>
  <c r="I80" i="11"/>
  <c r="I81" i="11"/>
  <c r="I82" i="11"/>
  <c r="I83" i="11"/>
  <c r="I84" i="11"/>
  <c r="I85" i="11"/>
  <c r="I86" i="11"/>
  <c r="I87" i="11"/>
  <c r="I88" i="11"/>
  <c r="I89" i="11"/>
  <c r="I90" i="11"/>
  <c r="I91" i="11"/>
  <c r="I92" i="11"/>
  <c r="I93" i="11"/>
  <c r="I94" i="11"/>
  <c r="I95" i="11"/>
  <c r="I96" i="11"/>
  <c r="I97" i="11"/>
  <c r="I98" i="11"/>
  <c r="I99" i="11"/>
  <c r="I100" i="11"/>
  <c r="I101" i="11"/>
  <c r="I102" i="11"/>
  <c r="I103" i="11"/>
  <c r="I104" i="11"/>
  <c r="I105" i="11"/>
  <c r="I106" i="11"/>
  <c r="I107" i="11"/>
  <c r="I108" i="11"/>
  <c r="I109" i="11"/>
  <c r="I110" i="11"/>
  <c r="I111" i="11"/>
  <c r="I11" i="11"/>
  <c r="C115" i="11"/>
  <c r="D11" i="11"/>
  <c r="C11" i="11"/>
  <c r="B11" i="11"/>
  <c r="K152" i="15"/>
  <c r="J152" i="15"/>
  <c r="L152" i="15" s="1"/>
  <c r="K151" i="15"/>
  <c r="J151" i="15"/>
  <c r="L151" i="15" s="1"/>
  <c r="K150" i="15"/>
  <c r="J150" i="15"/>
  <c r="L150" i="15" s="1"/>
  <c r="K149" i="15"/>
  <c r="J149" i="15"/>
  <c r="L149" i="15" s="1"/>
  <c r="K148" i="15"/>
  <c r="J148" i="15"/>
  <c r="L148" i="15" s="1"/>
  <c r="K147" i="15"/>
  <c r="J147" i="15"/>
  <c r="L147" i="15" s="1"/>
  <c r="K146" i="15"/>
  <c r="J146" i="15"/>
  <c r="L146" i="15" s="1"/>
  <c r="K145" i="15"/>
  <c r="J145" i="15"/>
  <c r="L145" i="15" s="1"/>
  <c r="K144" i="15"/>
  <c r="J144" i="15"/>
  <c r="L144" i="15" s="1"/>
  <c r="K143" i="15"/>
  <c r="J143" i="15"/>
  <c r="L143" i="15" s="1"/>
  <c r="K142" i="15"/>
  <c r="J142" i="15"/>
  <c r="L142" i="15" s="1"/>
  <c r="K141" i="15"/>
  <c r="J141" i="15"/>
  <c r="L141" i="15" s="1"/>
  <c r="L140" i="15"/>
  <c r="K140" i="15"/>
  <c r="L139" i="15"/>
  <c r="K139" i="15"/>
  <c r="L138" i="15"/>
  <c r="K138" i="15"/>
  <c r="L137" i="15"/>
  <c r="K137" i="15"/>
  <c r="K136" i="15"/>
  <c r="J136" i="15"/>
  <c r="L136" i="15" s="1"/>
  <c r="L135" i="15"/>
  <c r="K135" i="15"/>
  <c r="L134" i="15"/>
  <c r="K134" i="15"/>
  <c r="K133" i="15"/>
  <c r="J133" i="15"/>
  <c r="L133" i="15" s="1"/>
  <c r="L132" i="15"/>
  <c r="K132" i="15"/>
  <c r="K131" i="15"/>
  <c r="L131" i="15"/>
  <c r="L130" i="15"/>
  <c r="K130" i="15"/>
  <c r="L129" i="15"/>
  <c r="K129" i="15"/>
  <c r="L128" i="15"/>
  <c r="K128" i="15"/>
  <c r="L127" i="15"/>
  <c r="K127" i="15"/>
  <c r="L126" i="15"/>
  <c r="K126" i="15"/>
  <c r="L125" i="15"/>
  <c r="K125" i="15"/>
  <c r="L124" i="15"/>
  <c r="K124" i="15"/>
  <c r="L123" i="15"/>
  <c r="K123" i="15"/>
  <c r="K122" i="15"/>
  <c r="J122" i="15"/>
  <c r="L122" i="15" s="1"/>
  <c r="K121" i="15"/>
  <c r="J121" i="15"/>
  <c r="L121" i="15" s="1"/>
  <c r="K120" i="15"/>
  <c r="J120" i="15"/>
  <c r="L120" i="15" s="1"/>
  <c r="K119" i="15"/>
  <c r="J119" i="15"/>
  <c r="L119" i="15" s="1"/>
  <c r="K118" i="15"/>
  <c r="J118" i="15"/>
  <c r="L118" i="15" s="1"/>
  <c r="K117" i="15"/>
  <c r="J117" i="15"/>
  <c r="L117" i="15" s="1"/>
  <c r="K116" i="15"/>
  <c r="J116" i="15"/>
  <c r="L116" i="15" s="1"/>
  <c r="Z112" i="15"/>
  <c r="AA110" i="15"/>
  <c r="X109" i="15"/>
  <c r="V109" i="15"/>
  <c r="W109" i="15" s="1"/>
  <c r="Y109" i="15" s="1"/>
  <c r="R109" i="15"/>
  <c r="P109" i="15"/>
  <c r="Q109" i="15" s="1"/>
  <c r="L109" i="15"/>
  <c r="J109" i="15"/>
  <c r="K109" i="15" s="1"/>
  <c r="M109" i="15" s="1"/>
  <c r="X108" i="15"/>
  <c r="W108" i="15"/>
  <c r="Y108" i="15" s="1"/>
  <c r="R108" i="15"/>
  <c r="P108" i="15"/>
  <c r="Q108" i="15" s="1"/>
  <c r="S108" i="15" s="1"/>
  <c r="L108" i="15"/>
  <c r="J108" i="15"/>
  <c r="K108" i="15" s="1"/>
  <c r="M108" i="15" s="1"/>
  <c r="X107" i="15"/>
  <c r="V107" i="15"/>
  <c r="W107" i="15" s="1"/>
  <c r="Y107" i="15" s="1"/>
  <c r="R107" i="15"/>
  <c r="P107" i="15"/>
  <c r="Q107" i="15" s="1"/>
  <c r="L107" i="15"/>
  <c r="J107" i="15"/>
  <c r="K107" i="15" s="1"/>
  <c r="M107" i="15" s="1"/>
  <c r="X106" i="15"/>
  <c r="V106" i="15"/>
  <c r="W106" i="15" s="1"/>
  <c r="Y106" i="15" s="1"/>
  <c r="T106" i="15"/>
  <c r="R106" i="15"/>
  <c r="P106" i="15"/>
  <c r="Q106" i="15" s="1"/>
  <c r="S106" i="15" s="1"/>
  <c r="N106" i="15"/>
  <c r="L106" i="15"/>
  <c r="J106" i="15"/>
  <c r="K106" i="15" s="1"/>
  <c r="H106" i="15"/>
  <c r="X105" i="15"/>
  <c r="V105" i="15"/>
  <c r="W105" i="15" s="1"/>
  <c r="Y105" i="15" s="1"/>
  <c r="T105" i="15"/>
  <c r="R105" i="15"/>
  <c r="P105" i="15"/>
  <c r="Q105" i="15" s="1"/>
  <c r="S105" i="15" s="1"/>
  <c r="N105" i="15"/>
  <c r="L105" i="15"/>
  <c r="J105" i="15"/>
  <c r="K105" i="15" s="1"/>
  <c r="H105" i="15"/>
  <c r="X104" i="15"/>
  <c r="V104" i="15"/>
  <c r="W104" i="15" s="1"/>
  <c r="Y104" i="15" s="1"/>
  <c r="T104" i="15"/>
  <c r="R104" i="15"/>
  <c r="P104" i="15"/>
  <c r="Q104" i="15" s="1"/>
  <c r="S104" i="15" s="1"/>
  <c r="N104" i="15"/>
  <c r="L104" i="15"/>
  <c r="J104" i="15"/>
  <c r="K104" i="15" s="1"/>
  <c r="H104" i="15"/>
  <c r="X103" i="15"/>
  <c r="V103" i="15"/>
  <c r="W103" i="15" s="1"/>
  <c r="Y103" i="15" s="1"/>
  <c r="T103" i="15"/>
  <c r="R103" i="15"/>
  <c r="P103" i="15"/>
  <c r="Q103" i="15" s="1"/>
  <c r="S103" i="15" s="1"/>
  <c r="N103" i="15"/>
  <c r="L103" i="15"/>
  <c r="J103" i="15"/>
  <c r="K103" i="15" s="1"/>
  <c r="M103" i="15" s="1"/>
  <c r="H103" i="15"/>
  <c r="X102" i="15"/>
  <c r="V102" i="15"/>
  <c r="W102" i="15" s="1"/>
  <c r="Y102" i="15" s="1"/>
  <c r="T102" i="15"/>
  <c r="R102" i="15"/>
  <c r="P102" i="15"/>
  <c r="Q102" i="15" s="1"/>
  <c r="S102" i="15" s="1"/>
  <c r="N102" i="15"/>
  <c r="L102" i="15"/>
  <c r="J102" i="15"/>
  <c r="K102" i="15" s="1"/>
  <c r="H102" i="15"/>
  <c r="X101" i="15"/>
  <c r="V101" i="15"/>
  <c r="W101" i="15" s="1"/>
  <c r="Y101" i="15" s="1"/>
  <c r="T101" i="15"/>
  <c r="R101" i="15"/>
  <c r="P101" i="15"/>
  <c r="Q101" i="15" s="1"/>
  <c r="S101" i="15" s="1"/>
  <c r="N101" i="15"/>
  <c r="L101" i="15"/>
  <c r="J101" i="15"/>
  <c r="K101" i="15" s="1"/>
  <c r="H101" i="15"/>
  <c r="X100" i="15"/>
  <c r="V100" i="15"/>
  <c r="W100" i="15" s="1"/>
  <c r="T100" i="15"/>
  <c r="R100" i="15"/>
  <c r="P100" i="15"/>
  <c r="Q100" i="15" s="1"/>
  <c r="S100" i="15" s="1"/>
  <c r="N100" i="15"/>
  <c r="L100" i="15"/>
  <c r="J100" i="15"/>
  <c r="K100" i="15" s="1"/>
  <c r="M100" i="15" s="1"/>
  <c r="H100" i="15"/>
  <c r="X99" i="15"/>
  <c r="V99" i="15"/>
  <c r="W99" i="15" s="1"/>
  <c r="Y99" i="15" s="1"/>
  <c r="R99" i="15"/>
  <c r="P99" i="15"/>
  <c r="Q99" i="15" s="1"/>
  <c r="S99" i="15" s="1"/>
  <c r="L99" i="15"/>
  <c r="J99" i="15"/>
  <c r="K99" i="15" s="1"/>
  <c r="X98" i="15"/>
  <c r="V98" i="15"/>
  <c r="W98" i="15" s="1"/>
  <c r="Y98" i="15" s="1"/>
  <c r="R98" i="15"/>
  <c r="P98" i="15"/>
  <c r="Q98" i="15" s="1"/>
  <c r="L98" i="15"/>
  <c r="J98" i="15"/>
  <c r="K98" i="15" s="1"/>
  <c r="M98" i="15" s="1"/>
  <c r="X97" i="15"/>
  <c r="W97" i="15"/>
  <c r="Y97" i="15" s="1"/>
  <c r="R97" i="15"/>
  <c r="P97" i="15"/>
  <c r="Q97" i="15" s="1"/>
  <c r="S97" i="15" s="1"/>
  <c r="L97" i="15"/>
  <c r="J97" i="15"/>
  <c r="K97" i="15" s="1"/>
  <c r="R96" i="15"/>
  <c r="P96" i="15"/>
  <c r="Q96" i="15" s="1"/>
  <c r="S96" i="15" s="1"/>
  <c r="L96" i="15"/>
  <c r="J96" i="15"/>
  <c r="K96" i="15" s="1"/>
  <c r="X95" i="15"/>
  <c r="W95" i="15"/>
  <c r="Y95" i="15" s="1"/>
  <c r="R95" i="15"/>
  <c r="P95" i="15"/>
  <c r="Q95" i="15" s="1"/>
  <c r="S95" i="15" s="1"/>
  <c r="L95" i="15"/>
  <c r="J95" i="15"/>
  <c r="K95" i="15" s="1"/>
  <c r="R94" i="15"/>
  <c r="P94" i="15"/>
  <c r="Q94" i="15" s="1"/>
  <c r="S94" i="15" s="1"/>
  <c r="L94" i="15"/>
  <c r="J94" i="15"/>
  <c r="K94" i="15" s="1"/>
  <c r="M94" i="15" s="1"/>
  <c r="R93" i="15"/>
  <c r="P93" i="15"/>
  <c r="Q93" i="15" s="1"/>
  <c r="S93" i="15" s="1"/>
  <c r="L93" i="15"/>
  <c r="J93" i="15"/>
  <c r="K93" i="15" s="1"/>
  <c r="R92" i="15"/>
  <c r="P92" i="15"/>
  <c r="Q92" i="15" s="1"/>
  <c r="S92" i="15" s="1"/>
  <c r="L92" i="15"/>
  <c r="J92" i="15"/>
  <c r="K92" i="15" s="1"/>
  <c r="X91" i="15"/>
  <c r="V91" i="15"/>
  <c r="W91" i="15" s="1"/>
  <c r="Y91" i="15" s="1"/>
  <c r="R91" i="15"/>
  <c r="P91" i="15"/>
  <c r="Q91" i="15" s="1"/>
  <c r="S91" i="15" s="1"/>
  <c r="L91" i="15"/>
  <c r="J91" i="15"/>
  <c r="K91" i="15" s="1"/>
  <c r="X90" i="15"/>
  <c r="V90" i="15"/>
  <c r="W90" i="15" s="1"/>
  <c r="T90" i="15"/>
  <c r="R90" i="15"/>
  <c r="P90" i="15"/>
  <c r="Q90" i="15" s="1"/>
  <c r="N90" i="15"/>
  <c r="L90" i="15"/>
  <c r="J90" i="15"/>
  <c r="K90" i="15" s="1"/>
  <c r="H90" i="15"/>
  <c r="X89" i="15"/>
  <c r="V89" i="15"/>
  <c r="W89" i="15" s="1"/>
  <c r="Y89" i="15" s="1"/>
  <c r="T89" i="15"/>
  <c r="R89" i="15"/>
  <c r="P89" i="15"/>
  <c r="Q89" i="15" s="1"/>
  <c r="S89" i="15" s="1"/>
  <c r="N89" i="15"/>
  <c r="L89" i="15"/>
  <c r="J89" i="15"/>
  <c r="K89" i="15" s="1"/>
  <c r="M89" i="15" s="1"/>
  <c r="H89" i="15"/>
  <c r="X88" i="15"/>
  <c r="V88" i="15"/>
  <c r="W88" i="15" s="1"/>
  <c r="Y88" i="15" s="1"/>
  <c r="T88" i="15"/>
  <c r="R88" i="15"/>
  <c r="P88" i="15"/>
  <c r="Q88" i="15" s="1"/>
  <c r="S88" i="15" s="1"/>
  <c r="N88" i="15"/>
  <c r="L88" i="15"/>
  <c r="J88" i="15"/>
  <c r="K88" i="15" s="1"/>
  <c r="H88" i="15"/>
  <c r="X87" i="15"/>
  <c r="V87" i="15"/>
  <c r="W87" i="15" s="1"/>
  <c r="Y87" i="15" s="1"/>
  <c r="T87" i="15"/>
  <c r="R87" i="15"/>
  <c r="P87" i="15"/>
  <c r="Q87" i="15" s="1"/>
  <c r="S87" i="15" s="1"/>
  <c r="N87" i="15"/>
  <c r="L87" i="15"/>
  <c r="J87" i="15"/>
  <c r="K87" i="15" s="1"/>
  <c r="H87" i="15"/>
  <c r="X86" i="15"/>
  <c r="V86" i="15"/>
  <c r="W86" i="15" s="1"/>
  <c r="Y86" i="15" s="1"/>
  <c r="T86" i="15"/>
  <c r="R86" i="15"/>
  <c r="P86" i="15"/>
  <c r="Q86" i="15" s="1"/>
  <c r="S86" i="15" s="1"/>
  <c r="N86" i="15"/>
  <c r="L86" i="15"/>
  <c r="J86" i="15"/>
  <c r="K86" i="15" s="1"/>
  <c r="H86" i="15"/>
  <c r="X85" i="15"/>
  <c r="V85" i="15"/>
  <c r="W85" i="15" s="1"/>
  <c r="Y85" i="15" s="1"/>
  <c r="T85" i="15"/>
  <c r="R85" i="15"/>
  <c r="P85" i="15"/>
  <c r="Q85" i="15" s="1"/>
  <c r="S85" i="15" s="1"/>
  <c r="N85" i="15"/>
  <c r="L85" i="15"/>
  <c r="J85" i="15"/>
  <c r="K85" i="15" s="1"/>
  <c r="H85" i="15"/>
  <c r="X84" i="15"/>
  <c r="V84" i="15"/>
  <c r="W84" i="15" s="1"/>
  <c r="Y84" i="15" s="1"/>
  <c r="T84" i="15"/>
  <c r="R84" i="15"/>
  <c r="P84" i="15"/>
  <c r="Q84" i="15" s="1"/>
  <c r="N84" i="15"/>
  <c r="L84" i="15"/>
  <c r="J84" i="15"/>
  <c r="K84" i="15" s="1"/>
  <c r="M84" i="15" s="1"/>
  <c r="H84" i="15"/>
  <c r="X83" i="15"/>
  <c r="V83" i="15"/>
  <c r="W83" i="15" s="1"/>
  <c r="Y83" i="15" s="1"/>
  <c r="T83" i="15"/>
  <c r="R83" i="15"/>
  <c r="P83" i="15"/>
  <c r="Q83" i="15" s="1"/>
  <c r="S83" i="15" s="1"/>
  <c r="N83" i="15"/>
  <c r="L83" i="15"/>
  <c r="J83" i="15"/>
  <c r="K83" i="15" s="1"/>
  <c r="H83" i="15"/>
  <c r="X82" i="15"/>
  <c r="V82" i="15"/>
  <c r="W82" i="15" s="1"/>
  <c r="Y82" i="15" s="1"/>
  <c r="T82" i="15"/>
  <c r="R82" i="15"/>
  <c r="P82" i="15"/>
  <c r="Q82" i="15" s="1"/>
  <c r="S82" i="15" s="1"/>
  <c r="N82" i="15"/>
  <c r="L82" i="15"/>
  <c r="J82" i="15"/>
  <c r="K82" i="15" s="1"/>
  <c r="H82" i="15"/>
  <c r="X81" i="15"/>
  <c r="W81" i="15"/>
  <c r="Y81" i="15" s="1"/>
  <c r="R81" i="15"/>
  <c r="P81" i="15"/>
  <c r="Q81" i="15" s="1"/>
  <c r="S81" i="15" s="1"/>
  <c r="L81" i="15"/>
  <c r="J81" i="15"/>
  <c r="K81" i="15" s="1"/>
  <c r="X80" i="15"/>
  <c r="V80" i="15"/>
  <c r="W80" i="15" s="1"/>
  <c r="Y80" i="15" s="1"/>
  <c r="R80" i="15"/>
  <c r="P80" i="15"/>
  <c r="Q80" i="15" s="1"/>
  <c r="S80" i="15" s="1"/>
  <c r="L80" i="15"/>
  <c r="J80" i="15"/>
  <c r="K80" i="15" s="1"/>
  <c r="X79" i="15"/>
  <c r="V79" i="15"/>
  <c r="W79" i="15" s="1"/>
  <c r="Y79" i="15" s="1"/>
  <c r="R79" i="15"/>
  <c r="P79" i="15"/>
  <c r="Q79" i="15" s="1"/>
  <c r="L79" i="15"/>
  <c r="J79" i="15"/>
  <c r="K79" i="15" s="1"/>
  <c r="M79" i="15" s="1"/>
  <c r="X78" i="15"/>
  <c r="V78" i="15"/>
  <c r="W78" i="15" s="1"/>
  <c r="Y78" i="15" s="1"/>
  <c r="R78" i="15"/>
  <c r="P78" i="15"/>
  <c r="Q78" i="15" s="1"/>
  <c r="L78" i="15"/>
  <c r="J78" i="15"/>
  <c r="K78" i="15" s="1"/>
  <c r="X77" i="15"/>
  <c r="V77" i="15"/>
  <c r="W77" i="15" s="1"/>
  <c r="Y77" i="15" s="1"/>
  <c r="R77" i="15"/>
  <c r="P77" i="15"/>
  <c r="Q77" i="15" s="1"/>
  <c r="S77" i="15" s="1"/>
  <c r="L77" i="15"/>
  <c r="J77" i="15"/>
  <c r="K77" i="15" s="1"/>
  <c r="R76" i="15"/>
  <c r="P76" i="15"/>
  <c r="Q76" i="15" s="1"/>
  <c r="L76" i="15"/>
  <c r="K76" i="15"/>
  <c r="M76" i="15" s="1"/>
  <c r="X75" i="15"/>
  <c r="V75" i="15"/>
  <c r="W75" i="15" s="1"/>
  <c r="Y75" i="15" s="1"/>
  <c r="R75" i="15"/>
  <c r="Q75" i="15"/>
  <c r="S75" i="15" s="1"/>
  <c r="L75" i="15"/>
  <c r="J75" i="15"/>
  <c r="K75" i="15" s="1"/>
  <c r="M75" i="15" s="1"/>
  <c r="R74" i="15"/>
  <c r="P74" i="15"/>
  <c r="Q74" i="15" s="1"/>
  <c r="L74" i="15"/>
  <c r="J74" i="15"/>
  <c r="K74" i="15" s="1"/>
  <c r="X73" i="15"/>
  <c r="V73" i="15"/>
  <c r="W73" i="15" s="1"/>
  <c r="Y73" i="15" s="1"/>
  <c r="R73" i="15"/>
  <c r="P73" i="15"/>
  <c r="Q73" i="15" s="1"/>
  <c r="S73" i="15" s="1"/>
  <c r="L73" i="15"/>
  <c r="J73" i="15"/>
  <c r="K73" i="15" s="1"/>
  <c r="X72" i="15"/>
  <c r="V72" i="15"/>
  <c r="W72" i="15" s="1"/>
  <c r="Y72" i="15" s="1"/>
  <c r="R72" i="15"/>
  <c r="P72" i="15"/>
  <c r="Q72" i="15" s="1"/>
  <c r="S72" i="15" s="1"/>
  <c r="L72" i="15"/>
  <c r="J72" i="15"/>
  <c r="K72" i="15" s="1"/>
  <c r="R71" i="15"/>
  <c r="P71" i="15"/>
  <c r="Q71" i="15" s="1"/>
  <c r="L71" i="15"/>
  <c r="K71" i="15"/>
  <c r="M71" i="15" s="1"/>
  <c r="R70" i="15"/>
  <c r="P70" i="15"/>
  <c r="Q70" i="15" s="1"/>
  <c r="S70" i="15" s="1"/>
  <c r="L70" i="15"/>
  <c r="J70" i="15"/>
  <c r="K70" i="15" s="1"/>
  <c r="X69" i="15"/>
  <c r="W69" i="15"/>
  <c r="Y69" i="15" s="1"/>
  <c r="T69" i="15"/>
  <c r="R69" i="15"/>
  <c r="P69" i="15"/>
  <c r="Q69" i="15" s="1"/>
  <c r="S69" i="15" s="1"/>
  <c r="N69" i="15"/>
  <c r="L69" i="15"/>
  <c r="J69" i="15"/>
  <c r="K69" i="15" s="1"/>
  <c r="H69" i="15"/>
  <c r="X68" i="15"/>
  <c r="V68" i="15"/>
  <c r="W68" i="15" s="1"/>
  <c r="Y68" i="15" s="1"/>
  <c r="R68" i="15"/>
  <c r="P68" i="15"/>
  <c r="Q68" i="15" s="1"/>
  <c r="L68" i="15"/>
  <c r="J68" i="15"/>
  <c r="K68" i="15" s="1"/>
  <c r="X67" i="15"/>
  <c r="W67" i="15"/>
  <c r="Y67" i="15" s="1"/>
  <c r="R67" i="15"/>
  <c r="P67" i="15"/>
  <c r="Q67" i="15" s="1"/>
  <c r="S67" i="15" s="1"/>
  <c r="L67" i="15"/>
  <c r="J67" i="15"/>
  <c r="K67" i="15" s="1"/>
  <c r="R66" i="15"/>
  <c r="P66" i="15"/>
  <c r="Q66" i="15" s="1"/>
  <c r="S66" i="15" s="1"/>
  <c r="L66" i="15"/>
  <c r="J66" i="15"/>
  <c r="K66" i="15" s="1"/>
  <c r="R65" i="15"/>
  <c r="P65" i="15"/>
  <c r="Q65" i="15" s="1"/>
  <c r="L65" i="15"/>
  <c r="J65" i="15"/>
  <c r="K65" i="15" s="1"/>
  <c r="X64" i="15"/>
  <c r="W64" i="15"/>
  <c r="Y64" i="15" s="1"/>
  <c r="R64" i="15"/>
  <c r="P64" i="15"/>
  <c r="Q64" i="15" s="1"/>
  <c r="S64" i="15" s="1"/>
  <c r="L64" i="15"/>
  <c r="J64" i="15"/>
  <c r="K64" i="15" s="1"/>
  <c r="X63" i="15"/>
  <c r="V63" i="15"/>
  <c r="W63" i="15" s="1"/>
  <c r="Y63" i="15" s="1"/>
  <c r="R63" i="15"/>
  <c r="P63" i="15"/>
  <c r="Q63" i="15" s="1"/>
  <c r="S63" i="15" s="1"/>
  <c r="L63" i="15"/>
  <c r="J63" i="15"/>
  <c r="K63" i="15" s="1"/>
  <c r="X62" i="15"/>
  <c r="V62" i="15"/>
  <c r="W62" i="15" s="1"/>
  <c r="Y62" i="15" s="1"/>
  <c r="R62" i="15"/>
  <c r="P62" i="15"/>
  <c r="Q62" i="15" s="1"/>
  <c r="S62" i="15" s="1"/>
  <c r="L62" i="15"/>
  <c r="J62" i="15"/>
  <c r="K62" i="15" s="1"/>
  <c r="M62" i="15" s="1"/>
  <c r="X61" i="15"/>
  <c r="V61" i="15"/>
  <c r="W61" i="15" s="1"/>
  <c r="Y61" i="15" s="1"/>
  <c r="R61" i="15"/>
  <c r="P61" i="15"/>
  <c r="Q61" i="15" s="1"/>
  <c r="S61" i="15" s="1"/>
  <c r="L61" i="15"/>
  <c r="J61" i="15"/>
  <c r="K61" i="15" s="1"/>
  <c r="X60" i="15"/>
  <c r="V60" i="15"/>
  <c r="W60" i="15" s="1"/>
  <c r="Y60" i="15" s="1"/>
  <c r="R60" i="15"/>
  <c r="P60" i="15"/>
  <c r="Q60" i="15" s="1"/>
  <c r="L60" i="15"/>
  <c r="J60" i="15"/>
  <c r="K60" i="15" s="1"/>
  <c r="X59" i="15"/>
  <c r="W59" i="15"/>
  <c r="Y59" i="15" s="1"/>
  <c r="R59" i="15"/>
  <c r="P59" i="15"/>
  <c r="Q59" i="15" s="1"/>
  <c r="S59" i="15" s="1"/>
  <c r="L59" i="15"/>
  <c r="J59" i="15"/>
  <c r="K59" i="15" s="1"/>
  <c r="R58" i="15"/>
  <c r="P58" i="15"/>
  <c r="Q58" i="15" s="1"/>
  <c r="S58" i="15" s="1"/>
  <c r="L58" i="15"/>
  <c r="J58" i="15"/>
  <c r="K58" i="15" s="1"/>
  <c r="R57" i="15"/>
  <c r="P57" i="15"/>
  <c r="Q57" i="15" s="1"/>
  <c r="L57" i="15"/>
  <c r="J57" i="15"/>
  <c r="K57" i="15" s="1"/>
  <c r="X56" i="15"/>
  <c r="W56" i="15"/>
  <c r="Y56" i="15" s="1"/>
  <c r="R56" i="15"/>
  <c r="P56" i="15"/>
  <c r="Q56" i="15" s="1"/>
  <c r="S56" i="15" s="1"/>
  <c r="L56" i="15"/>
  <c r="J56" i="15"/>
  <c r="K56" i="15" s="1"/>
  <c r="X55" i="15"/>
  <c r="V55" i="15"/>
  <c r="W55" i="15" s="1"/>
  <c r="R55" i="15"/>
  <c r="P55" i="15"/>
  <c r="Q55" i="15" s="1"/>
  <c r="S55" i="15" s="1"/>
  <c r="L55" i="15"/>
  <c r="J55" i="15"/>
  <c r="K55" i="15" s="1"/>
  <c r="M55" i="15" s="1"/>
  <c r="X54" i="15"/>
  <c r="V54" i="15"/>
  <c r="W54" i="15" s="1"/>
  <c r="Y54" i="15" s="1"/>
  <c r="R54" i="15"/>
  <c r="P54" i="15"/>
  <c r="Q54" i="15" s="1"/>
  <c r="S54" i="15" s="1"/>
  <c r="L54" i="15"/>
  <c r="J54" i="15"/>
  <c r="K54" i="15" s="1"/>
  <c r="M54" i="15" s="1"/>
  <c r="X53" i="15"/>
  <c r="V53" i="15"/>
  <c r="W53" i="15" s="1"/>
  <c r="R53" i="15"/>
  <c r="P53" i="15"/>
  <c r="Q53" i="15" s="1"/>
  <c r="S53" i="15" s="1"/>
  <c r="L53" i="15"/>
  <c r="J53" i="15"/>
  <c r="K53" i="15" s="1"/>
  <c r="X52" i="15"/>
  <c r="W52" i="15"/>
  <c r="R52" i="15"/>
  <c r="P52" i="15"/>
  <c r="Q52" i="15" s="1"/>
  <c r="S52" i="15" s="1"/>
  <c r="L52" i="15"/>
  <c r="J52" i="15"/>
  <c r="K52" i="15" s="1"/>
  <c r="X51" i="15"/>
  <c r="V51" i="15"/>
  <c r="W51" i="15" s="1"/>
  <c r="Y51" i="15" s="1"/>
  <c r="R51" i="15"/>
  <c r="P51" i="15"/>
  <c r="Q51" i="15" s="1"/>
  <c r="S51" i="15" s="1"/>
  <c r="L51" i="15"/>
  <c r="J51" i="15"/>
  <c r="K51" i="15" s="1"/>
  <c r="X50" i="15"/>
  <c r="V50" i="15"/>
  <c r="W50" i="15" s="1"/>
  <c r="R50" i="15"/>
  <c r="P50" i="15"/>
  <c r="Q50" i="15" s="1"/>
  <c r="L50" i="15"/>
  <c r="J50" i="15"/>
  <c r="K50" i="15" s="1"/>
  <c r="X49" i="15"/>
  <c r="V49" i="15"/>
  <c r="W49" i="15" s="1"/>
  <c r="Y49" i="15" s="1"/>
  <c r="R49" i="15"/>
  <c r="P49" i="15"/>
  <c r="Q49" i="15" s="1"/>
  <c r="S49" i="15" s="1"/>
  <c r="L49" i="15"/>
  <c r="J49" i="15"/>
  <c r="K49" i="15" s="1"/>
  <c r="R48" i="15"/>
  <c r="P48" i="15"/>
  <c r="Q48" i="15" s="1"/>
  <c r="S48" i="15" s="1"/>
  <c r="L48" i="15"/>
  <c r="J48" i="15"/>
  <c r="K48" i="15" s="1"/>
  <c r="M48" i="15" s="1"/>
  <c r="X47" i="15"/>
  <c r="V47" i="15"/>
  <c r="W47" i="15" s="1"/>
  <c r="Y47" i="15" s="1"/>
  <c r="R47" i="15"/>
  <c r="P47" i="15"/>
  <c r="Q47" i="15" s="1"/>
  <c r="L47" i="15"/>
  <c r="J47" i="15"/>
  <c r="K47" i="15" s="1"/>
  <c r="X46" i="15"/>
  <c r="V46" i="15"/>
  <c r="W46" i="15" s="1"/>
  <c r="Y46" i="15" s="1"/>
  <c r="R46" i="15"/>
  <c r="P46" i="15"/>
  <c r="Q46" i="15" s="1"/>
  <c r="S46" i="15" s="1"/>
  <c r="L46" i="15"/>
  <c r="J46" i="15"/>
  <c r="K46" i="15" s="1"/>
  <c r="R45" i="15"/>
  <c r="P45" i="15"/>
  <c r="Q45" i="15" s="1"/>
  <c r="S45" i="15" s="1"/>
  <c r="L45" i="15"/>
  <c r="J45" i="15"/>
  <c r="K45" i="15" s="1"/>
  <c r="R44" i="15"/>
  <c r="P44" i="15"/>
  <c r="Q44" i="15" s="1"/>
  <c r="S44" i="15" s="1"/>
  <c r="L44" i="15"/>
  <c r="J44" i="15"/>
  <c r="K44" i="15" s="1"/>
  <c r="X43" i="15"/>
  <c r="W43" i="15"/>
  <c r="Y43" i="15" s="1"/>
  <c r="R43" i="15"/>
  <c r="P43" i="15"/>
  <c r="Q43" i="15" s="1"/>
  <c r="S43" i="15" s="1"/>
  <c r="L43" i="15"/>
  <c r="J43" i="15"/>
  <c r="K43" i="15" s="1"/>
  <c r="M43" i="15" s="1"/>
  <c r="X42" i="15"/>
  <c r="V42" i="15"/>
  <c r="W42" i="15" s="1"/>
  <c r="R42" i="15"/>
  <c r="P42" i="15"/>
  <c r="Q42" i="15" s="1"/>
  <c r="S42" i="15" s="1"/>
  <c r="L42" i="15"/>
  <c r="J42" i="15"/>
  <c r="K42" i="15" s="1"/>
  <c r="X41" i="15"/>
  <c r="W41" i="15"/>
  <c r="Y41" i="15" s="1"/>
  <c r="R41" i="15"/>
  <c r="P41" i="15"/>
  <c r="Q41" i="15" s="1"/>
  <c r="S41" i="15" s="1"/>
  <c r="L41" i="15"/>
  <c r="J41" i="15"/>
  <c r="K41" i="15" s="1"/>
  <c r="R40" i="15"/>
  <c r="P40" i="15"/>
  <c r="Q40" i="15" s="1"/>
  <c r="L40" i="15"/>
  <c r="J40" i="15"/>
  <c r="K40" i="15" s="1"/>
  <c r="R39" i="15"/>
  <c r="P39" i="15"/>
  <c r="Q39" i="15" s="1"/>
  <c r="S39" i="15" s="1"/>
  <c r="L39" i="15"/>
  <c r="J39" i="15"/>
  <c r="K39" i="15" s="1"/>
  <c r="X38" i="15"/>
  <c r="W38" i="15"/>
  <c r="R38" i="15"/>
  <c r="P38" i="15"/>
  <c r="Q38" i="15" s="1"/>
  <c r="S38" i="15" s="1"/>
  <c r="L38" i="15"/>
  <c r="J38" i="15"/>
  <c r="K38" i="15" s="1"/>
  <c r="M38" i="15" s="1"/>
  <c r="R37" i="15"/>
  <c r="P37" i="15"/>
  <c r="Q37" i="15" s="1"/>
  <c r="S37" i="15" s="1"/>
  <c r="L37" i="15"/>
  <c r="K37" i="15"/>
  <c r="M37" i="15" s="1"/>
  <c r="AB37" i="15" s="1"/>
  <c r="X36" i="15"/>
  <c r="V36" i="15"/>
  <c r="W36" i="15" s="1"/>
  <c r="Y36" i="15" s="1"/>
  <c r="R36" i="15"/>
  <c r="P36" i="15"/>
  <c r="Q36" i="15" s="1"/>
  <c r="L36" i="15"/>
  <c r="J36" i="15"/>
  <c r="K36" i="15" s="1"/>
  <c r="M36" i="15" s="1"/>
  <c r="X35" i="15"/>
  <c r="V35" i="15"/>
  <c r="W35" i="15" s="1"/>
  <c r="Y35" i="15" s="1"/>
  <c r="R35" i="15"/>
  <c r="P35" i="15"/>
  <c r="Q35" i="15" s="1"/>
  <c r="S35" i="15" s="1"/>
  <c r="L35" i="15"/>
  <c r="J35" i="15"/>
  <c r="K35" i="15" s="1"/>
  <c r="M35" i="15" s="1"/>
  <c r="X34" i="15"/>
  <c r="V34" i="15"/>
  <c r="W34" i="15" s="1"/>
  <c r="Y34" i="15" s="1"/>
  <c r="R34" i="15"/>
  <c r="P34" i="15"/>
  <c r="Q34" i="15" s="1"/>
  <c r="S34" i="15" s="1"/>
  <c r="L34" i="15"/>
  <c r="J34" i="15"/>
  <c r="K34" i="15" s="1"/>
  <c r="X33" i="15"/>
  <c r="W33" i="15"/>
  <c r="Y33" i="15" s="1"/>
  <c r="R33" i="15"/>
  <c r="P33" i="15"/>
  <c r="Q33" i="15" s="1"/>
  <c r="S33" i="15" s="1"/>
  <c r="L33" i="15"/>
  <c r="J33" i="15"/>
  <c r="K33" i="15" s="1"/>
  <c r="X32" i="15"/>
  <c r="V32" i="15"/>
  <c r="W32" i="15" s="1"/>
  <c r="Y32" i="15" s="1"/>
  <c r="R32" i="15"/>
  <c r="P32" i="15"/>
  <c r="Q32" i="15" s="1"/>
  <c r="S32" i="15" s="1"/>
  <c r="L32" i="15"/>
  <c r="J32" i="15"/>
  <c r="K32" i="15" s="1"/>
  <c r="X31" i="15"/>
  <c r="V31" i="15"/>
  <c r="W31" i="15" s="1"/>
  <c r="Y31" i="15" s="1"/>
  <c r="R31" i="15"/>
  <c r="P31" i="15"/>
  <c r="Q31" i="15" s="1"/>
  <c r="S31" i="15" s="1"/>
  <c r="L31" i="15"/>
  <c r="J31" i="15"/>
  <c r="K31" i="15" s="1"/>
  <c r="M31" i="15" s="1"/>
  <c r="U30" i="15"/>
  <c r="X30" i="15" s="1"/>
  <c r="O30" i="15"/>
  <c r="P30" i="15" s="1"/>
  <c r="Q30" i="15" s="1"/>
  <c r="S30" i="15" s="1"/>
  <c r="L30" i="15"/>
  <c r="J30" i="15"/>
  <c r="K30" i="15" s="1"/>
  <c r="X29" i="15"/>
  <c r="V29" i="15"/>
  <c r="W29" i="15" s="1"/>
  <c r="Y29" i="15" s="1"/>
  <c r="R29" i="15"/>
  <c r="P29" i="15"/>
  <c r="Q29" i="15" s="1"/>
  <c r="S29" i="15" s="1"/>
  <c r="L29" i="15"/>
  <c r="J29" i="15"/>
  <c r="K29" i="15" s="1"/>
  <c r="X28" i="15"/>
  <c r="V28" i="15"/>
  <c r="W28" i="15" s="1"/>
  <c r="Y28" i="15" s="1"/>
  <c r="R28" i="15"/>
  <c r="P28" i="15"/>
  <c r="Q28" i="15" s="1"/>
  <c r="S28" i="15" s="1"/>
  <c r="L28" i="15"/>
  <c r="J28" i="15"/>
  <c r="K28" i="15" s="1"/>
  <c r="X27" i="15"/>
  <c r="V27" i="15"/>
  <c r="W27" i="15" s="1"/>
  <c r="Y27" i="15" s="1"/>
  <c r="R27" i="15"/>
  <c r="P27" i="15"/>
  <c r="Q27" i="15" s="1"/>
  <c r="L27" i="15"/>
  <c r="J27" i="15"/>
  <c r="K27" i="15" s="1"/>
  <c r="X26" i="15"/>
  <c r="V26" i="15"/>
  <c r="W26" i="15" s="1"/>
  <c r="Y26" i="15" s="1"/>
  <c r="R26" i="15"/>
  <c r="P26" i="15"/>
  <c r="Q26" i="15" s="1"/>
  <c r="L26" i="15"/>
  <c r="J26" i="15"/>
  <c r="K26" i="15" s="1"/>
  <c r="X25" i="15"/>
  <c r="V25" i="15"/>
  <c r="W25" i="15" s="1"/>
  <c r="Y25" i="15" s="1"/>
  <c r="R25" i="15"/>
  <c r="P25" i="15"/>
  <c r="Q25" i="15" s="1"/>
  <c r="S25" i="15" s="1"/>
  <c r="L25" i="15"/>
  <c r="J25" i="15"/>
  <c r="K25" i="15" s="1"/>
  <c r="X24" i="15"/>
  <c r="V24" i="15"/>
  <c r="W24" i="15" s="1"/>
  <c r="Y24" i="15" s="1"/>
  <c r="R24" i="15"/>
  <c r="P24" i="15"/>
  <c r="Q24" i="15" s="1"/>
  <c r="S24" i="15" s="1"/>
  <c r="L24" i="15"/>
  <c r="J24" i="15"/>
  <c r="K24" i="15" s="1"/>
  <c r="X23" i="15"/>
  <c r="W23" i="15"/>
  <c r="Y23" i="15" s="1"/>
  <c r="R23" i="15"/>
  <c r="P23" i="15"/>
  <c r="Q23" i="15" s="1"/>
  <c r="L23" i="15"/>
  <c r="J23" i="15"/>
  <c r="K23" i="15" s="1"/>
  <c r="R22" i="15"/>
  <c r="P22" i="15"/>
  <c r="Q22" i="15" s="1"/>
  <c r="S22" i="15" s="1"/>
  <c r="L22" i="15"/>
  <c r="J22" i="15"/>
  <c r="K22" i="15" s="1"/>
  <c r="R21" i="15"/>
  <c r="P21" i="15"/>
  <c r="Q21" i="15" s="1"/>
  <c r="S21" i="15" s="1"/>
  <c r="L21" i="15"/>
  <c r="J21" i="15"/>
  <c r="K21" i="15" s="1"/>
  <c r="X20" i="15"/>
  <c r="W20" i="15"/>
  <c r="Y20" i="15" s="1"/>
  <c r="R20" i="15"/>
  <c r="P20" i="15"/>
  <c r="Q20" i="15" s="1"/>
  <c r="S20" i="15" s="1"/>
  <c r="L20" i="15"/>
  <c r="J20" i="15"/>
  <c r="K20" i="15" s="1"/>
  <c r="R19" i="15"/>
  <c r="P19" i="15"/>
  <c r="Q19" i="15" s="1"/>
  <c r="S19" i="15" s="1"/>
  <c r="L19" i="15"/>
  <c r="K19" i="15"/>
  <c r="M19" i="15" s="1"/>
  <c r="X18" i="15"/>
  <c r="V18" i="15"/>
  <c r="W18" i="15" s="1"/>
  <c r="Y18" i="15" s="1"/>
  <c r="R18" i="15"/>
  <c r="P18" i="15"/>
  <c r="Q18" i="15" s="1"/>
  <c r="S18" i="15" s="1"/>
  <c r="L18" i="15"/>
  <c r="J18" i="15"/>
  <c r="K18" i="15" s="1"/>
  <c r="X17" i="15"/>
  <c r="W17" i="15"/>
  <c r="Y17" i="15" s="1"/>
  <c r="R17" i="15"/>
  <c r="P17" i="15"/>
  <c r="Q17" i="15" s="1"/>
  <c r="S17" i="15" s="1"/>
  <c r="L17" i="15"/>
  <c r="J17" i="15"/>
  <c r="K17" i="15" s="1"/>
  <c r="X16" i="15"/>
  <c r="V16" i="15"/>
  <c r="W16" i="15" s="1"/>
  <c r="R16" i="15"/>
  <c r="P16" i="15"/>
  <c r="Q16" i="15" s="1"/>
  <c r="L16" i="15"/>
  <c r="J16" i="15"/>
  <c r="K16" i="15" s="1"/>
  <c r="X15" i="15"/>
  <c r="V15" i="15"/>
  <c r="W15" i="15" s="1"/>
  <c r="Y15" i="15" s="1"/>
  <c r="R15" i="15"/>
  <c r="P15" i="15"/>
  <c r="Q15" i="15" s="1"/>
  <c r="S15" i="15" s="1"/>
  <c r="L15" i="15"/>
  <c r="J15" i="15"/>
  <c r="K15" i="15" s="1"/>
  <c r="X14" i="15"/>
  <c r="V14" i="15"/>
  <c r="W14" i="15" s="1"/>
  <c r="Y14" i="15" s="1"/>
  <c r="R14" i="15"/>
  <c r="P14" i="15"/>
  <c r="Q14" i="15" s="1"/>
  <c r="S14" i="15" s="1"/>
  <c r="L14" i="15"/>
  <c r="J14" i="15"/>
  <c r="K14" i="15" s="1"/>
  <c r="X13" i="15"/>
  <c r="V13" i="15"/>
  <c r="W13" i="15" s="1"/>
  <c r="Y13" i="15" s="1"/>
  <c r="R13" i="15"/>
  <c r="P13" i="15"/>
  <c r="Q13" i="15" s="1"/>
  <c r="L13" i="15"/>
  <c r="J13" i="15"/>
  <c r="K13" i="15" s="1"/>
  <c r="M13" i="15" s="1"/>
  <c r="X12" i="15"/>
  <c r="V12" i="15"/>
  <c r="W12" i="15" s="1"/>
  <c r="Y12" i="15" s="1"/>
  <c r="R12" i="15"/>
  <c r="P12" i="15"/>
  <c r="Q12" i="15" s="1"/>
  <c r="L12" i="15"/>
  <c r="J12" i="15"/>
  <c r="K12" i="15" s="1"/>
  <c r="X11" i="15"/>
  <c r="X6" i="15" s="1"/>
  <c r="V11" i="15"/>
  <c r="W11" i="15" s="1"/>
  <c r="R11" i="15"/>
  <c r="P11" i="15"/>
  <c r="Q11" i="15" s="1"/>
  <c r="L11" i="15"/>
  <c r="J11" i="15"/>
  <c r="K11" i="15" s="1"/>
  <c r="Z70" i="4"/>
  <c r="AA70" i="4"/>
  <c r="AB70" i="4"/>
  <c r="AC70" i="4" s="1"/>
  <c r="AA110" i="4"/>
  <c r="AO72" i="4"/>
  <c r="BA72" i="4"/>
  <c r="AZ72" i="4"/>
  <c r="AY72" i="4"/>
  <c r="AX72" i="4"/>
  <c r="AW72" i="4"/>
  <c r="AV72" i="4"/>
  <c r="AU72" i="4"/>
  <c r="AT72" i="4"/>
  <c r="AS72" i="4"/>
  <c r="AR72" i="4"/>
  <c r="AQ72" i="4"/>
  <c r="AP72" i="4"/>
  <c r="R71" i="4"/>
  <c r="P71" i="4"/>
  <c r="Q71" i="4" s="1"/>
  <c r="S71" i="4" s="1"/>
  <c r="L71" i="4"/>
  <c r="K71" i="4"/>
  <c r="Z71" i="4" s="1"/>
  <c r="AA71" i="4" s="1"/>
  <c r="AO111" i="4"/>
  <c r="AO110" i="4"/>
  <c r="AO94" i="4"/>
  <c r="AO93" i="4"/>
  <c r="AO92" i="4"/>
  <c r="AO73" i="4"/>
  <c r="AO71" i="4"/>
  <c r="AO31" i="4"/>
  <c r="X12" i="4"/>
  <c r="X13" i="4"/>
  <c r="X14" i="4"/>
  <c r="X15" i="4"/>
  <c r="X16" i="4"/>
  <c r="W17" i="4"/>
  <c r="Y17" i="4" s="1"/>
  <c r="X17" i="4"/>
  <c r="X18" i="4"/>
  <c r="W20" i="4"/>
  <c r="Y20" i="4" s="1"/>
  <c r="X20" i="4"/>
  <c r="W23" i="4"/>
  <c r="Y23" i="4" s="1"/>
  <c r="X23" i="4"/>
  <c r="X24" i="4"/>
  <c r="X25" i="4"/>
  <c r="X26" i="4"/>
  <c r="X27" i="4"/>
  <c r="X28" i="4"/>
  <c r="X29" i="4"/>
  <c r="X30" i="4"/>
  <c r="X31" i="4"/>
  <c r="X32" i="4"/>
  <c r="W33" i="4"/>
  <c r="Y33" i="4" s="1"/>
  <c r="X33" i="4"/>
  <c r="X34" i="4"/>
  <c r="X35" i="4"/>
  <c r="X36" i="4"/>
  <c r="W38" i="4"/>
  <c r="Y38" i="4" s="1"/>
  <c r="X38" i="4"/>
  <c r="W41" i="4"/>
  <c r="X41" i="4"/>
  <c r="Y41" i="4"/>
  <c r="X42" i="4"/>
  <c r="W43" i="4"/>
  <c r="Y43" i="4" s="1"/>
  <c r="X43" i="4"/>
  <c r="X46" i="4"/>
  <c r="X47" i="4"/>
  <c r="X49" i="4"/>
  <c r="X50" i="4"/>
  <c r="X51" i="4"/>
  <c r="W52" i="4"/>
  <c r="Y52" i="4" s="1"/>
  <c r="X52" i="4"/>
  <c r="X53" i="4"/>
  <c r="X54" i="4"/>
  <c r="X55" i="4"/>
  <c r="W56" i="4"/>
  <c r="Y56" i="4" s="1"/>
  <c r="X56" i="4"/>
  <c r="W59" i="4"/>
  <c r="Y59" i="4" s="1"/>
  <c r="X59" i="4"/>
  <c r="X60" i="4"/>
  <c r="X61" i="4"/>
  <c r="X62" i="4"/>
  <c r="X63" i="4"/>
  <c r="W64" i="4"/>
  <c r="Y64" i="4" s="1"/>
  <c r="X64" i="4"/>
  <c r="W67" i="4"/>
  <c r="Y67" i="4" s="1"/>
  <c r="X67" i="4"/>
  <c r="X68" i="4"/>
  <c r="W69" i="4"/>
  <c r="Y69" i="4" s="1"/>
  <c r="X69" i="4"/>
  <c r="X72" i="4"/>
  <c r="X73" i="4"/>
  <c r="X75" i="4"/>
  <c r="X77" i="4"/>
  <c r="X78" i="4"/>
  <c r="X79" i="4"/>
  <c r="X80" i="4"/>
  <c r="W81" i="4"/>
  <c r="Y81" i="4" s="1"/>
  <c r="X81" i="4"/>
  <c r="X82" i="4"/>
  <c r="X83" i="4"/>
  <c r="X84" i="4"/>
  <c r="X85" i="4"/>
  <c r="X86" i="4"/>
  <c r="X87" i="4"/>
  <c r="X88" i="4"/>
  <c r="X89" i="4"/>
  <c r="X90" i="4"/>
  <c r="X91" i="4"/>
  <c r="W95" i="4"/>
  <c r="Y95" i="4" s="1"/>
  <c r="X95" i="4"/>
  <c r="W97" i="4"/>
  <c r="Y97" i="4" s="1"/>
  <c r="X97" i="4"/>
  <c r="X98" i="4"/>
  <c r="X99" i="4"/>
  <c r="X100" i="4"/>
  <c r="X101" i="4"/>
  <c r="X102" i="4"/>
  <c r="X103" i="4"/>
  <c r="X104" i="4"/>
  <c r="X105" i="4"/>
  <c r="X106" i="4"/>
  <c r="X107" i="4"/>
  <c r="W108" i="4"/>
  <c r="Y108" i="4" s="1"/>
  <c r="X108" i="4"/>
  <c r="X109" i="4"/>
  <c r="V82" i="4"/>
  <c r="W82" i="4" s="1"/>
  <c r="Y82" i="4" s="1"/>
  <c r="V83" i="4"/>
  <c r="W83" i="4" s="1"/>
  <c r="Y83" i="4" s="1"/>
  <c r="V84" i="4"/>
  <c r="W84" i="4" s="1"/>
  <c r="Y84" i="4" s="1"/>
  <c r="V85" i="4"/>
  <c r="W85" i="4" s="1"/>
  <c r="Y85" i="4" s="1"/>
  <c r="V86" i="4"/>
  <c r="W86" i="4" s="1"/>
  <c r="Y86" i="4" s="1"/>
  <c r="V87" i="4"/>
  <c r="W87" i="4" s="1"/>
  <c r="Y87" i="4" s="1"/>
  <c r="V88" i="4"/>
  <c r="W88" i="4" s="1"/>
  <c r="Y88" i="4" s="1"/>
  <c r="V89" i="4"/>
  <c r="W89" i="4" s="1"/>
  <c r="Y89" i="4" s="1"/>
  <c r="V90" i="4"/>
  <c r="W90" i="4" s="1"/>
  <c r="Y90" i="4" s="1"/>
  <c r="V91" i="4"/>
  <c r="W91" i="4" s="1"/>
  <c r="Y91" i="4" s="1"/>
  <c r="V98" i="4"/>
  <c r="W98" i="4" s="1"/>
  <c r="Y98" i="4" s="1"/>
  <c r="V99" i="4"/>
  <c r="W99" i="4" s="1"/>
  <c r="Y99" i="4" s="1"/>
  <c r="V100" i="4"/>
  <c r="W100" i="4" s="1"/>
  <c r="Y100" i="4" s="1"/>
  <c r="V101" i="4"/>
  <c r="W101" i="4" s="1"/>
  <c r="Y101" i="4" s="1"/>
  <c r="V102" i="4"/>
  <c r="W102" i="4" s="1"/>
  <c r="Y102" i="4" s="1"/>
  <c r="V103" i="4"/>
  <c r="W103" i="4" s="1"/>
  <c r="Y103" i="4" s="1"/>
  <c r="V104" i="4"/>
  <c r="W104" i="4" s="1"/>
  <c r="Y104" i="4" s="1"/>
  <c r="V105" i="4"/>
  <c r="W105" i="4" s="1"/>
  <c r="Y105" i="4" s="1"/>
  <c r="V106" i="4"/>
  <c r="W106" i="4" s="1"/>
  <c r="Y106" i="4" s="1"/>
  <c r="V107" i="4"/>
  <c r="W107" i="4" s="1"/>
  <c r="Y107" i="4" s="1"/>
  <c r="V109" i="4"/>
  <c r="W109" i="4" s="1"/>
  <c r="Y109" i="4" s="1"/>
  <c r="R12" i="4"/>
  <c r="R13" i="4"/>
  <c r="R14" i="4"/>
  <c r="R15" i="4"/>
  <c r="R16" i="4"/>
  <c r="R17" i="4"/>
  <c r="R18" i="4"/>
  <c r="R19" i="4"/>
  <c r="R20" i="4"/>
  <c r="R21" i="4"/>
  <c r="R22" i="4"/>
  <c r="R23" i="4"/>
  <c r="R24" i="4"/>
  <c r="R25" i="4"/>
  <c r="R26" i="4"/>
  <c r="R27" i="4"/>
  <c r="R28" i="4"/>
  <c r="R29" i="4"/>
  <c r="R30" i="4"/>
  <c r="R31" i="4"/>
  <c r="R32" i="4"/>
  <c r="R33" i="4"/>
  <c r="R34" i="4"/>
  <c r="R35" i="4"/>
  <c r="R36" i="4"/>
  <c r="R37" i="4"/>
  <c r="R38" i="4"/>
  <c r="R39" i="4"/>
  <c r="R40" i="4"/>
  <c r="R41" i="4"/>
  <c r="R42" i="4"/>
  <c r="R43" i="4"/>
  <c r="R44" i="4"/>
  <c r="R45" i="4"/>
  <c r="R46" i="4"/>
  <c r="R47" i="4"/>
  <c r="R48" i="4"/>
  <c r="R49" i="4"/>
  <c r="R50" i="4"/>
  <c r="R51" i="4"/>
  <c r="R52" i="4"/>
  <c r="R53" i="4"/>
  <c r="R54" i="4"/>
  <c r="R55" i="4"/>
  <c r="R56" i="4"/>
  <c r="R57" i="4"/>
  <c r="R58" i="4"/>
  <c r="R59" i="4"/>
  <c r="R60" i="4"/>
  <c r="R61" i="4"/>
  <c r="R62" i="4"/>
  <c r="R63" i="4"/>
  <c r="R64" i="4"/>
  <c r="R65" i="4"/>
  <c r="R66" i="4"/>
  <c r="R67" i="4"/>
  <c r="R68" i="4"/>
  <c r="R69" i="4"/>
  <c r="R70" i="4"/>
  <c r="R72" i="4"/>
  <c r="R73" i="4"/>
  <c r="R74" i="4"/>
  <c r="Q75" i="4"/>
  <c r="S75" i="4" s="1"/>
  <c r="R75" i="4"/>
  <c r="R76" i="4"/>
  <c r="R77" i="4"/>
  <c r="R78" i="4"/>
  <c r="R79" i="4"/>
  <c r="R80" i="4"/>
  <c r="R81" i="4"/>
  <c r="R82" i="4"/>
  <c r="R83" i="4"/>
  <c r="R84" i="4"/>
  <c r="R85" i="4"/>
  <c r="R86" i="4"/>
  <c r="R87" i="4"/>
  <c r="R88" i="4"/>
  <c r="R89" i="4"/>
  <c r="R90" i="4"/>
  <c r="R91" i="4"/>
  <c r="R92" i="4"/>
  <c r="R93" i="4"/>
  <c r="R94" i="4"/>
  <c r="R95" i="4"/>
  <c r="R96" i="4"/>
  <c r="R97" i="4"/>
  <c r="R98" i="4"/>
  <c r="R99" i="4"/>
  <c r="R100" i="4"/>
  <c r="R101" i="4"/>
  <c r="R102" i="4"/>
  <c r="R103" i="4"/>
  <c r="R104" i="4"/>
  <c r="R105" i="4"/>
  <c r="R106" i="4"/>
  <c r="R107" i="4"/>
  <c r="R108" i="4"/>
  <c r="R109" i="4"/>
  <c r="L12" i="4"/>
  <c r="L13" i="4"/>
  <c r="L14" i="4"/>
  <c r="L15" i="4"/>
  <c r="L16" i="4"/>
  <c r="L17" i="4"/>
  <c r="L18" i="4"/>
  <c r="K19" i="4"/>
  <c r="M19" i="4" s="1"/>
  <c r="L19" i="4"/>
  <c r="L20" i="4"/>
  <c r="L21" i="4"/>
  <c r="L22" i="4"/>
  <c r="L23" i="4"/>
  <c r="L24" i="4"/>
  <c r="L25" i="4"/>
  <c r="L26" i="4"/>
  <c r="L27" i="4"/>
  <c r="L28" i="4"/>
  <c r="L29" i="4"/>
  <c r="L30" i="4"/>
  <c r="L31" i="4"/>
  <c r="L32" i="4"/>
  <c r="L33" i="4"/>
  <c r="L34" i="4"/>
  <c r="L35" i="4"/>
  <c r="L36" i="4"/>
  <c r="K37" i="4"/>
  <c r="L37" i="4"/>
  <c r="L38" i="4"/>
  <c r="L39" i="4"/>
  <c r="L40" i="4"/>
  <c r="L41" i="4"/>
  <c r="L42" i="4"/>
  <c r="L43" i="4"/>
  <c r="L44" i="4"/>
  <c r="L45" i="4"/>
  <c r="L46" i="4"/>
  <c r="L47" i="4"/>
  <c r="L48" i="4"/>
  <c r="L49" i="4"/>
  <c r="L50" i="4"/>
  <c r="L51" i="4"/>
  <c r="L52" i="4"/>
  <c r="L53" i="4"/>
  <c r="L54" i="4"/>
  <c r="L55" i="4"/>
  <c r="L56" i="4"/>
  <c r="L57" i="4"/>
  <c r="L58" i="4"/>
  <c r="L59" i="4"/>
  <c r="L60" i="4"/>
  <c r="L61" i="4"/>
  <c r="L62" i="4"/>
  <c r="L63" i="4"/>
  <c r="L64" i="4"/>
  <c r="L65" i="4"/>
  <c r="L66" i="4"/>
  <c r="L67" i="4"/>
  <c r="L68" i="4"/>
  <c r="L69" i="4"/>
  <c r="L70" i="4"/>
  <c r="L72" i="4"/>
  <c r="L73" i="4"/>
  <c r="L74" i="4"/>
  <c r="L75" i="4"/>
  <c r="K76" i="4"/>
  <c r="M76" i="4" s="1"/>
  <c r="L76" i="4"/>
  <c r="L77" i="4"/>
  <c r="L78" i="4"/>
  <c r="L79" i="4"/>
  <c r="L80" i="4"/>
  <c r="L81" i="4"/>
  <c r="L82" i="4"/>
  <c r="L83" i="4"/>
  <c r="L84" i="4"/>
  <c r="L85" i="4"/>
  <c r="L86" i="4"/>
  <c r="L87" i="4"/>
  <c r="L88" i="4"/>
  <c r="L89" i="4"/>
  <c r="L90" i="4"/>
  <c r="L91" i="4"/>
  <c r="L92" i="4"/>
  <c r="L93" i="4"/>
  <c r="L94" i="4"/>
  <c r="L95" i="4"/>
  <c r="L96" i="4"/>
  <c r="L97" i="4"/>
  <c r="L98" i="4"/>
  <c r="L99" i="4"/>
  <c r="L100" i="4"/>
  <c r="L101" i="4"/>
  <c r="L102" i="4"/>
  <c r="L103" i="4"/>
  <c r="L104" i="4"/>
  <c r="L105" i="4"/>
  <c r="L106" i="4"/>
  <c r="L107" i="4"/>
  <c r="L108" i="4"/>
  <c r="L109" i="4"/>
  <c r="L11" i="4"/>
  <c r="AO75" i="4"/>
  <c r="BA66" i="4"/>
  <c r="AZ66" i="4"/>
  <c r="AY66" i="4"/>
  <c r="AX66" i="4"/>
  <c r="AW66" i="4"/>
  <c r="AV66" i="4"/>
  <c r="BH66" i="4" s="1"/>
  <c r="AT66" i="4"/>
  <c r="BF66" i="4" s="1"/>
  <c r="AR66" i="4"/>
  <c r="BD66" i="4" s="1"/>
  <c r="AQ66" i="4"/>
  <c r="BC66" i="4" s="1"/>
  <c r="AP66" i="4"/>
  <c r="BA58" i="4"/>
  <c r="AZ58" i="4"/>
  <c r="AY58" i="4"/>
  <c r="AX58" i="4"/>
  <c r="AW58" i="4"/>
  <c r="AV58" i="4"/>
  <c r="BH58" i="4" s="1"/>
  <c r="AT58" i="4"/>
  <c r="BF58" i="4" s="1"/>
  <c r="AR58" i="4"/>
  <c r="BD58" i="4" s="1"/>
  <c r="AQ58" i="4"/>
  <c r="BC58" i="4" s="1"/>
  <c r="AP58" i="4"/>
  <c r="BA45" i="4"/>
  <c r="AZ45" i="4"/>
  <c r="AY45" i="4"/>
  <c r="AX45" i="4"/>
  <c r="AW45" i="4"/>
  <c r="AV45" i="4"/>
  <c r="BH45" i="4" s="1"/>
  <c r="AT45" i="4"/>
  <c r="BF45" i="4" s="1"/>
  <c r="AR45" i="4"/>
  <c r="BD45" i="4" s="1"/>
  <c r="AQ45" i="4"/>
  <c r="BC45" i="4" s="1"/>
  <c r="AP45" i="4"/>
  <c r="BA40" i="4"/>
  <c r="AZ40" i="4"/>
  <c r="AY40" i="4"/>
  <c r="AX40" i="4"/>
  <c r="AW40" i="4"/>
  <c r="BI40" i="4" s="1"/>
  <c r="AV40" i="4"/>
  <c r="BH40" i="4" s="1"/>
  <c r="AT40" i="4"/>
  <c r="BF40" i="4" s="1"/>
  <c r="AR40" i="4"/>
  <c r="BD40" i="4" s="1"/>
  <c r="AQ40" i="4"/>
  <c r="BC40" i="4" s="1"/>
  <c r="AP40" i="4"/>
  <c r="U30" i="4"/>
  <c r="O30" i="4"/>
  <c r="J70" i="4"/>
  <c r="K70" i="4" s="1"/>
  <c r="M70" i="4" s="1"/>
  <c r="P70" i="4"/>
  <c r="Q70" i="4" s="1"/>
  <c r="S70" i="4" s="1"/>
  <c r="AS106" i="4"/>
  <c r="AR106" i="4"/>
  <c r="AQ106" i="4"/>
  <c r="AP106" i="4"/>
  <c r="AN106" i="4"/>
  <c r="AM106" i="4"/>
  <c r="AL106" i="4"/>
  <c r="AX106" i="4" s="1"/>
  <c r="AK106" i="4"/>
  <c r="AW106" i="4" s="1"/>
  <c r="AJ106" i="4"/>
  <c r="AV106" i="4" s="1"/>
  <c r="AI106" i="4"/>
  <c r="AU106" i="4" s="1"/>
  <c r="AH106" i="4"/>
  <c r="AG106" i="4"/>
  <c r="T106" i="4"/>
  <c r="N106" i="4"/>
  <c r="H106" i="4"/>
  <c r="AS105" i="4"/>
  <c r="AR105" i="4"/>
  <c r="AQ105" i="4"/>
  <c r="AP105" i="4"/>
  <c r="AN105" i="4"/>
  <c r="AM105" i="4"/>
  <c r="AL105" i="4"/>
  <c r="AX105" i="4" s="1"/>
  <c r="AK105" i="4"/>
  <c r="AW105" i="4" s="1"/>
  <c r="AJ105" i="4"/>
  <c r="AV105" i="4" s="1"/>
  <c r="AI105" i="4"/>
  <c r="AU105" i="4" s="1"/>
  <c r="AH105" i="4"/>
  <c r="AG105" i="4"/>
  <c r="T105" i="4"/>
  <c r="N105" i="4"/>
  <c r="H105" i="4"/>
  <c r="AS104" i="4"/>
  <c r="AR104" i="4"/>
  <c r="AQ104" i="4"/>
  <c r="AP104" i="4"/>
  <c r="AN104" i="4"/>
  <c r="AM104" i="4"/>
  <c r="AL104" i="4"/>
  <c r="AX104" i="4" s="1"/>
  <c r="AK104" i="4"/>
  <c r="AW104" i="4" s="1"/>
  <c r="AJ104" i="4"/>
  <c r="AV104" i="4" s="1"/>
  <c r="AI104" i="4"/>
  <c r="AU104" i="4" s="1"/>
  <c r="AH104" i="4"/>
  <c r="AG104" i="4"/>
  <c r="T104" i="4"/>
  <c r="N104" i="4"/>
  <c r="H104" i="4"/>
  <c r="AS103" i="4"/>
  <c r="AR103" i="4"/>
  <c r="AQ103" i="4"/>
  <c r="AP103" i="4"/>
  <c r="AN103" i="4"/>
  <c r="AM103" i="4"/>
  <c r="AL103" i="4"/>
  <c r="AX103" i="4" s="1"/>
  <c r="AK103" i="4"/>
  <c r="AW103" i="4" s="1"/>
  <c r="AJ103" i="4"/>
  <c r="AV103" i="4" s="1"/>
  <c r="AI103" i="4"/>
  <c r="AU103" i="4" s="1"/>
  <c r="AH103" i="4"/>
  <c r="AG103" i="4"/>
  <c r="T103" i="4"/>
  <c r="N103" i="4"/>
  <c r="H103" i="4"/>
  <c r="AS102" i="4"/>
  <c r="AR102" i="4"/>
  <c r="AQ102" i="4"/>
  <c r="AP102" i="4"/>
  <c r="AN102" i="4"/>
  <c r="AM102" i="4"/>
  <c r="AL102" i="4"/>
  <c r="AX102" i="4" s="1"/>
  <c r="AK102" i="4"/>
  <c r="AW102" i="4" s="1"/>
  <c r="AJ102" i="4"/>
  <c r="AV102" i="4" s="1"/>
  <c r="AI102" i="4"/>
  <c r="AU102" i="4" s="1"/>
  <c r="AH102" i="4"/>
  <c r="AG102" i="4"/>
  <c r="T102" i="4"/>
  <c r="N102" i="4"/>
  <c r="H102" i="4"/>
  <c r="AS101" i="4"/>
  <c r="AR101" i="4"/>
  <c r="AQ101" i="4"/>
  <c r="AP101" i="4"/>
  <c r="AN101" i="4"/>
  <c r="AM101" i="4"/>
  <c r="AL101" i="4"/>
  <c r="AX101" i="4" s="1"/>
  <c r="AK101" i="4"/>
  <c r="AW101" i="4" s="1"/>
  <c r="AJ101" i="4"/>
  <c r="AV101" i="4" s="1"/>
  <c r="AI101" i="4"/>
  <c r="AU101" i="4" s="1"/>
  <c r="AH101" i="4"/>
  <c r="AG101" i="4"/>
  <c r="T101" i="4"/>
  <c r="N101" i="4"/>
  <c r="H101" i="4"/>
  <c r="AS100" i="4"/>
  <c r="AR100" i="4"/>
  <c r="AQ100" i="4"/>
  <c r="AP100" i="4"/>
  <c r="AN100" i="4"/>
  <c r="AM100" i="4"/>
  <c r="AL100" i="4"/>
  <c r="AX100" i="4" s="1"/>
  <c r="AK100" i="4"/>
  <c r="AW100" i="4" s="1"/>
  <c r="AJ100" i="4"/>
  <c r="AV100" i="4" s="1"/>
  <c r="AI100" i="4"/>
  <c r="AU100" i="4" s="1"/>
  <c r="AH100" i="4"/>
  <c r="AG100" i="4"/>
  <c r="T100" i="4"/>
  <c r="N100" i="4"/>
  <c r="H100" i="4"/>
  <c r="K149" i="11" l="1"/>
  <c r="L137" i="11"/>
  <c r="L130" i="11"/>
  <c r="H112" i="11"/>
  <c r="L136" i="11"/>
  <c r="I151" i="11"/>
  <c r="J144" i="11"/>
  <c r="J136" i="11"/>
  <c r="J118" i="11"/>
  <c r="H131" i="11"/>
  <c r="K143" i="11"/>
  <c r="I144" i="11"/>
  <c r="I136" i="11"/>
  <c r="H120" i="11"/>
  <c r="J116" i="11"/>
  <c r="J128" i="11"/>
  <c r="H128" i="11"/>
  <c r="L128" i="11" s="1"/>
  <c r="K140" i="11"/>
  <c r="K119" i="11"/>
  <c r="L150" i="11"/>
  <c r="J131" i="11"/>
  <c r="K148" i="11"/>
  <c r="J120" i="11"/>
  <c r="I116" i="11"/>
  <c r="H126" i="11"/>
  <c r="L126" i="11" s="1"/>
  <c r="K123" i="11"/>
  <c r="I120" i="11"/>
  <c r="L132" i="11"/>
  <c r="K151" i="11"/>
  <c r="F116" i="11"/>
  <c r="L122" i="11"/>
  <c r="L145" i="11"/>
  <c r="K121" i="11"/>
  <c r="L121" i="11"/>
  <c r="K129" i="11"/>
  <c r="L129" i="11"/>
  <c r="L118" i="11"/>
  <c r="K147" i="11"/>
  <c r="K122" i="11"/>
  <c r="L140" i="11"/>
  <c r="K137" i="11"/>
  <c r="K132" i="11"/>
  <c r="L151" i="11"/>
  <c r="L147" i="11"/>
  <c r="L143" i="11"/>
  <c r="L123" i="11"/>
  <c r="L119" i="11"/>
  <c r="K142" i="11"/>
  <c r="K136" i="11"/>
  <c r="F76" i="11"/>
  <c r="F117" i="11"/>
  <c r="F127" i="11"/>
  <c r="F91" i="11"/>
  <c r="F73" i="11"/>
  <c r="F51" i="11"/>
  <c r="F110" i="11"/>
  <c r="F99" i="11"/>
  <c r="F90" i="11"/>
  <c r="F131" i="11"/>
  <c r="F43" i="11"/>
  <c r="F28" i="11"/>
  <c r="F82" i="11"/>
  <c r="F103" i="11"/>
  <c r="F139" i="11"/>
  <c r="F125" i="11"/>
  <c r="F17" i="11"/>
  <c r="F138" i="11"/>
  <c r="F39" i="11"/>
  <c r="F106" i="11"/>
  <c r="F124" i="11"/>
  <c r="F16" i="11"/>
  <c r="F30" i="11"/>
  <c r="F15" i="11"/>
  <c r="F58" i="11"/>
  <c r="F135" i="11"/>
  <c r="F46" i="11"/>
  <c r="F134" i="11"/>
  <c r="F84" i="11"/>
  <c r="F105" i="11"/>
  <c r="F29" i="11"/>
  <c r="F72" i="11"/>
  <c r="F32" i="11"/>
  <c r="F21" i="11"/>
  <c r="F45" i="11"/>
  <c r="F38" i="11"/>
  <c r="F55" i="11"/>
  <c r="F65" i="11"/>
  <c r="F68" i="11"/>
  <c r="F47" i="11"/>
  <c r="F40" i="11"/>
  <c r="F95" i="11"/>
  <c r="F144" i="11"/>
  <c r="F141" i="11"/>
  <c r="F104" i="11"/>
  <c r="F70" i="11"/>
  <c r="F53" i="11"/>
  <c r="F86" i="11"/>
  <c r="F22" i="11"/>
  <c r="F85" i="11"/>
  <c r="F54" i="11"/>
  <c r="F37" i="11"/>
  <c r="F107" i="11"/>
  <c r="Z96" i="15"/>
  <c r="AA96" i="15" s="1"/>
  <c r="M37" i="4"/>
  <c r="F115" i="11"/>
  <c r="AB43" i="15"/>
  <c r="AB94" i="15"/>
  <c r="AB62" i="15"/>
  <c r="Z43" i="15"/>
  <c r="Z60" i="15"/>
  <c r="Z28" i="15"/>
  <c r="Z89" i="15"/>
  <c r="AA89" i="15" s="1"/>
  <c r="Z79" i="15"/>
  <c r="AA79" i="15" s="1"/>
  <c r="AB89" i="15"/>
  <c r="AB75" i="15"/>
  <c r="AB35" i="15"/>
  <c r="M39" i="15"/>
  <c r="AB39" i="15" s="1"/>
  <c r="Z39" i="15"/>
  <c r="M87" i="15"/>
  <c r="AB87" i="15" s="1"/>
  <c r="Z87" i="15"/>
  <c r="AA87" i="15" s="1"/>
  <c r="M93" i="15"/>
  <c r="AB93" i="15" s="1"/>
  <c r="Z93" i="15"/>
  <c r="AA93" i="15" s="1"/>
  <c r="M104" i="15"/>
  <c r="AB104" i="15" s="1"/>
  <c r="Z104" i="15"/>
  <c r="AA104" i="15" s="1"/>
  <c r="M44" i="15"/>
  <c r="AB44" i="15" s="1"/>
  <c r="Z44" i="15"/>
  <c r="M66" i="15"/>
  <c r="AB66" i="15" s="1"/>
  <c r="Z66" i="15"/>
  <c r="AA66" i="15" s="1"/>
  <c r="Z84" i="15"/>
  <c r="AA84" i="15" s="1"/>
  <c r="R30" i="15"/>
  <c r="V30" i="15"/>
  <c r="W30" i="15" s="1"/>
  <c r="Y30" i="15" s="1"/>
  <c r="Z61" i="15"/>
  <c r="Z71" i="15"/>
  <c r="AA71" i="15" s="1"/>
  <c r="AB54" i="15"/>
  <c r="Z52" i="15"/>
  <c r="AB31" i="15"/>
  <c r="Z69" i="15"/>
  <c r="AA69" i="15" s="1"/>
  <c r="AB48" i="15"/>
  <c r="Z58" i="15"/>
  <c r="S71" i="15"/>
  <c r="AB71" i="15" s="1"/>
  <c r="Z94" i="15"/>
  <c r="AA94" i="15" s="1"/>
  <c r="AC94" i="15" s="1"/>
  <c r="Z97" i="15"/>
  <c r="AA97" i="15" s="1"/>
  <c r="AB108" i="15"/>
  <c r="Z38" i="15"/>
  <c r="Z77" i="15"/>
  <c r="AA77" i="15" s="1"/>
  <c r="M49" i="15"/>
  <c r="AB49" i="15" s="1"/>
  <c r="Z49" i="15"/>
  <c r="M57" i="15"/>
  <c r="Z57" i="15"/>
  <c r="Y42" i="15"/>
  <c r="S57" i="15"/>
  <c r="S12" i="15"/>
  <c r="Z36" i="15"/>
  <c r="S36" i="15"/>
  <c r="AB36" i="15" s="1"/>
  <c r="Z46" i="15"/>
  <c r="M46" i="15"/>
  <c r="AB46" i="15" s="1"/>
  <c r="Z18" i="15"/>
  <c r="M18" i="15"/>
  <c r="AB18" i="15" s="1"/>
  <c r="M83" i="15"/>
  <c r="AB83" i="15" s="1"/>
  <c r="Z83" i="15"/>
  <c r="Y50" i="15"/>
  <c r="Z15" i="15"/>
  <c r="M15" i="15"/>
  <c r="AB15" i="15" s="1"/>
  <c r="S90" i="15"/>
  <c r="S50" i="15"/>
  <c r="S16" i="15"/>
  <c r="Z51" i="15"/>
  <c r="M51" i="15"/>
  <c r="AB51" i="15" s="1"/>
  <c r="M73" i="15"/>
  <c r="AB73" i="15" s="1"/>
  <c r="Z73" i="15"/>
  <c r="AA73" i="15" s="1"/>
  <c r="Z14" i="15"/>
  <c r="M14" i="15"/>
  <c r="AB14" i="15" s="1"/>
  <c r="M21" i="15"/>
  <c r="AB21" i="15" s="1"/>
  <c r="Z21" i="15"/>
  <c r="Z74" i="15"/>
  <c r="M74" i="15"/>
  <c r="M92" i="15"/>
  <c r="AB92" i="15" s="1"/>
  <c r="Z92" i="15"/>
  <c r="AA92" i="15" s="1"/>
  <c r="M17" i="15"/>
  <c r="AB17" i="15" s="1"/>
  <c r="Z17" i="15"/>
  <c r="Z12" i="15"/>
  <c r="Z16" i="15"/>
  <c r="M16" i="15"/>
  <c r="M27" i="15"/>
  <c r="Z27" i="15"/>
  <c r="Z67" i="15"/>
  <c r="M67" i="15"/>
  <c r="AB67" i="15" s="1"/>
  <c r="Z88" i="15"/>
  <c r="AA88" i="15" s="1"/>
  <c r="M88" i="15"/>
  <c r="AB88" i="15" s="1"/>
  <c r="M95" i="15"/>
  <c r="AB95" i="15" s="1"/>
  <c r="Z95" i="15"/>
  <c r="AA95" i="15" s="1"/>
  <c r="Y11" i="15"/>
  <c r="Z23" i="15"/>
  <c r="M23" i="15"/>
  <c r="M68" i="15"/>
  <c r="Z68" i="15"/>
  <c r="AA68" i="15" s="1"/>
  <c r="M96" i="15"/>
  <c r="AB96" i="15" s="1"/>
  <c r="AC96" i="15" s="1"/>
  <c r="Z35" i="15"/>
  <c r="M56" i="15"/>
  <c r="AB56" i="15" s="1"/>
  <c r="Z56" i="15"/>
  <c r="M29" i="15"/>
  <c r="AB29" i="15" s="1"/>
  <c r="Z29" i="15"/>
  <c r="S40" i="15"/>
  <c r="Y53" i="15"/>
  <c r="M81" i="15"/>
  <c r="AB81" i="15" s="1"/>
  <c r="Z81" i="15"/>
  <c r="AA81" i="15" s="1"/>
  <c r="Y100" i="15"/>
  <c r="AB100" i="15" s="1"/>
  <c r="Z100" i="15"/>
  <c r="AA100" i="15" s="1"/>
  <c r="S109" i="15"/>
  <c r="AB109" i="15" s="1"/>
  <c r="Z109" i="15"/>
  <c r="Z55" i="15"/>
  <c r="S78" i="15"/>
  <c r="Z82" i="15"/>
  <c r="AA82" i="15" s="1"/>
  <c r="Y90" i="15"/>
  <c r="Z108" i="15"/>
  <c r="AA108" i="15" s="1"/>
  <c r="Z91" i="15"/>
  <c r="AA91" i="15" s="1"/>
  <c r="M91" i="15"/>
  <c r="AB91" i="15" s="1"/>
  <c r="Z13" i="15"/>
  <c r="M77" i="15"/>
  <c r="AB77" i="15" s="1"/>
  <c r="Z33" i="15"/>
  <c r="M33" i="15"/>
  <c r="AB33" i="15" s="1"/>
  <c r="M78" i="15"/>
  <c r="Z78" i="15"/>
  <c r="M50" i="15"/>
  <c r="Z50" i="15"/>
  <c r="M26" i="15"/>
  <c r="Z26" i="15"/>
  <c r="Z48" i="15"/>
  <c r="M60" i="15"/>
  <c r="M64" i="15"/>
  <c r="AB64" i="15" s="1"/>
  <c r="Z64" i="15"/>
  <c r="S74" i="15"/>
  <c r="Z76" i="15"/>
  <c r="AA76" i="15" s="1"/>
  <c r="S76" i="15"/>
  <c r="AB76" i="15" s="1"/>
  <c r="M82" i="15"/>
  <c r="AB82" i="15" s="1"/>
  <c r="Y16" i="15"/>
  <c r="S27" i="15"/>
  <c r="Z31" i="15"/>
  <c r="Z42" i="15"/>
  <c r="M42" i="15"/>
  <c r="M47" i="15"/>
  <c r="Z47" i="15"/>
  <c r="M70" i="15"/>
  <c r="AB70" i="15" s="1"/>
  <c r="Z70" i="15"/>
  <c r="AA70" i="15" s="1"/>
  <c r="S79" i="15"/>
  <c r="AB79" i="15" s="1"/>
  <c r="Z86" i="15"/>
  <c r="M86" i="15"/>
  <c r="AB86" i="15" s="1"/>
  <c r="Z101" i="15"/>
  <c r="AA101" i="15" s="1"/>
  <c r="M101" i="15"/>
  <c r="AB101" i="15" s="1"/>
  <c r="S65" i="15"/>
  <c r="Z11" i="15"/>
  <c r="S13" i="15"/>
  <c r="AB13" i="15" s="1"/>
  <c r="M28" i="15"/>
  <c r="AB28" i="15" s="1"/>
  <c r="Z20" i="15"/>
  <c r="M20" i="15"/>
  <c r="AB20" i="15" s="1"/>
  <c r="S23" i="15"/>
  <c r="M58" i="15"/>
  <c r="AB58" i="15" s="1"/>
  <c r="Y38" i="15"/>
  <c r="AB38" i="15" s="1"/>
  <c r="S26" i="15"/>
  <c r="M12" i="15"/>
  <c r="M11" i="15"/>
  <c r="Z25" i="15"/>
  <c r="M25" i="15"/>
  <c r="AB25" i="15" s="1"/>
  <c r="S11" i="15"/>
  <c r="Z37" i="15"/>
  <c r="Z45" i="15"/>
  <c r="M45" i="15"/>
  <c r="AB45" i="15" s="1"/>
  <c r="M61" i="15"/>
  <c r="AB61" i="15" s="1"/>
  <c r="M65" i="15"/>
  <c r="Z65" i="15"/>
  <c r="M69" i="15"/>
  <c r="AB69" i="15" s="1"/>
  <c r="Z53" i="15"/>
  <c r="M53" i="15"/>
  <c r="Z32" i="15"/>
  <c r="M32" i="15"/>
  <c r="AB32" i="15" s="1"/>
  <c r="M34" i="15"/>
  <c r="AB34" i="15" s="1"/>
  <c r="Z34" i="15"/>
  <c r="M41" i="15"/>
  <c r="AB41" i="15" s="1"/>
  <c r="Z41" i="15"/>
  <c r="S60" i="15"/>
  <c r="S84" i="15"/>
  <c r="AB84" i="15" s="1"/>
  <c r="Z90" i="15"/>
  <c r="Z22" i="15"/>
  <c r="Z24" i="15"/>
  <c r="Z59" i="15"/>
  <c r="Z63" i="15"/>
  <c r="M63" i="15"/>
  <c r="AB63" i="15" s="1"/>
  <c r="Z102" i="15"/>
  <c r="AA102" i="15" s="1"/>
  <c r="M102" i="15"/>
  <c r="AB102" i="15" s="1"/>
  <c r="S98" i="15"/>
  <c r="AB98" i="15" s="1"/>
  <c r="Z98" i="15"/>
  <c r="AA98" i="15" s="1"/>
  <c r="M52" i="15"/>
  <c r="M90" i="15"/>
  <c r="S47" i="15"/>
  <c r="M97" i="15"/>
  <c r="AB97" i="15" s="1"/>
  <c r="S107" i="15"/>
  <c r="AB107" i="15" s="1"/>
  <c r="M22" i="15"/>
  <c r="AB22" i="15" s="1"/>
  <c r="Z19" i="15"/>
  <c r="M24" i="15"/>
  <c r="AB24" i="15" s="1"/>
  <c r="M59" i="15"/>
  <c r="AB59" i="15" s="1"/>
  <c r="Z62" i="15"/>
  <c r="Z72" i="15"/>
  <c r="AA72" i="15" s="1"/>
  <c r="M72" i="15"/>
  <c r="AB72" i="15" s="1"/>
  <c r="AC72" i="15" s="1"/>
  <c r="AB19" i="15"/>
  <c r="M30" i="15"/>
  <c r="Z40" i="15"/>
  <c r="M40" i="15"/>
  <c r="Y52" i="15"/>
  <c r="Z54" i="15"/>
  <c r="Y55" i="15"/>
  <c r="AB55" i="15" s="1"/>
  <c r="Z75" i="15"/>
  <c r="M99" i="15"/>
  <c r="AB99" i="15" s="1"/>
  <c r="Z99" i="15"/>
  <c r="Z107" i="15"/>
  <c r="M80" i="15"/>
  <c r="AB80" i="15" s="1"/>
  <c r="Z80" i="15"/>
  <c r="AA80" i="15" s="1"/>
  <c r="S68" i="15"/>
  <c r="AB103" i="15"/>
  <c r="Z105" i="15"/>
  <c r="AA105" i="15" s="1"/>
  <c r="M105" i="15"/>
  <c r="AB105" i="15" s="1"/>
  <c r="AC105" i="15" s="1"/>
  <c r="Z103" i="15"/>
  <c r="AA103" i="15" s="1"/>
  <c r="M106" i="15"/>
  <c r="AB106" i="15" s="1"/>
  <c r="Z106" i="15"/>
  <c r="AA106" i="15" s="1"/>
  <c r="M85" i="15"/>
  <c r="AB85" i="15" s="1"/>
  <c r="Z85" i="15"/>
  <c r="AA85" i="15" s="1"/>
  <c r="L153" i="15"/>
  <c r="AB5" i="15" s="1"/>
  <c r="M71" i="4"/>
  <c r="AB71" i="4" s="1"/>
  <c r="AC71" i="4" s="1"/>
  <c r="BI66" i="4"/>
  <c r="BI58" i="4"/>
  <c r="BI45" i="4"/>
  <c r="L7" i="4"/>
  <c r="BD103" i="4"/>
  <c r="BD102" i="4"/>
  <c r="BD101" i="4"/>
  <c r="BD104" i="4"/>
  <c r="BD105" i="4"/>
  <c r="BD100" i="4"/>
  <c r="BD106" i="4"/>
  <c r="AW22" i="4"/>
  <c r="AV22" i="4"/>
  <c r="AT22" i="4"/>
  <c r="AR22" i="4"/>
  <c r="AQ22" i="4"/>
  <c r="AP22" i="4"/>
  <c r="BA71" i="4"/>
  <c r="AZ71" i="4"/>
  <c r="AY71" i="4"/>
  <c r="AX71" i="4"/>
  <c r="AW71" i="4"/>
  <c r="AV71" i="4"/>
  <c r="AU71" i="4"/>
  <c r="AT71" i="4"/>
  <c r="AS71" i="4"/>
  <c r="AR71" i="4"/>
  <c r="AQ71" i="4"/>
  <c r="BC71" i="4" s="1"/>
  <c r="AP71" i="4"/>
  <c r="BA69" i="4"/>
  <c r="AZ69" i="4"/>
  <c r="AY69" i="4"/>
  <c r="AX69" i="4"/>
  <c r="AW69" i="4"/>
  <c r="AV69" i="4"/>
  <c r="AU69" i="4"/>
  <c r="AT69" i="4"/>
  <c r="AS69" i="4"/>
  <c r="AR69" i="4"/>
  <c r="AQ69" i="4"/>
  <c r="BC69" i="4" s="1"/>
  <c r="AP69" i="4"/>
  <c r="AN69" i="4"/>
  <c r="AM69" i="4"/>
  <c r="AL69" i="4"/>
  <c r="AK69" i="4"/>
  <c r="AJ69" i="4"/>
  <c r="AI69" i="4"/>
  <c r="AH69" i="4"/>
  <c r="AG69" i="4"/>
  <c r="T69" i="4"/>
  <c r="N69" i="4"/>
  <c r="H69" i="4"/>
  <c r="AN71" i="4"/>
  <c r="AM71" i="4"/>
  <c r="AL71" i="4"/>
  <c r="AK71" i="4"/>
  <c r="AJ71" i="4"/>
  <c r="AI71" i="4"/>
  <c r="AH71" i="4"/>
  <c r="AG71" i="4"/>
  <c r="V72" i="4"/>
  <c r="W72" i="4" s="1"/>
  <c r="Y72" i="4" s="1"/>
  <c r="P72" i="4"/>
  <c r="Q72" i="4" s="1"/>
  <c r="S72" i="4" s="1"/>
  <c r="J72" i="4"/>
  <c r="K72" i="4" s="1"/>
  <c r="I158" i="12"/>
  <c r="I164" i="12" s="1"/>
  <c r="H8" i="11" l="1"/>
  <c r="H152" i="11"/>
  <c r="K126" i="11"/>
  <c r="K128" i="11"/>
  <c r="K120" i="11"/>
  <c r="L120" i="11"/>
  <c r="K116" i="11"/>
  <c r="L116" i="11"/>
  <c r="L138" i="11"/>
  <c r="K138" i="11"/>
  <c r="K131" i="11"/>
  <c r="L131" i="11"/>
  <c r="L117" i="11"/>
  <c r="K117" i="11"/>
  <c r="K141" i="11"/>
  <c r="L141" i="11"/>
  <c r="K124" i="11"/>
  <c r="L124" i="11"/>
  <c r="K127" i="11"/>
  <c r="L127" i="11"/>
  <c r="L125" i="11"/>
  <c r="K125" i="11"/>
  <c r="K139" i="11"/>
  <c r="L139" i="11"/>
  <c r="L134" i="11"/>
  <c r="K134" i="11"/>
  <c r="L144" i="11"/>
  <c r="K144" i="11"/>
  <c r="K135" i="11"/>
  <c r="L135" i="11"/>
  <c r="M72" i="4"/>
  <c r="AB72" i="4" s="1"/>
  <c r="Z72" i="4"/>
  <c r="AA72" i="4" s="1"/>
  <c r="AC95" i="15"/>
  <c r="AC71" i="15"/>
  <c r="AC108" i="15"/>
  <c r="AB27" i="15"/>
  <c r="AA39" i="15"/>
  <c r="AA36" i="15"/>
  <c r="AC36" i="15" s="1"/>
  <c r="AB60" i="15"/>
  <c r="AB16" i="15"/>
  <c r="AA52" i="15"/>
  <c r="AA32" i="15"/>
  <c r="AC32" i="15" s="1"/>
  <c r="AA26" i="15"/>
  <c r="AC104" i="15"/>
  <c r="AA25" i="15"/>
  <c r="AC25" i="15" s="1"/>
  <c r="AA27" i="15"/>
  <c r="AC89" i="15"/>
  <c r="AA57" i="15"/>
  <c r="AA37" i="15"/>
  <c r="AC37" i="15" s="1"/>
  <c r="AA60" i="15"/>
  <c r="AA41" i="15"/>
  <c r="AC41" i="15" s="1"/>
  <c r="AA29" i="15"/>
  <c r="AC29" i="15" s="1"/>
  <c r="AA43" i="15"/>
  <c r="AC43" i="15" s="1"/>
  <c r="AA34" i="15"/>
  <c r="AC34" i="15" s="1"/>
  <c r="AA17" i="15"/>
  <c r="AA49" i="15"/>
  <c r="AC49" i="15" s="1"/>
  <c r="AA15" i="15"/>
  <c r="AC15" i="15" s="1"/>
  <c r="AA62" i="15"/>
  <c r="AC62" i="15" s="1"/>
  <c r="AB65" i="15"/>
  <c r="AA31" i="15"/>
  <c r="AC31" i="15" s="1"/>
  <c r="AC100" i="15"/>
  <c r="AA24" i="15"/>
  <c r="AC24" i="15" s="1"/>
  <c r="AA38" i="15"/>
  <c r="AC38" i="15" s="1"/>
  <c r="AA22" i="15"/>
  <c r="AC66" i="15"/>
  <c r="AA58" i="15"/>
  <c r="AC58" i="15" s="1"/>
  <c r="AA50" i="15"/>
  <c r="AA61" i="15"/>
  <c r="AC61" i="15" s="1"/>
  <c r="AA65" i="15"/>
  <c r="AA11" i="15"/>
  <c r="E11" i="11"/>
  <c r="AA44" i="15"/>
  <c r="AC44" i="15" s="1"/>
  <c r="AA28" i="15"/>
  <c r="AC28" i="15" s="1"/>
  <c r="AA14" i="15"/>
  <c r="AC14" i="15" s="1"/>
  <c r="AA46" i="15"/>
  <c r="AC46" i="15" s="1"/>
  <c r="AC69" i="15"/>
  <c r="AB52" i="15"/>
  <c r="AC93" i="15"/>
  <c r="AB30" i="15"/>
  <c r="Z30" i="15"/>
  <c r="AB53" i="15"/>
  <c r="AC80" i="15"/>
  <c r="AB78" i="15"/>
  <c r="AB23" i="15"/>
  <c r="AC76" i="15"/>
  <c r="AB74" i="15"/>
  <c r="AC79" i="15"/>
  <c r="AC84" i="15"/>
  <c r="AC91" i="15"/>
  <c r="AA16" i="15"/>
  <c r="AC88" i="15"/>
  <c r="AA67" i="15"/>
  <c r="AA86" i="15"/>
  <c r="AC86" i="15" s="1"/>
  <c r="AA12" i="15"/>
  <c r="AA18" i="15"/>
  <c r="AC18" i="15" s="1"/>
  <c r="AC106" i="15"/>
  <c r="AC81" i="15"/>
  <c r="AC92" i="15"/>
  <c r="AC85" i="15"/>
  <c r="AA19" i="15"/>
  <c r="AA53" i="15"/>
  <c r="AC73" i="15"/>
  <c r="AA13" i="15"/>
  <c r="AC13" i="15" s="1"/>
  <c r="AA109" i="15"/>
  <c r="AC109" i="15" s="1"/>
  <c r="AA90" i="15"/>
  <c r="AB68" i="15"/>
  <c r="AA48" i="15"/>
  <c r="AA56" i="15"/>
  <c r="AA75" i="15"/>
  <c r="AA63" i="15"/>
  <c r="AA20" i="15"/>
  <c r="AA47" i="15"/>
  <c r="AC103" i="15"/>
  <c r="AA40" i="15"/>
  <c r="AA59" i="15"/>
  <c r="AB11" i="15"/>
  <c r="AB12" i="15"/>
  <c r="AA35" i="15"/>
  <c r="AB57" i="15"/>
  <c r="AC97" i="15"/>
  <c r="AA21" i="15"/>
  <c r="AC87" i="15"/>
  <c r="AA78" i="15"/>
  <c r="AA107" i="15"/>
  <c r="AC107" i="15" s="1"/>
  <c r="AA99" i="15"/>
  <c r="AC99" i="15" s="1"/>
  <c r="AA33" i="15"/>
  <c r="AC70" i="15"/>
  <c r="AA23" i="15"/>
  <c r="AC77" i="15"/>
  <c r="AA55" i="15"/>
  <c r="AB40" i="15"/>
  <c r="AC82" i="15"/>
  <c r="AC98" i="15"/>
  <c r="AA45" i="15"/>
  <c r="AB47" i="15"/>
  <c r="AB26" i="15"/>
  <c r="Y6" i="15"/>
  <c r="AA51" i="15"/>
  <c r="AC51" i="15" s="1"/>
  <c r="AC22" i="15"/>
  <c r="AC39" i="15"/>
  <c r="AB42" i="15"/>
  <c r="AA54" i="15"/>
  <c r="AB90" i="15"/>
  <c r="AA42" i="15"/>
  <c r="AA74" i="15"/>
  <c r="AC102" i="15"/>
  <c r="AC101" i="15"/>
  <c r="AA64" i="15"/>
  <c r="AB50" i="15"/>
  <c r="AA83" i="15"/>
  <c r="AC83" i="15" s="1"/>
  <c r="BH69" i="4"/>
  <c r="AE70" i="4"/>
  <c r="BH71" i="4"/>
  <c r="BF69" i="4"/>
  <c r="BD69" i="4"/>
  <c r="BF71" i="4"/>
  <c r="BD71" i="4"/>
  <c r="AC27" i="15" l="1"/>
  <c r="AC72" i="4"/>
  <c r="AC16" i="15"/>
  <c r="AC19" i="15"/>
  <c r="AC65" i="15"/>
  <c r="F11" i="11"/>
  <c r="AC63" i="15"/>
  <c r="AC60" i="15"/>
  <c r="AC52" i="15"/>
  <c r="AC17" i="15"/>
  <c r="AC78" i="15"/>
  <c r="AA30" i="15"/>
  <c r="AC33" i="15"/>
  <c r="AC90" i="15"/>
  <c r="AC48" i="15"/>
  <c r="AC40" i="15"/>
  <c r="AC67" i="15"/>
  <c r="AC59" i="15"/>
  <c r="AC75" i="15"/>
  <c r="AC12" i="15"/>
  <c r="AC64" i="15"/>
  <c r="AC20" i="15"/>
  <c r="AC54" i="15"/>
  <c r="AC50" i="15"/>
  <c r="AC42" i="15"/>
  <c r="AC11" i="15"/>
  <c r="AC74" i="15"/>
  <c r="AC53" i="15"/>
  <c r="AC45" i="15"/>
  <c r="AC35" i="15"/>
  <c r="AC68" i="15"/>
  <c r="AC21" i="15"/>
  <c r="AC23" i="15"/>
  <c r="AC26" i="15"/>
  <c r="AC57" i="15"/>
  <c r="AC47" i="15"/>
  <c r="AC55" i="15"/>
  <c r="AC56" i="15"/>
  <c r="AE72" i="4"/>
  <c r="BI71" i="4"/>
  <c r="BG71" i="4"/>
  <c r="BE71" i="4"/>
  <c r="BL71" i="4"/>
  <c r="AC30" i="15" l="1"/>
  <c r="AA113" i="15"/>
  <c r="AA152" i="15" s="1"/>
  <c r="AB4" i="15"/>
  <c r="AB6" i="15" s="1"/>
  <c r="BK71" i="4"/>
  <c r="BJ71" i="4"/>
  <c r="BM71" i="4" l="1"/>
  <c r="AE71" i="4"/>
  <c r="AV90" i="4"/>
  <c r="AT90" i="4"/>
  <c r="AR90" i="4"/>
  <c r="AQ90" i="4"/>
  <c r="BC90" i="4" s="1"/>
  <c r="AP90" i="4"/>
  <c r="AV89" i="4"/>
  <c r="AT89" i="4"/>
  <c r="AR89" i="4"/>
  <c r="AQ89" i="4"/>
  <c r="BC89" i="4" s="1"/>
  <c r="AP89" i="4"/>
  <c r="AV88" i="4"/>
  <c r="AT88" i="4"/>
  <c r="AR88" i="4"/>
  <c r="AQ88" i="4"/>
  <c r="BC88" i="4" s="1"/>
  <c r="AP88" i="4"/>
  <c r="AV87" i="4"/>
  <c r="AT87" i="4"/>
  <c r="AR87" i="4"/>
  <c r="AQ87" i="4"/>
  <c r="BC87" i="4" s="1"/>
  <c r="AP87" i="4"/>
  <c r="AV86" i="4"/>
  <c r="AT86" i="4"/>
  <c r="AR86" i="4"/>
  <c r="AQ86" i="4"/>
  <c r="BC86" i="4" s="1"/>
  <c r="AP86" i="4"/>
  <c r="AV85" i="4"/>
  <c r="AT85" i="4"/>
  <c r="AR85" i="4"/>
  <c r="AQ85" i="4"/>
  <c r="BC85" i="4" s="1"/>
  <c r="AP85" i="4"/>
  <c r="AV84" i="4"/>
  <c r="AT84" i="4"/>
  <c r="AR84" i="4"/>
  <c r="AQ84" i="4"/>
  <c r="BC84" i="4" s="1"/>
  <c r="AP84" i="4"/>
  <c r="AV83" i="4"/>
  <c r="AT83" i="4"/>
  <c r="AR83" i="4"/>
  <c r="AQ83" i="4"/>
  <c r="BC83" i="4" s="1"/>
  <c r="AP83" i="4"/>
  <c r="AV82" i="4"/>
  <c r="AT82" i="4"/>
  <c r="AR82" i="4"/>
  <c r="AQ82" i="4"/>
  <c r="BC82" i="4" s="1"/>
  <c r="AP82" i="4"/>
  <c r="H89" i="4"/>
  <c r="N89" i="4"/>
  <c r="T89" i="4"/>
  <c r="T82" i="4"/>
  <c r="T83" i="4"/>
  <c r="T84" i="4"/>
  <c r="T85" i="4"/>
  <c r="T86" i="4"/>
  <c r="T87" i="4"/>
  <c r="T88" i="4"/>
  <c r="T90" i="4"/>
  <c r="H82" i="4"/>
  <c r="H83" i="4"/>
  <c r="H84" i="4"/>
  <c r="H85" i="4"/>
  <c r="H86" i="4"/>
  <c r="H87" i="4"/>
  <c r="H88" i="4"/>
  <c r="H90" i="4"/>
  <c r="N82" i="4"/>
  <c r="P82" i="4"/>
  <c r="Q82" i="4" s="1"/>
  <c r="S82" i="4" s="1"/>
  <c r="N83" i="4"/>
  <c r="N84" i="4"/>
  <c r="N85" i="4"/>
  <c r="N86" i="4"/>
  <c r="N87" i="4"/>
  <c r="N88" i="4"/>
  <c r="N90" i="4"/>
  <c r="BA111" i="4"/>
  <c r="BM111" i="4" s="1"/>
  <c r="AZ111" i="4"/>
  <c r="BL111" i="4" s="1"/>
  <c r="AY111" i="4"/>
  <c r="BK111" i="4" s="1"/>
  <c r="AX111" i="4"/>
  <c r="BJ111" i="4" s="1"/>
  <c r="AW111" i="4"/>
  <c r="AV111" i="4"/>
  <c r="BH111" i="4" s="1"/>
  <c r="AU111" i="4"/>
  <c r="AT111" i="4"/>
  <c r="BF111" i="4" s="1"/>
  <c r="AS111" i="4"/>
  <c r="AR111" i="4"/>
  <c r="AQ111" i="4"/>
  <c r="BC111" i="4" s="1"/>
  <c r="AP111" i="4"/>
  <c r="AE111" i="4"/>
  <c r="BA110" i="4"/>
  <c r="BM110" i="4" s="1"/>
  <c r="AZ110" i="4"/>
  <c r="BL110" i="4" s="1"/>
  <c r="AY110" i="4"/>
  <c r="AX110" i="4"/>
  <c r="BJ110" i="4" s="1"/>
  <c r="AW110" i="4"/>
  <c r="AV110" i="4"/>
  <c r="BH110" i="4" s="1"/>
  <c r="AU110" i="4"/>
  <c r="AT110" i="4"/>
  <c r="BF110" i="4" s="1"/>
  <c r="AS110" i="4"/>
  <c r="AR110" i="4"/>
  <c r="BD110" i="4" s="1"/>
  <c r="AQ110" i="4"/>
  <c r="BC110" i="4" s="1"/>
  <c r="AP110" i="4"/>
  <c r="AE110" i="4"/>
  <c r="BA109" i="4"/>
  <c r="AZ109" i="4"/>
  <c r="AY109" i="4"/>
  <c r="AX109" i="4"/>
  <c r="AW109" i="4"/>
  <c r="AV109" i="4"/>
  <c r="BH109" i="4" s="1"/>
  <c r="AU109" i="4"/>
  <c r="AT109" i="4"/>
  <c r="BF109" i="4" s="1"/>
  <c r="AS109" i="4"/>
  <c r="AR109" i="4"/>
  <c r="BD109" i="4" s="1"/>
  <c r="AQ109" i="4"/>
  <c r="BC109" i="4" s="1"/>
  <c r="AP109" i="4"/>
  <c r="AO109" i="4"/>
  <c r="BA107" i="4"/>
  <c r="AZ107" i="4"/>
  <c r="AY107" i="4"/>
  <c r="AX107" i="4"/>
  <c r="AW107" i="4"/>
  <c r="AV107" i="4"/>
  <c r="BH107" i="4" s="1"/>
  <c r="AU107" i="4"/>
  <c r="AT107" i="4"/>
  <c r="BF107" i="4" s="1"/>
  <c r="AS107" i="4"/>
  <c r="AR107" i="4"/>
  <c r="BD107" i="4" s="1"/>
  <c r="AQ107" i="4"/>
  <c r="BC107" i="4" s="1"/>
  <c r="AP107" i="4"/>
  <c r="AO107" i="4"/>
  <c r="BA99" i="4"/>
  <c r="AZ99" i="4"/>
  <c r="AY99" i="4"/>
  <c r="AX99" i="4"/>
  <c r="AW99" i="4"/>
  <c r="AV99" i="4"/>
  <c r="BH99" i="4" s="1"/>
  <c r="AU99" i="4"/>
  <c r="AT99" i="4"/>
  <c r="BF99" i="4" s="1"/>
  <c r="AS99" i="4"/>
  <c r="AR99" i="4"/>
  <c r="BD99" i="4" s="1"/>
  <c r="AQ99" i="4"/>
  <c r="BC99" i="4" s="1"/>
  <c r="AP99" i="4"/>
  <c r="AO99" i="4"/>
  <c r="BA94" i="4"/>
  <c r="AZ94" i="4"/>
  <c r="AY94" i="4"/>
  <c r="AX94" i="4"/>
  <c r="AW94" i="4"/>
  <c r="AV94" i="4"/>
  <c r="BH94" i="4" s="1"/>
  <c r="AU94" i="4"/>
  <c r="AT94" i="4"/>
  <c r="BF94" i="4" s="1"/>
  <c r="AS94" i="4"/>
  <c r="AR94" i="4"/>
  <c r="BD94" i="4" s="1"/>
  <c r="AQ94" i="4"/>
  <c r="BC94" i="4" s="1"/>
  <c r="AP94" i="4"/>
  <c r="AP93" i="4"/>
  <c r="AQ93" i="4"/>
  <c r="BC93" i="4" s="1"/>
  <c r="AR93" i="4"/>
  <c r="BD93" i="4" s="1"/>
  <c r="AS93" i="4"/>
  <c r="AT93" i="4"/>
  <c r="BF93" i="4" s="1"/>
  <c r="AU93" i="4"/>
  <c r="AV93" i="4"/>
  <c r="BH93" i="4" s="1"/>
  <c r="AW93" i="4"/>
  <c r="BI93" i="4" s="1"/>
  <c r="AX93" i="4"/>
  <c r="AY93" i="4"/>
  <c r="AZ93" i="4"/>
  <c r="BA93" i="4"/>
  <c r="BA92" i="4"/>
  <c r="AZ92" i="4"/>
  <c r="AY92" i="4"/>
  <c r="AX92" i="4"/>
  <c r="AW92" i="4"/>
  <c r="AV92" i="4"/>
  <c r="BH92" i="4" s="1"/>
  <c r="AU92" i="4"/>
  <c r="AT92" i="4"/>
  <c r="BF92" i="4" s="1"/>
  <c r="AS92" i="4"/>
  <c r="AR92" i="4"/>
  <c r="BD92" i="4" s="1"/>
  <c r="AQ92" i="4"/>
  <c r="BC92" i="4" s="1"/>
  <c r="AP92" i="4"/>
  <c r="BA91" i="4"/>
  <c r="AZ91" i="4"/>
  <c r="AY91" i="4"/>
  <c r="AX91" i="4"/>
  <c r="AW91" i="4"/>
  <c r="AV91" i="4"/>
  <c r="BH91" i="4" s="1"/>
  <c r="AU91" i="4"/>
  <c r="AT91" i="4"/>
  <c r="BF91" i="4" s="1"/>
  <c r="AS91" i="4"/>
  <c r="AR91" i="4"/>
  <c r="BD91" i="4" s="1"/>
  <c r="AQ91" i="4"/>
  <c r="BC91" i="4" s="1"/>
  <c r="AP91" i="4"/>
  <c r="AO91" i="4"/>
  <c r="BA78" i="4"/>
  <c r="AZ78" i="4"/>
  <c r="AY78" i="4"/>
  <c r="AX78" i="4"/>
  <c r="AW78" i="4"/>
  <c r="AV78" i="4"/>
  <c r="BH78" i="4" s="1"/>
  <c r="AU78" i="4"/>
  <c r="AT78" i="4"/>
  <c r="BF78" i="4" s="1"/>
  <c r="AS78" i="4"/>
  <c r="AR78" i="4"/>
  <c r="BD78" i="4" s="1"/>
  <c r="AQ78" i="4"/>
  <c r="BC78" i="4" s="1"/>
  <c r="AP78" i="4"/>
  <c r="BA76" i="4"/>
  <c r="AZ76" i="4"/>
  <c r="AY76" i="4"/>
  <c r="AX76" i="4"/>
  <c r="AW76" i="4"/>
  <c r="BI76" i="4" s="1"/>
  <c r="AV76" i="4"/>
  <c r="BH76" i="4" s="1"/>
  <c r="AU76" i="4"/>
  <c r="AT76" i="4"/>
  <c r="BF76" i="4" s="1"/>
  <c r="AS76" i="4"/>
  <c r="AR76" i="4"/>
  <c r="BD76" i="4" s="1"/>
  <c r="AQ76" i="4"/>
  <c r="BC76" i="4" s="1"/>
  <c r="AP76" i="4"/>
  <c r="BA75" i="4"/>
  <c r="AZ75" i="4"/>
  <c r="AY75" i="4"/>
  <c r="AX75" i="4"/>
  <c r="AW75" i="4"/>
  <c r="AV75" i="4"/>
  <c r="BH75" i="4" s="1"/>
  <c r="AU75" i="4"/>
  <c r="AT75" i="4"/>
  <c r="BF75" i="4" s="1"/>
  <c r="AS75" i="4"/>
  <c r="AR75" i="4"/>
  <c r="BD75" i="4" s="1"/>
  <c r="AQ75" i="4"/>
  <c r="BC75" i="4" s="1"/>
  <c r="AP75" i="4"/>
  <c r="BA73" i="4"/>
  <c r="AZ73" i="4"/>
  <c r="AY73" i="4"/>
  <c r="AX73" i="4"/>
  <c r="AW73" i="4"/>
  <c r="AV73" i="4"/>
  <c r="BH73" i="4" s="1"/>
  <c r="AU73" i="4"/>
  <c r="AT73" i="4"/>
  <c r="BF73" i="4" s="1"/>
  <c r="AS73" i="4"/>
  <c r="AR73" i="4"/>
  <c r="BD73" i="4" s="1"/>
  <c r="AQ73" i="4"/>
  <c r="BC73" i="4" s="1"/>
  <c r="AP73" i="4"/>
  <c r="BA63" i="4"/>
  <c r="AZ63" i="4"/>
  <c r="AY63" i="4"/>
  <c r="AX63" i="4"/>
  <c r="AW63" i="4"/>
  <c r="AV63" i="4"/>
  <c r="BH63" i="4" s="1"/>
  <c r="AU63" i="4"/>
  <c r="AT63" i="4"/>
  <c r="BF63" i="4" s="1"/>
  <c r="AS63" i="4"/>
  <c r="AR63" i="4"/>
  <c r="BD63" i="4" s="1"/>
  <c r="AQ63" i="4"/>
  <c r="BC63" i="4" s="1"/>
  <c r="AP63" i="4"/>
  <c r="AO63" i="4"/>
  <c r="BA55" i="4"/>
  <c r="AZ55" i="4"/>
  <c r="AY55" i="4"/>
  <c r="AX55" i="4"/>
  <c r="AW55" i="4"/>
  <c r="AV55" i="4"/>
  <c r="BH55" i="4" s="1"/>
  <c r="AU55" i="4"/>
  <c r="AT55" i="4"/>
  <c r="BF55" i="4" s="1"/>
  <c r="AS55" i="4"/>
  <c r="AR55" i="4"/>
  <c r="BD55" i="4" s="1"/>
  <c r="AQ55" i="4"/>
  <c r="BC55" i="4" s="1"/>
  <c r="AP55" i="4"/>
  <c r="AO55" i="4"/>
  <c r="BA51" i="4"/>
  <c r="AZ51" i="4"/>
  <c r="AY51" i="4"/>
  <c r="AX51" i="4"/>
  <c r="AW51" i="4"/>
  <c r="AV51" i="4"/>
  <c r="BH51" i="4" s="1"/>
  <c r="AU51" i="4"/>
  <c r="AT51" i="4"/>
  <c r="BF51" i="4" s="1"/>
  <c r="AS51" i="4"/>
  <c r="AR51" i="4"/>
  <c r="BD51" i="4" s="1"/>
  <c r="AQ51" i="4"/>
  <c r="BC51" i="4" s="1"/>
  <c r="AP51" i="4"/>
  <c r="AO51" i="4"/>
  <c r="BA48" i="4"/>
  <c r="AZ48" i="4"/>
  <c r="AY48" i="4"/>
  <c r="AX48" i="4"/>
  <c r="AW48" i="4"/>
  <c r="BI48" i="4" s="1"/>
  <c r="AV48" i="4"/>
  <c r="BH48" i="4" s="1"/>
  <c r="AU48" i="4"/>
  <c r="AT48" i="4"/>
  <c r="BF48" i="4" s="1"/>
  <c r="AS48" i="4"/>
  <c r="AR48" i="4"/>
  <c r="BD48" i="4" s="1"/>
  <c r="AQ48" i="4"/>
  <c r="BC48" i="4" s="1"/>
  <c r="AP48" i="4"/>
  <c r="AO48" i="4"/>
  <c r="BA36" i="4"/>
  <c r="AZ36" i="4"/>
  <c r="AY36" i="4"/>
  <c r="AX36" i="4"/>
  <c r="AW36" i="4"/>
  <c r="AV36" i="4"/>
  <c r="BH36" i="4" s="1"/>
  <c r="AU36" i="4"/>
  <c r="AT36" i="4"/>
  <c r="BF36" i="4" s="1"/>
  <c r="AS36" i="4"/>
  <c r="AR36" i="4"/>
  <c r="BD36" i="4" s="1"/>
  <c r="AQ36" i="4"/>
  <c r="BC36" i="4" s="1"/>
  <c r="AP36" i="4"/>
  <c r="AO36" i="4"/>
  <c r="BA35" i="4"/>
  <c r="AZ35" i="4"/>
  <c r="AY35" i="4"/>
  <c r="AX35" i="4"/>
  <c r="AW35" i="4"/>
  <c r="AV35" i="4"/>
  <c r="BH35" i="4" s="1"/>
  <c r="AU35" i="4"/>
  <c r="AT35" i="4"/>
  <c r="BF35" i="4" s="1"/>
  <c r="AS35" i="4"/>
  <c r="AR35" i="4"/>
  <c r="BD35" i="4" s="1"/>
  <c r="AQ35" i="4"/>
  <c r="BC35" i="4" s="1"/>
  <c r="AP35" i="4"/>
  <c r="AO35" i="4"/>
  <c r="BA30" i="4"/>
  <c r="AZ30" i="4"/>
  <c r="AY30" i="4"/>
  <c r="AX30" i="4"/>
  <c r="AW30" i="4"/>
  <c r="AV30" i="4"/>
  <c r="BH30" i="4" s="1"/>
  <c r="AU30" i="4"/>
  <c r="AT30" i="4"/>
  <c r="BF30" i="4" s="1"/>
  <c r="AS30" i="4"/>
  <c r="AR30" i="4"/>
  <c r="BD30" i="4" s="1"/>
  <c r="AQ30" i="4"/>
  <c r="BC30" i="4" s="1"/>
  <c r="AP30" i="4"/>
  <c r="AO30" i="4"/>
  <c r="BA29" i="4"/>
  <c r="AZ29" i="4"/>
  <c r="AY29" i="4"/>
  <c r="AX29" i="4"/>
  <c r="AW29" i="4"/>
  <c r="AV29" i="4"/>
  <c r="BH29" i="4" s="1"/>
  <c r="AU29" i="4"/>
  <c r="AT29" i="4"/>
  <c r="BF29" i="4" s="1"/>
  <c r="AS29" i="4"/>
  <c r="AR29" i="4"/>
  <c r="BD29" i="4" s="1"/>
  <c r="AQ29" i="4"/>
  <c r="BC29" i="4" s="1"/>
  <c r="AP29" i="4"/>
  <c r="AO29" i="4"/>
  <c r="BA28" i="4"/>
  <c r="AZ28" i="4"/>
  <c r="AY28" i="4"/>
  <c r="AX28" i="4"/>
  <c r="AW28" i="4"/>
  <c r="AV28" i="4"/>
  <c r="BH28" i="4" s="1"/>
  <c r="AU28" i="4"/>
  <c r="AT28" i="4"/>
  <c r="BF28" i="4" s="1"/>
  <c r="AS28" i="4"/>
  <c r="AR28" i="4"/>
  <c r="BD28" i="4" s="1"/>
  <c r="AQ28" i="4"/>
  <c r="BC28" i="4" s="1"/>
  <c r="AP28" i="4"/>
  <c r="AO28" i="4"/>
  <c r="BA27" i="4"/>
  <c r="AZ27" i="4"/>
  <c r="AY27" i="4"/>
  <c r="AX27" i="4"/>
  <c r="AW27" i="4"/>
  <c r="AV27" i="4"/>
  <c r="BH27" i="4" s="1"/>
  <c r="AU27" i="4"/>
  <c r="AT27" i="4"/>
  <c r="BF27" i="4" s="1"/>
  <c r="AS27" i="4"/>
  <c r="AR27" i="4"/>
  <c r="BD27" i="4" s="1"/>
  <c r="AQ27" i="4"/>
  <c r="BC27" i="4" s="1"/>
  <c r="AP27" i="4"/>
  <c r="AO27" i="4"/>
  <c r="BA22" i="4"/>
  <c r="AZ22" i="4"/>
  <c r="AY22" i="4"/>
  <c r="AX22" i="4"/>
  <c r="BI22" i="4"/>
  <c r="BH22" i="4"/>
  <c r="BF22" i="4"/>
  <c r="BD22" i="4"/>
  <c r="BC22" i="4"/>
  <c r="BA18" i="4"/>
  <c r="AZ18" i="4"/>
  <c r="AY18" i="4"/>
  <c r="AX18" i="4"/>
  <c r="AW18" i="4"/>
  <c r="AV18" i="4"/>
  <c r="BH18" i="4" s="1"/>
  <c r="AU18" i="4"/>
  <c r="AT18" i="4"/>
  <c r="BF18" i="4" s="1"/>
  <c r="AS18" i="4"/>
  <c r="AR18" i="4"/>
  <c r="BD18" i="4" s="1"/>
  <c r="AQ18" i="4"/>
  <c r="BC18" i="4" s="1"/>
  <c r="AP18" i="4"/>
  <c r="AO18" i="4"/>
  <c r="BA13" i="4"/>
  <c r="AZ13" i="4"/>
  <c r="AY13" i="4"/>
  <c r="AX13" i="4"/>
  <c r="AW13" i="4"/>
  <c r="AV13" i="4"/>
  <c r="BH13" i="4" s="1"/>
  <c r="AU13" i="4"/>
  <c r="AT13" i="4"/>
  <c r="BF13" i="4" s="1"/>
  <c r="AS13" i="4"/>
  <c r="AR13" i="4"/>
  <c r="BD13" i="4" s="1"/>
  <c r="AQ13" i="4"/>
  <c r="BC13" i="4" s="1"/>
  <c r="AP13" i="4"/>
  <c r="AO13" i="4"/>
  <c r="J93" i="4"/>
  <c r="K93" i="4" s="1"/>
  <c r="AP12" i="4"/>
  <c r="AQ12" i="4"/>
  <c r="BC12" i="4" s="1"/>
  <c r="AR12" i="4"/>
  <c r="BD12" i="4" s="1"/>
  <c r="AT12" i="4"/>
  <c r="BF12" i="4" s="1"/>
  <c r="AV12" i="4"/>
  <c r="BH12" i="4" s="1"/>
  <c r="AP14" i="4"/>
  <c r="AQ14" i="4"/>
  <c r="BC14" i="4" s="1"/>
  <c r="AR14" i="4"/>
  <c r="BD14" i="4" s="1"/>
  <c r="AT14" i="4"/>
  <c r="BF14" i="4" s="1"/>
  <c r="AV14" i="4"/>
  <c r="BH14" i="4" s="1"/>
  <c r="AP15" i="4"/>
  <c r="AQ15" i="4"/>
  <c r="BC15" i="4" s="1"/>
  <c r="AR15" i="4"/>
  <c r="BD15" i="4" s="1"/>
  <c r="AT15" i="4"/>
  <c r="BF15" i="4" s="1"/>
  <c r="AV15" i="4"/>
  <c r="BH15" i="4" s="1"/>
  <c r="AP16" i="4"/>
  <c r="AQ16" i="4"/>
  <c r="BC16" i="4" s="1"/>
  <c r="AR16" i="4"/>
  <c r="BD16" i="4" s="1"/>
  <c r="AT16" i="4"/>
  <c r="BF16" i="4" s="1"/>
  <c r="AV16" i="4"/>
  <c r="BH16" i="4" s="1"/>
  <c r="AP17" i="4"/>
  <c r="AQ17" i="4"/>
  <c r="BC17" i="4" s="1"/>
  <c r="AR17" i="4"/>
  <c r="BD17" i="4" s="1"/>
  <c r="AT17" i="4"/>
  <c r="BF17" i="4" s="1"/>
  <c r="AV17" i="4"/>
  <c r="BH17" i="4" s="1"/>
  <c r="AP19" i="4"/>
  <c r="AQ19" i="4"/>
  <c r="BC19" i="4" s="1"/>
  <c r="AR19" i="4"/>
  <c r="BD19" i="4" s="1"/>
  <c r="AS19" i="4"/>
  <c r="AT19" i="4"/>
  <c r="BF19" i="4" s="1"/>
  <c r="AV19" i="4"/>
  <c r="BH19" i="4" s="1"/>
  <c r="AP20" i="4"/>
  <c r="AQ20" i="4"/>
  <c r="BC20" i="4" s="1"/>
  <c r="AR20" i="4"/>
  <c r="BD20" i="4" s="1"/>
  <c r="AT20" i="4"/>
  <c r="BF20" i="4" s="1"/>
  <c r="AV20" i="4"/>
  <c r="BH20" i="4" s="1"/>
  <c r="AP21" i="4"/>
  <c r="AQ21" i="4"/>
  <c r="BC21" i="4" s="1"/>
  <c r="AR21" i="4"/>
  <c r="BD21" i="4" s="1"/>
  <c r="AT21" i="4"/>
  <c r="BF21" i="4" s="1"/>
  <c r="AV21" i="4"/>
  <c r="BH21" i="4" s="1"/>
  <c r="AW21" i="4"/>
  <c r="BI21" i="4" s="1"/>
  <c r="AP23" i="4"/>
  <c r="AQ23" i="4"/>
  <c r="BC23" i="4" s="1"/>
  <c r="AR23" i="4"/>
  <c r="BD23" i="4" s="1"/>
  <c r="AT23" i="4"/>
  <c r="BF23" i="4" s="1"/>
  <c r="AV23" i="4"/>
  <c r="BH23" i="4" s="1"/>
  <c r="AP24" i="4"/>
  <c r="AQ24" i="4"/>
  <c r="BC24" i="4" s="1"/>
  <c r="AR24" i="4"/>
  <c r="BD24" i="4" s="1"/>
  <c r="AT24" i="4"/>
  <c r="BF24" i="4" s="1"/>
  <c r="AV24" i="4"/>
  <c r="BH24" i="4" s="1"/>
  <c r="AP25" i="4"/>
  <c r="AQ25" i="4"/>
  <c r="BC25" i="4" s="1"/>
  <c r="AR25" i="4"/>
  <c r="BD25" i="4" s="1"/>
  <c r="AT25" i="4"/>
  <c r="BF25" i="4" s="1"/>
  <c r="AV25" i="4"/>
  <c r="BH25" i="4" s="1"/>
  <c r="AP26" i="4"/>
  <c r="AQ26" i="4"/>
  <c r="BC26" i="4" s="1"/>
  <c r="AR26" i="4"/>
  <c r="BD26" i="4" s="1"/>
  <c r="AT26" i="4"/>
  <c r="BF26" i="4" s="1"/>
  <c r="AV26" i="4"/>
  <c r="BH26" i="4" s="1"/>
  <c r="AP31" i="4"/>
  <c r="AQ31" i="4"/>
  <c r="BC31" i="4" s="1"/>
  <c r="AR31" i="4"/>
  <c r="BD31" i="4" s="1"/>
  <c r="AS31" i="4"/>
  <c r="AT31" i="4"/>
  <c r="BF31" i="4" s="1"/>
  <c r="AU31" i="4"/>
  <c r="AV31" i="4"/>
  <c r="BH31" i="4" s="1"/>
  <c r="AW31" i="4"/>
  <c r="AX31" i="4"/>
  <c r="AY31" i="4"/>
  <c r="AZ31" i="4"/>
  <c r="BA31" i="4"/>
  <c r="AP32" i="4"/>
  <c r="AQ32" i="4"/>
  <c r="BC32" i="4" s="1"/>
  <c r="AR32" i="4"/>
  <c r="BD32" i="4" s="1"/>
  <c r="AT32" i="4"/>
  <c r="BF32" i="4" s="1"/>
  <c r="AV32" i="4"/>
  <c r="BH32" i="4" s="1"/>
  <c r="AP33" i="4"/>
  <c r="AQ33" i="4"/>
  <c r="BC33" i="4" s="1"/>
  <c r="AR33" i="4"/>
  <c r="BD33" i="4" s="1"/>
  <c r="AT33" i="4"/>
  <c r="BF33" i="4" s="1"/>
  <c r="AV33" i="4"/>
  <c r="BH33" i="4" s="1"/>
  <c r="AP34" i="4"/>
  <c r="AQ34" i="4"/>
  <c r="BC34" i="4" s="1"/>
  <c r="AR34" i="4"/>
  <c r="BD34" i="4" s="1"/>
  <c r="AT34" i="4"/>
  <c r="BF34" i="4" s="1"/>
  <c r="AV34" i="4"/>
  <c r="BH34" i="4" s="1"/>
  <c r="AP37" i="4"/>
  <c r="AQ37" i="4"/>
  <c r="BC37" i="4" s="1"/>
  <c r="AR37" i="4"/>
  <c r="BD37" i="4" s="1"/>
  <c r="AS37" i="4"/>
  <c r="AT37" i="4"/>
  <c r="BF37" i="4" s="1"/>
  <c r="AV37" i="4"/>
  <c r="BH37" i="4" s="1"/>
  <c r="AP38" i="4"/>
  <c r="AQ38" i="4"/>
  <c r="BC38" i="4" s="1"/>
  <c r="AR38" i="4"/>
  <c r="BD38" i="4" s="1"/>
  <c r="AT38" i="4"/>
  <c r="BF38" i="4" s="1"/>
  <c r="AV38" i="4"/>
  <c r="BH38" i="4" s="1"/>
  <c r="AP39" i="4"/>
  <c r="AQ39" i="4"/>
  <c r="BC39" i="4" s="1"/>
  <c r="AR39" i="4"/>
  <c r="BD39" i="4" s="1"/>
  <c r="AT39" i="4"/>
  <c r="BF39" i="4" s="1"/>
  <c r="AV39" i="4"/>
  <c r="BH39" i="4" s="1"/>
  <c r="AW39" i="4"/>
  <c r="BI39" i="4" s="1"/>
  <c r="AP41" i="4"/>
  <c r="AQ41" i="4"/>
  <c r="BC41" i="4" s="1"/>
  <c r="AR41" i="4"/>
  <c r="BD41" i="4" s="1"/>
  <c r="AT41" i="4"/>
  <c r="BF41" i="4" s="1"/>
  <c r="AV41" i="4"/>
  <c r="BH41" i="4" s="1"/>
  <c r="AP42" i="4"/>
  <c r="AQ42" i="4"/>
  <c r="BC42" i="4" s="1"/>
  <c r="AR42" i="4"/>
  <c r="BD42" i="4" s="1"/>
  <c r="AT42" i="4"/>
  <c r="BF42" i="4" s="1"/>
  <c r="AV42" i="4"/>
  <c r="BH42" i="4" s="1"/>
  <c r="AP43" i="4"/>
  <c r="AQ43" i="4"/>
  <c r="BC43" i="4" s="1"/>
  <c r="AR43" i="4"/>
  <c r="BD43" i="4" s="1"/>
  <c r="AT43" i="4"/>
  <c r="BF43" i="4" s="1"/>
  <c r="AV43" i="4"/>
  <c r="BH43" i="4" s="1"/>
  <c r="AP44" i="4"/>
  <c r="AQ44" i="4"/>
  <c r="BC44" i="4" s="1"/>
  <c r="AR44" i="4"/>
  <c r="BD44" i="4" s="1"/>
  <c r="AT44" i="4"/>
  <c r="BF44" i="4" s="1"/>
  <c r="AV44" i="4"/>
  <c r="BH44" i="4" s="1"/>
  <c r="AW44" i="4"/>
  <c r="BI44" i="4" s="1"/>
  <c r="AP46" i="4"/>
  <c r="AQ46" i="4"/>
  <c r="BC46" i="4" s="1"/>
  <c r="AR46" i="4"/>
  <c r="BD46" i="4" s="1"/>
  <c r="AT46" i="4"/>
  <c r="BF46" i="4" s="1"/>
  <c r="AV46" i="4"/>
  <c r="BH46" i="4" s="1"/>
  <c r="AP47" i="4"/>
  <c r="AQ47" i="4"/>
  <c r="BC47" i="4" s="1"/>
  <c r="AR47" i="4"/>
  <c r="BD47" i="4" s="1"/>
  <c r="AT47" i="4"/>
  <c r="BF47" i="4" s="1"/>
  <c r="AV47" i="4"/>
  <c r="BH47" i="4" s="1"/>
  <c r="AP49" i="4"/>
  <c r="AQ49" i="4"/>
  <c r="BC49" i="4" s="1"/>
  <c r="AR49" i="4"/>
  <c r="BD49" i="4" s="1"/>
  <c r="AT49" i="4"/>
  <c r="BF49" i="4" s="1"/>
  <c r="AV49" i="4"/>
  <c r="BH49" i="4" s="1"/>
  <c r="AP50" i="4"/>
  <c r="AQ50" i="4"/>
  <c r="BC50" i="4" s="1"/>
  <c r="AR50" i="4"/>
  <c r="BD50" i="4" s="1"/>
  <c r="AT50" i="4"/>
  <c r="BF50" i="4" s="1"/>
  <c r="AV50" i="4"/>
  <c r="BH50" i="4" s="1"/>
  <c r="AP52" i="4"/>
  <c r="AQ52" i="4"/>
  <c r="BC52" i="4" s="1"/>
  <c r="AR52" i="4"/>
  <c r="BD52" i="4" s="1"/>
  <c r="AT52" i="4"/>
  <c r="BF52" i="4" s="1"/>
  <c r="AV52" i="4"/>
  <c r="BH52" i="4" s="1"/>
  <c r="AP53" i="4"/>
  <c r="AQ53" i="4"/>
  <c r="BC53" i="4" s="1"/>
  <c r="AR53" i="4"/>
  <c r="BD53" i="4" s="1"/>
  <c r="AT53" i="4"/>
  <c r="BF53" i="4" s="1"/>
  <c r="AV53" i="4"/>
  <c r="BH53" i="4" s="1"/>
  <c r="AP54" i="4"/>
  <c r="AQ54" i="4"/>
  <c r="BC54" i="4" s="1"/>
  <c r="AR54" i="4"/>
  <c r="BD54" i="4" s="1"/>
  <c r="AT54" i="4"/>
  <c r="BF54" i="4" s="1"/>
  <c r="AV54" i="4"/>
  <c r="BH54" i="4" s="1"/>
  <c r="AP56" i="4"/>
  <c r="AQ56" i="4"/>
  <c r="BC56" i="4" s="1"/>
  <c r="AR56" i="4"/>
  <c r="BD56" i="4" s="1"/>
  <c r="AT56" i="4"/>
  <c r="BF56" i="4" s="1"/>
  <c r="AV56" i="4"/>
  <c r="BH56" i="4" s="1"/>
  <c r="AP57" i="4"/>
  <c r="AQ57" i="4"/>
  <c r="BC57" i="4" s="1"/>
  <c r="AR57" i="4"/>
  <c r="BD57" i="4" s="1"/>
  <c r="AT57" i="4"/>
  <c r="BF57" i="4" s="1"/>
  <c r="AV57" i="4"/>
  <c r="BH57" i="4" s="1"/>
  <c r="AW57" i="4"/>
  <c r="BI57" i="4" s="1"/>
  <c r="AP59" i="4"/>
  <c r="AQ59" i="4"/>
  <c r="BC59" i="4" s="1"/>
  <c r="AR59" i="4"/>
  <c r="BD59" i="4" s="1"/>
  <c r="AT59" i="4"/>
  <c r="BF59" i="4" s="1"/>
  <c r="AV59" i="4"/>
  <c r="BH59" i="4" s="1"/>
  <c r="AP60" i="4"/>
  <c r="AQ60" i="4"/>
  <c r="BC60" i="4" s="1"/>
  <c r="AR60" i="4"/>
  <c r="BD60" i="4" s="1"/>
  <c r="AT60" i="4"/>
  <c r="BF60" i="4" s="1"/>
  <c r="AV60" i="4"/>
  <c r="BH60" i="4" s="1"/>
  <c r="AP61" i="4"/>
  <c r="AQ61" i="4"/>
  <c r="BC61" i="4" s="1"/>
  <c r="AR61" i="4"/>
  <c r="BD61" i="4" s="1"/>
  <c r="AT61" i="4"/>
  <c r="BF61" i="4" s="1"/>
  <c r="AV61" i="4"/>
  <c r="BH61" i="4" s="1"/>
  <c r="AP62" i="4"/>
  <c r="AQ62" i="4"/>
  <c r="BC62" i="4" s="1"/>
  <c r="AR62" i="4"/>
  <c r="BD62" i="4" s="1"/>
  <c r="AT62" i="4"/>
  <c r="BF62" i="4" s="1"/>
  <c r="AV62" i="4"/>
  <c r="BH62" i="4" s="1"/>
  <c r="AP64" i="4"/>
  <c r="AQ64" i="4"/>
  <c r="BC64" i="4" s="1"/>
  <c r="AR64" i="4"/>
  <c r="BD64" i="4" s="1"/>
  <c r="AT64" i="4"/>
  <c r="BF64" i="4" s="1"/>
  <c r="AV64" i="4"/>
  <c r="BH64" i="4" s="1"/>
  <c r="AP65" i="4"/>
  <c r="AQ65" i="4"/>
  <c r="BC65" i="4" s="1"/>
  <c r="AR65" i="4"/>
  <c r="BD65" i="4" s="1"/>
  <c r="AT65" i="4"/>
  <c r="BF65" i="4" s="1"/>
  <c r="AV65" i="4"/>
  <c r="BH65" i="4" s="1"/>
  <c r="AW65" i="4"/>
  <c r="BI65" i="4" s="1"/>
  <c r="AP67" i="4"/>
  <c r="AQ67" i="4"/>
  <c r="BC67" i="4" s="1"/>
  <c r="AR67" i="4"/>
  <c r="BD67" i="4" s="1"/>
  <c r="AT67" i="4"/>
  <c r="BF67" i="4" s="1"/>
  <c r="AV67" i="4"/>
  <c r="BH67" i="4" s="1"/>
  <c r="AP68" i="4"/>
  <c r="AQ68" i="4"/>
  <c r="BC68" i="4" s="1"/>
  <c r="AR68" i="4"/>
  <c r="BD68" i="4" s="1"/>
  <c r="AT68" i="4"/>
  <c r="BF68" i="4" s="1"/>
  <c r="AV68" i="4"/>
  <c r="BH68" i="4" s="1"/>
  <c r="AO74" i="4"/>
  <c r="AP74" i="4"/>
  <c r="AQ74" i="4"/>
  <c r="BC74" i="4" s="1"/>
  <c r="AR74" i="4"/>
  <c r="BD74" i="4" s="1"/>
  <c r="AS74" i="4"/>
  <c r="AT74" i="4"/>
  <c r="BF74" i="4" s="1"/>
  <c r="AU74" i="4"/>
  <c r="AV74" i="4"/>
  <c r="BH74" i="4" s="1"/>
  <c r="AW74" i="4"/>
  <c r="BI74" i="4" s="1"/>
  <c r="AX74" i="4"/>
  <c r="AY74" i="4"/>
  <c r="AZ74" i="4"/>
  <c r="BA74" i="4"/>
  <c r="AP77" i="4"/>
  <c r="AQ77" i="4"/>
  <c r="BC77" i="4" s="1"/>
  <c r="AR77" i="4"/>
  <c r="BD77" i="4" s="1"/>
  <c r="AT77" i="4"/>
  <c r="BF77" i="4" s="1"/>
  <c r="AV77" i="4"/>
  <c r="BH77" i="4" s="1"/>
  <c r="AP79" i="4"/>
  <c r="AQ79" i="4"/>
  <c r="BC79" i="4" s="1"/>
  <c r="AR79" i="4"/>
  <c r="BD79" i="4" s="1"/>
  <c r="AT79" i="4"/>
  <c r="BF79" i="4" s="1"/>
  <c r="AV79" i="4"/>
  <c r="BH79" i="4" s="1"/>
  <c r="AP80" i="4"/>
  <c r="AQ80" i="4"/>
  <c r="BC80" i="4" s="1"/>
  <c r="AR80" i="4"/>
  <c r="BD80" i="4" s="1"/>
  <c r="AT80" i="4"/>
  <c r="BF80" i="4" s="1"/>
  <c r="AV80" i="4"/>
  <c r="BH80" i="4" s="1"/>
  <c r="AP81" i="4"/>
  <c r="AQ81" i="4"/>
  <c r="BC81" i="4" s="1"/>
  <c r="AR81" i="4"/>
  <c r="BD81" i="4" s="1"/>
  <c r="AT81" i="4"/>
  <c r="BF81" i="4" s="1"/>
  <c r="AV81" i="4"/>
  <c r="BH81" i="4" s="1"/>
  <c r="AP95" i="4"/>
  <c r="AQ95" i="4"/>
  <c r="BC95" i="4" s="1"/>
  <c r="AR95" i="4"/>
  <c r="BD95" i="4" s="1"/>
  <c r="AT95" i="4"/>
  <c r="BF95" i="4" s="1"/>
  <c r="AV95" i="4"/>
  <c r="BH95" i="4" s="1"/>
  <c r="AP96" i="4"/>
  <c r="AQ96" i="4"/>
  <c r="BC96" i="4" s="1"/>
  <c r="AR96" i="4"/>
  <c r="BD96" i="4" s="1"/>
  <c r="AT96" i="4"/>
  <c r="BF96" i="4" s="1"/>
  <c r="AV96" i="4"/>
  <c r="BH96" i="4" s="1"/>
  <c r="AW96" i="4"/>
  <c r="BI96" i="4" s="1"/>
  <c r="AP97" i="4"/>
  <c r="AQ97" i="4"/>
  <c r="BC97" i="4" s="1"/>
  <c r="AR97" i="4"/>
  <c r="BD97" i="4" s="1"/>
  <c r="AT97" i="4"/>
  <c r="BF97" i="4" s="1"/>
  <c r="AV97" i="4"/>
  <c r="BH97" i="4" s="1"/>
  <c r="AP98" i="4"/>
  <c r="AQ98" i="4"/>
  <c r="BC98" i="4" s="1"/>
  <c r="AR98" i="4"/>
  <c r="BD98" i="4" s="1"/>
  <c r="AT98" i="4"/>
  <c r="BF98" i="4" s="1"/>
  <c r="AV98" i="4"/>
  <c r="BH98" i="4" s="1"/>
  <c r="AP108" i="4"/>
  <c r="AQ108" i="4"/>
  <c r="BC108" i="4" s="1"/>
  <c r="AR108" i="4"/>
  <c r="BD108" i="4" s="1"/>
  <c r="AT108" i="4"/>
  <c r="BF108" i="4" s="1"/>
  <c r="AV108" i="4"/>
  <c r="BH108" i="4" s="1"/>
  <c r="BD111" i="4"/>
  <c r="AV11" i="4"/>
  <c r="BH11" i="4" s="1"/>
  <c r="AT11" i="4"/>
  <c r="BF11" i="4" s="1"/>
  <c r="AR11" i="4"/>
  <c r="BD11" i="4" s="1"/>
  <c r="AQ11" i="4"/>
  <c r="BC11" i="4" s="1"/>
  <c r="AP11" i="4"/>
  <c r="BA247" i="14"/>
  <c r="AT247" i="14"/>
  <c r="AR247" i="14"/>
  <c r="AQ247" i="14"/>
  <c r="AG247" i="14"/>
  <c r="AE247" i="14"/>
  <c r="AD247" i="14"/>
  <c r="T247" i="14"/>
  <c r="Q247" i="14"/>
  <c r="R247" i="14" s="1"/>
  <c r="BA246" i="14"/>
  <c r="AT246" i="14"/>
  <c r="AR246" i="14"/>
  <c r="AQ246" i="14"/>
  <c r="AG246" i="14"/>
  <c r="AD246" i="14"/>
  <c r="T246" i="14"/>
  <c r="Q246" i="14"/>
  <c r="BA245" i="14"/>
  <c r="AT245" i="14"/>
  <c r="AR245" i="14"/>
  <c r="AQ245" i="14"/>
  <c r="AG245" i="14"/>
  <c r="AD245" i="14"/>
  <c r="AE245" i="14" s="1"/>
  <c r="AF245" i="14" s="1"/>
  <c r="AH245" i="14" s="1"/>
  <c r="T245" i="14"/>
  <c r="Q245" i="14"/>
  <c r="BA244" i="14"/>
  <c r="AT244" i="14"/>
  <c r="AQ244" i="14"/>
  <c r="AR244" i="14" s="1"/>
  <c r="AS244" i="14" s="1"/>
  <c r="AU244" i="14" s="1"/>
  <c r="AG244" i="14"/>
  <c r="AD244" i="14"/>
  <c r="T244" i="14"/>
  <c r="Q244" i="14"/>
  <c r="BA243" i="14"/>
  <c r="AT243" i="14"/>
  <c r="AQ243" i="14"/>
  <c r="AG243" i="14"/>
  <c r="AD243" i="14"/>
  <c r="AE243" i="14" s="1"/>
  <c r="AF243" i="14" s="1"/>
  <c r="AH243" i="14" s="1"/>
  <c r="T243" i="14"/>
  <c r="Q243" i="14"/>
  <c r="BA242" i="14"/>
  <c r="AT242" i="14"/>
  <c r="AQ242" i="14"/>
  <c r="AG242" i="14"/>
  <c r="AD242" i="14"/>
  <c r="P88" i="4" s="1"/>
  <c r="Q88" i="4" s="1"/>
  <c r="S88" i="4" s="1"/>
  <c r="T242" i="14"/>
  <c r="Q242" i="14"/>
  <c r="J88" i="4" s="1"/>
  <c r="K88" i="4" s="1"/>
  <c r="BA241" i="14"/>
  <c r="AT241" i="14"/>
  <c r="AQ241" i="14"/>
  <c r="AS241" i="14" s="1"/>
  <c r="AU241" i="14" s="1"/>
  <c r="AG241" i="14"/>
  <c r="AD241" i="14"/>
  <c r="AF241" i="14" s="1"/>
  <c r="AH241" i="14" s="1"/>
  <c r="T241" i="14"/>
  <c r="Q241" i="14"/>
  <c r="S241" i="14" s="1"/>
  <c r="BA240" i="14"/>
  <c r="AT240" i="14"/>
  <c r="AS240" i="14"/>
  <c r="AU240" i="14" s="1"/>
  <c r="AG240" i="14"/>
  <c r="AD240" i="14"/>
  <c r="AE240" i="14" s="1"/>
  <c r="AF240" i="14" s="1"/>
  <c r="AH240" i="14" s="1"/>
  <c r="T240" i="14"/>
  <c r="Q240" i="14"/>
  <c r="BA239" i="14"/>
  <c r="AT239" i="14"/>
  <c r="AQ239" i="14"/>
  <c r="AR239" i="14" s="1"/>
  <c r="AS239" i="14" s="1"/>
  <c r="AU239" i="14" s="1"/>
  <c r="AG239" i="14"/>
  <c r="AD239" i="14"/>
  <c r="T239" i="14"/>
  <c r="Q239" i="14"/>
  <c r="R239" i="14" s="1"/>
  <c r="S239" i="14" s="1"/>
  <c r="U239" i="14" s="1"/>
  <c r="BA238" i="14"/>
  <c r="AT238" i="14"/>
  <c r="AQ238" i="14"/>
  <c r="AG238" i="14"/>
  <c r="AD238" i="14"/>
  <c r="T238" i="14"/>
  <c r="Q238" i="14"/>
  <c r="BA237" i="14"/>
  <c r="AT237" i="14"/>
  <c r="AQ237" i="14"/>
  <c r="AG237" i="14"/>
  <c r="AD237" i="14"/>
  <c r="AE237" i="14" s="1"/>
  <c r="AF237" i="14" s="1"/>
  <c r="AH237" i="14" s="1"/>
  <c r="T237" i="14"/>
  <c r="Q237" i="14"/>
  <c r="R237" i="14" s="1"/>
  <c r="S237" i="14" s="1"/>
  <c r="U237" i="14" s="1"/>
  <c r="BA236" i="14"/>
  <c r="AT236" i="14"/>
  <c r="AQ236" i="14"/>
  <c r="AR236" i="14" s="1"/>
  <c r="AG236" i="14"/>
  <c r="AD236" i="14"/>
  <c r="AE236" i="14" s="1"/>
  <c r="AF236" i="14" s="1"/>
  <c r="AH236" i="14" s="1"/>
  <c r="T236" i="14"/>
  <c r="Q236" i="14"/>
  <c r="R236" i="14" s="1"/>
  <c r="BA232" i="14"/>
  <c r="AT232" i="14"/>
  <c r="AQ232" i="14"/>
  <c r="AR232" i="14" s="1"/>
  <c r="AS232" i="14" s="1"/>
  <c r="AU232" i="14" s="1"/>
  <c r="AG232" i="14"/>
  <c r="AD232" i="14"/>
  <c r="T232" i="14"/>
  <c r="Q232" i="14"/>
  <c r="R232" i="14" s="1"/>
  <c r="S232" i="14" s="1"/>
  <c r="U232" i="14" s="1"/>
  <c r="BA230" i="14"/>
  <c r="AT230" i="14"/>
  <c r="AQ230" i="14"/>
  <c r="AG230" i="14"/>
  <c r="AD230" i="14"/>
  <c r="Q230" i="14"/>
  <c r="R230" i="14" s="1"/>
  <c r="BA229" i="14"/>
  <c r="AT229" i="14"/>
  <c r="AQ229" i="14"/>
  <c r="AG229" i="14"/>
  <c r="AD229" i="14"/>
  <c r="AE229" i="14" s="1"/>
  <c r="T229" i="14"/>
  <c r="Q229" i="14"/>
  <c r="R229" i="14" s="1"/>
  <c r="S229" i="14" s="1"/>
  <c r="BA228" i="14"/>
  <c r="AG228" i="14"/>
  <c r="AE228" i="14"/>
  <c r="AD228" i="14"/>
  <c r="T228" i="14"/>
  <c r="R228" i="14"/>
  <c r="Q228" i="14"/>
  <c r="BA227" i="14"/>
  <c r="AT227" i="14"/>
  <c r="AR227" i="14"/>
  <c r="AQ227" i="14"/>
  <c r="AG227" i="14"/>
  <c r="AE227" i="14"/>
  <c r="AD227" i="14"/>
  <c r="T227" i="14"/>
  <c r="R227" i="14"/>
  <c r="Q227" i="14"/>
  <c r="BA226" i="14"/>
  <c r="AT226" i="14"/>
  <c r="AR226" i="14"/>
  <c r="AQ226" i="14"/>
  <c r="AG226" i="14"/>
  <c r="AE226" i="14"/>
  <c r="AD226" i="14"/>
  <c r="T226" i="14"/>
  <c r="R226" i="14"/>
  <c r="Q226" i="14"/>
  <c r="BA225" i="14"/>
  <c r="AT225" i="14"/>
  <c r="AR225" i="14"/>
  <c r="AQ225" i="14"/>
  <c r="AG225" i="14"/>
  <c r="AE225" i="14"/>
  <c r="AD225" i="14"/>
  <c r="T225" i="14"/>
  <c r="R225" i="14"/>
  <c r="Q225" i="14"/>
  <c r="BA224" i="14"/>
  <c r="AT224" i="14"/>
  <c r="AR224" i="14"/>
  <c r="AQ224" i="14"/>
  <c r="AG224" i="14"/>
  <c r="AE224" i="14"/>
  <c r="AD224" i="14"/>
  <c r="T224" i="14"/>
  <c r="R224" i="14"/>
  <c r="Q224" i="14"/>
  <c r="BA223" i="14"/>
  <c r="AT223" i="14"/>
  <c r="AR223" i="14"/>
  <c r="AQ223" i="14"/>
  <c r="AG223" i="14"/>
  <c r="AE223" i="14"/>
  <c r="AD223" i="14"/>
  <c r="T223" i="14"/>
  <c r="R223" i="14"/>
  <c r="Q223" i="14"/>
  <c r="BA222" i="14"/>
  <c r="AT222" i="14"/>
  <c r="AR222" i="14"/>
  <c r="AQ222" i="14"/>
  <c r="AG222" i="14"/>
  <c r="AE222" i="14"/>
  <c r="AD222" i="14"/>
  <c r="T222" i="14"/>
  <c r="R222" i="14"/>
  <c r="Q222" i="14"/>
  <c r="BA221" i="14"/>
  <c r="AG221" i="14"/>
  <c r="AE221" i="14"/>
  <c r="AD221" i="14"/>
  <c r="T221" i="14"/>
  <c r="R221" i="14"/>
  <c r="Q221" i="14"/>
  <c r="BA220" i="14"/>
  <c r="AG220" i="14"/>
  <c r="AE220" i="14"/>
  <c r="AD220" i="14"/>
  <c r="T220" i="14"/>
  <c r="R220" i="14"/>
  <c r="Q220" i="14"/>
  <c r="BA219" i="14"/>
  <c r="AG219" i="14"/>
  <c r="AE219" i="14"/>
  <c r="AD219" i="14"/>
  <c r="T219" i="14"/>
  <c r="R219" i="14"/>
  <c r="Q219" i="14"/>
  <c r="BA218" i="14"/>
  <c r="AT218" i="14"/>
  <c r="AR218" i="14"/>
  <c r="AQ218" i="14"/>
  <c r="AG218" i="14"/>
  <c r="AE218" i="14"/>
  <c r="AD218" i="14"/>
  <c r="T218" i="14"/>
  <c r="R218" i="14"/>
  <c r="Q218" i="14"/>
  <c r="BA217" i="14"/>
  <c r="AT217" i="14"/>
  <c r="AR217" i="14"/>
  <c r="AQ217" i="14"/>
  <c r="AG217" i="14"/>
  <c r="AE217" i="14"/>
  <c r="AD217" i="14"/>
  <c r="T217" i="14"/>
  <c r="R217" i="14"/>
  <c r="Q217" i="14"/>
  <c r="BA211" i="14"/>
  <c r="AG211" i="14"/>
  <c r="AD211" i="14"/>
  <c r="T211" i="14"/>
  <c r="Q211" i="14"/>
  <c r="R211" i="14" s="1"/>
  <c r="BA210" i="14"/>
  <c r="AG210" i="14"/>
  <c r="AD210" i="14"/>
  <c r="T210" i="14"/>
  <c r="Q210" i="14"/>
  <c r="BA209" i="14"/>
  <c r="AG209" i="14"/>
  <c r="AD209" i="14"/>
  <c r="T209" i="14"/>
  <c r="Q209" i="14"/>
  <c r="R209" i="14" s="1"/>
  <c r="S209" i="14" s="1"/>
  <c r="BA208" i="14"/>
  <c r="AG208" i="14"/>
  <c r="AD208" i="14"/>
  <c r="T208" i="14"/>
  <c r="Q208" i="14"/>
  <c r="BA207" i="14"/>
  <c r="AG207" i="14"/>
  <c r="AD207" i="14"/>
  <c r="T207" i="14"/>
  <c r="Q207" i="14"/>
  <c r="R207" i="14" s="1"/>
  <c r="BA206" i="14"/>
  <c r="AG206" i="14"/>
  <c r="AD206" i="14"/>
  <c r="AE206" i="14" s="1"/>
  <c r="AF206" i="14" s="1"/>
  <c r="AH206" i="14" s="1"/>
  <c r="T206" i="14"/>
  <c r="Q206" i="14"/>
  <c r="BA205" i="14"/>
  <c r="AG205" i="14"/>
  <c r="AD205" i="14"/>
  <c r="AE205" i="14" s="1"/>
  <c r="AF205" i="14" s="1"/>
  <c r="T205" i="14"/>
  <c r="Q205" i="14"/>
  <c r="BA204" i="14"/>
  <c r="AG204" i="14"/>
  <c r="AD204" i="14"/>
  <c r="T204" i="14"/>
  <c r="Q204" i="14"/>
  <c r="BA203" i="14"/>
  <c r="AT203" i="14"/>
  <c r="AQ203" i="14"/>
  <c r="AR203" i="14" s="1"/>
  <c r="AG203" i="14"/>
  <c r="AD203" i="14"/>
  <c r="T203" i="14"/>
  <c r="Q203" i="14"/>
  <c r="BA202" i="14"/>
  <c r="AT202" i="14"/>
  <c r="AQ202" i="14"/>
  <c r="AG202" i="14"/>
  <c r="AD202" i="14"/>
  <c r="T202" i="14"/>
  <c r="Q202" i="14"/>
  <c r="R202" i="14" s="1"/>
  <c r="S202" i="14" s="1"/>
  <c r="BA201" i="14"/>
  <c r="AT201" i="14"/>
  <c r="AQ201" i="14"/>
  <c r="AG201" i="14"/>
  <c r="AD201" i="14"/>
  <c r="AE201" i="14" s="1"/>
  <c r="T201" i="14"/>
  <c r="Q201" i="14"/>
  <c r="R201" i="14" s="1"/>
  <c r="S201" i="14" s="1"/>
  <c r="BA200" i="14"/>
  <c r="AQ200" i="14"/>
  <c r="AD200" i="14"/>
  <c r="Q200" i="14"/>
  <c r="BA199" i="14"/>
  <c r="AQ199" i="14"/>
  <c r="AD199" i="14"/>
  <c r="Q199" i="14"/>
  <c r="BA198" i="14"/>
  <c r="AQ198" i="14"/>
  <c r="AD198" i="14"/>
  <c r="AE198" i="14" s="1"/>
  <c r="AG198" i="14" s="1"/>
  <c r="Q198" i="14"/>
  <c r="BA195" i="14"/>
  <c r="AT195" i="14"/>
  <c r="AQ195" i="14"/>
  <c r="AG195" i="14"/>
  <c r="AD195" i="14"/>
  <c r="AE195" i="14" s="1"/>
  <c r="T195" i="14"/>
  <c r="Q195" i="14"/>
  <c r="R195" i="14" s="1"/>
  <c r="S195" i="14" s="1"/>
  <c r="BA194" i="14"/>
  <c r="AT194" i="14"/>
  <c r="AQ194" i="14"/>
  <c r="AG194" i="14"/>
  <c r="AD194" i="14"/>
  <c r="T194" i="14"/>
  <c r="Q194" i="14"/>
  <c r="BG193" i="14"/>
  <c r="BE193" i="14"/>
  <c r="BC193" i="14"/>
  <c r="BA37" i="4"/>
  <c r="AZ37" i="4"/>
  <c r="AW19" i="4"/>
  <c r="BI19" i="4" s="1"/>
  <c r="BA191" i="14"/>
  <c r="AT191" i="14"/>
  <c r="AQ191" i="14"/>
  <c r="AG191" i="14"/>
  <c r="AD191" i="14"/>
  <c r="T191" i="14"/>
  <c r="Q191" i="14"/>
  <c r="R191" i="14" s="1"/>
  <c r="S191" i="14" s="1"/>
  <c r="U191" i="14" s="1"/>
  <c r="BA190" i="14"/>
  <c r="AT190" i="14"/>
  <c r="AQ190" i="14"/>
  <c r="AG190" i="14"/>
  <c r="AD190" i="14"/>
  <c r="T190" i="14"/>
  <c r="Q190" i="14"/>
  <c r="BA189" i="14"/>
  <c r="AT189" i="14"/>
  <c r="AQ189" i="14"/>
  <c r="AG189" i="14"/>
  <c r="AD189" i="14"/>
  <c r="T189" i="14"/>
  <c r="Q189" i="14"/>
  <c r="R189" i="14" s="1"/>
  <c r="S189" i="14" s="1"/>
  <c r="BA188" i="14"/>
  <c r="AT188" i="14"/>
  <c r="AQ188" i="14"/>
  <c r="AG188" i="14"/>
  <c r="AE188" i="14"/>
  <c r="AF188" i="14" s="1"/>
  <c r="AH188" i="14" s="1"/>
  <c r="T188" i="14"/>
  <c r="R188" i="14"/>
  <c r="S188" i="14" s="1"/>
  <c r="BA187" i="14"/>
  <c r="AT187" i="14"/>
  <c r="AQ187" i="14"/>
  <c r="AG187" i="14"/>
  <c r="AE187" i="14"/>
  <c r="AF187" i="14" s="1"/>
  <c r="AH187" i="14" s="1"/>
  <c r="T187" i="14"/>
  <c r="R187" i="14"/>
  <c r="S187" i="14" s="1"/>
  <c r="BA186" i="14"/>
  <c r="AT186" i="14"/>
  <c r="AQ186" i="14"/>
  <c r="AG186" i="14"/>
  <c r="AD186" i="14"/>
  <c r="AE186" i="14" s="1"/>
  <c r="T186" i="14"/>
  <c r="Q186" i="14"/>
  <c r="R186" i="14" s="1"/>
  <c r="S186" i="14" s="1"/>
  <c r="U186" i="14" s="1"/>
  <c r="BA184" i="14"/>
  <c r="AT184" i="14"/>
  <c r="AR184" i="14"/>
  <c r="AQ184" i="14"/>
  <c r="AG184" i="14"/>
  <c r="AD184" i="14"/>
  <c r="T184" i="14"/>
  <c r="Q184" i="14"/>
  <c r="BA183" i="14"/>
  <c r="AT183" i="14"/>
  <c r="AQ183" i="14"/>
  <c r="AG183" i="14"/>
  <c r="AD183" i="14"/>
  <c r="AE183" i="14" s="1"/>
  <c r="T183" i="14"/>
  <c r="Q183" i="14"/>
  <c r="R183" i="14" s="1"/>
  <c r="S183" i="14" s="1"/>
  <c r="BA182" i="14"/>
  <c r="AT182" i="14"/>
  <c r="AQ182" i="14"/>
  <c r="AR182" i="14" s="1"/>
  <c r="AG182" i="14"/>
  <c r="AD182" i="14"/>
  <c r="AE182" i="14" s="1"/>
  <c r="AF182" i="14" s="1"/>
  <c r="T182" i="14"/>
  <c r="Q182" i="14"/>
  <c r="R182" i="14" s="1"/>
  <c r="S182" i="14" s="1"/>
  <c r="U182" i="14" s="1"/>
  <c r="BA181" i="14"/>
  <c r="AT181" i="14"/>
  <c r="AQ181" i="14"/>
  <c r="AG181" i="14"/>
  <c r="AD181" i="14"/>
  <c r="T181" i="14"/>
  <c r="Q181" i="14"/>
  <c r="R181" i="14" s="1"/>
  <c r="S181" i="14" s="1"/>
  <c r="U181" i="14" s="1"/>
  <c r="BA180" i="14"/>
  <c r="AT180" i="14"/>
  <c r="AQ180" i="14"/>
  <c r="AG180" i="14"/>
  <c r="AD180" i="14"/>
  <c r="P87" i="4" s="1"/>
  <c r="Q87" i="4" s="1"/>
  <c r="S87" i="4" s="1"/>
  <c r="T180" i="14"/>
  <c r="Q180" i="14"/>
  <c r="BA179" i="14"/>
  <c r="AT179" i="14"/>
  <c r="AQ179" i="14"/>
  <c r="AG179" i="14"/>
  <c r="AD179" i="14"/>
  <c r="AE179" i="14" s="1"/>
  <c r="AF179" i="14" s="1"/>
  <c r="AH179" i="14" s="1"/>
  <c r="T179" i="14"/>
  <c r="Q179" i="14"/>
  <c r="BA178" i="14"/>
  <c r="AT178" i="14"/>
  <c r="AQ178" i="14"/>
  <c r="AG178" i="14"/>
  <c r="AD178" i="14"/>
  <c r="AE178" i="14" s="1"/>
  <c r="AF178" i="14" s="1"/>
  <c r="T178" i="14"/>
  <c r="Q178" i="14"/>
  <c r="R178" i="14" s="1"/>
  <c r="BA177" i="14"/>
  <c r="AT177" i="14"/>
  <c r="AQ177" i="14"/>
  <c r="AG177" i="14"/>
  <c r="AD177" i="14"/>
  <c r="AE177" i="14" s="1"/>
  <c r="T177" i="14"/>
  <c r="Q177" i="14"/>
  <c r="R177" i="14" s="1"/>
  <c r="S177" i="14" s="1"/>
  <c r="U177" i="14" s="1"/>
  <c r="BA176" i="14"/>
  <c r="AT176" i="14"/>
  <c r="AQ176" i="14"/>
  <c r="AG176" i="14"/>
  <c r="AD176" i="14"/>
  <c r="P86" i="4" s="1"/>
  <c r="Q86" i="4" s="1"/>
  <c r="S86" i="4" s="1"/>
  <c r="T176" i="14"/>
  <c r="Q176" i="14"/>
  <c r="J86" i="4" s="1"/>
  <c r="K86" i="4" s="1"/>
  <c r="BA175" i="14"/>
  <c r="AT175" i="14"/>
  <c r="AQ175" i="14"/>
  <c r="AG175" i="14"/>
  <c r="AD175" i="14"/>
  <c r="AE175" i="14" s="1"/>
  <c r="T175" i="14"/>
  <c r="Q175" i="14"/>
  <c r="R175" i="14" s="1"/>
  <c r="S175" i="14" s="1"/>
  <c r="AS34" i="4" s="1"/>
  <c r="BA174" i="14"/>
  <c r="AT174" i="14"/>
  <c r="AQ174" i="14"/>
  <c r="AR174" i="14" s="1"/>
  <c r="AG174" i="14"/>
  <c r="AD174" i="14"/>
  <c r="AE174" i="14" s="1"/>
  <c r="AF174" i="14" s="1"/>
  <c r="T174" i="14"/>
  <c r="Q174" i="14"/>
  <c r="R174" i="14" s="1"/>
  <c r="S174" i="14" s="1"/>
  <c r="U174" i="14" s="1"/>
  <c r="BA173" i="14"/>
  <c r="AQ173" i="14"/>
  <c r="AT173" i="14" s="1"/>
  <c r="AD173" i="14"/>
  <c r="Q173" i="14"/>
  <c r="R173" i="14" s="1"/>
  <c r="AG173" i="14" s="1"/>
  <c r="BA172" i="14"/>
  <c r="AT172" i="14"/>
  <c r="AQ172" i="14"/>
  <c r="AG172" i="14"/>
  <c r="AD172" i="14"/>
  <c r="T172" i="14"/>
  <c r="Q172" i="14"/>
  <c r="BA171" i="14"/>
  <c r="AT171" i="14"/>
  <c r="AQ171" i="14"/>
  <c r="AG171" i="14"/>
  <c r="AD171" i="14"/>
  <c r="AE171" i="14" s="1"/>
  <c r="AF171" i="14" s="1"/>
  <c r="AH171" i="14" s="1"/>
  <c r="T171" i="14"/>
  <c r="Q171" i="14"/>
  <c r="R171" i="14" s="1"/>
  <c r="S171" i="14" s="1"/>
  <c r="U171" i="14" s="1"/>
  <c r="BA170" i="14"/>
  <c r="AT170" i="14"/>
  <c r="AQ170" i="14"/>
  <c r="AG170" i="14"/>
  <c r="AD170" i="14"/>
  <c r="AE170" i="14" s="1"/>
  <c r="AF170" i="14" s="1"/>
  <c r="T170" i="14"/>
  <c r="Q170" i="14"/>
  <c r="R170" i="14" s="1"/>
  <c r="S170" i="14" s="1"/>
  <c r="U170" i="14" s="1"/>
  <c r="BA169" i="14"/>
  <c r="AT169" i="14"/>
  <c r="AQ169" i="14"/>
  <c r="AG169" i="14"/>
  <c r="AD169" i="14"/>
  <c r="AE169" i="14" s="1"/>
  <c r="T169" i="14"/>
  <c r="Q169" i="14"/>
  <c r="R169" i="14" s="1"/>
  <c r="S169" i="14" s="1"/>
  <c r="U169" i="14" s="1"/>
  <c r="BA167" i="14"/>
  <c r="AT167" i="14"/>
  <c r="AQ167" i="14"/>
  <c r="AD167" i="14"/>
  <c r="AG167" i="14" s="1"/>
  <c r="T167" i="14"/>
  <c r="Q167" i="14"/>
  <c r="BA166" i="14"/>
  <c r="AT166" i="14"/>
  <c r="AQ166" i="14"/>
  <c r="AD166" i="14"/>
  <c r="T166" i="14"/>
  <c r="Q166" i="14"/>
  <c r="BA165" i="14"/>
  <c r="AT165" i="14"/>
  <c r="AQ165" i="14"/>
  <c r="AR165" i="14" s="1"/>
  <c r="AG165" i="14"/>
  <c r="AD165" i="14"/>
  <c r="AE165" i="14" s="1"/>
  <c r="AF165" i="14" s="1"/>
  <c r="T165" i="14"/>
  <c r="Q165" i="14"/>
  <c r="R165" i="14" s="1"/>
  <c r="BA162" i="14"/>
  <c r="AQ162" i="14"/>
  <c r="AT162" i="14" s="1"/>
  <c r="AG162" i="14"/>
  <c r="AD162" i="14"/>
  <c r="AE162" i="14" s="1"/>
  <c r="T162" i="14"/>
  <c r="Q162" i="14"/>
  <c r="R162" i="14" s="1"/>
  <c r="S162" i="14" s="1"/>
  <c r="U162" i="14" s="1"/>
  <c r="BA161" i="14"/>
  <c r="AD161" i="14"/>
  <c r="AG161" i="14" s="1"/>
  <c r="T161" i="14"/>
  <c r="R161" i="14"/>
  <c r="Q161" i="14"/>
  <c r="BA160" i="14"/>
  <c r="AT160" i="14"/>
  <c r="AQ160" i="14"/>
  <c r="AG160" i="14"/>
  <c r="AD160" i="14"/>
  <c r="T160" i="14"/>
  <c r="Q160" i="14"/>
  <c r="R160" i="14" s="1"/>
  <c r="S160" i="14" s="1"/>
  <c r="BA159" i="14"/>
  <c r="AT159" i="14"/>
  <c r="AQ159" i="14"/>
  <c r="AG159" i="14"/>
  <c r="AD159" i="14"/>
  <c r="AE159" i="14" s="1"/>
  <c r="T159" i="14"/>
  <c r="Q159" i="14"/>
  <c r="R159" i="14" s="1"/>
  <c r="S159" i="14" s="1"/>
  <c r="BA157" i="14"/>
  <c r="AT157" i="14"/>
  <c r="AQ157" i="14"/>
  <c r="AG157" i="14"/>
  <c r="AD157" i="14"/>
  <c r="BB101" i="4" s="1"/>
  <c r="T157" i="14"/>
  <c r="Q157" i="14"/>
  <c r="BA156" i="14"/>
  <c r="AT156" i="14"/>
  <c r="AQ156" i="14"/>
  <c r="AG156" i="14"/>
  <c r="AD156" i="14"/>
  <c r="T156" i="14"/>
  <c r="Q156" i="14"/>
  <c r="R156" i="14" s="1"/>
  <c r="BA155" i="14"/>
  <c r="AT155" i="14"/>
  <c r="AQ155" i="14"/>
  <c r="AG155" i="14"/>
  <c r="AD155" i="14"/>
  <c r="T155" i="14"/>
  <c r="Q155" i="14"/>
  <c r="R155" i="14" s="1"/>
  <c r="S155" i="14" s="1"/>
  <c r="AS89" i="4" s="1"/>
  <c r="BA153" i="14"/>
  <c r="AT153" i="14"/>
  <c r="AQ153" i="14"/>
  <c r="AG153" i="14"/>
  <c r="AD153" i="14"/>
  <c r="AE153" i="14" s="1"/>
  <c r="T153" i="14"/>
  <c r="Q153" i="14"/>
  <c r="R153" i="14" s="1"/>
  <c r="S153" i="14" s="1"/>
  <c r="BA152" i="14"/>
  <c r="AT152" i="14"/>
  <c r="AQ152" i="14"/>
  <c r="AG152" i="14"/>
  <c r="AD152" i="14"/>
  <c r="T152" i="14"/>
  <c r="Q152" i="14"/>
  <c r="R152" i="14" s="1"/>
  <c r="BA151" i="14"/>
  <c r="AT151" i="14"/>
  <c r="AQ151" i="14"/>
  <c r="AG151" i="14"/>
  <c r="AD151" i="14"/>
  <c r="T151" i="14"/>
  <c r="Q151" i="14"/>
  <c r="BA150" i="14"/>
  <c r="AT150" i="14"/>
  <c r="AQ150" i="14"/>
  <c r="AG150" i="14"/>
  <c r="AD150" i="14"/>
  <c r="T150" i="14"/>
  <c r="Q150" i="14"/>
  <c r="R150" i="14" s="1"/>
  <c r="S150" i="14" s="1"/>
  <c r="BA149" i="14"/>
  <c r="AT149" i="14"/>
  <c r="AQ149" i="14"/>
  <c r="AG149" i="14"/>
  <c r="AD149" i="14"/>
  <c r="T149" i="14"/>
  <c r="Q149" i="14"/>
  <c r="R149" i="14" s="1"/>
  <c r="S149" i="14" s="1"/>
  <c r="BA148" i="14"/>
  <c r="AT148" i="14"/>
  <c r="AQ148" i="14"/>
  <c r="AR148" i="14" s="1"/>
  <c r="AG148" i="14"/>
  <c r="AD148" i="14"/>
  <c r="T148" i="14"/>
  <c r="Q148" i="14"/>
  <c r="BA147" i="14"/>
  <c r="AT147" i="14"/>
  <c r="AQ147" i="14"/>
  <c r="AG147" i="14"/>
  <c r="AD147" i="14"/>
  <c r="T147" i="14"/>
  <c r="Q147" i="14"/>
  <c r="BA146" i="14"/>
  <c r="AT146" i="14"/>
  <c r="AQ146" i="14"/>
  <c r="AG146" i="14"/>
  <c r="AD146" i="14"/>
  <c r="T146" i="14"/>
  <c r="Q146" i="14"/>
  <c r="BA145" i="14"/>
  <c r="AT145" i="14"/>
  <c r="AQ145" i="14"/>
  <c r="AG145" i="14"/>
  <c r="AD145" i="14"/>
  <c r="AE145" i="14" s="1"/>
  <c r="T145" i="14"/>
  <c r="Q145" i="14"/>
  <c r="R145" i="14" s="1"/>
  <c r="S145" i="14" s="1"/>
  <c r="BA144" i="14"/>
  <c r="AT144" i="14"/>
  <c r="AQ144" i="14"/>
  <c r="AR144" i="14" s="1"/>
  <c r="AG144" i="14"/>
  <c r="AD144" i="14"/>
  <c r="T144" i="14"/>
  <c r="Q144" i="14"/>
  <c r="R144" i="14" s="1"/>
  <c r="BA143" i="14"/>
  <c r="AT143" i="14"/>
  <c r="AR143" i="14"/>
  <c r="AQ143" i="14"/>
  <c r="AG143" i="14"/>
  <c r="AD143" i="14"/>
  <c r="T143" i="14"/>
  <c r="R143" i="14"/>
  <c r="S143" i="14" s="1"/>
  <c r="BA142" i="14"/>
  <c r="AT142" i="14"/>
  <c r="AR142" i="14"/>
  <c r="AQ142" i="14"/>
  <c r="AG142" i="14"/>
  <c r="AD142" i="14"/>
  <c r="T142" i="14"/>
  <c r="Q142" i="14"/>
  <c r="BA141" i="14"/>
  <c r="AT141" i="14"/>
  <c r="AR141" i="14"/>
  <c r="AQ141" i="14"/>
  <c r="AG141" i="14"/>
  <c r="AE141" i="14"/>
  <c r="AD141" i="14"/>
  <c r="T141" i="14"/>
  <c r="Q141" i="14"/>
  <c r="BA140" i="14"/>
  <c r="AT140" i="14"/>
  <c r="AQ140" i="14"/>
  <c r="AR140" i="14" s="1"/>
  <c r="AG140" i="14"/>
  <c r="AD140" i="14"/>
  <c r="T140" i="14"/>
  <c r="Q140" i="14"/>
  <c r="BA139" i="14"/>
  <c r="AT139" i="14"/>
  <c r="AR139" i="14"/>
  <c r="AS139" i="14" s="1"/>
  <c r="AU139" i="14" s="1"/>
  <c r="AD139" i="14"/>
  <c r="AE139" i="14" s="1"/>
  <c r="AG139" i="14" s="1"/>
  <c r="Q139" i="14"/>
  <c r="BA138" i="14"/>
  <c r="AT138" i="14"/>
  <c r="AQ138" i="14"/>
  <c r="AR138" i="14" s="1"/>
  <c r="AS138" i="14" s="1"/>
  <c r="AG138" i="14"/>
  <c r="AE138" i="14"/>
  <c r="AD138" i="14"/>
  <c r="T138" i="14"/>
  <c r="R138" i="14"/>
  <c r="Q138" i="14"/>
  <c r="BA136" i="14"/>
  <c r="AT136" i="14"/>
  <c r="AQ136" i="14"/>
  <c r="AG136" i="14"/>
  <c r="AD136" i="14"/>
  <c r="AE136" i="14" s="1"/>
  <c r="T136" i="14"/>
  <c r="Q136" i="14"/>
  <c r="R136" i="14" s="1"/>
  <c r="S136" i="14" s="1"/>
  <c r="BA135" i="14"/>
  <c r="AT135" i="14"/>
  <c r="AR135" i="14"/>
  <c r="AQ135" i="14"/>
  <c r="AG135" i="14"/>
  <c r="AD135" i="14"/>
  <c r="T135" i="14"/>
  <c r="Q135" i="14"/>
  <c r="BA134" i="14"/>
  <c r="AT134" i="14"/>
  <c r="AQ134" i="14"/>
  <c r="AG134" i="14"/>
  <c r="AD134" i="14"/>
  <c r="AE134" i="14" s="1"/>
  <c r="AF134" i="14" s="1"/>
  <c r="AH134" i="14" s="1"/>
  <c r="T134" i="14"/>
  <c r="Q134" i="14"/>
  <c r="BA133" i="14"/>
  <c r="AT133" i="14"/>
  <c r="AR133" i="14"/>
  <c r="AQ133" i="14"/>
  <c r="AG133" i="14"/>
  <c r="AD133" i="14"/>
  <c r="T133" i="14"/>
  <c r="Q133" i="14"/>
  <c r="R133" i="14" s="1"/>
  <c r="BA128" i="14"/>
  <c r="AT128" i="14"/>
  <c r="AQ128" i="14"/>
  <c r="AR128" i="14" s="1"/>
  <c r="AS128" i="14" s="1"/>
  <c r="AU128" i="14" s="1"/>
  <c r="AG128" i="14"/>
  <c r="AD128" i="14"/>
  <c r="AE128" i="14" s="1"/>
  <c r="AF128" i="14" s="1"/>
  <c r="AH128" i="14" s="1"/>
  <c r="T128" i="14"/>
  <c r="R128" i="14"/>
  <c r="Q128" i="14"/>
  <c r="BA127" i="14"/>
  <c r="AT127" i="14"/>
  <c r="AQ127" i="14"/>
  <c r="AG127" i="14"/>
  <c r="AD127" i="14"/>
  <c r="T127" i="14"/>
  <c r="Q127" i="14"/>
  <c r="BA126" i="14"/>
  <c r="AT126" i="14"/>
  <c r="AQ126" i="14"/>
  <c r="AG126" i="14"/>
  <c r="AD126" i="14"/>
  <c r="AE126" i="14" s="1"/>
  <c r="T126" i="14"/>
  <c r="Q126" i="14"/>
  <c r="R126" i="14" s="1"/>
  <c r="S126" i="14" s="1"/>
  <c r="AT125" i="14"/>
  <c r="AQ125" i="14"/>
  <c r="AR125" i="14" s="1"/>
  <c r="AS125" i="14" s="1"/>
  <c r="AU125" i="14" s="1"/>
  <c r="AG125" i="14"/>
  <c r="AD125" i="14"/>
  <c r="AE125" i="14" s="1"/>
  <c r="AF125" i="14" s="1"/>
  <c r="AH125" i="14" s="1"/>
  <c r="T125" i="14"/>
  <c r="Q125" i="14"/>
  <c r="R125" i="14" s="1"/>
  <c r="S125" i="14" s="1"/>
  <c r="BA124" i="14"/>
  <c r="AT124" i="14"/>
  <c r="AQ124" i="14"/>
  <c r="AG124" i="14"/>
  <c r="AD124" i="14"/>
  <c r="T124" i="14"/>
  <c r="Q124" i="14"/>
  <c r="R124" i="14" s="1"/>
  <c r="S124" i="14" s="1"/>
  <c r="BA123" i="14"/>
  <c r="AT123" i="14"/>
  <c r="AQ123" i="14"/>
  <c r="AR123" i="14" s="1"/>
  <c r="AS123" i="14" s="1"/>
  <c r="AG123" i="14"/>
  <c r="AE123" i="14"/>
  <c r="AD123" i="14"/>
  <c r="T123" i="14"/>
  <c r="Q123" i="14"/>
  <c r="R123" i="14" s="1"/>
  <c r="S123" i="14" s="1"/>
  <c r="U123" i="14" s="1"/>
  <c r="BA122" i="14"/>
  <c r="AT122" i="14"/>
  <c r="AQ122" i="14"/>
  <c r="AG122" i="14"/>
  <c r="AD122" i="14"/>
  <c r="AE122" i="14" s="1"/>
  <c r="AF122" i="14" s="1"/>
  <c r="AH122" i="14" s="1"/>
  <c r="T122" i="14"/>
  <c r="Q122" i="14"/>
  <c r="R122" i="14" s="1"/>
  <c r="BA119" i="14"/>
  <c r="AT119" i="14"/>
  <c r="AQ119" i="14"/>
  <c r="AG119" i="14"/>
  <c r="AD119" i="14"/>
  <c r="T119" i="14"/>
  <c r="Q119" i="14"/>
  <c r="BA118" i="14"/>
  <c r="AT118" i="14"/>
  <c r="AQ118" i="14"/>
  <c r="AG118" i="14"/>
  <c r="AD118" i="14"/>
  <c r="AE118" i="14" s="1"/>
  <c r="T118" i="14"/>
  <c r="Q118" i="14"/>
  <c r="R118" i="14" s="1"/>
  <c r="S118" i="14" s="1"/>
  <c r="BA117" i="14"/>
  <c r="AT117" i="14"/>
  <c r="AR117" i="14"/>
  <c r="AQ117" i="14"/>
  <c r="AG117" i="14"/>
  <c r="AD117" i="14"/>
  <c r="AE117" i="14" s="1"/>
  <c r="AF117" i="14" s="1"/>
  <c r="AU56" i="4" s="1"/>
  <c r="T117" i="14"/>
  <c r="Q117" i="14"/>
  <c r="BA116" i="14"/>
  <c r="AT116" i="14"/>
  <c r="AQ116" i="14"/>
  <c r="AG116" i="14"/>
  <c r="AD116" i="14"/>
  <c r="T116" i="14"/>
  <c r="Q116" i="14"/>
  <c r="BA115" i="14"/>
  <c r="AT115" i="14"/>
  <c r="AQ115" i="14"/>
  <c r="AR115" i="14" s="1"/>
  <c r="AS115" i="14" s="1"/>
  <c r="AU115" i="14" s="1"/>
  <c r="AG115" i="14"/>
  <c r="AD115" i="14"/>
  <c r="AE115" i="14" s="1"/>
  <c r="AF115" i="14" s="1"/>
  <c r="AH115" i="14" s="1"/>
  <c r="T115" i="14"/>
  <c r="Q115" i="14"/>
  <c r="R115" i="14" s="1"/>
  <c r="S115" i="14" s="1"/>
  <c r="AS83" i="4" s="1"/>
  <c r="BA114" i="14"/>
  <c r="AT114" i="14"/>
  <c r="AQ114" i="14"/>
  <c r="AG114" i="14"/>
  <c r="AD114" i="14"/>
  <c r="T114" i="14"/>
  <c r="Q114" i="14"/>
  <c r="R114" i="14" s="1"/>
  <c r="S114" i="14" s="1"/>
  <c r="BA113" i="14"/>
  <c r="AT113" i="14"/>
  <c r="AQ113" i="14"/>
  <c r="AR113" i="14" s="1"/>
  <c r="AS113" i="14" s="1"/>
  <c r="AU113" i="14" s="1"/>
  <c r="AG113" i="14"/>
  <c r="AD113" i="14"/>
  <c r="AE113" i="14" s="1"/>
  <c r="AF113" i="14" s="1"/>
  <c r="T113" i="14"/>
  <c r="Q113" i="14"/>
  <c r="R113" i="14" s="1"/>
  <c r="S113" i="14" s="1"/>
  <c r="U113" i="14" s="1"/>
  <c r="BA112" i="14"/>
  <c r="AT112" i="14"/>
  <c r="AQ112" i="14"/>
  <c r="AG112" i="14"/>
  <c r="AD112" i="14"/>
  <c r="AE112" i="14" s="1"/>
  <c r="AF112" i="14" s="1"/>
  <c r="AH112" i="14" s="1"/>
  <c r="T112" i="14"/>
  <c r="Q112" i="14"/>
  <c r="BA111" i="14"/>
  <c r="AT111" i="14"/>
  <c r="AQ111" i="14"/>
  <c r="AR111" i="14" s="1"/>
  <c r="AS111" i="14" s="1"/>
  <c r="AU111" i="14" s="1"/>
  <c r="AG111" i="14"/>
  <c r="AD111" i="14"/>
  <c r="AE111" i="14" s="1"/>
  <c r="AF111" i="14" s="1"/>
  <c r="AH111" i="14" s="1"/>
  <c r="T111" i="14"/>
  <c r="Q111" i="14"/>
  <c r="R111" i="14" s="1"/>
  <c r="S111" i="14" s="1"/>
  <c r="BA110" i="14"/>
  <c r="AT110" i="14"/>
  <c r="AQ110" i="14"/>
  <c r="AG110" i="14"/>
  <c r="AE110" i="14"/>
  <c r="AF110" i="14" s="1"/>
  <c r="AH110" i="14" s="1"/>
  <c r="T110" i="14"/>
  <c r="Q110" i="14"/>
  <c r="R110" i="14" s="1"/>
  <c r="BA108" i="14"/>
  <c r="AT108" i="14"/>
  <c r="AQ108" i="14"/>
  <c r="AG108" i="14"/>
  <c r="AE108" i="14"/>
  <c r="AD108" i="14"/>
  <c r="T108" i="14"/>
  <c r="R108" i="14"/>
  <c r="Q108" i="14"/>
  <c r="BA107" i="14"/>
  <c r="AT107" i="14"/>
  <c r="AR107" i="14"/>
  <c r="AQ107" i="14"/>
  <c r="AG107" i="14"/>
  <c r="AD107" i="14"/>
  <c r="T107" i="14"/>
  <c r="Q107" i="14"/>
  <c r="BA104" i="14"/>
  <c r="AT104" i="14"/>
  <c r="AR104" i="14"/>
  <c r="AQ104" i="14"/>
  <c r="AG104" i="14"/>
  <c r="AD104" i="14"/>
  <c r="T104" i="14"/>
  <c r="Q104" i="14"/>
  <c r="BA103" i="14"/>
  <c r="AT103" i="14"/>
  <c r="AR103" i="14"/>
  <c r="AQ103" i="14"/>
  <c r="AG103" i="14"/>
  <c r="AE103" i="14"/>
  <c r="AD103" i="14"/>
  <c r="T103" i="14"/>
  <c r="R103" i="14"/>
  <c r="Q103" i="14"/>
  <c r="BA102" i="14"/>
  <c r="AT102" i="14"/>
  <c r="AQ102" i="14"/>
  <c r="AG102" i="14"/>
  <c r="AD102" i="14"/>
  <c r="T102" i="14"/>
  <c r="Q102" i="14"/>
  <c r="R102" i="14" s="1"/>
  <c r="S102" i="14" s="1"/>
  <c r="BA101" i="14"/>
  <c r="AT101" i="14"/>
  <c r="AQ101" i="14"/>
  <c r="AG101" i="14"/>
  <c r="AD101" i="14"/>
  <c r="AE101" i="14" s="1"/>
  <c r="AF101" i="14" s="1"/>
  <c r="T101" i="14"/>
  <c r="Q101" i="14"/>
  <c r="R101" i="14" s="1"/>
  <c r="S101" i="14" s="1"/>
  <c r="AS16" i="4" s="1"/>
  <c r="BA100" i="14"/>
  <c r="AT100" i="14"/>
  <c r="AQ100" i="14"/>
  <c r="AG100" i="14"/>
  <c r="AD100" i="14"/>
  <c r="AE100" i="14" s="1"/>
  <c r="T100" i="14"/>
  <c r="Q100" i="14"/>
  <c r="R100" i="14" s="1"/>
  <c r="S100" i="14" s="1"/>
  <c r="BA99" i="14"/>
  <c r="AT99" i="14"/>
  <c r="AQ99" i="14"/>
  <c r="AG99" i="14"/>
  <c r="AD99" i="14"/>
  <c r="AE99" i="14" s="1"/>
  <c r="AF99" i="14" s="1"/>
  <c r="AH99" i="14" s="1"/>
  <c r="T99" i="14"/>
  <c r="Q99" i="14"/>
  <c r="R99" i="14" s="1"/>
  <c r="S99" i="14" s="1"/>
  <c r="BA98" i="14"/>
  <c r="AT98" i="14"/>
  <c r="AQ98" i="14"/>
  <c r="AG98" i="14"/>
  <c r="AD98" i="14"/>
  <c r="AE98" i="14" s="1"/>
  <c r="T98" i="14"/>
  <c r="Q98" i="14"/>
  <c r="R98" i="14" s="1"/>
  <c r="S98" i="14" s="1"/>
  <c r="BA97" i="14"/>
  <c r="AT97" i="14"/>
  <c r="AQ97" i="14"/>
  <c r="AG97" i="14"/>
  <c r="AD97" i="14"/>
  <c r="AE97" i="14" s="1"/>
  <c r="AF97" i="14" s="1"/>
  <c r="AH97" i="14" s="1"/>
  <c r="T97" i="14"/>
  <c r="Q97" i="14"/>
  <c r="R97" i="14" s="1"/>
  <c r="BA96" i="14"/>
  <c r="AT96" i="14"/>
  <c r="AQ96" i="14"/>
  <c r="AG96" i="14"/>
  <c r="AD96" i="14"/>
  <c r="AE96" i="14" s="1"/>
  <c r="T96" i="14"/>
  <c r="Q96" i="14"/>
  <c r="S96" i="14" s="1"/>
  <c r="BA95" i="14"/>
  <c r="AT95" i="14"/>
  <c r="AQ95" i="14"/>
  <c r="AR95" i="14" s="1"/>
  <c r="AG95" i="14"/>
  <c r="AD95" i="14"/>
  <c r="T95" i="14"/>
  <c r="Q95" i="14"/>
  <c r="R95" i="14" s="1"/>
  <c r="BA94" i="14"/>
  <c r="AT94" i="14"/>
  <c r="AQ94" i="14"/>
  <c r="AG94" i="14"/>
  <c r="AD94" i="14"/>
  <c r="T94" i="14"/>
  <c r="Q94" i="14"/>
  <c r="R94" i="14" s="1"/>
  <c r="S94" i="14" s="1"/>
  <c r="BA93" i="14"/>
  <c r="AT93" i="14"/>
  <c r="AQ93" i="14"/>
  <c r="AR93" i="14" s="1"/>
  <c r="AS93" i="14" s="1"/>
  <c r="AU93" i="14" s="1"/>
  <c r="AG93" i="14"/>
  <c r="AD93" i="14"/>
  <c r="T93" i="14"/>
  <c r="Q93" i="14"/>
  <c r="BA92" i="14"/>
  <c r="AT92" i="14"/>
  <c r="AQ92" i="14"/>
  <c r="AG92" i="14"/>
  <c r="AD92" i="14"/>
  <c r="T92" i="14"/>
  <c r="Q92" i="14"/>
  <c r="BA91" i="14"/>
  <c r="AT91" i="14"/>
  <c r="AQ91" i="14"/>
  <c r="AR91" i="14" s="1"/>
  <c r="AS91" i="14" s="1"/>
  <c r="AU91" i="14" s="1"/>
  <c r="AG91" i="14"/>
  <c r="AD91" i="14"/>
  <c r="AE91" i="14" s="1"/>
  <c r="T91" i="14"/>
  <c r="Q91" i="14"/>
  <c r="R91" i="14" s="1"/>
  <c r="BA90" i="14"/>
  <c r="AT90" i="14"/>
  <c r="AQ90" i="14"/>
  <c r="AG90" i="14"/>
  <c r="AD90" i="14"/>
  <c r="T90" i="14"/>
  <c r="Q90" i="14"/>
  <c r="BA89" i="14"/>
  <c r="AT89" i="14"/>
  <c r="AQ89" i="14"/>
  <c r="AG89" i="14"/>
  <c r="AD89" i="14"/>
  <c r="T89" i="14"/>
  <c r="Q89" i="14"/>
  <c r="AZ104" i="4" s="1"/>
  <c r="BA88" i="14"/>
  <c r="AT88" i="14"/>
  <c r="AQ88" i="14"/>
  <c r="AG88" i="14"/>
  <c r="AD88" i="14"/>
  <c r="T88" i="14"/>
  <c r="Q88" i="14"/>
  <c r="R88" i="14" s="1"/>
  <c r="S88" i="14" s="1"/>
  <c r="BA87" i="14"/>
  <c r="AT87" i="14"/>
  <c r="AQ87" i="14"/>
  <c r="AG87" i="14"/>
  <c r="AD87" i="14"/>
  <c r="T87" i="14"/>
  <c r="Q87" i="14"/>
  <c r="BA85" i="14"/>
  <c r="AT85" i="14"/>
  <c r="AQ85" i="14"/>
  <c r="AG85" i="14"/>
  <c r="AD85" i="14"/>
  <c r="T85" i="14"/>
  <c r="Q85" i="14"/>
  <c r="R85" i="14" s="1"/>
  <c r="S85" i="14" s="1"/>
  <c r="BA82" i="14"/>
  <c r="AT82" i="14"/>
  <c r="AQ82" i="14"/>
  <c r="AR82" i="14" s="1"/>
  <c r="AS82" i="14" s="1"/>
  <c r="AU82" i="14" s="1"/>
  <c r="AG82" i="14"/>
  <c r="AD82" i="14"/>
  <c r="AE82" i="14" s="1"/>
  <c r="T82" i="14"/>
  <c r="Q82" i="14"/>
  <c r="BA75" i="14"/>
  <c r="AG75" i="14"/>
  <c r="AD75" i="14"/>
  <c r="T75" i="14"/>
  <c r="Q75" i="14"/>
  <c r="BA74" i="14"/>
  <c r="AG74" i="14"/>
  <c r="AD74" i="14"/>
  <c r="T74" i="14"/>
  <c r="Q74" i="14"/>
  <c r="R74" i="14" s="1"/>
  <c r="BA73" i="14"/>
  <c r="AG73" i="14"/>
  <c r="AD73" i="14"/>
  <c r="T73" i="14"/>
  <c r="Q73" i="14"/>
  <c r="BA72" i="14"/>
  <c r="AT72" i="14"/>
  <c r="AQ72" i="14"/>
  <c r="AG72" i="14"/>
  <c r="AD72" i="14"/>
  <c r="T72" i="14"/>
  <c r="R72" i="14"/>
  <c r="S72" i="14" s="1"/>
  <c r="U72" i="14" s="1"/>
  <c r="BA69" i="14"/>
  <c r="AT69" i="14"/>
  <c r="AQ69" i="14"/>
  <c r="AR69" i="14" s="1"/>
  <c r="AG69" i="14"/>
  <c r="AD69" i="14"/>
  <c r="T69" i="14"/>
  <c r="Q69" i="14"/>
  <c r="BA67" i="14"/>
  <c r="AG67" i="14"/>
  <c r="AD67" i="14"/>
  <c r="T67" i="14"/>
  <c r="Q67" i="14"/>
  <c r="BA66" i="14"/>
  <c r="AG66" i="14"/>
  <c r="AD66" i="14"/>
  <c r="AE66" i="14" s="1"/>
  <c r="AF66" i="14" s="1"/>
  <c r="AH66" i="14" s="1"/>
  <c r="T66" i="14"/>
  <c r="Q66" i="14"/>
  <c r="BA65" i="14"/>
  <c r="AT65" i="14"/>
  <c r="AQ65" i="14"/>
  <c r="AR65" i="14" s="1"/>
  <c r="AS65" i="14" s="1"/>
  <c r="AU65" i="14" s="1"/>
  <c r="AG65" i="14"/>
  <c r="AD65" i="14"/>
  <c r="T65" i="14"/>
  <c r="Q65" i="14"/>
  <c r="R65" i="14" s="1"/>
  <c r="S65" i="14" s="1"/>
  <c r="U65" i="14" s="1"/>
  <c r="BA60" i="14"/>
  <c r="AT60" i="14"/>
  <c r="AQ60" i="14"/>
  <c r="AR60" i="14" s="1"/>
  <c r="AG60" i="14"/>
  <c r="AD60" i="14"/>
  <c r="AE60" i="14" s="1"/>
  <c r="AF60" i="14" s="1"/>
  <c r="AH60" i="14" s="1"/>
  <c r="T60" i="14"/>
  <c r="Q60" i="14"/>
  <c r="R60" i="14" s="1"/>
  <c r="BA59" i="14"/>
  <c r="AT59" i="14"/>
  <c r="AQ59" i="14"/>
  <c r="AR59" i="14" s="1"/>
  <c r="AG59" i="14"/>
  <c r="AD59" i="14"/>
  <c r="T59" i="14"/>
  <c r="Q59" i="14"/>
  <c r="BA58" i="14"/>
  <c r="AT58" i="14"/>
  <c r="AQ58" i="14"/>
  <c r="AR58" i="14" s="1"/>
  <c r="AG58" i="14"/>
  <c r="AD58" i="14"/>
  <c r="T58" i="14"/>
  <c r="Q58" i="14"/>
  <c r="BA56" i="14"/>
  <c r="AG56" i="14"/>
  <c r="AD56" i="14"/>
  <c r="AE56" i="14" s="1"/>
  <c r="AF56" i="14" s="1"/>
  <c r="AH56" i="14" s="1"/>
  <c r="T56" i="14"/>
  <c r="Q56" i="14"/>
  <c r="BA55" i="14"/>
  <c r="AT55" i="14"/>
  <c r="AQ55" i="14"/>
  <c r="AR55" i="14" s="1"/>
  <c r="AS55" i="14" s="1"/>
  <c r="AU55" i="14" s="1"/>
  <c r="AG55" i="14"/>
  <c r="AD55" i="14"/>
  <c r="T55" i="14"/>
  <c r="Q55" i="14"/>
  <c r="R55" i="14" s="1"/>
  <c r="S55" i="14" s="1"/>
  <c r="BA54" i="14"/>
  <c r="AT54" i="14"/>
  <c r="AQ54" i="14"/>
  <c r="AG54" i="14"/>
  <c r="AD54" i="14"/>
  <c r="T54" i="14"/>
  <c r="Q54" i="14"/>
  <c r="BA51" i="14"/>
  <c r="AT51" i="14"/>
  <c r="AQ51" i="14"/>
  <c r="AR51" i="14" s="1"/>
  <c r="AG51" i="14"/>
  <c r="AD51" i="14"/>
  <c r="T51" i="14"/>
  <c r="Q51" i="14"/>
  <c r="BA46" i="14"/>
  <c r="AT46" i="14"/>
  <c r="AQ46" i="14"/>
  <c r="AG46" i="14"/>
  <c r="AD46" i="14"/>
  <c r="T46" i="14"/>
  <c r="Q46" i="14"/>
  <c r="R46" i="14" s="1"/>
  <c r="BA27" i="14"/>
  <c r="AT27" i="14"/>
  <c r="AQ27" i="14"/>
  <c r="AG27" i="14"/>
  <c r="AD27" i="14"/>
  <c r="AE27" i="14" s="1"/>
  <c r="T27" i="14"/>
  <c r="Q27" i="14"/>
  <c r="R27" i="14" s="1"/>
  <c r="S27" i="14" s="1"/>
  <c r="BA20" i="14"/>
  <c r="AT20" i="14"/>
  <c r="AR20" i="14"/>
  <c r="AQ20" i="14"/>
  <c r="AG20" i="14"/>
  <c r="AE20" i="14"/>
  <c r="AD20" i="14"/>
  <c r="T20" i="14"/>
  <c r="R20" i="14"/>
  <c r="S20" i="14" s="1"/>
  <c r="U20" i="14" s="1"/>
  <c r="BA19" i="14"/>
  <c r="AT19" i="14"/>
  <c r="AQ19" i="14"/>
  <c r="AR19" i="14" s="1"/>
  <c r="AG19" i="14"/>
  <c r="AD19" i="14"/>
  <c r="T19" i="14"/>
  <c r="Q19" i="14"/>
  <c r="R19" i="14" s="1"/>
  <c r="S19" i="14" s="1"/>
  <c r="BA18" i="14"/>
  <c r="AQ18" i="14"/>
  <c r="AD18" i="14"/>
  <c r="Q18" i="14"/>
  <c r="R18" i="14" s="1"/>
  <c r="T18" i="14" s="1"/>
  <c r="BA17" i="14"/>
  <c r="AQ17" i="14"/>
  <c r="AR17" i="14" s="1"/>
  <c r="AT17" i="14" s="1"/>
  <c r="AG17" i="14"/>
  <c r="AD17" i="14"/>
  <c r="Q17" i="14"/>
  <c r="R17" i="14" s="1"/>
  <c r="U17" i="14" s="1"/>
  <c r="BA16" i="14"/>
  <c r="AD16" i="14"/>
  <c r="Q16" i="14"/>
  <c r="BA15" i="14"/>
  <c r="AQ15" i="14"/>
  <c r="AD15" i="14"/>
  <c r="AE15" i="14" s="1"/>
  <c r="AG15" i="14" s="1"/>
  <c r="Q15" i="14"/>
  <c r="BA14" i="14"/>
  <c r="AT14" i="14"/>
  <c r="AQ14" i="14"/>
  <c r="AR14" i="14" s="1"/>
  <c r="AG14" i="14"/>
  <c r="AD14" i="14"/>
  <c r="AE14" i="14" s="1"/>
  <c r="AF14" i="14" s="1"/>
  <c r="AH14" i="14" s="1"/>
  <c r="T14" i="14"/>
  <c r="Q14" i="14"/>
  <c r="BA12" i="14"/>
  <c r="AT12" i="14"/>
  <c r="AQ12" i="14"/>
  <c r="AR12" i="14" s="1"/>
  <c r="AG12" i="14"/>
  <c r="AD12" i="14"/>
  <c r="T12" i="14"/>
  <c r="Q12" i="14"/>
  <c r="BA11" i="14"/>
  <c r="AT11" i="14"/>
  <c r="AR11" i="14"/>
  <c r="AQ11" i="14"/>
  <c r="AG11" i="14"/>
  <c r="AD11" i="14"/>
  <c r="T11" i="14"/>
  <c r="Q11" i="14"/>
  <c r="R11" i="14" s="1"/>
  <c r="S11" i="14" s="1"/>
  <c r="AS97" i="4" s="1"/>
  <c r="BA10" i="14"/>
  <c r="AT10" i="14"/>
  <c r="AR10" i="14"/>
  <c r="AQ10" i="14"/>
  <c r="AG10" i="14"/>
  <c r="AE10" i="14"/>
  <c r="AD10" i="14"/>
  <c r="T10" i="14"/>
  <c r="Q10" i="14"/>
  <c r="BA9" i="14"/>
  <c r="AT9" i="14"/>
  <c r="AR9" i="14"/>
  <c r="AQ9" i="14"/>
  <c r="AG9" i="14"/>
  <c r="AD9" i="14"/>
  <c r="AE9" i="14" s="1"/>
  <c r="AF9" i="14" s="1"/>
  <c r="AH9" i="14" s="1"/>
  <c r="T9" i="14"/>
  <c r="Q9" i="14"/>
  <c r="R9" i="14" s="1"/>
  <c r="BA8" i="14"/>
  <c r="AT8" i="14"/>
  <c r="AQ8" i="14"/>
  <c r="AR8" i="14" s="1"/>
  <c r="AG8" i="14"/>
  <c r="AE8" i="14"/>
  <c r="AF8" i="14" s="1"/>
  <c r="T8" i="14"/>
  <c r="Q8" i="14"/>
  <c r="BA7" i="14"/>
  <c r="AT7" i="14"/>
  <c r="AQ7" i="14"/>
  <c r="AR7" i="14" s="1"/>
  <c r="AG7" i="14"/>
  <c r="AE7" i="14"/>
  <c r="AD7" i="14"/>
  <c r="T7" i="14"/>
  <c r="Q7" i="14"/>
  <c r="R7" i="14" s="1"/>
  <c r="BA6" i="14"/>
  <c r="AT6" i="14"/>
  <c r="AQ6" i="14"/>
  <c r="AG6" i="14"/>
  <c r="AD6" i="14"/>
  <c r="T6" i="14"/>
  <c r="Q6" i="14"/>
  <c r="BA5" i="14"/>
  <c r="AT5" i="14"/>
  <c r="AQ5" i="14"/>
  <c r="AG5" i="14"/>
  <c r="AD5" i="14"/>
  <c r="AE5" i="14" s="1"/>
  <c r="AF5" i="14" s="1"/>
  <c r="AH5" i="14" s="1"/>
  <c r="T5" i="14"/>
  <c r="Q5" i="14"/>
  <c r="S5" i="14" s="1"/>
  <c r="U5" i="14" s="1"/>
  <c r="BA4" i="14"/>
  <c r="AT4" i="14"/>
  <c r="AQ4" i="14"/>
  <c r="AG4" i="14"/>
  <c r="AD4" i="14"/>
  <c r="AE4" i="14" s="1"/>
  <c r="T4" i="14"/>
  <c r="Q4" i="14"/>
  <c r="BA3" i="14"/>
  <c r="AT3" i="14"/>
  <c r="AQ3" i="14"/>
  <c r="AG3" i="14"/>
  <c r="AD3" i="14"/>
  <c r="T3" i="14"/>
  <c r="Q3" i="14"/>
  <c r="K135" i="12"/>
  <c r="J135" i="12"/>
  <c r="L135" i="12" s="1"/>
  <c r="K134" i="12"/>
  <c r="J134" i="12"/>
  <c r="L134" i="12" s="1"/>
  <c r="K133" i="12"/>
  <c r="J133" i="12"/>
  <c r="L133" i="12" s="1"/>
  <c r="K132" i="12"/>
  <c r="J132" i="12"/>
  <c r="L132" i="12" s="1"/>
  <c r="K131" i="12"/>
  <c r="J131" i="12"/>
  <c r="L131" i="12" s="1"/>
  <c r="K130" i="12"/>
  <c r="J130" i="12"/>
  <c r="L130" i="12" s="1"/>
  <c r="K129" i="12"/>
  <c r="J129" i="12"/>
  <c r="L129" i="12" s="1"/>
  <c r="K128" i="12"/>
  <c r="J128" i="12"/>
  <c r="L128" i="12" s="1"/>
  <c r="K127" i="12"/>
  <c r="J127" i="12"/>
  <c r="L127" i="12" s="1"/>
  <c r="K126" i="12"/>
  <c r="J126" i="12"/>
  <c r="L126" i="12" s="1"/>
  <c r="K125" i="12"/>
  <c r="J125" i="12"/>
  <c r="L125" i="12" s="1"/>
  <c r="K124" i="12"/>
  <c r="J124" i="12"/>
  <c r="L124" i="12" s="1"/>
  <c r="L123" i="12"/>
  <c r="K123" i="12"/>
  <c r="L122" i="12"/>
  <c r="K122" i="12"/>
  <c r="L121" i="12"/>
  <c r="K121" i="12"/>
  <c r="L120" i="12"/>
  <c r="K120" i="12"/>
  <c r="K119" i="12"/>
  <c r="J119" i="12"/>
  <c r="L119" i="12" s="1"/>
  <c r="L118" i="12"/>
  <c r="K118" i="12"/>
  <c r="L117" i="12"/>
  <c r="K117" i="12"/>
  <c r="K116" i="12"/>
  <c r="J116" i="12"/>
  <c r="L116" i="12" s="1"/>
  <c r="L115" i="12"/>
  <c r="K115" i="12"/>
  <c r="K114" i="12"/>
  <c r="J114" i="12"/>
  <c r="L114" i="12" s="1"/>
  <c r="L113" i="12"/>
  <c r="K113" i="12"/>
  <c r="L112" i="12"/>
  <c r="K112" i="12"/>
  <c r="L111" i="12"/>
  <c r="K111" i="12"/>
  <c r="L110" i="12"/>
  <c r="K110" i="12"/>
  <c r="L109" i="12"/>
  <c r="K109" i="12"/>
  <c r="L108" i="12"/>
  <c r="K108" i="12"/>
  <c r="L107" i="12"/>
  <c r="K107" i="12"/>
  <c r="L106" i="12"/>
  <c r="K106" i="12"/>
  <c r="K105" i="12"/>
  <c r="J105" i="12"/>
  <c r="L105" i="12" s="1"/>
  <c r="K104" i="12"/>
  <c r="J104" i="12"/>
  <c r="L104" i="12" s="1"/>
  <c r="K103" i="12"/>
  <c r="J103" i="12"/>
  <c r="L103" i="12" s="1"/>
  <c r="K102" i="12"/>
  <c r="J102" i="12"/>
  <c r="L102" i="12" s="1"/>
  <c r="K101" i="12"/>
  <c r="J101" i="12"/>
  <c r="L101" i="12" s="1"/>
  <c r="K100" i="12"/>
  <c r="J100" i="12"/>
  <c r="L100" i="12" s="1"/>
  <c r="AZ99" i="12"/>
  <c r="K99" i="12"/>
  <c r="J99" i="12"/>
  <c r="L99" i="12" s="1"/>
  <c r="Z95" i="12"/>
  <c r="X94" i="12"/>
  <c r="V94" i="12"/>
  <c r="W94" i="12" s="1"/>
  <c r="Y94" i="12" s="1"/>
  <c r="R94" i="12"/>
  <c r="P94" i="12"/>
  <c r="Q94" i="12" s="1"/>
  <c r="S94" i="12" s="1"/>
  <c r="L94" i="12"/>
  <c r="J94" i="12"/>
  <c r="K94" i="12" s="1"/>
  <c r="M94" i="12" s="1"/>
  <c r="AA93" i="12"/>
  <c r="X93" i="12"/>
  <c r="V93" i="12"/>
  <c r="W93" i="12" s="1"/>
  <c r="Y93" i="12" s="1"/>
  <c r="R93" i="12"/>
  <c r="P93" i="12"/>
  <c r="Q93" i="12" s="1"/>
  <c r="S93" i="12" s="1"/>
  <c r="L93" i="12"/>
  <c r="J93" i="12"/>
  <c r="K93" i="12" s="1"/>
  <c r="M93" i="12" s="1"/>
  <c r="X92" i="12"/>
  <c r="V92" i="12"/>
  <c r="W92" i="12" s="1"/>
  <c r="Y92" i="12" s="1"/>
  <c r="R92" i="12"/>
  <c r="P92" i="12"/>
  <c r="Q92" i="12" s="1"/>
  <c r="S92" i="12" s="1"/>
  <c r="L92" i="12"/>
  <c r="J92" i="12"/>
  <c r="K92" i="12" s="1"/>
  <c r="X91" i="12"/>
  <c r="W91" i="12"/>
  <c r="Y91" i="12" s="1"/>
  <c r="R91" i="12"/>
  <c r="P91" i="12"/>
  <c r="Q91" i="12" s="1"/>
  <c r="S91" i="12" s="1"/>
  <c r="L91" i="12"/>
  <c r="J91" i="12"/>
  <c r="K91" i="12" s="1"/>
  <c r="X90" i="12"/>
  <c r="V90" i="12"/>
  <c r="W90" i="12" s="1"/>
  <c r="Y90" i="12" s="1"/>
  <c r="R90" i="12"/>
  <c r="P90" i="12"/>
  <c r="Q90" i="12" s="1"/>
  <c r="S90" i="12" s="1"/>
  <c r="L90" i="12"/>
  <c r="J90" i="12"/>
  <c r="K90" i="12" s="1"/>
  <c r="X89" i="12"/>
  <c r="V89" i="12"/>
  <c r="W89" i="12" s="1"/>
  <c r="Y89" i="12" s="1"/>
  <c r="R89" i="12"/>
  <c r="P89" i="12"/>
  <c r="Q89" i="12" s="1"/>
  <c r="S89" i="12" s="1"/>
  <c r="L89" i="12"/>
  <c r="J89" i="12"/>
  <c r="K89" i="12" s="1"/>
  <c r="X88" i="12"/>
  <c r="V88" i="12"/>
  <c r="W88" i="12" s="1"/>
  <c r="Y88" i="12" s="1"/>
  <c r="R88" i="12"/>
  <c r="P88" i="12"/>
  <c r="Q88" i="12" s="1"/>
  <c r="S88" i="12" s="1"/>
  <c r="L88" i="12"/>
  <c r="J88" i="12"/>
  <c r="K88" i="12" s="1"/>
  <c r="X87" i="12"/>
  <c r="V87" i="12"/>
  <c r="W87" i="12" s="1"/>
  <c r="Y87" i="12" s="1"/>
  <c r="R87" i="12"/>
  <c r="P87" i="12"/>
  <c r="Q87" i="12" s="1"/>
  <c r="S87" i="12" s="1"/>
  <c r="L87" i="12"/>
  <c r="J87" i="12"/>
  <c r="K87" i="12" s="1"/>
  <c r="X86" i="12"/>
  <c r="W86" i="12"/>
  <c r="Y86" i="12" s="1"/>
  <c r="R86" i="12"/>
  <c r="P86" i="12"/>
  <c r="Q86" i="12" s="1"/>
  <c r="S86" i="12" s="1"/>
  <c r="L86" i="12"/>
  <c r="J86" i="12"/>
  <c r="K86" i="12" s="1"/>
  <c r="R85" i="12"/>
  <c r="P85" i="12"/>
  <c r="Q85" i="12" s="1"/>
  <c r="S85" i="12" s="1"/>
  <c r="L85" i="12"/>
  <c r="J85" i="12"/>
  <c r="K85" i="12" s="1"/>
  <c r="X84" i="12"/>
  <c r="W84" i="12"/>
  <c r="Y84" i="12" s="1"/>
  <c r="R84" i="12"/>
  <c r="P84" i="12"/>
  <c r="Q84" i="12" s="1"/>
  <c r="L84" i="12"/>
  <c r="J84" i="12"/>
  <c r="K84" i="12" s="1"/>
  <c r="M84" i="12" s="1"/>
  <c r="X83" i="12"/>
  <c r="V83" i="12"/>
  <c r="W83" i="12" s="1"/>
  <c r="Y83" i="12" s="1"/>
  <c r="R83" i="12"/>
  <c r="P83" i="12"/>
  <c r="Q83" i="12" s="1"/>
  <c r="L83" i="12"/>
  <c r="J83" i="12"/>
  <c r="K83" i="12" s="1"/>
  <c r="M83" i="12" s="1"/>
  <c r="R82" i="12"/>
  <c r="P82" i="12"/>
  <c r="Q82" i="12" s="1"/>
  <c r="Z82" i="12" s="1"/>
  <c r="AA82" i="12" s="1"/>
  <c r="X81" i="12"/>
  <c r="V81" i="12"/>
  <c r="W81" i="12" s="1"/>
  <c r="Y81" i="12" s="1"/>
  <c r="R81" i="12"/>
  <c r="P81" i="12"/>
  <c r="Q81" i="12" s="1"/>
  <c r="S81" i="12" s="1"/>
  <c r="L81" i="12"/>
  <c r="J81" i="12"/>
  <c r="K81" i="12" s="1"/>
  <c r="X80" i="12"/>
  <c r="V80" i="12"/>
  <c r="W80" i="12" s="1"/>
  <c r="Y80" i="12" s="1"/>
  <c r="R80" i="12"/>
  <c r="P80" i="12"/>
  <c r="Q80" i="12" s="1"/>
  <c r="S80" i="12" s="1"/>
  <c r="L80" i="12"/>
  <c r="J80" i="12"/>
  <c r="K80" i="12" s="1"/>
  <c r="X79" i="12"/>
  <c r="V79" i="12"/>
  <c r="W79" i="12" s="1"/>
  <c r="Y79" i="12" s="1"/>
  <c r="R79" i="12"/>
  <c r="P79" i="12"/>
  <c r="Q79" i="12" s="1"/>
  <c r="S79" i="12" s="1"/>
  <c r="L79" i="12"/>
  <c r="J79" i="12"/>
  <c r="K79" i="12" s="1"/>
  <c r="X78" i="12"/>
  <c r="W78" i="12"/>
  <c r="Y78" i="12" s="1"/>
  <c r="R78" i="12"/>
  <c r="P78" i="12"/>
  <c r="Q78" i="12" s="1"/>
  <c r="S78" i="12" s="1"/>
  <c r="L78" i="12"/>
  <c r="J78" i="12"/>
  <c r="K78" i="12" s="1"/>
  <c r="X77" i="12"/>
  <c r="V77" i="12"/>
  <c r="W77" i="12" s="1"/>
  <c r="Y77" i="12" s="1"/>
  <c r="R77" i="12"/>
  <c r="P77" i="12"/>
  <c r="Q77" i="12" s="1"/>
  <c r="S77" i="12" s="1"/>
  <c r="L77" i="12"/>
  <c r="J77" i="12"/>
  <c r="K77" i="12" s="1"/>
  <c r="X76" i="12"/>
  <c r="V76" i="12"/>
  <c r="W76" i="12" s="1"/>
  <c r="Y76" i="12" s="1"/>
  <c r="R76" i="12"/>
  <c r="P76" i="12"/>
  <c r="Q76" i="12" s="1"/>
  <c r="S76" i="12" s="1"/>
  <c r="L76" i="12"/>
  <c r="J76" i="12"/>
  <c r="K76" i="12" s="1"/>
  <c r="X75" i="12"/>
  <c r="V75" i="12"/>
  <c r="W75" i="12" s="1"/>
  <c r="Y75" i="12" s="1"/>
  <c r="R75" i="12"/>
  <c r="P75" i="12"/>
  <c r="Q75" i="12" s="1"/>
  <c r="S75" i="12" s="1"/>
  <c r="L75" i="12"/>
  <c r="J75" i="12"/>
  <c r="K75" i="12" s="1"/>
  <c r="X74" i="12"/>
  <c r="V74" i="12"/>
  <c r="W74" i="12" s="1"/>
  <c r="Y74" i="12" s="1"/>
  <c r="R74" i="12"/>
  <c r="P74" i="12"/>
  <c r="Q74" i="12" s="1"/>
  <c r="S74" i="12" s="1"/>
  <c r="L74" i="12"/>
  <c r="J74" i="12"/>
  <c r="K74" i="12" s="1"/>
  <c r="R73" i="12"/>
  <c r="P73" i="12"/>
  <c r="Q73" i="12" s="1"/>
  <c r="L73" i="12"/>
  <c r="K73" i="12"/>
  <c r="M73" i="12" s="1"/>
  <c r="X72" i="12"/>
  <c r="V72" i="12"/>
  <c r="W72" i="12" s="1"/>
  <c r="Y72" i="12" s="1"/>
  <c r="R72" i="12"/>
  <c r="P72" i="12"/>
  <c r="Q72" i="12" s="1"/>
  <c r="L72" i="12"/>
  <c r="J72" i="12"/>
  <c r="K72" i="12" s="1"/>
  <c r="M72" i="12" s="1"/>
  <c r="R71" i="12"/>
  <c r="P71" i="12"/>
  <c r="Q71" i="12" s="1"/>
  <c r="Z71" i="12" s="1"/>
  <c r="AA71" i="12" s="1"/>
  <c r="M71" i="12"/>
  <c r="J71" i="12"/>
  <c r="X70" i="12"/>
  <c r="V70" i="12"/>
  <c r="W70" i="12" s="1"/>
  <c r="Y70" i="12" s="1"/>
  <c r="R70" i="12"/>
  <c r="P70" i="12"/>
  <c r="Q70" i="12" s="1"/>
  <c r="S70" i="12" s="1"/>
  <c r="L70" i="12"/>
  <c r="J70" i="12"/>
  <c r="K70" i="12" s="1"/>
  <c r="X69" i="12"/>
  <c r="V69" i="12"/>
  <c r="W69" i="12" s="1"/>
  <c r="Y69" i="12" s="1"/>
  <c r="R69" i="12"/>
  <c r="P69" i="12"/>
  <c r="Q69" i="12" s="1"/>
  <c r="S69" i="12" s="1"/>
  <c r="L69" i="12"/>
  <c r="J69" i="12"/>
  <c r="K69" i="12" s="1"/>
  <c r="X68" i="12"/>
  <c r="V68" i="12"/>
  <c r="W68" i="12" s="1"/>
  <c r="Y68" i="12" s="1"/>
  <c r="R68" i="12"/>
  <c r="P68" i="12"/>
  <c r="Q68" i="12" s="1"/>
  <c r="S68" i="12" s="1"/>
  <c r="L68" i="12"/>
  <c r="J68" i="12"/>
  <c r="K68" i="12" s="1"/>
  <c r="X67" i="12"/>
  <c r="W67" i="12"/>
  <c r="Y67" i="12" s="1"/>
  <c r="R67" i="12"/>
  <c r="P67" i="12"/>
  <c r="Q67" i="12" s="1"/>
  <c r="S67" i="12" s="1"/>
  <c r="L67" i="12"/>
  <c r="J67" i="12"/>
  <c r="K67" i="12" s="1"/>
  <c r="R66" i="12"/>
  <c r="P66" i="12"/>
  <c r="Q66" i="12" s="1"/>
  <c r="S66" i="12" s="1"/>
  <c r="L66" i="12"/>
  <c r="J66" i="12"/>
  <c r="K66" i="12" s="1"/>
  <c r="R65" i="12"/>
  <c r="P65" i="12"/>
  <c r="Q65" i="12" s="1"/>
  <c r="S65" i="12" s="1"/>
  <c r="L65" i="12"/>
  <c r="J65" i="12"/>
  <c r="K65" i="12" s="1"/>
  <c r="X64" i="12"/>
  <c r="W64" i="12"/>
  <c r="Y64" i="12" s="1"/>
  <c r="R64" i="12"/>
  <c r="P64" i="12"/>
  <c r="Q64" i="12" s="1"/>
  <c r="L64" i="12"/>
  <c r="J64" i="12"/>
  <c r="K64" i="12" s="1"/>
  <c r="M64" i="12" s="1"/>
  <c r="X63" i="12"/>
  <c r="V63" i="12"/>
  <c r="W63" i="12" s="1"/>
  <c r="Y63" i="12" s="1"/>
  <c r="R63" i="12"/>
  <c r="P63" i="12"/>
  <c r="Q63" i="12" s="1"/>
  <c r="L63" i="12"/>
  <c r="J63" i="12"/>
  <c r="K63" i="12" s="1"/>
  <c r="M63" i="12" s="1"/>
  <c r="X62" i="12"/>
  <c r="V62" i="12"/>
  <c r="W62" i="12" s="1"/>
  <c r="Y62" i="12" s="1"/>
  <c r="R62" i="12"/>
  <c r="P62" i="12"/>
  <c r="Q62" i="12" s="1"/>
  <c r="L62" i="12"/>
  <c r="J62" i="12"/>
  <c r="K62" i="12" s="1"/>
  <c r="M62" i="12" s="1"/>
  <c r="X61" i="12"/>
  <c r="V61" i="12"/>
  <c r="W61" i="12" s="1"/>
  <c r="Y61" i="12" s="1"/>
  <c r="R61" i="12"/>
  <c r="P61" i="12"/>
  <c r="Q61" i="12" s="1"/>
  <c r="L61" i="12"/>
  <c r="J61" i="12"/>
  <c r="K61" i="12" s="1"/>
  <c r="M61" i="12" s="1"/>
  <c r="X60" i="12"/>
  <c r="V60" i="12"/>
  <c r="W60" i="12" s="1"/>
  <c r="Y60" i="12" s="1"/>
  <c r="R60" i="12"/>
  <c r="P60" i="12"/>
  <c r="Q60" i="12" s="1"/>
  <c r="L60" i="12"/>
  <c r="J60" i="12"/>
  <c r="K60" i="12" s="1"/>
  <c r="M60" i="12" s="1"/>
  <c r="X59" i="12"/>
  <c r="W59" i="12"/>
  <c r="Y59" i="12" s="1"/>
  <c r="R59" i="12"/>
  <c r="P59" i="12"/>
  <c r="Q59" i="12" s="1"/>
  <c r="S59" i="12" s="1"/>
  <c r="L59" i="12"/>
  <c r="J59" i="12"/>
  <c r="K59" i="12" s="1"/>
  <c r="R58" i="12"/>
  <c r="P58" i="12"/>
  <c r="Q58" i="12" s="1"/>
  <c r="S58" i="12" s="1"/>
  <c r="L58" i="12"/>
  <c r="J58" i="12"/>
  <c r="K58" i="12" s="1"/>
  <c r="R57" i="12"/>
  <c r="P57" i="12"/>
  <c r="Q57" i="12" s="1"/>
  <c r="S57" i="12" s="1"/>
  <c r="L57" i="12"/>
  <c r="J57" i="12"/>
  <c r="K57" i="12" s="1"/>
  <c r="X56" i="12"/>
  <c r="W56" i="12"/>
  <c r="Y56" i="12" s="1"/>
  <c r="R56" i="12"/>
  <c r="P56" i="12"/>
  <c r="Q56" i="12" s="1"/>
  <c r="S56" i="12" s="1"/>
  <c r="L56" i="12"/>
  <c r="J56" i="12"/>
  <c r="K56" i="12" s="1"/>
  <c r="X55" i="12"/>
  <c r="V55" i="12"/>
  <c r="W55" i="12" s="1"/>
  <c r="Y55" i="12" s="1"/>
  <c r="R55" i="12"/>
  <c r="P55" i="12"/>
  <c r="Q55" i="12" s="1"/>
  <c r="S55" i="12" s="1"/>
  <c r="L55" i="12"/>
  <c r="J55" i="12"/>
  <c r="K55" i="12" s="1"/>
  <c r="X54" i="12"/>
  <c r="V54" i="12"/>
  <c r="W54" i="12" s="1"/>
  <c r="Y54" i="12" s="1"/>
  <c r="R54" i="12"/>
  <c r="P54" i="12"/>
  <c r="Q54" i="12" s="1"/>
  <c r="S54" i="12" s="1"/>
  <c r="L54" i="12"/>
  <c r="J54" i="12"/>
  <c r="K54" i="12" s="1"/>
  <c r="X53" i="12"/>
  <c r="V53" i="12"/>
  <c r="W53" i="12" s="1"/>
  <c r="Y53" i="12" s="1"/>
  <c r="R53" i="12"/>
  <c r="P53" i="12"/>
  <c r="Q53" i="12" s="1"/>
  <c r="S53" i="12" s="1"/>
  <c r="L53" i="12"/>
  <c r="J53" i="12"/>
  <c r="K53" i="12" s="1"/>
  <c r="X52" i="12"/>
  <c r="W52" i="12"/>
  <c r="Y52" i="12" s="1"/>
  <c r="R52" i="12"/>
  <c r="P52" i="12"/>
  <c r="Q52" i="12" s="1"/>
  <c r="S52" i="12" s="1"/>
  <c r="L52" i="12"/>
  <c r="J52" i="12"/>
  <c r="K52" i="12" s="1"/>
  <c r="X51" i="12"/>
  <c r="V51" i="12"/>
  <c r="W51" i="12" s="1"/>
  <c r="Y51" i="12" s="1"/>
  <c r="R51" i="12"/>
  <c r="P51" i="12"/>
  <c r="Q51" i="12" s="1"/>
  <c r="S51" i="12" s="1"/>
  <c r="L51" i="12"/>
  <c r="J51" i="12"/>
  <c r="K51" i="12" s="1"/>
  <c r="X50" i="12"/>
  <c r="V50" i="12"/>
  <c r="W50" i="12" s="1"/>
  <c r="Y50" i="12" s="1"/>
  <c r="R50" i="12"/>
  <c r="P50" i="12"/>
  <c r="Q50" i="12" s="1"/>
  <c r="S50" i="12" s="1"/>
  <c r="L50" i="12"/>
  <c r="J50" i="12"/>
  <c r="K50" i="12" s="1"/>
  <c r="X49" i="12"/>
  <c r="V49" i="12"/>
  <c r="W49" i="12" s="1"/>
  <c r="Y49" i="12" s="1"/>
  <c r="R49" i="12"/>
  <c r="P49" i="12"/>
  <c r="Q49" i="12" s="1"/>
  <c r="S49" i="12" s="1"/>
  <c r="L49" i="12"/>
  <c r="J49" i="12"/>
  <c r="K49" i="12" s="1"/>
  <c r="R48" i="12"/>
  <c r="P48" i="12"/>
  <c r="Q48" i="12" s="1"/>
  <c r="S48" i="12" s="1"/>
  <c r="L48" i="12"/>
  <c r="J48" i="12"/>
  <c r="K48" i="12" s="1"/>
  <c r="X47" i="12"/>
  <c r="V47" i="12"/>
  <c r="W47" i="12" s="1"/>
  <c r="Y47" i="12" s="1"/>
  <c r="R47" i="12"/>
  <c r="P47" i="12"/>
  <c r="Q47" i="12" s="1"/>
  <c r="S47" i="12" s="1"/>
  <c r="L47" i="12"/>
  <c r="J47" i="12"/>
  <c r="K47" i="12" s="1"/>
  <c r="X46" i="12"/>
  <c r="V46" i="12"/>
  <c r="W46" i="12" s="1"/>
  <c r="Y46" i="12" s="1"/>
  <c r="R46" i="12"/>
  <c r="P46" i="12"/>
  <c r="Q46" i="12" s="1"/>
  <c r="S46" i="12" s="1"/>
  <c r="L46" i="12"/>
  <c r="J46" i="12"/>
  <c r="K46" i="12" s="1"/>
  <c r="R45" i="12"/>
  <c r="P45" i="12"/>
  <c r="Q45" i="12" s="1"/>
  <c r="L45" i="12"/>
  <c r="J45" i="12"/>
  <c r="K45" i="12" s="1"/>
  <c r="M45" i="12" s="1"/>
  <c r="R44" i="12"/>
  <c r="P44" i="12"/>
  <c r="Q44" i="12" s="1"/>
  <c r="S44" i="12" s="1"/>
  <c r="L44" i="12"/>
  <c r="J44" i="12"/>
  <c r="K44" i="12" s="1"/>
  <c r="X43" i="12"/>
  <c r="W43" i="12"/>
  <c r="Y43" i="12" s="1"/>
  <c r="R43" i="12"/>
  <c r="P43" i="12"/>
  <c r="Q43" i="12" s="1"/>
  <c r="S43" i="12" s="1"/>
  <c r="L43" i="12"/>
  <c r="J43" i="12"/>
  <c r="K43" i="12" s="1"/>
  <c r="X42" i="12"/>
  <c r="V42" i="12"/>
  <c r="W42" i="12" s="1"/>
  <c r="Y42" i="12" s="1"/>
  <c r="R42" i="12"/>
  <c r="P42" i="12"/>
  <c r="Q42" i="12" s="1"/>
  <c r="S42" i="12" s="1"/>
  <c r="L42" i="12"/>
  <c r="J42" i="12"/>
  <c r="K42" i="12" s="1"/>
  <c r="X41" i="12"/>
  <c r="W41" i="12"/>
  <c r="Y41" i="12" s="1"/>
  <c r="R41" i="12"/>
  <c r="P41" i="12"/>
  <c r="Q41" i="12" s="1"/>
  <c r="S41" i="12" s="1"/>
  <c r="L41" i="12"/>
  <c r="J41" i="12"/>
  <c r="K41" i="12" s="1"/>
  <c r="R40" i="12"/>
  <c r="P40" i="12"/>
  <c r="Q40" i="12" s="1"/>
  <c r="S40" i="12" s="1"/>
  <c r="L40" i="12"/>
  <c r="J40" i="12"/>
  <c r="K40" i="12" s="1"/>
  <c r="R39" i="12"/>
  <c r="P39" i="12"/>
  <c r="Q39" i="12" s="1"/>
  <c r="S39" i="12" s="1"/>
  <c r="L39" i="12"/>
  <c r="J39" i="12"/>
  <c r="K39" i="12" s="1"/>
  <c r="X38" i="12"/>
  <c r="W38" i="12"/>
  <c r="Y38" i="12" s="1"/>
  <c r="R38" i="12"/>
  <c r="P38" i="12"/>
  <c r="Q38" i="12" s="1"/>
  <c r="L38" i="12"/>
  <c r="J38" i="12"/>
  <c r="K38" i="12" s="1"/>
  <c r="M38" i="12" s="1"/>
  <c r="R37" i="12"/>
  <c r="P37" i="12"/>
  <c r="Q37" i="12" s="1"/>
  <c r="S37" i="12" s="1"/>
  <c r="L37" i="12"/>
  <c r="K37" i="12"/>
  <c r="M37" i="12" s="1"/>
  <c r="X36" i="12"/>
  <c r="V36" i="12"/>
  <c r="W36" i="12" s="1"/>
  <c r="Y36" i="12" s="1"/>
  <c r="R36" i="12"/>
  <c r="P36" i="12"/>
  <c r="Q36" i="12" s="1"/>
  <c r="S36" i="12" s="1"/>
  <c r="L36" i="12"/>
  <c r="J36" i="12"/>
  <c r="K36" i="12" s="1"/>
  <c r="X35" i="12"/>
  <c r="V35" i="12"/>
  <c r="W35" i="12" s="1"/>
  <c r="Y35" i="12" s="1"/>
  <c r="R35" i="12"/>
  <c r="P35" i="12"/>
  <c r="Q35" i="12" s="1"/>
  <c r="S35" i="12" s="1"/>
  <c r="L35" i="12"/>
  <c r="J35" i="12"/>
  <c r="K35" i="12" s="1"/>
  <c r="X34" i="12"/>
  <c r="V34" i="12"/>
  <c r="W34" i="12" s="1"/>
  <c r="Y34" i="12" s="1"/>
  <c r="R34" i="12"/>
  <c r="P34" i="12"/>
  <c r="Q34" i="12" s="1"/>
  <c r="S34" i="12" s="1"/>
  <c r="L34" i="12"/>
  <c r="J34" i="12"/>
  <c r="K34" i="12" s="1"/>
  <c r="X33" i="12"/>
  <c r="W33" i="12"/>
  <c r="Y33" i="12" s="1"/>
  <c r="R33" i="12"/>
  <c r="P33" i="12"/>
  <c r="Q33" i="12" s="1"/>
  <c r="S33" i="12" s="1"/>
  <c r="L33" i="12"/>
  <c r="J33" i="12"/>
  <c r="K33" i="12" s="1"/>
  <c r="X32" i="12"/>
  <c r="V32" i="12"/>
  <c r="W32" i="12" s="1"/>
  <c r="Y32" i="12" s="1"/>
  <c r="R32" i="12"/>
  <c r="P32" i="12"/>
  <c r="Q32" i="12" s="1"/>
  <c r="S32" i="12" s="1"/>
  <c r="L32" i="12"/>
  <c r="J32" i="12"/>
  <c r="K32" i="12" s="1"/>
  <c r="X31" i="12"/>
  <c r="V31" i="12"/>
  <c r="W31" i="12" s="1"/>
  <c r="Y31" i="12" s="1"/>
  <c r="R31" i="12"/>
  <c r="P31" i="12"/>
  <c r="Q31" i="12" s="1"/>
  <c r="S31" i="12" s="1"/>
  <c r="L31" i="12"/>
  <c r="J31" i="12"/>
  <c r="K31" i="12" s="1"/>
  <c r="X30" i="12"/>
  <c r="V30" i="12"/>
  <c r="W30" i="12" s="1"/>
  <c r="Y30" i="12" s="1"/>
  <c r="R30" i="12"/>
  <c r="P30" i="12"/>
  <c r="Q30" i="12" s="1"/>
  <c r="S30" i="12" s="1"/>
  <c r="L30" i="12"/>
  <c r="J30" i="12"/>
  <c r="K30" i="12" s="1"/>
  <c r="X29" i="12"/>
  <c r="V29" i="12"/>
  <c r="W29" i="12" s="1"/>
  <c r="Y29" i="12" s="1"/>
  <c r="R29" i="12"/>
  <c r="P29" i="12"/>
  <c r="Q29" i="12" s="1"/>
  <c r="S29" i="12" s="1"/>
  <c r="L29" i="12"/>
  <c r="J29" i="12"/>
  <c r="K29" i="12" s="1"/>
  <c r="X28" i="12"/>
  <c r="V28" i="12"/>
  <c r="W28" i="12" s="1"/>
  <c r="Y28" i="12" s="1"/>
  <c r="R28" i="12"/>
  <c r="P28" i="12"/>
  <c r="Q28" i="12" s="1"/>
  <c r="S28" i="12" s="1"/>
  <c r="L28" i="12"/>
  <c r="J28" i="12"/>
  <c r="K28" i="12" s="1"/>
  <c r="X27" i="12"/>
  <c r="V27" i="12"/>
  <c r="W27" i="12" s="1"/>
  <c r="Y27" i="12" s="1"/>
  <c r="R27" i="12"/>
  <c r="P27" i="12"/>
  <c r="Q27" i="12" s="1"/>
  <c r="S27" i="12" s="1"/>
  <c r="L27" i="12"/>
  <c r="J27" i="12"/>
  <c r="K27" i="12" s="1"/>
  <c r="X26" i="12"/>
  <c r="V26" i="12"/>
  <c r="W26" i="12" s="1"/>
  <c r="Y26" i="12" s="1"/>
  <c r="R26" i="12"/>
  <c r="P26" i="12"/>
  <c r="Q26" i="12" s="1"/>
  <c r="S26" i="12" s="1"/>
  <c r="L26" i="12"/>
  <c r="J26" i="12"/>
  <c r="K26" i="12" s="1"/>
  <c r="X25" i="12"/>
  <c r="V25" i="12"/>
  <c r="W25" i="12" s="1"/>
  <c r="Y25" i="12" s="1"/>
  <c r="R25" i="12"/>
  <c r="P25" i="12"/>
  <c r="Q25" i="12" s="1"/>
  <c r="S25" i="12" s="1"/>
  <c r="L25" i="12"/>
  <c r="J25" i="12"/>
  <c r="K25" i="12" s="1"/>
  <c r="X24" i="12"/>
  <c r="V24" i="12"/>
  <c r="W24" i="12" s="1"/>
  <c r="Y24" i="12" s="1"/>
  <c r="R24" i="12"/>
  <c r="P24" i="12"/>
  <c r="Q24" i="12" s="1"/>
  <c r="S24" i="12" s="1"/>
  <c r="L24" i="12"/>
  <c r="J24" i="12"/>
  <c r="K24" i="12" s="1"/>
  <c r="X23" i="12"/>
  <c r="W23" i="12"/>
  <c r="Y23" i="12" s="1"/>
  <c r="R23" i="12"/>
  <c r="P23" i="12"/>
  <c r="Q23" i="12" s="1"/>
  <c r="S23" i="12" s="1"/>
  <c r="L23" i="12"/>
  <c r="J23" i="12"/>
  <c r="K23" i="12" s="1"/>
  <c r="R22" i="12"/>
  <c r="P22" i="12"/>
  <c r="Q22" i="12" s="1"/>
  <c r="S22" i="12" s="1"/>
  <c r="L22" i="12"/>
  <c r="J22" i="12"/>
  <c r="K22" i="12" s="1"/>
  <c r="R21" i="12"/>
  <c r="P21" i="12"/>
  <c r="Q21" i="12" s="1"/>
  <c r="S21" i="12" s="1"/>
  <c r="L21" i="12"/>
  <c r="J21" i="12"/>
  <c r="K21" i="12" s="1"/>
  <c r="X20" i="12"/>
  <c r="W20" i="12"/>
  <c r="Y20" i="12" s="1"/>
  <c r="R20" i="12"/>
  <c r="P20" i="12"/>
  <c r="Q20" i="12" s="1"/>
  <c r="L20" i="12"/>
  <c r="J20" i="12"/>
  <c r="K20" i="12" s="1"/>
  <c r="M20" i="12" s="1"/>
  <c r="R19" i="12"/>
  <c r="P19" i="12"/>
  <c r="Q19" i="12" s="1"/>
  <c r="S19" i="12" s="1"/>
  <c r="L19" i="12"/>
  <c r="K19" i="12"/>
  <c r="M19" i="12" s="1"/>
  <c r="X18" i="12"/>
  <c r="V18" i="12"/>
  <c r="W18" i="12" s="1"/>
  <c r="Y18" i="12" s="1"/>
  <c r="R18" i="12"/>
  <c r="P18" i="12"/>
  <c r="Q18" i="12" s="1"/>
  <c r="S18" i="12" s="1"/>
  <c r="L18" i="12"/>
  <c r="J18" i="12"/>
  <c r="K18" i="12" s="1"/>
  <c r="X17" i="12"/>
  <c r="W17" i="12"/>
  <c r="Y17" i="12" s="1"/>
  <c r="R17" i="12"/>
  <c r="P17" i="12"/>
  <c r="Q17" i="12" s="1"/>
  <c r="S17" i="12" s="1"/>
  <c r="L17" i="12"/>
  <c r="J17" i="12"/>
  <c r="K17" i="12" s="1"/>
  <c r="X16" i="12"/>
  <c r="V16" i="12"/>
  <c r="W16" i="12" s="1"/>
  <c r="Y16" i="12" s="1"/>
  <c r="R16" i="12"/>
  <c r="P16" i="12"/>
  <c r="Q16" i="12" s="1"/>
  <c r="S16" i="12" s="1"/>
  <c r="L16" i="12"/>
  <c r="J16" i="12"/>
  <c r="K16" i="12" s="1"/>
  <c r="X15" i="12"/>
  <c r="V15" i="12"/>
  <c r="W15" i="12" s="1"/>
  <c r="Y15" i="12" s="1"/>
  <c r="R15" i="12"/>
  <c r="P15" i="12"/>
  <c r="Q15" i="12" s="1"/>
  <c r="S15" i="12" s="1"/>
  <c r="L15" i="12"/>
  <c r="J15" i="12"/>
  <c r="K15" i="12" s="1"/>
  <c r="X14" i="12"/>
  <c r="V14" i="12"/>
  <c r="W14" i="12" s="1"/>
  <c r="Y14" i="12" s="1"/>
  <c r="R14" i="12"/>
  <c r="P14" i="12"/>
  <c r="Q14" i="12" s="1"/>
  <c r="S14" i="12" s="1"/>
  <c r="L14" i="12"/>
  <c r="J14" i="12"/>
  <c r="K14" i="12" s="1"/>
  <c r="X13" i="12"/>
  <c r="V13" i="12"/>
  <c r="W13" i="12" s="1"/>
  <c r="Y13" i="12" s="1"/>
  <c r="R13" i="12"/>
  <c r="P13" i="12"/>
  <c r="Q13" i="12" s="1"/>
  <c r="S13" i="12" s="1"/>
  <c r="L13" i="12"/>
  <c r="J13" i="12"/>
  <c r="K13" i="12" s="1"/>
  <c r="X12" i="12"/>
  <c r="V12" i="12"/>
  <c r="W12" i="12" s="1"/>
  <c r="Y12" i="12" s="1"/>
  <c r="R12" i="12"/>
  <c r="P12" i="12"/>
  <c r="Q12" i="12" s="1"/>
  <c r="S12" i="12" s="1"/>
  <c r="L12" i="12"/>
  <c r="J12" i="12"/>
  <c r="K12" i="12" s="1"/>
  <c r="X11" i="12"/>
  <c r="V11" i="12"/>
  <c r="W11" i="12" s="1"/>
  <c r="Y11" i="12" s="1"/>
  <c r="R11" i="12"/>
  <c r="P11" i="12"/>
  <c r="Q11" i="12" s="1"/>
  <c r="S11" i="12" s="1"/>
  <c r="L11" i="12"/>
  <c r="J11" i="12"/>
  <c r="K11" i="12" s="1"/>
  <c r="M88" i="4" l="1"/>
  <c r="AB88" i="4" s="1"/>
  <c r="Z88" i="4"/>
  <c r="AA88" i="4" s="1"/>
  <c r="AC88" i="4" s="1"/>
  <c r="M86" i="4"/>
  <c r="AB86" i="4" s="1"/>
  <c r="Z86" i="4"/>
  <c r="AA86" i="4" s="1"/>
  <c r="M93" i="4"/>
  <c r="BE93" i="4"/>
  <c r="AU45" i="4"/>
  <c r="AU66" i="4"/>
  <c r="AU58" i="4"/>
  <c r="AU40" i="4"/>
  <c r="AE6" i="14"/>
  <c r="AF6" i="14" s="1"/>
  <c r="AH6" i="14" s="1"/>
  <c r="BB105" i="4"/>
  <c r="AY100" i="4"/>
  <c r="J100" i="4"/>
  <c r="K100" i="4" s="1"/>
  <c r="AZ100" i="4"/>
  <c r="AR6" i="14"/>
  <c r="AS6" i="14" s="1"/>
  <c r="AU6" i="14" s="1"/>
  <c r="AE89" i="14"/>
  <c r="AF89" i="14" s="1"/>
  <c r="AH89" i="14" s="1"/>
  <c r="BB104" i="4"/>
  <c r="BE100" i="4"/>
  <c r="AR89" i="14"/>
  <c r="AS89" i="14" s="1"/>
  <c r="AU89" i="14" s="1"/>
  <c r="R157" i="14"/>
  <c r="S157" i="14" s="1"/>
  <c r="U157" i="14" s="1"/>
  <c r="AZ101" i="4"/>
  <c r="Z73" i="12"/>
  <c r="AA73" i="12" s="1"/>
  <c r="J104" i="4"/>
  <c r="K104" i="4" s="1"/>
  <c r="AY104" i="4"/>
  <c r="P101" i="4"/>
  <c r="BE101" i="4"/>
  <c r="R119" i="14"/>
  <c r="S119" i="14" s="1"/>
  <c r="AS85" i="4" s="1"/>
  <c r="AZ103" i="4"/>
  <c r="J84" i="4"/>
  <c r="K84" i="4" s="1"/>
  <c r="AZ102" i="4"/>
  <c r="R3" i="14"/>
  <c r="S3" i="14" s="1"/>
  <c r="AZ106" i="4"/>
  <c r="AE119" i="14"/>
  <c r="AF119" i="14" s="1"/>
  <c r="AH119" i="14" s="1"/>
  <c r="BB103" i="4"/>
  <c r="AE166" i="14"/>
  <c r="AF166" i="14" s="1"/>
  <c r="AH166" i="14" s="1"/>
  <c r="BB102" i="4"/>
  <c r="BE106" i="4"/>
  <c r="R6" i="14"/>
  <c r="S6" i="14" s="1"/>
  <c r="U6" i="14" s="1"/>
  <c r="AZ105" i="4"/>
  <c r="AE3" i="14"/>
  <c r="AF3" i="14" s="1"/>
  <c r="AH3" i="14" s="1"/>
  <c r="BB106" i="4"/>
  <c r="AR119" i="14"/>
  <c r="AS119" i="14" s="1"/>
  <c r="AU119" i="14" s="1"/>
  <c r="AE116" i="14"/>
  <c r="AF116" i="14" s="1"/>
  <c r="AH116" i="14" s="1"/>
  <c r="BH88" i="4"/>
  <c r="AH205" i="14"/>
  <c r="AU22" i="4"/>
  <c r="BF85" i="4"/>
  <c r="R107" i="14"/>
  <c r="S107" i="14" s="1"/>
  <c r="AS17" i="4" s="1"/>
  <c r="AE107" i="14"/>
  <c r="AF107" i="14" s="1"/>
  <c r="Z66" i="12"/>
  <c r="AA66" i="12" s="1"/>
  <c r="Z52" i="12"/>
  <c r="AA52" i="12" s="1"/>
  <c r="BH87" i="4"/>
  <c r="Z56" i="12"/>
  <c r="AA56" i="12" s="1"/>
  <c r="BH90" i="4"/>
  <c r="BF89" i="4"/>
  <c r="P83" i="4"/>
  <c r="Q83" i="4" s="1"/>
  <c r="S83" i="4" s="1"/>
  <c r="AS90" i="4"/>
  <c r="AU90" i="4"/>
  <c r="AU83" i="4"/>
  <c r="BH84" i="4"/>
  <c r="AW83" i="4"/>
  <c r="AU82" i="4"/>
  <c r="BG82" i="4" s="1"/>
  <c r="BH86" i="4"/>
  <c r="BH82" i="4"/>
  <c r="Z43" i="12"/>
  <c r="AA43" i="12" s="1"/>
  <c r="AB37" i="12"/>
  <c r="BD84" i="4"/>
  <c r="P89" i="4"/>
  <c r="Q89" i="4" s="1"/>
  <c r="S89" i="4" s="1"/>
  <c r="BD90" i="4"/>
  <c r="BH89" i="4"/>
  <c r="BD87" i="4"/>
  <c r="BD89" i="4"/>
  <c r="BF88" i="4"/>
  <c r="BF86" i="4"/>
  <c r="BH83" i="4"/>
  <c r="BH85" i="4"/>
  <c r="J89" i="4"/>
  <c r="K89" i="4" s="1"/>
  <c r="BD88" i="4"/>
  <c r="BD86" i="4"/>
  <c r="BF83" i="4"/>
  <c r="BF82" i="4"/>
  <c r="BD83" i="4"/>
  <c r="BD85" i="4"/>
  <c r="BD82" i="4"/>
  <c r="BF84" i="4"/>
  <c r="BF90" i="4"/>
  <c r="BF87" i="4"/>
  <c r="J87" i="4"/>
  <c r="K87" i="4" s="1"/>
  <c r="J90" i="4"/>
  <c r="K90" i="4" s="1"/>
  <c r="AS142" i="14"/>
  <c r="AU142" i="14" s="1"/>
  <c r="AF228" i="14"/>
  <c r="AH228" i="14" s="1"/>
  <c r="AW228" i="14" s="1"/>
  <c r="Z51" i="12"/>
  <c r="AA51" i="12" s="1"/>
  <c r="Z49" i="12"/>
  <c r="AA49" i="12" s="1"/>
  <c r="Z53" i="12"/>
  <c r="AA53" i="12" s="1"/>
  <c r="Z14" i="12"/>
  <c r="AA14" i="12" s="1"/>
  <c r="Z12" i="12"/>
  <c r="AA12" i="12" s="1"/>
  <c r="AB19" i="12"/>
  <c r="Z79" i="12"/>
  <c r="AA79" i="12" s="1"/>
  <c r="AF7" i="14"/>
  <c r="AH7" i="14" s="1"/>
  <c r="AS217" i="14"/>
  <c r="AU217" i="14" s="1"/>
  <c r="AF223" i="14"/>
  <c r="AH223" i="14" s="1"/>
  <c r="AS107" i="14"/>
  <c r="AU107" i="14" s="1"/>
  <c r="AS10" i="14"/>
  <c r="AU10" i="14" s="1"/>
  <c r="AF221" i="14"/>
  <c r="AH221" i="14" s="1"/>
  <c r="AS247" i="14"/>
  <c r="AU247" i="14" s="1"/>
  <c r="AS103" i="14"/>
  <c r="AU103" i="14" s="1"/>
  <c r="S138" i="14"/>
  <c r="U138" i="14" s="1"/>
  <c r="AF219" i="14"/>
  <c r="AH219" i="14" s="1"/>
  <c r="S225" i="14"/>
  <c r="U225" i="14" s="1"/>
  <c r="AS226" i="14"/>
  <c r="AU226" i="14" s="1"/>
  <c r="AF138" i="14"/>
  <c r="AH138" i="14" s="1"/>
  <c r="AU108" i="4"/>
  <c r="S222" i="14"/>
  <c r="U222" i="14" s="1"/>
  <c r="S128" i="14"/>
  <c r="AV128" i="14" s="1"/>
  <c r="AS218" i="14"/>
  <c r="AU218" i="14" s="1"/>
  <c r="AF224" i="14"/>
  <c r="AH224" i="14" s="1"/>
  <c r="Z42" i="12"/>
  <c r="AA42" i="12" s="1"/>
  <c r="Z81" i="12"/>
  <c r="AA81" i="12" s="1"/>
  <c r="Z50" i="12"/>
  <c r="AA50" i="12" s="1"/>
  <c r="Z80" i="12"/>
  <c r="AA80" i="12" s="1"/>
  <c r="Z87" i="12"/>
  <c r="AA87" i="12" s="1"/>
  <c r="Z88" i="12"/>
  <c r="AA88" i="12" s="1"/>
  <c r="Z91" i="12"/>
  <c r="AA91" i="12" s="1"/>
  <c r="Z19" i="12"/>
  <c r="AA19" i="12" s="1"/>
  <c r="AF126" i="14"/>
  <c r="AH126" i="14" s="1"/>
  <c r="AS245" i="14"/>
  <c r="AU245" i="14" s="1"/>
  <c r="AU20" i="4"/>
  <c r="AU52" i="4"/>
  <c r="AS184" i="14"/>
  <c r="AU184" i="14" s="1"/>
  <c r="AS246" i="14"/>
  <c r="AU246" i="14" s="1"/>
  <c r="AS20" i="14"/>
  <c r="AU20" i="14" s="1"/>
  <c r="AF136" i="14"/>
  <c r="AH136" i="14" s="1"/>
  <c r="S221" i="14"/>
  <c r="S223" i="14"/>
  <c r="U223" i="14" s="1"/>
  <c r="AS224" i="14"/>
  <c r="AU224" i="14" s="1"/>
  <c r="AF247" i="14"/>
  <c r="AH247" i="14" s="1"/>
  <c r="AH101" i="14"/>
  <c r="AU16" i="4"/>
  <c r="AU19" i="4"/>
  <c r="AU37" i="4"/>
  <c r="AS50" i="4"/>
  <c r="AS12" i="4"/>
  <c r="AS54" i="4"/>
  <c r="AS62" i="4"/>
  <c r="AS26" i="4"/>
  <c r="R51" i="14"/>
  <c r="S51" i="14" s="1"/>
  <c r="U51" i="14" s="1"/>
  <c r="S217" i="14"/>
  <c r="U217" i="14" s="1"/>
  <c r="S226" i="14"/>
  <c r="U226" i="14" s="1"/>
  <c r="AW37" i="4"/>
  <c r="BI37" i="4" s="1"/>
  <c r="AO19" i="4"/>
  <c r="AS15" i="4"/>
  <c r="S17" i="14"/>
  <c r="AS135" i="14"/>
  <c r="AU135" i="14" s="1"/>
  <c r="S219" i="14"/>
  <c r="U219" i="14" s="1"/>
  <c r="AF226" i="14"/>
  <c r="AH226" i="14" s="1"/>
  <c r="S230" i="14"/>
  <c r="U230" i="14" s="1"/>
  <c r="AU64" i="4"/>
  <c r="AU38" i="4"/>
  <c r="AS133" i="14"/>
  <c r="AU133" i="14" s="1"/>
  <c r="AU33" i="4"/>
  <c r="BA19" i="4"/>
  <c r="AZ19" i="4"/>
  <c r="R73" i="14"/>
  <c r="S73" i="14" s="1"/>
  <c r="AO37" i="4"/>
  <c r="AS140" i="14"/>
  <c r="AU140" i="14" s="1"/>
  <c r="S178" i="14"/>
  <c r="U178" i="14" s="1"/>
  <c r="AF123" i="14"/>
  <c r="AH123" i="14" s="1"/>
  <c r="R166" i="14"/>
  <c r="AE11" i="14"/>
  <c r="AF11" i="14" s="1"/>
  <c r="R4" i="14"/>
  <c r="S4" i="14" s="1"/>
  <c r="U4" i="14" s="1"/>
  <c r="S218" i="14"/>
  <c r="U218" i="14" s="1"/>
  <c r="AF225" i="14"/>
  <c r="AH225" i="14" s="1"/>
  <c r="AS11" i="14"/>
  <c r="AF141" i="14"/>
  <c r="AH141" i="14" s="1"/>
  <c r="S220" i="14"/>
  <c r="S227" i="14"/>
  <c r="U227" i="14" s="1"/>
  <c r="R8" i="14"/>
  <c r="S8" i="14" s="1"/>
  <c r="U8" i="14" s="1"/>
  <c r="AS95" i="14"/>
  <c r="AU95" i="14" s="1"/>
  <c r="AF103" i="14"/>
  <c r="AH103" i="14" s="1"/>
  <c r="AS141" i="14"/>
  <c r="AU141" i="14" s="1"/>
  <c r="AS225" i="14"/>
  <c r="AU225" i="14" s="1"/>
  <c r="S74" i="14"/>
  <c r="U74" i="14" s="1"/>
  <c r="AS222" i="14"/>
  <c r="AU222" i="14" s="1"/>
  <c r="AS227" i="14"/>
  <c r="AU227" i="14" s="1"/>
  <c r="AS223" i="14"/>
  <c r="AU223" i="14" s="1"/>
  <c r="AF4" i="14"/>
  <c r="AH4" i="14" s="1"/>
  <c r="R69" i="14"/>
  <c r="S69" i="14" s="1"/>
  <c r="U69" i="14" s="1"/>
  <c r="AR87" i="14"/>
  <c r="AS87" i="14" s="1"/>
  <c r="AU87" i="14" s="1"/>
  <c r="S91" i="14"/>
  <c r="U91" i="14" s="1"/>
  <c r="AS104" i="14"/>
  <c r="AU104" i="14" s="1"/>
  <c r="S108" i="14"/>
  <c r="U108" i="14" s="1"/>
  <c r="R116" i="14"/>
  <c r="S116" i="14" s="1"/>
  <c r="AS117" i="14"/>
  <c r="AE124" i="14"/>
  <c r="AF124" i="14" s="1"/>
  <c r="AH124" i="14" s="1"/>
  <c r="S144" i="14"/>
  <c r="U144" i="14" s="1"/>
  <c r="AR156" i="14"/>
  <c r="AS156" i="14" s="1"/>
  <c r="AU156" i="14" s="1"/>
  <c r="AF183" i="14"/>
  <c r="AH183" i="14" s="1"/>
  <c r="AF186" i="14"/>
  <c r="AH186" i="14" s="1"/>
  <c r="AF218" i="14"/>
  <c r="AH218" i="14" s="1"/>
  <c r="AF222" i="14"/>
  <c r="AH222" i="14" s="1"/>
  <c r="R117" i="14"/>
  <c r="S117" i="14" s="1"/>
  <c r="S133" i="14"/>
  <c r="U133" i="14" s="1"/>
  <c r="AS12" i="14"/>
  <c r="AR15" i="14"/>
  <c r="AE54" i="14"/>
  <c r="AF54" i="14" s="1"/>
  <c r="R59" i="14"/>
  <c r="S59" i="14" s="1"/>
  <c r="U59" i="14" s="1"/>
  <c r="AS60" i="14"/>
  <c r="AU60" i="14" s="1"/>
  <c r="AF108" i="14"/>
  <c r="AH108" i="14" s="1"/>
  <c r="AE114" i="14"/>
  <c r="AF114" i="14" s="1"/>
  <c r="AH114" i="14" s="1"/>
  <c r="AR126" i="14"/>
  <c r="AS126" i="14" s="1"/>
  <c r="AU126" i="14" s="1"/>
  <c r="R146" i="14"/>
  <c r="S146" i="14" s="1"/>
  <c r="U146" i="14" s="1"/>
  <c r="R148" i="14"/>
  <c r="S148" i="14" s="1"/>
  <c r="U148" i="14" s="1"/>
  <c r="S152" i="14"/>
  <c r="U152" i="14" s="1"/>
  <c r="AR170" i="14"/>
  <c r="AS170" i="14" s="1"/>
  <c r="AR188" i="14"/>
  <c r="AS188" i="14" s="1"/>
  <c r="AS203" i="14"/>
  <c r="AU203" i="14" s="1"/>
  <c r="AF220" i="14"/>
  <c r="AH220" i="14" s="1"/>
  <c r="S224" i="14"/>
  <c r="U224" i="14" s="1"/>
  <c r="AE73" i="14"/>
  <c r="AF73" i="14" s="1"/>
  <c r="AH73" i="14" s="1"/>
  <c r="T17" i="14"/>
  <c r="AS9" i="14"/>
  <c r="AU9" i="14" s="1"/>
  <c r="AF27" i="14"/>
  <c r="AH27" i="14" s="1"/>
  <c r="AF162" i="14"/>
  <c r="AH162" i="14" s="1"/>
  <c r="AF96" i="14"/>
  <c r="AH96" i="14" s="1"/>
  <c r="AF169" i="14"/>
  <c r="AH169" i="14" s="1"/>
  <c r="AR199" i="14"/>
  <c r="AF227" i="14"/>
  <c r="S18" i="14"/>
  <c r="R93" i="14"/>
  <c r="S93" i="14" s="1"/>
  <c r="U93" i="14" s="1"/>
  <c r="S95" i="14"/>
  <c r="U95" i="14" s="1"/>
  <c r="AF98" i="14"/>
  <c r="AH98" i="14" s="1"/>
  <c r="AF100" i="14"/>
  <c r="AH100" i="14" s="1"/>
  <c r="AF118" i="14"/>
  <c r="AH118" i="14" s="1"/>
  <c r="S122" i="14"/>
  <c r="U122" i="14" s="1"/>
  <c r="AR178" i="14"/>
  <c r="AS178" i="14" s="1"/>
  <c r="S207" i="14"/>
  <c r="U207" i="14" s="1"/>
  <c r="AF217" i="14"/>
  <c r="AH217" i="14" s="1"/>
  <c r="AS8" i="14"/>
  <c r="AU8" i="14" s="1"/>
  <c r="AR18" i="14"/>
  <c r="S46" i="14"/>
  <c r="U46" i="14" s="1"/>
  <c r="AE58" i="14"/>
  <c r="AF58" i="14" s="1"/>
  <c r="AH58" i="14" s="1"/>
  <c r="AS59" i="14"/>
  <c r="AU59" i="14" s="1"/>
  <c r="AE67" i="14"/>
  <c r="AF67" i="14" s="1"/>
  <c r="AH67" i="14" s="1"/>
  <c r="S165" i="14"/>
  <c r="U165" i="14" s="1"/>
  <c r="R179" i="14"/>
  <c r="S179" i="14" s="1"/>
  <c r="U179" i="14" s="1"/>
  <c r="R198" i="14"/>
  <c r="T198" i="14" s="1"/>
  <c r="AE173" i="14"/>
  <c r="AF173" i="14" s="1"/>
  <c r="AH173" i="14" s="1"/>
  <c r="AE189" i="14"/>
  <c r="AF189" i="14" s="1"/>
  <c r="AH189" i="14" s="1"/>
  <c r="R82" i="14"/>
  <c r="S82" i="14" s="1"/>
  <c r="S247" i="14"/>
  <c r="U247" i="14" s="1"/>
  <c r="AR5" i="14"/>
  <c r="AS5" i="14" s="1"/>
  <c r="AU5" i="14" s="1"/>
  <c r="AS14" i="14"/>
  <c r="AU14" i="14" s="1"/>
  <c r="AF20" i="14"/>
  <c r="AH20" i="14" s="1"/>
  <c r="AS51" i="14"/>
  <c r="AU51" i="14" s="1"/>
  <c r="AE55" i="14"/>
  <c r="AF55" i="14" s="1"/>
  <c r="R87" i="14"/>
  <c r="S87" i="14" s="1"/>
  <c r="U87" i="14" s="1"/>
  <c r="R112" i="14"/>
  <c r="S112" i="14" s="1"/>
  <c r="U112" i="14" s="1"/>
  <c r="AE133" i="14"/>
  <c r="AF133" i="14" s="1"/>
  <c r="AH133" i="14" s="1"/>
  <c r="AS143" i="14"/>
  <c r="AU143" i="14" s="1"/>
  <c r="S161" i="14"/>
  <c r="U161" i="14" s="1"/>
  <c r="S228" i="14"/>
  <c r="U228" i="14" s="1"/>
  <c r="S236" i="14"/>
  <c r="U236" i="14" s="1"/>
  <c r="R90" i="14"/>
  <c r="S90" i="14" s="1"/>
  <c r="U90" i="14" s="1"/>
  <c r="AF177" i="14"/>
  <c r="AH177" i="14" s="1"/>
  <c r="R243" i="14"/>
  <c r="S243" i="14" s="1"/>
  <c r="AE16" i="14"/>
  <c r="AG16" i="14" s="1"/>
  <c r="AE102" i="14"/>
  <c r="AF102" i="14" s="1"/>
  <c r="AH102" i="14" s="1"/>
  <c r="AF175" i="14"/>
  <c r="AE191" i="14"/>
  <c r="AF191" i="14" s="1"/>
  <c r="AH191" i="14" s="1"/>
  <c r="AE202" i="14"/>
  <c r="AF202" i="14" s="1"/>
  <c r="AH202" i="14" s="1"/>
  <c r="AE46" i="14"/>
  <c r="AF46" i="14" s="1"/>
  <c r="AH46" i="14" s="1"/>
  <c r="AS58" i="14"/>
  <c r="AU58" i="14" s="1"/>
  <c r="AE72" i="14"/>
  <c r="AF72" i="14" s="1"/>
  <c r="AH72" i="14" s="1"/>
  <c r="R92" i="14"/>
  <c r="S92" i="14" s="1"/>
  <c r="U92" i="14" s="1"/>
  <c r="AE149" i="14"/>
  <c r="AF149" i="14" s="1"/>
  <c r="AH149" i="14" s="1"/>
  <c r="AE181" i="14"/>
  <c r="AF181" i="14" s="1"/>
  <c r="AH181" i="14" s="1"/>
  <c r="AH198" i="14"/>
  <c r="AR237" i="14"/>
  <c r="AS237" i="14" s="1"/>
  <c r="AW90" i="4" s="1"/>
  <c r="AE51" i="14"/>
  <c r="AF51" i="14" s="1"/>
  <c r="AS7" i="14"/>
  <c r="AU7" i="14" s="1"/>
  <c r="R89" i="14"/>
  <c r="S89" i="14" s="1"/>
  <c r="U89" i="14" s="1"/>
  <c r="S103" i="14"/>
  <c r="AF159" i="14"/>
  <c r="AH159" i="14" s="1"/>
  <c r="U85" i="14"/>
  <c r="U88" i="14"/>
  <c r="U55" i="14"/>
  <c r="U19" i="14"/>
  <c r="U27" i="14"/>
  <c r="U11" i="14"/>
  <c r="AF82" i="14"/>
  <c r="AH82" i="14" s="1"/>
  <c r="U100" i="14"/>
  <c r="U155" i="14"/>
  <c r="AE59" i="14"/>
  <c r="AF59" i="14" s="1"/>
  <c r="AE95" i="14"/>
  <c r="AF95" i="14" s="1"/>
  <c r="U118" i="14"/>
  <c r="U160" i="14"/>
  <c r="AH8" i="14"/>
  <c r="AE17" i="14"/>
  <c r="AF17" i="14" s="1"/>
  <c r="AH17" i="14" s="1"/>
  <c r="R66" i="14"/>
  <c r="S66" i="14" s="1"/>
  <c r="U102" i="14"/>
  <c r="AR54" i="14"/>
  <c r="AS54" i="14" s="1"/>
  <c r="AR98" i="14"/>
  <c r="AS98" i="14" s="1"/>
  <c r="AU98" i="14" s="1"/>
  <c r="U125" i="14"/>
  <c r="AV125" i="14"/>
  <c r="R16" i="14"/>
  <c r="T16" i="14" s="1"/>
  <c r="U94" i="14"/>
  <c r="AR100" i="14"/>
  <c r="AS100" i="14" s="1"/>
  <c r="AU100" i="14" s="1"/>
  <c r="AV113" i="14"/>
  <c r="AH113" i="14"/>
  <c r="AW113" i="14" s="1"/>
  <c r="U115" i="14"/>
  <c r="AV115" i="14"/>
  <c r="AX83" i="4" s="1"/>
  <c r="R15" i="14"/>
  <c r="T15" i="14" s="1"/>
  <c r="R56" i="14"/>
  <c r="S56" i="14" s="1"/>
  <c r="AF91" i="14"/>
  <c r="AH91" i="14" s="1"/>
  <c r="AU123" i="14"/>
  <c r="AU17" i="14"/>
  <c r="AS17" i="14"/>
  <c r="R14" i="14"/>
  <c r="S14" i="14" s="1"/>
  <c r="AR88" i="14"/>
  <c r="AS88" i="14" s="1"/>
  <c r="AU88" i="14" s="1"/>
  <c r="U99" i="14"/>
  <c r="AH15" i="14"/>
  <c r="AF15" i="14"/>
  <c r="S60" i="14"/>
  <c r="AE75" i="14"/>
  <c r="AF75" i="14" s="1"/>
  <c r="AH75" i="14" s="1"/>
  <c r="AE87" i="14"/>
  <c r="AF87" i="14" s="1"/>
  <c r="U101" i="14"/>
  <c r="U126" i="14"/>
  <c r="R12" i="14"/>
  <c r="S12" i="14" s="1"/>
  <c r="AE65" i="14"/>
  <c r="AF65" i="14" s="1"/>
  <c r="U96" i="14"/>
  <c r="AH117" i="14"/>
  <c r="U124" i="14"/>
  <c r="AR27" i="14"/>
  <c r="AS27" i="14" s="1"/>
  <c r="R67" i="14"/>
  <c r="S67" i="14" s="1"/>
  <c r="R10" i="14"/>
  <c r="S10" i="14" s="1"/>
  <c r="S9" i="14"/>
  <c r="AE19" i="14"/>
  <c r="AF19" i="14" s="1"/>
  <c r="AS69" i="14"/>
  <c r="AU69" i="14" s="1"/>
  <c r="U114" i="14"/>
  <c r="R54" i="14"/>
  <c r="S54" i="14" s="1"/>
  <c r="AS77" i="4" s="1"/>
  <c r="AR3" i="14"/>
  <c r="AS3" i="14" s="1"/>
  <c r="AU3" i="14" s="1"/>
  <c r="AR4" i="14"/>
  <c r="AS4" i="14" s="1"/>
  <c r="S7" i="14"/>
  <c r="AF10" i="14"/>
  <c r="AH10" i="14" s="1"/>
  <c r="AE12" i="14"/>
  <c r="AF12" i="14" s="1"/>
  <c r="AE18" i="14"/>
  <c r="AF18" i="14" s="1"/>
  <c r="R58" i="14"/>
  <c r="S58" i="14" s="1"/>
  <c r="AR90" i="14"/>
  <c r="AS90" i="14" s="1"/>
  <c r="AU90" i="14" s="1"/>
  <c r="AE93" i="14"/>
  <c r="AF93" i="14" s="1"/>
  <c r="U98" i="14"/>
  <c r="U111" i="14"/>
  <c r="AV111" i="14"/>
  <c r="U136" i="14"/>
  <c r="AS19" i="14"/>
  <c r="AU19" i="14" s="1"/>
  <c r="AR85" i="14"/>
  <c r="AS85" i="14" s="1"/>
  <c r="AU85" i="14" s="1"/>
  <c r="AR96" i="14"/>
  <c r="AS96" i="14" s="1"/>
  <c r="AU96" i="14" s="1"/>
  <c r="AU138" i="14"/>
  <c r="S97" i="14"/>
  <c r="U18" i="14"/>
  <c r="AH139" i="14"/>
  <c r="AS182" i="14"/>
  <c r="AU182" i="14" s="1"/>
  <c r="U202" i="14"/>
  <c r="AE148" i="14"/>
  <c r="AF148" i="14" s="1"/>
  <c r="AH148" i="14" s="1"/>
  <c r="AH170" i="14"/>
  <c r="AR110" i="14"/>
  <c r="AS110" i="14" s="1"/>
  <c r="AR118" i="14"/>
  <c r="AS118" i="14" s="1"/>
  <c r="AU118" i="14" s="1"/>
  <c r="AR134" i="14"/>
  <c r="AS134" i="14" s="1"/>
  <c r="AU134" i="14" s="1"/>
  <c r="AR136" i="14"/>
  <c r="AS136" i="14" s="1"/>
  <c r="U153" i="14"/>
  <c r="U209" i="14"/>
  <c r="U241" i="14"/>
  <c r="AV241" i="14"/>
  <c r="AR108" i="14"/>
  <c r="AS108" i="14" s="1"/>
  <c r="AR145" i="14"/>
  <c r="AS145" i="14" s="1"/>
  <c r="AU145" i="14" s="1"/>
  <c r="R147" i="14"/>
  <c r="S147" i="14" s="1"/>
  <c r="AR200" i="14"/>
  <c r="AT200" i="14" s="1"/>
  <c r="AR92" i="14"/>
  <c r="AS92" i="14" s="1"/>
  <c r="AU92" i="14" s="1"/>
  <c r="AE74" i="14"/>
  <c r="AF74" i="14" s="1"/>
  <c r="AS148" i="14"/>
  <c r="AU148" i="14" s="1"/>
  <c r="AF153" i="14"/>
  <c r="AH153" i="14" s="1"/>
  <c r="S156" i="14"/>
  <c r="AR157" i="14"/>
  <c r="AS157" i="14" s="1"/>
  <c r="AU157" i="14" s="1"/>
  <c r="AE160" i="14"/>
  <c r="AF160" i="14" s="1"/>
  <c r="AH174" i="14"/>
  <c r="U183" i="14"/>
  <c r="U143" i="14"/>
  <c r="AE144" i="14"/>
  <c r="AF144" i="14" s="1"/>
  <c r="U188" i="14"/>
  <c r="AR46" i="14"/>
  <c r="AS46" i="14" s="1"/>
  <c r="AR72" i="14"/>
  <c r="AS72" i="14" s="1"/>
  <c r="AE85" i="14"/>
  <c r="AF85" i="14" s="1"/>
  <c r="AH85" i="14" s="1"/>
  <c r="AE90" i="14"/>
  <c r="AF90" i="14" s="1"/>
  <c r="AE94" i="14"/>
  <c r="AF94" i="14" s="1"/>
  <c r="AR97" i="14"/>
  <c r="AS97" i="14" s="1"/>
  <c r="AU97" i="14" s="1"/>
  <c r="AR101" i="14"/>
  <c r="AS101" i="14" s="1"/>
  <c r="AW16" i="4" s="1"/>
  <c r="R104" i="14"/>
  <c r="S104" i="14" s="1"/>
  <c r="AR112" i="14"/>
  <c r="AS112" i="14" s="1"/>
  <c r="AR122" i="14"/>
  <c r="AS122" i="14" s="1"/>
  <c r="R127" i="14"/>
  <c r="S127" i="14" s="1"/>
  <c r="R141" i="14"/>
  <c r="S141" i="14" s="1"/>
  <c r="U150" i="14"/>
  <c r="AS174" i="14"/>
  <c r="AU174" i="14" s="1"/>
  <c r="AR194" i="14"/>
  <c r="AS194" i="14" s="1"/>
  <c r="AU194" i="14" s="1"/>
  <c r="U201" i="14"/>
  <c r="AE150" i="14"/>
  <c r="AF150" i="14" s="1"/>
  <c r="R210" i="14"/>
  <c r="S210" i="14" s="1"/>
  <c r="R140" i="14"/>
  <c r="S140" i="14" s="1"/>
  <c r="R142" i="14"/>
  <c r="S142" i="14" s="1"/>
  <c r="AS144" i="14"/>
  <c r="AU144" i="14" s="1"/>
  <c r="U149" i="14"/>
  <c r="U159" i="14"/>
  <c r="AH178" i="14"/>
  <c r="AF201" i="14"/>
  <c r="AH201" i="14" s="1"/>
  <c r="AS236" i="14"/>
  <c r="AU236" i="14" s="1"/>
  <c r="AR102" i="14"/>
  <c r="AS102" i="14" s="1"/>
  <c r="AE104" i="14"/>
  <c r="AF104" i="14" s="1"/>
  <c r="AH104" i="14" s="1"/>
  <c r="S110" i="14"/>
  <c r="AR114" i="14"/>
  <c r="AS114" i="14" s="1"/>
  <c r="AR124" i="14"/>
  <c r="AS124" i="14" s="1"/>
  <c r="AU124" i="14" s="1"/>
  <c r="AE127" i="14"/>
  <c r="AF127" i="14" s="1"/>
  <c r="R134" i="14"/>
  <c r="S134" i="14" s="1"/>
  <c r="U175" i="14"/>
  <c r="U195" i="14"/>
  <c r="U229" i="14"/>
  <c r="R139" i="14"/>
  <c r="T139" i="14" s="1"/>
  <c r="AE142" i="14"/>
  <c r="AF142" i="14" s="1"/>
  <c r="AH142" i="14" s="1"/>
  <c r="R244" i="14"/>
  <c r="S244" i="14" s="1"/>
  <c r="AR94" i="14"/>
  <c r="AS94" i="14" s="1"/>
  <c r="AU94" i="14" s="1"/>
  <c r="AE140" i="14"/>
  <c r="AF140" i="14" s="1"/>
  <c r="AH140" i="14" s="1"/>
  <c r="AE146" i="14"/>
  <c r="AF146" i="14" s="1"/>
  <c r="AH146" i="14" s="1"/>
  <c r="AF195" i="14"/>
  <c r="AH195" i="14" s="1"/>
  <c r="S211" i="14"/>
  <c r="AF229" i="14"/>
  <c r="AH229" i="14" s="1"/>
  <c r="U145" i="14"/>
  <c r="AH165" i="14"/>
  <c r="U189" i="14"/>
  <c r="AE69" i="14"/>
  <c r="AF69" i="14" s="1"/>
  <c r="R75" i="14"/>
  <c r="S75" i="14" s="1"/>
  <c r="AE88" i="14"/>
  <c r="AF88" i="14" s="1"/>
  <c r="AE92" i="14"/>
  <c r="AF92" i="14" s="1"/>
  <c r="AH92" i="14" s="1"/>
  <c r="AR99" i="14"/>
  <c r="AS99" i="14" s="1"/>
  <c r="AR116" i="14"/>
  <c r="AS116" i="14" s="1"/>
  <c r="AR127" i="14"/>
  <c r="AS127" i="14" s="1"/>
  <c r="AE135" i="14"/>
  <c r="AF135" i="14" s="1"/>
  <c r="AH135" i="14" s="1"/>
  <c r="AF139" i="14"/>
  <c r="R151" i="14"/>
  <c r="S151" i="14" s="1"/>
  <c r="AR152" i="14"/>
  <c r="AS152" i="14" s="1"/>
  <c r="AU152" i="14" s="1"/>
  <c r="AE155" i="14"/>
  <c r="AF155" i="14" s="1"/>
  <c r="AH182" i="14"/>
  <c r="U187" i="14"/>
  <c r="AF145" i="14"/>
  <c r="AH145" i="14" s="1"/>
  <c r="AS165" i="14"/>
  <c r="AU165" i="14" s="1"/>
  <c r="AG166" i="14"/>
  <c r="AE167" i="14"/>
  <c r="AF167" i="14" s="1"/>
  <c r="AH167" i="14" s="1"/>
  <c r="AE172" i="14"/>
  <c r="AF172" i="14" s="1"/>
  <c r="AH172" i="14" s="1"/>
  <c r="S173" i="14"/>
  <c r="AE176" i="14"/>
  <c r="AF176" i="14" s="1"/>
  <c r="AE180" i="14"/>
  <c r="AF180" i="14" s="1"/>
  <c r="AE184" i="14"/>
  <c r="AF184" i="14" s="1"/>
  <c r="AH184" i="14" s="1"/>
  <c r="AE190" i="14"/>
  <c r="AF190" i="14" s="1"/>
  <c r="R199" i="14"/>
  <c r="T199" i="14" s="1"/>
  <c r="R203" i="14"/>
  <c r="S203" i="14" s="1"/>
  <c r="R208" i="14"/>
  <c r="S208" i="14" s="1"/>
  <c r="AE230" i="14"/>
  <c r="AF230" i="14" s="1"/>
  <c r="AE238" i="14"/>
  <c r="AF238" i="14" s="1"/>
  <c r="AH238" i="14" s="1"/>
  <c r="AR242" i="14"/>
  <c r="AS242" i="14" s="1"/>
  <c r="AR166" i="14"/>
  <c r="AS166" i="14" s="1"/>
  <c r="AW84" i="4" s="1"/>
  <c r="AR171" i="14"/>
  <c r="AS171" i="14" s="1"/>
  <c r="T173" i="14"/>
  <c r="AR175" i="14"/>
  <c r="AS175" i="14" s="1"/>
  <c r="AR179" i="14"/>
  <c r="AS179" i="14" s="1"/>
  <c r="AU179" i="14" s="1"/>
  <c r="AR183" i="14"/>
  <c r="AS183" i="14" s="1"/>
  <c r="AU183" i="14" s="1"/>
  <c r="AR189" i="14"/>
  <c r="AS189" i="14" s="1"/>
  <c r="AR149" i="14"/>
  <c r="AS149" i="14" s="1"/>
  <c r="AR153" i="14"/>
  <c r="AS153" i="14" s="1"/>
  <c r="AR159" i="14"/>
  <c r="AS159" i="14" s="1"/>
  <c r="AR195" i="14"/>
  <c r="AS195" i="14" s="1"/>
  <c r="AU195" i="14" s="1"/>
  <c r="AF198" i="14"/>
  <c r="AR201" i="14"/>
  <c r="AS201" i="14" s="1"/>
  <c r="R206" i="14"/>
  <c r="S206" i="14" s="1"/>
  <c r="AE211" i="14"/>
  <c r="AF211" i="14" s="1"/>
  <c r="AH211" i="14" s="1"/>
  <c r="AR229" i="14"/>
  <c r="AS229" i="14" s="1"/>
  <c r="AU229" i="14" s="1"/>
  <c r="R245" i="14"/>
  <c r="S245" i="14" s="1"/>
  <c r="AS33" i="4" s="1"/>
  <c r="R205" i="14"/>
  <c r="S205" i="14" s="1"/>
  <c r="AE210" i="14"/>
  <c r="AF210" i="14" s="1"/>
  <c r="AH210" i="14" s="1"/>
  <c r="R240" i="14"/>
  <c r="S240" i="14" s="1"/>
  <c r="AE244" i="14"/>
  <c r="AF244" i="14" s="1"/>
  <c r="AH244" i="14" s="1"/>
  <c r="R194" i="14"/>
  <c r="R200" i="14"/>
  <c r="T200" i="14" s="1"/>
  <c r="R204" i="14"/>
  <c r="S204" i="14" s="1"/>
  <c r="AE209" i="14"/>
  <c r="AF209" i="14" s="1"/>
  <c r="AE232" i="14"/>
  <c r="AF232" i="14" s="1"/>
  <c r="AE239" i="14"/>
  <c r="AF239" i="14" s="1"/>
  <c r="AH239" i="14" s="1"/>
  <c r="AX239" i="14" s="1"/>
  <c r="AR243" i="14"/>
  <c r="AS243" i="14" s="1"/>
  <c r="AU243" i="14" s="1"/>
  <c r="AE143" i="14"/>
  <c r="AF143" i="14" s="1"/>
  <c r="AH143" i="14" s="1"/>
  <c r="AE147" i="14"/>
  <c r="AF147" i="14" s="1"/>
  <c r="AH147" i="14" s="1"/>
  <c r="AE151" i="14"/>
  <c r="AF151" i="14" s="1"/>
  <c r="AH151" i="14" s="1"/>
  <c r="AE156" i="14"/>
  <c r="AF156" i="14" s="1"/>
  <c r="AH156" i="14" s="1"/>
  <c r="AE161" i="14"/>
  <c r="AF161" i="14" s="1"/>
  <c r="AR167" i="14"/>
  <c r="AS167" i="14" s="1"/>
  <c r="AU167" i="14" s="1"/>
  <c r="AR172" i="14"/>
  <c r="AS172" i="14" s="1"/>
  <c r="AU172" i="14" s="1"/>
  <c r="AR176" i="14"/>
  <c r="AS176" i="14" s="1"/>
  <c r="AR180" i="14"/>
  <c r="AS180" i="14" s="1"/>
  <c r="AR190" i="14"/>
  <c r="AS190" i="14" s="1"/>
  <c r="AE199" i="14"/>
  <c r="AF199" i="14" s="1"/>
  <c r="AU80" i="4" s="1"/>
  <c r="AE203" i="14"/>
  <c r="AF203" i="14" s="1"/>
  <c r="AH203" i="14" s="1"/>
  <c r="AE208" i="14"/>
  <c r="AF208" i="14" s="1"/>
  <c r="AR230" i="14"/>
  <c r="AS230" i="14" s="1"/>
  <c r="AU230" i="14" s="1"/>
  <c r="AR238" i="14"/>
  <c r="AS238" i="14" s="1"/>
  <c r="AU238" i="14" s="1"/>
  <c r="R135" i="14"/>
  <c r="S135" i="14" s="1"/>
  <c r="AR146" i="14"/>
  <c r="AS146" i="14" s="1"/>
  <c r="AR150" i="14"/>
  <c r="AS150" i="14" s="1"/>
  <c r="AU150" i="14" s="1"/>
  <c r="AR155" i="14"/>
  <c r="AS155" i="14" s="1"/>
  <c r="AR160" i="14"/>
  <c r="AS160" i="14" s="1"/>
  <c r="AU160" i="14" s="1"/>
  <c r="AR198" i="14"/>
  <c r="AS198" i="14" s="1"/>
  <c r="AR202" i="14"/>
  <c r="AS202" i="14" s="1"/>
  <c r="AU202" i="14" s="1"/>
  <c r="AE207" i="14"/>
  <c r="AF207" i="14" s="1"/>
  <c r="R242" i="14"/>
  <c r="R246" i="14"/>
  <c r="S246" i="14" s="1"/>
  <c r="AE152" i="14"/>
  <c r="AF152" i="14" s="1"/>
  <c r="AH152" i="14" s="1"/>
  <c r="AE157" i="14"/>
  <c r="AF157" i="14" s="1"/>
  <c r="AR162" i="14"/>
  <c r="AS162" i="14" s="1"/>
  <c r="AU162" i="14" s="1"/>
  <c r="AR169" i="14"/>
  <c r="AS169" i="14" s="1"/>
  <c r="AR173" i="14"/>
  <c r="AS173" i="14" s="1"/>
  <c r="AU173" i="14" s="1"/>
  <c r="AR177" i="14"/>
  <c r="AS177" i="14" s="1"/>
  <c r="AR181" i="14"/>
  <c r="AS181" i="14" s="1"/>
  <c r="AR186" i="14"/>
  <c r="AS186" i="14" s="1"/>
  <c r="AU186" i="14" s="1"/>
  <c r="AR191" i="14"/>
  <c r="AS191" i="14" s="1"/>
  <c r="AE194" i="14"/>
  <c r="AF194" i="14" s="1"/>
  <c r="AH194" i="14" s="1"/>
  <c r="AE200" i="14"/>
  <c r="AG200" i="14" s="1"/>
  <c r="AE204" i="14"/>
  <c r="AF204" i="14" s="1"/>
  <c r="AH204" i="14" s="1"/>
  <c r="AR147" i="14"/>
  <c r="AS147" i="14" s="1"/>
  <c r="AU147" i="14" s="1"/>
  <c r="AR151" i="14"/>
  <c r="AS151" i="14" s="1"/>
  <c r="AU151" i="14" s="1"/>
  <c r="R167" i="14"/>
  <c r="S167" i="14" s="1"/>
  <c r="R172" i="14"/>
  <c r="S172" i="14" s="1"/>
  <c r="R176" i="14"/>
  <c r="R180" i="14"/>
  <c r="R184" i="14"/>
  <c r="S184" i="14" s="1"/>
  <c r="AR187" i="14"/>
  <c r="AS187" i="14" s="1"/>
  <c r="R190" i="14"/>
  <c r="S190" i="14" s="1"/>
  <c r="AS14" i="4" s="1"/>
  <c r="R238" i="14"/>
  <c r="S238" i="14" s="1"/>
  <c r="AE242" i="14"/>
  <c r="AF242" i="14" s="1"/>
  <c r="AE246" i="14"/>
  <c r="AF246" i="14" s="1"/>
  <c r="AH246" i="14" s="1"/>
  <c r="M46" i="12"/>
  <c r="AB46" i="12" s="1"/>
  <c r="Z46" i="12"/>
  <c r="AA46" i="12" s="1"/>
  <c r="Z18" i="12"/>
  <c r="AA18" i="12" s="1"/>
  <c r="M18" i="12"/>
  <c r="AB18" i="12" s="1"/>
  <c r="Z34" i="12"/>
  <c r="AA34" i="12" s="1"/>
  <c r="M34" i="12"/>
  <c r="AB34" i="12" s="1"/>
  <c r="Z69" i="12"/>
  <c r="AA69" i="12" s="1"/>
  <c r="M69" i="12"/>
  <c r="AB69" i="12" s="1"/>
  <c r="Z74" i="12"/>
  <c r="AA74" i="12" s="1"/>
  <c r="M74" i="12"/>
  <c r="AB74" i="12" s="1"/>
  <c r="Z89" i="12"/>
  <c r="AA89" i="12" s="1"/>
  <c r="Z24" i="12"/>
  <c r="AA24" i="12" s="1"/>
  <c r="Z26" i="12"/>
  <c r="AA26" i="12" s="1"/>
  <c r="Z28" i="12"/>
  <c r="AA28" i="12" s="1"/>
  <c r="Z30" i="12"/>
  <c r="AA30" i="12" s="1"/>
  <c r="Z32" i="12"/>
  <c r="AA32" i="12" s="1"/>
  <c r="Z44" i="12"/>
  <c r="AA44" i="12" s="1"/>
  <c r="M44" i="12"/>
  <c r="AB44" i="12" s="1"/>
  <c r="Z55" i="12"/>
  <c r="AA55" i="12" s="1"/>
  <c r="Z57" i="12"/>
  <c r="AA57" i="12" s="1"/>
  <c r="M57" i="12"/>
  <c r="AB57" i="12" s="1"/>
  <c r="Z67" i="12"/>
  <c r="AA67" i="12" s="1"/>
  <c r="M67" i="12"/>
  <c r="AB67" i="12" s="1"/>
  <c r="M47" i="12"/>
  <c r="AB47" i="12" s="1"/>
  <c r="Z47" i="12"/>
  <c r="AA47" i="12" s="1"/>
  <c r="S60" i="12"/>
  <c r="AB60" i="12" s="1"/>
  <c r="Z60" i="12"/>
  <c r="AA60" i="12" s="1"/>
  <c r="S62" i="12"/>
  <c r="AB62" i="12" s="1"/>
  <c r="Z62" i="12"/>
  <c r="AA62" i="12" s="1"/>
  <c r="S64" i="12"/>
  <c r="AB64" i="12" s="1"/>
  <c r="Z64" i="12"/>
  <c r="AA64" i="12" s="1"/>
  <c r="M85" i="12"/>
  <c r="AB85" i="12" s="1"/>
  <c r="Z85" i="12"/>
  <c r="AA85" i="12" s="1"/>
  <c r="Z77" i="12"/>
  <c r="AA77" i="12" s="1"/>
  <c r="M77" i="12"/>
  <c r="AB77" i="12" s="1"/>
  <c r="Z23" i="12"/>
  <c r="AA23" i="12" s="1"/>
  <c r="M23" i="12"/>
  <c r="AB23" i="12" s="1"/>
  <c r="M21" i="12"/>
  <c r="AB21" i="12" s="1"/>
  <c r="Z21" i="12"/>
  <c r="AA21" i="12" s="1"/>
  <c r="M58" i="12"/>
  <c r="AB58" i="12" s="1"/>
  <c r="Z58" i="12"/>
  <c r="AA58" i="12" s="1"/>
  <c r="Z22" i="12"/>
  <c r="AA22" i="12" s="1"/>
  <c r="M22" i="12"/>
  <c r="AB22" i="12" s="1"/>
  <c r="Z11" i="12"/>
  <c r="AA11" i="12" s="1"/>
  <c r="Z70" i="12"/>
  <c r="AA70" i="12" s="1"/>
  <c r="M70" i="12"/>
  <c r="AB70" i="12" s="1"/>
  <c r="Z75" i="12"/>
  <c r="AA75" i="12" s="1"/>
  <c r="M75" i="12"/>
  <c r="AB75" i="12" s="1"/>
  <c r="Z86" i="12"/>
  <c r="AA86" i="12" s="1"/>
  <c r="M86" i="12"/>
  <c r="AB86" i="12" s="1"/>
  <c r="M39" i="12"/>
  <c r="AB39" i="12" s="1"/>
  <c r="Z39" i="12"/>
  <c r="AA39" i="12" s="1"/>
  <c r="S72" i="12"/>
  <c r="AB72" i="12" s="1"/>
  <c r="Z72" i="12"/>
  <c r="AA72" i="12" s="1"/>
  <c r="Z13" i="12"/>
  <c r="AA13" i="12" s="1"/>
  <c r="Z15" i="12"/>
  <c r="AA15" i="12" s="1"/>
  <c r="Z17" i="12"/>
  <c r="AA17" i="12" s="1"/>
  <c r="Z35" i="12"/>
  <c r="AA35" i="12" s="1"/>
  <c r="M35" i="12"/>
  <c r="AB35" i="12" s="1"/>
  <c r="Z65" i="12"/>
  <c r="AA65" i="12" s="1"/>
  <c r="M65" i="12"/>
  <c r="AB65" i="12" s="1"/>
  <c r="Z92" i="12"/>
  <c r="AA92" i="12" s="1"/>
  <c r="M92" i="12"/>
  <c r="AB92" i="12" s="1"/>
  <c r="Z40" i="12"/>
  <c r="AA40" i="12" s="1"/>
  <c r="M40" i="12"/>
  <c r="AB40" i="12" s="1"/>
  <c r="Z54" i="12"/>
  <c r="AA54" i="12" s="1"/>
  <c r="Z90" i="12"/>
  <c r="AA90" i="12" s="1"/>
  <c r="Z83" i="12"/>
  <c r="AA83" i="12" s="1"/>
  <c r="S83" i="12"/>
  <c r="AB83" i="12" s="1"/>
  <c r="Z25" i="12"/>
  <c r="AA25" i="12" s="1"/>
  <c r="Z27" i="12"/>
  <c r="AA27" i="12" s="1"/>
  <c r="Z29" i="12"/>
  <c r="AA29" i="12" s="1"/>
  <c r="Z31" i="12"/>
  <c r="AA31" i="12" s="1"/>
  <c r="Z33" i="12"/>
  <c r="AA33" i="12" s="1"/>
  <c r="Z45" i="12"/>
  <c r="AA45" i="12" s="1"/>
  <c r="S45" i="12"/>
  <c r="AB45" i="12" s="1"/>
  <c r="Z48" i="12"/>
  <c r="AA48" i="12" s="1"/>
  <c r="M48" i="12"/>
  <c r="AB48" i="12" s="1"/>
  <c r="M59" i="12"/>
  <c r="AB59" i="12" s="1"/>
  <c r="Z59" i="12"/>
  <c r="AA59" i="12" s="1"/>
  <c r="Z68" i="12"/>
  <c r="AA68" i="12" s="1"/>
  <c r="M68" i="12"/>
  <c r="AB68" i="12" s="1"/>
  <c r="S61" i="12"/>
  <c r="AB61" i="12" s="1"/>
  <c r="Z61" i="12"/>
  <c r="AA61" i="12" s="1"/>
  <c r="S63" i="12"/>
  <c r="AB63" i="12" s="1"/>
  <c r="Z63" i="12"/>
  <c r="AA63" i="12" s="1"/>
  <c r="Z78" i="12"/>
  <c r="AA78" i="12" s="1"/>
  <c r="M78" i="12"/>
  <c r="AB78" i="12" s="1"/>
  <c r="Z76" i="12"/>
  <c r="AA76" i="12" s="1"/>
  <c r="M76" i="12"/>
  <c r="AB76" i="12" s="1"/>
  <c r="Z41" i="12"/>
  <c r="AA41" i="12" s="1"/>
  <c r="M41" i="12"/>
  <c r="AB41" i="12" s="1"/>
  <c r="Z20" i="12"/>
  <c r="AA20" i="12" s="1"/>
  <c r="S20" i="12"/>
  <c r="AB20" i="12" s="1"/>
  <c r="Z36" i="12"/>
  <c r="AA36" i="12" s="1"/>
  <c r="M36" i="12"/>
  <c r="AB36" i="12" s="1"/>
  <c r="Z84" i="12"/>
  <c r="AA84" i="12" s="1"/>
  <c r="S84" i="12"/>
  <c r="AB84" i="12" s="1"/>
  <c r="Z16" i="12"/>
  <c r="AA16" i="12" s="1"/>
  <c r="Z38" i="12"/>
  <c r="AA38" i="12" s="1"/>
  <c r="S38" i="12"/>
  <c r="AB38" i="12" s="1"/>
  <c r="L136" i="12"/>
  <c r="AB5" i="12" s="1"/>
  <c r="M26" i="12"/>
  <c r="AB26" i="12" s="1"/>
  <c r="M30" i="12"/>
  <c r="AB30" i="12" s="1"/>
  <c r="M31" i="12"/>
  <c r="AB31" i="12" s="1"/>
  <c r="M32" i="12"/>
  <c r="AB32" i="12" s="1"/>
  <c r="M33" i="12"/>
  <c r="AB33" i="12" s="1"/>
  <c r="M42" i="12"/>
  <c r="AB42" i="12" s="1"/>
  <c r="M43" i="12"/>
  <c r="AB43" i="12" s="1"/>
  <c r="S71" i="12"/>
  <c r="AB71" i="12" s="1"/>
  <c r="AC71" i="12" s="1"/>
  <c r="M11" i="12"/>
  <c r="AB11" i="12" s="1"/>
  <c r="M24" i="12"/>
  <c r="AB24" i="12" s="1"/>
  <c r="M53" i="12"/>
  <c r="AB53" i="12" s="1"/>
  <c r="M54" i="12"/>
  <c r="AB54" i="12" s="1"/>
  <c r="M55" i="12"/>
  <c r="AB55" i="12" s="1"/>
  <c r="M56" i="12"/>
  <c r="AB56" i="12" s="1"/>
  <c r="M79" i="12"/>
  <c r="AB79" i="12" s="1"/>
  <c r="M80" i="12"/>
  <c r="AB80" i="12" s="1"/>
  <c r="M81" i="12"/>
  <c r="AB81" i="12" s="1"/>
  <c r="S82" i="12"/>
  <c r="AB82" i="12" s="1"/>
  <c r="AC82" i="12" s="1"/>
  <c r="M15" i="12"/>
  <c r="AB15" i="12" s="1"/>
  <c r="AC15" i="12" s="1"/>
  <c r="M25" i="12"/>
  <c r="AB25" i="12" s="1"/>
  <c r="Z37" i="12"/>
  <c r="AA37" i="12" s="1"/>
  <c r="M51" i="12"/>
  <c r="AB51" i="12" s="1"/>
  <c r="M66" i="12"/>
  <c r="AB66" i="12" s="1"/>
  <c r="M12" i="12"/>
  <c r="AB12" i="12" s="1"/>
  <c r="M87" i="12"/>
  <c r="AB87" i="12" s="1"/>
  <c r="M88" i="12"/>
  <c r="AB88" i="12" s="1"/>
  <c r="M89" i="12"/>
  <c r="AB89" i="12" s="1"/>
  <c r="M90" i="12"/>
  <c r="AB90" i="12" s="1"/>
  <c r="M91" i="12"/>
  <c r="AB91" i="12" s="1"/>
  <c r="M13" i="12"/>
  <c r="AB13" i="12" s="1"/>
  <c r="M28" i="12"/>
  <c r="AB28" i="12" s="1"/>
  <c r="M50" i="12"/>
  <c r="AB50" i="12" s="1"/>
  <c r="M17" i="12"/>
  <c r="AB17" i="12" s="1"/>
  <c r="M16" i="12"/>
  <c r="AB16" i="12" s="1"/>
  <c r="M29" i="12"/>
  <c r="AB29" i="12" s="1"/>
  <c r="M49" i="12"/>
  <c r="AB49" i="12" s="1"/>
  <c r="M14" i="12"/>
  <c r="AB14" i="12" s="1"/>
  <c r="M27" i="12"/>
  <c r="AB27" i="12" s="1"/>
  <c r="M52" i="12"/>
  <c r="AB52" i="12" s="1"/>
  <c r="S73" i="12"/>
  <c r="AB73" i="12" s="1"/>
  <c r="AC73" i="12" s="1"/>
  <c r="J117" i="4"/>
  <c r="L117" i="4" s="1"/>
  <c r="J144" i="4"/>
  <c r="L144" i="4" s="1"/>
  <c r="J143" i="4"/>
  <c r="L143" i="4" s="1"/>
  <c r="K144" i="4"/>
  <c r="L140" i="4"/>
  <c r="K140" i="4"/>
  <c r="L126" i="4"/>
  <c r="K126" i="4"/>
  <c r="J152" i="4"/>
  <c r="L152" i="4" s="1"/>
  <c r="J151" i="4"/>
  <c r="L151" i="4" s="1"/>
  <c r="P31" i="4"/>
  <c r="Q31" i="4" s="1"/>
  <c r="S31" i="4" s="1"/>
  <c r="J150" i="4"/>
  <c r="L150" i="4" s="1"/>
  <c r="J149" i="4"/>
  <c r="L149" i="4" s="1"/>
  <c r="J148" i="4"/>
  <c r="L148" i="4" s="1"/>
  <c r="J147" i="4"/>
  <c r="L147" i="4" s="1"/>
  <c r="J146" i="4"/>
  <c r="L146" i="4" s="1"/>
  <c r="J145" i="4"/>
  <c r="L145" i="4" s="1"/>
  <c r="J142" i="4"/>
  <c r="L142" i="4" s="1"/>
  <c r="J141" i="4"/>
  <c r="L141" i="4" s="1"/>
  <c r="J136" i="4"/>
  <c r="L136" i="4" s="1"/>
  <c r="J131" i="4"/>
  <c r="L131" i="4" s="1"/>
  <c r="J133" i="4"/>
  <c r="L133" i="4" s="1"/>
  <c r="P11" i="4"/>
  <c r="Q11" i="4" s="1"/>
  <c r="P12" i="4"/>
  <c r="Q12" i="4" s="1"/>
  <c r="S12" i="4" s="1"/>
  <c r="P13" i="4"/>
  <c r="Q13" i="4" s="1"/>
  <c r="S13" i="4" s="1"/>
  <c r="P14" i="4"/>
  <c r="Q14" i="4" s="1"/>
  <c r="S14" i="4" s="1"/>
  <c r="P15" i="4"/>
  <c r="Q15" i="4" s="1"/>
  <c r="S15" i="4" s="1"/>
  <c r="P16" i="4"/>
  <c r="Q16" i="4" s="1"/>
  <c r="S16" i="4" s="1"/>
  <c r="P17" i="4"/>
  <c r="Q17" i="4" s="1"/>
  <c r="S17" i="4" s="1"/>
  <c r="P18" i="4"/>
  <c r="Q18" i="4" s="1"/>
  <c r="S18" i="4" s="1"/>
  <c r="P19" i="4"/>
  <c r="Q19" i="4" s="1"/>
  <c r="P20" i="4"/>
  <c r="Q20" i="4" s="1"/>
  <c r="S20" i="4" s="1"/>
  <c r="P21" i="4"/>
  <c r="Q21" i="4" s="1"/>
  <c r="S21" i="4" s="1"/>
  <c r="P22" i="4"/>
  <c r="Q22" i="4" s="1"/>
  <c r="S22" i="4" s="1"/>
  <c r="P23" i="4"/>
  <c r="Q23" i="4" s="1"/>
  <c r="S23" i="4" s="1"/>
  <c r="P24" i="4"/>
  <c r="Q24" i="4" s="1"/>
  <c r="S24" i="4" s="1"/>
  <c r="P25" i="4"/>
  <c r="Q25" i="4" s="1"/>
  <c r="S25" i="4" s="1"/>
  <c r="P26" i="4"/>
  <c r="Q26" i="4" s="1"/>
  <c r="S26" i="4" s="1"/>
  <c r="P27" i="4"/>
  <c r="Q27" i="4" s="1"/>
  <c r="S27" i="4" s="1"/>
  <c r="P28" i="4"/>
  <c r="Q28" i="4" s="1"/>
  <c r="S28" i="4" s="1"/>
  <c r="P29" i="4"/>
  <c r="Q29" i="4" s="1"/>
  <c r="S29" i="4" s="1"/>
  <c r="P30" i="4"/>
  <c r="Q30" i="4" s="1"/>
  <c r="S30" i="4" s="1"/>
  <c r="P32" i="4"/>
  <c r="Q32" i="4" s="1"/>
  <c r="S32" i="4" s="1"/>
  <c r="P33" i="4"/>
  <c r="Q33" i="4" s="1"/>
  <c r="S33" i="4" s="1"/>
  <c r="P34" i="4"/>
  <c r="Q34" i="4" s="1"/>
  <c r="S34" i="4" s="1"/>
  <c r="P35" i="4"/>
  <c r="Q35" i="4" s="1"/>
  <c r="S35" i="4" s="1"/>
  <c r="P36" i="4"/>
  <c r="Q36" i="4" s="1"/>
  <c r="S36" i="4" s="1"/>
  <c r="P37" i="4"/>
  <c r="Q37" i="4" s="1"/>
  <c r="P38" i="4"/>
  <c r="Q38" i="4" s="1"/>
  <c r="S38" i="4" s="1"/>
  <c r="P39" i="4"/>
  <c r="Q39" i="4" s="1"/>
  <c r="S39" i="4" s="1"/>
  <c r="P40" i="4"/>
  <c r="Q40" i="4" s="1"/>
  <c r="S40" i="4" s="1"/>
  <c r="P41" i="4"/>
  <c r="Q41" i="4" s="1"/>
  <c r="S41" i="4" s="1"/>
  <c r="P42" i="4"/>
  <c r="Q42" i="4" s="1"/>
  <c r="S42" i="4" s="1"/>
  <c r="P43" i="4"/>
  <c r="Q43" i="4" s="1"/>
  <c r="S43" i="4" s="1"/>
  <c r="P44" i="4"/>
  <c r="Q44" i="4" s="1"/>
  <c r="S44" i="4" s="1"/>
  <c r="P45" i="4"/>
  <c r="Q45" i="4" s="1"/>
  <c r="S45" i="4" s="1"/>
  <c r="P46" i="4"/>
  <c r="Q46" i="4" s="1"/>
  <c r="S46" i="4" s="1"/>
  <c r="P47" i="4"/>
  <c r="Q47" i="4" s="1"/>
  <c r="S47" i="4" s="1"/>
  <c r="P48" i="4"/>
  <c r="Q48" i="4" s="1"/>
  <c r="S48" i="4" s="1"/>
  <c r="P49" i="4"/>
  <c r="Q49" i="4" s="1"/>
  <c r="S49" i="4" s="1"/>
  <c r="P50" i="4"/>
  <c r="Q50" i="4" s="1"/>
  <c r="S50" i="4" s="1"/>
  <c r="P51" i="4"/>
  <c r="Q51" i="4" s="1"/>
  <c r="S51" i="4" s="1"/>
  <c r="P52" i="4"/>
  <c r="Q52" i="4" s="1"/>
  <c r="S52" i="4" s="1"/>
  <c r="P53" i="4"/>
  <c r="Q53" i="4" s="1"/>
  <c r="S53" i="4" s="1"/>
  <c r="P54" i="4"/>
  <c r="Q54" i="4" s="1"/>
  <c r="S54" i="4" s="1"/>
  <c r="P55" i="4"/>
  <c r="Q55" i="4" s="1"/>
  <c r="S55" i="4" s="1"/>
  <c r="P56" i="4"/>
  <c r="Q56" i="4" s="1"/>
  <c r="S56" i="4" s="1"/>
  <c r="P57" i="4"/>
  <c r="Q57" i="4" s="1"/>
  <c r="S57" i="4" s="1"/>
  <c r="P58" i="4"/>
  <c r="Q58" i="4" s="1"/>
  <c r="S58" i="4" s="1"/>
  <c r="P59" i="4"/>
  <c r="Q59" i="4" s="1"/>
  <c r="S59" i="4" s="1"/>
  <c r="P60" i="4"/>
  <c r="Q60" i="4" s="1"/>
  <c r="S60" i="4" s="1"/>
  <c r="P61" i="4"/>
  <c r="Q61" i="4" s="1"/>
  <c r="S61" i="4" s="1"/>
  <c r="P62" i="4"/>
  <c r="Q62" i="4" s="1"/>
  <c r="S62" i="4" s="1"/>
  <c r="P63" i="4"/>
  <c r="Q63" i="4" s="1"/>
  <c r="S63" i="4" s="1"/>
  <c r="P64" i="4"/>
  <c r="Q64" i="4" s="1"/>
  <c r="S64" i="4" s="1"/>
  <c r="P65" i="4"/>
  <c r="Q65" i="4" s="1"/>
  <c r="S65" i="4" s="1"/>
  <c r="P66" i="4"/>
  <c r="Q66" i="4" s="1"/>
  <c r="S66" i="4" s="1"/>
  <c r="P67" i="4"/>
  <c r="Q67" i="4" s="1"/>
  <c r="S67" i="4" s="1"/>
  <c r="P68" i="4"/>
  <c r="Q68" i="4" s="1"/>
  <c r="S68" i="4" s="1"/>
  <c r="P73" i="4"/>
  <c r="Q73" i="4" s="1"/>
  <c r="S73" i="4" s="1"/>
  <c r="P74" i="4"/>
  <c r="P76" i="4"/>
  <c r="Q76" i="4" s="1"/>
  <c r="P77" i="4"/>
  <c r="Q77" i="4" s="1"/>
  <c r="S77" i="4" s="1"/>
  <c r="P78" i="4"/>
  <c r="Q78" i="4" s="1"/>
  <c r="S78" i="4" s="1"/>
  <c r="P79" i="4"/>
  <c r="Q79" i="4" s="1"/>
  <c r="S79" i="4" s="1"/>
  <c r="P80" i="4"/>
  <c r="Q80" i="4" s="1"/>
  <c r="S80" i="4" s="1"/>
  <c r="P81" i="4"/>
  <c r="Q81" i="4" s="1"/>
  <c r="S81" i="4" s="1"/>
  <c r="P91" i="4"/>
  <c r="Q91" i="4" s="1"/>
  <c r="S91" i="4" s="1"/>
  <c r="P92" i="4"/>
  <c r="Q92" i="4" s="1"/>
  <c r="S92" i="4" s="1"/>
  <c r="P93" i="4"/>
  <c r="Q93" i="4" s="1"/>
  <c r="S93" i="4" s="1"/>
  <c r="P94" i="4"/>
  <c r="Q94" i="4" s="1"/>
  <c r="S94" i="4" s="1"/>
  <c r="P95" i="4"/>
  <c r="Q95" i="4" s="1"/>
  <c r="S95" i="4" s="1"/>
  <c r="P96" i="4"/>
  <c r="Q96" i="4" s="1"/>
  <c r="S96" i="4" s="1"/>
  <c r="P97" i="4"/>
  <c r="Q97" i="4" s="1"/>
  <c r="S97" i="4" s="1"/>
  <c r="P98" i="4"/>
  <c r="Q98" i="4" s="1"/>
  <c r="S98" i="4" s="1"/>
  <c r="P99" i="4"/>
  <c r="Q99" i="4" s="1"/>
  <c r="S99" i="4" s="1"/>
  <c r="P107" i="4"/>
  <c r="Q107" i="4" s="1"/>
  <c r="S107" i="4" s="1"/>
  <c r="P108" i="4"/>
  <c r="Q108" i="4" s="1"/>
  <c r="S108" i="4" s="1"/>
  <c r="P109" i="4"/>
  <c r="Q109" i="4" s="1"/>
  <c r="S109" i="4" s="1"/>
  <c r="J116" i="4"/>
  <c r="L116" i="4" s="1"/>
  <c r="K116" i="4"/>
  <c r="J115" i="11" s="1"/>
  <c r="BE116" i="4"/>
  <c r="K117" i="4"/>
  <c r="J118" i="4"/>
  <c r="L118" i="4" s="1"/>
  <c r="K118" i="4"/>
  <c r="J119" i="4"/>
  <c r="L119" i="4" s="1"/>
  <c r="K119" i="4"/>
  <c r="J120" i="4"/>
  <c r="L120" i="4" s="1"/>
  <c r="K120" i="4"/>
  <c r="J121" i="4"/>
  <c r="L121" i="4" s="1"/>
  <c r="K121" i="4"/>
  <c r="J122" i="4"/>
  <c r="L122" i="4" s="1"/>
  <c r="K122" i="4"/>
  <c r="K123" i="4"/>
  <c r="L123" i="4"/>
  <c r="K124" i="4"/>
  <c r="L124" i="4"/>
  <c r="K125" i="4"/>
  <c r="L125" i="4"/>
  <c r="K127" i="4"/>
  <c r="L127" i="4"/>
  <c r="K128" i="4"/>
  <c r="L128" i="4"/>
  <c r="K129" i="4"/>
  <c r="L129" i="4"/>
  <c r="K130" i="4"/>
  <c r="L130" i="4"/>
  <c r="K131" i="4"/>
  <c r="K132" i="4"/>
  <c r="L132" i="4"/>
  <c r="K133" i="4"/>
  <c r="K134" i="4"/>
  <c r="L134" i="4"/>
  <c r="K135" i="4"/>
  <c r="L135" i="4"/>
  <c r="K136" i="4"/>
  <c r="K137" i="4"/>
  <c r="L137" i="4"/>
  <c r="K138" i="4"/>
  <c r="L138" i="4"/>
  <c r="K139" i="4"/>
  <c r="L139" i="4"/>
  <c r="K141" i="4"/>
  <c r="K142" i="4"/>
  <c r="K143" i="4"/>
  <c r="K145" i="4"/>
  <c r="K146" i="4"/>
  <c r="K147" i="4"/>
  <c r="K148" i="4"/>
  <c r="K149" i="4"/>
  <c r="K150" i="4"/>
  <c r="K151" i="4"/>
  <c r="K152" i="4"/>
  <c r="BK110" i="4"/>
  <c r="Z112" i="4"/>
  <c r="J74" i="4"/>
  <c r="K74" i="4" s="1"/>
  <c r="J95" i="4"/>
  <c r="K95" i="4" s="1"/>
  <c r="J81" i="4"/>
  <c r="K81" i="4" s="1"/>
  <c r="J67" i="4"/>
  <c r="K67" i="4" s="1"/>
  <c r="J59" i="4"/>
  <c r="K59" i="4" s="1"/>
  <c r="J43" i="4"/>
  <c r="K43" i="4" s="1"/>
  <c r="J41" i="4"/>
  <c r="K41" i="4" s="1"/>
  <c r="V80" i="4"/>
  <c r="W80" i="4" s="1"/>
  <c r="Y80" i="4" s="1"/>
  <c r="J80" i="4"/>
  <c r="K80" i="4" s="1"/>
  <c r="V68" i="4"/>
  <c r="W68" i="4" s="1"/>
  <c r="Y68" i="4" s="1"/>
  <c r="V60" i="4"/>
  <c r="W60" i="4" s="1"/>
  <c r="Y60" i="4" s="1"/>
  <c r="V46" i="4"/>
  <c r="W46" i="4" s="1"/>
  <c r="Y46" i="4" s="1"/>
  <c r="V42" i="4"/>
  <c r="W42" i="4" s="1"/>
  <c r="Y42" i="4" s="1"/>
  <c r="J98" i="4"/>
  <c r="K98" i="4" s="1"/>
  <c r="J68" i="4"/>
  <c r="K68" i="4" s="1"/>
  <c r="J60" i="4"/>
  <c r="K60" i="4" s="1"/>
  <c r="J46" i="4"/>
  <c r="K46" i="4" s="1"/>
  <c r="J42" i="4"/>
  <c r="K42" i="4" s="1"/>
  <c r="J57" i="4"/>
  <c r="K57" i="4" s="1"/>
  <c r="J44" i="4"/>
  <c r="K44" i="4" s="1"/>
  <c r="V54" i="4"/>
  <c r="W54" i="4" s="1"/>
  <c r="Y54" i="4" s="1"/>
  <c r="J54" i="4"/>
  <c r="K54" i="4" s="1"/>
  <c r="V53" i="4"/>
  <c r="W53" i="4" s="1"/>
  <c r="Y53" i="4" s="1"/>
  <c r="J53" i="4"/>
  <c r="K53" i="4" s="1"/>
  <c r="V34" i="4"/>
  <c r="W34" i="4" s="1"/>
  <c r="Y34" i="4" s="1"/>
  <c r="J34" i="4"/>
  <c r="K34" i="4" s="1"/>
  <c r="V32" i="4"/>
  <c r="W32" i="4" s="1"/>
  <c r="Y32" i="4" s="1"/>
  <c r="V26" i="4"/>
  <c r="W26" i="4" s="1"/>
  <c r="Y26" i="4" s="1"/>
  <c r="J26" i="4"/>
  <c r="K26" i="4" s="1"/>
  <c r="V25" i="4"/>
  <c r="W25" i="4" s="1"/>
  <c r="Y25" i="4" s="1"/>
  <c r="J25" i="4"/>
  <c r="K25" i="4" s="1"/>
  <c r="V24" i="4"/>
  <c r="W24" i="4" s="1"/>
  <c r="Y24" i="4" s="1"/>
  <c r="J24" i="4"/>
  <c r="K24" i="4" s="1"/>
  <c r="J23" i="4"/>
  <c r="K23" i="4" s="1"/>
  <c r="V11" i="4"/>
  <c r="W11" i="4" s="1"/>
  <c r="V63" i="4"/>
  <c r="W63" i="4" s="1"/>
  <c r="Y63" i="4" s="1"/>
  <c r="V13" i="4"/>
  <c r="W13" i="4" s="1"/>
  <c r="Y13" i="4" s="1"/>
  <c r="J13" i="4"/>
  <c r="K13" i="4" s="1"/>
  <c r="J99" i="4"/>
  <c r="K99" i="4" s="1"/>
  <c r="BI92" i="4"/>
  <c r="BI94" i="4"/>
  <c r="V77" i="4"/>
  <c r="W77" i="4" s="1"/>
  <c r="Y77" i="4" s="1"/>
  <c r="V78" i="4"/>
  <c r="W78" i="4" s="1"/>
  <c r="Y78" i="4" s="1"/>
  <c r="V79" i="4"/>
  <c r="W79" i="4" s="1"/>
  <c r="Y79" i="4" s="1"/>
  <c r="V73" i="4"/>
  <c r="W73" i="4" s="1"/>
  <c r="Y73" i="4" s="1"/>
  <c r="V75" i="4"/>
  <c r="W75" i="4" s="1"/>
  <c r="Y75" i="4" s="1"/>
  <c r="J75" i="4"/>
  <c r="J96" i="4"/>
  <c r="K96" i="4" s="1"/>
  <c r="J97" i="4"/>
  <c r="J107" i="4"/>
  <c r="J108" i="4"/>
  <c r="K108" i="4" s="1"/>
  <c r="J109" i="4"/>
  <c r="J91" i="4"/>
  <c r="J92" i="4"/>
  <c r="J94" i="4"/>
  <c r="J66" i="4"/>
  <c r="K66" i="4" s="1"/>
  <c r="J73" i="4"/>
  <c r="BE76" i="4"/>
  <c r="J77" i="4"/>
  <c r="K77" i="4" s="1"/>
  <c r="J78" i="4"/>
  <c r="J79" i="4"/>
  <c r="K79" i="4" s="1"/>
  <c r="V61" i="4"/>
  <c r="W61" i="4" s="1"/>
  <c r="Y61" i="4" s="1"/>
  <c r="J61" i="4"/>
  <c r="K61" i="4" s="1"/>
  <c r="V55" i="4"/>
  <c r="W55" i="4" s="1"/>
  <c r="Y55" i="4" s="1"/>
  <c r="J55" i="4"/>
  <c r="K55" i="4" s="1"/>
  <c r="J52" i="4"/>
  <c r="K52" i="4" s="1"/>
  <c r="V49" i="4"/>
  <c r="W49" i="4" s="1"/>
  <c r="Y49" i="4" s="1"/>
  <c r="J49" i="4"/>
  <c r="K49" i="4" s="1"/>
  <c r="V47" i="4"/>
  <c r="W47" i="4" s="1"/>
  <c r="Y47" i="4" s="1"/>
  <c r="J47" i="4"/>
  <c r="K47" i="4" s="1"/>
  <c r="J45" i="4"/>
  <c r="K45" i="4" s="1"/>
  <c r="J40" i="4"/>
  <c r="K40" i="4" s="1"/>
  <c r="J39" i="4"/>
  <c r="K39" i="4" s="1"/>
  <c r="J38" i="4"/>
  <c r="K38" i="4" s="1"/>
  <c r="V36" i="4"/>
  <c r="W36" i="4" s="1"/>
  <c r="Y36" i="4" s="1"/>
  <c r="J36" i="4"/>
  <c r="K36" i="4" s="1"/>
  <c r="V35" i="4"/>
  <c r="W35" i="4" s="1"/>
  <c r="Y35" i="4" s="1"/>
  <c r="J35" i="4"/>
  <c r="K35" i="4" s="1"/>
  <c r="J33" i="4"/>
  <c r="K33" i="4" s="1"/>
  <c r="J32" i="4"/>
  <c r="K32" i="4" s="1"/>
  <c r="V27" i="4"/>
  <c r="W27" i="4" s="1"/>
  <c r="Y27" i="4" s="1"/>
  <c r="J27" i="4"/>
  <c r="K27" i="4" s="1"/>
  <c r="J20" i="4"/>
  <c r="K20" i="4" s="1"/>
  <c r="V18" i="4"/>
  <c r="W18" i="4" s="1"/>
  <c r="Y18" i="4" s="1"/>
  <c r="J18" i="4"/>
  <c r="K18" i="4" s="1"/>
  <c r="J17" i="4"/>
  <c r="K17" i="4" s="1"/>
  <c r="V16" i="4"/>
  <c r="W16" i="4" s="1"/>
  <c r="Y16" i="4" s="1"/>
  <c r="J16" i="4"/>
  <c r="K16" i="4" s="1"/>
  <c r="V15" i="4"/>
  <c r="W15" i="4" s="1"/>
  <c r="Y15" i="4" s="1"/>
  <c r="J15" i="4"/>
  <c r="K15" i="4" s="1"/>
  <c r="V14" i="4"/>
  <c r="W14" i="4" s="1"/>
  <c r="Y14" i="4" s="1"/>
  <c r="J14" i="4"/>
  <c r="K14" i="4" s="1"/>
  <c r="V12" i="4"/>
  <c r="W12" i="4" s="1"/>
  <c r="Y12" i="4" s="1"/>
  <c r="J12" i="4"/>
  <c r="K12" i="4" s="1"/>
  <c r="X11" i="4"/>
  <c r="R11" i="4"/>
  <c r="J11" i="4"/>
  <c r="K11" i="4" s="1"/>
  <c r="S37" i="4" l="1"/>
  <c r="AB37" i="4" s="1"/>
  <c r="Z37" i="4"/>
  <c r="AA37" i="4" s="1"/>
  <c r="M89" i="4"/>
  <c r="AB89" i="4" s="1"/>
  <c r="AC89" i="4" s="1"/>
  <c r="Z89" i="4"/>
  <c r="AA89" i="4" s="1"/>
  <c r="M84" i="4"/>
  <c r="AB84" i="4" s="1"/>
  <c r="Z84" i="4"/>
  <c r="AA84" i="4" s="1"/>
  <c r="AC84" i="4" s="1"/>
  <c r="M67" i="4"/>
  <c r="AB67" i="4" s="1"/>
  <c r="Z67" i="4"/>
  <c r="AA67" i="4" s="1"/>
  <c r="AC67" i="4" s="1"/>
  <c r="M55" i="4"/>
  <c r="AB55" i="4" s="1"/>
  <c r="Z55" i="4"/>
  <c r="AA55" i="4" s="1"/>
  <c r="AC55" i="4" s="1"/>
  <c r="M24" i="4"/>
  <c r="AB24" i="4" s="1"/>
  <c r="Z24" i="4"/>
  <c r="AA24" i="4" s="1"/>
  <c r="M74" i="4"/>
  <c r="AB74" i="4" s="1"/>
  <c r="Z74" i="4"/>
  <c r="AA74" i="4" s="1"/>
  <c r="M47" i="4"/>
  <c r="AB47" i="4" s="1"/>
  <c r="Z47" i="4"/>
  <c r="AA47" i="4" s="1"/>
  <c r="AC47" i="4" s="1"/>
  <c r="M13" i="4"/>
  <c r="AB13" i="4" s="1"/>
  <c r="AC13" i="4" s="1"/>
  <c r="Z13" i="4"/>
  <c r="AA13" i="4" s="1"/>
  <c r="M18" i="4"/>
  <c r="AB18" i="4" s="1"/>
  <c r="Z18" i="4"/>
  <c r="AA18" i="4" s="1"/>
  <c r="M20" i="4"/>
  <c r="AB20" i="4" s="1"/>
  <c r="Z20" i="4"/>
  <c r="AA20" i="4" s="1"/>
  <c r="M108" i="4"/>
  <c r="AB108" i="4" s="1"/>
  <c r="Z108" i="4"/>
  <c r="AA108" i="4" s="1"/>
  <c r="AC108" i="4" s="1"/>
  <c r="M57" i="4"/>
  <c r="AB57" i="4" s="1"/>
  <c r="Z57" i="4"/>
  <c r="AA57" i="4" s="1"/>
  <c r="M81" i="4"/>
  <c r="AB81" i="4" s="1"/>
  <c r="Z81" i="4"/>
  <c r="AA81" i="4" s="1"/>
  <c r="M27" i="4"/>
  <c r="AB27" i="4" s="1"/>
  <c r="Z27" i="4"/>
  <c r="AA27" i="4" s="1"/>
  <c r="M42" i="4"/>
  <c r="AB42" i="4" s="1"/>
  <c r="Z42" i="4"/>
  <c r="AA42" i="4" s="1"/>
  <c r="M90" i="4"/>
  <c r="M87" i="4"/>
  <c r="AB87" i="4" s="1"/>
  <c r="AC87" i="4" s="1"/>
  <c r="Z87" i="4"/>
  <c r="AA87" i="4" s="1"/>
  <c r="M25" i="4"/>
  <c r="AB25" i="4" s="1"/>
  <c r="Z25" i="4"/>
  <c r="AA25" i="4" s="1"/>
  <c r="Z93" i="4"/>
  <c r="AA93" i="4" s="1"/>
  <c r="M77" i="4"/>
  <c r="AB77" i="4" s="1"/>
  <c r="Z77" i="4"/>
  <c r="AA77" i="4" s="1"/>
  <c r="M39" i="4"/>
  <c r="AB39" i="4" s="1"/>
  <c r="Z39" i="4"/>
  <c r="AA39" i="4" s="1"/>
  <c r="AC39" i="4" s="1"/>
  <c r="M80" i="4"/>
  <c r="AB80" i="4" s="1"/>
  <c r="Z80" i="4"/>
  <c r="AA80" i="4" s="1"/>
  <c r="AC86" i="4"/>
  <c r="M17" i="4"/>
  <c r="AB17" i="4" s="1"/>
  <c r="Z17" i="4"/>
  <c r="AA17" i="4" s="1"/>
  <c r="M54" i="4"/>
  <c r="AB54" i="4" s="1"/>
  <c r="AC54" i="4" s="1"/>
  <c r="Z54" i="4"/>
  <c r="AA54" i="4" s="1"/>
  <c r="M46" i="4"/>
  <c r="AB46" i="4" s="1"/>
  <c r="AC46" i="4" s="1"/>
  <c r="Z46" i="4"/>
  <c r="AA46" i="4" s="1"/>
  <c r="M96" i="4"/>
  <c r="AB96" i="4" s="1"/>
  <c r="Z96" i="4"/>
  <c r="AA96" i="4" s="1"/>
  <c r="AC96" i="4" s="1"/>
  <c r="M60" i="4"/>
  <c r="AB60" i="4" s="1"/>
  <c r="Z60" i="4"/>
  <c r="AA60" i="4" s="1"/>
  <c r="M104" i="4"/>
  <c r="M35" i="4"/>
  <c r="AB35" i="4" s="1"/>
  <c r="Z35" i="4"/>
  <c r="AA35" i="4" s="1"/>
  <c r="M14" i="4"/>
  <c r="AB14" i="4" s="1"/>
  <c r="Z14" i="4"/>
  <c r="AA14" i="4" s="1"/>
  <c r="AC14" i="4" s="1"/>
  <c r="AB93" i="4"/>
  <c r="AC93" i="4" s="1"/>
  <c r="M15" i="4"/>
  <c r="AB15" i="4" s="1"/>
  <c r="AC15" i="4" s="1"/>
  <c r="Z15" i="4"/>
  <c r="AA15" i="4" s="1"/>
  <c r="M34" i="4"/>
  <c r="AB34" i="4" s="1"/>
  <c r="Z34" i="4"/>
  <c r="AA34" i="4" s="1"/>
  <c r="M43" i="4"/>
  <c r="AB43" i="4" s="1"/>
  <c r="Z43" i="4"/>
  <c r="AA43" i="4" s="1"/>
  <c r="AC43" i="4" s="1"/>
  <c r="M59" i="4"/>
  <c r="AB59" i="4" s="1"/>
  <c r="Z59" i="4"/>
  <c r="AA59" i="4" s="1"/>
  <c r="AC59" i="4" s="1"/>
  <c r="M100" i="4"/>
  <c r="M49" i="4"/>
  <c r="AB49" i="4" s="1"/>
  <c r="Z49" i="4"/>
  <c r="AA49" i="4" s="1"/>
  <c r="M44" i="4"/>
  <c r="AB44" i="4" s="1"/>
  <c r="Z44" i="4"/>
  <c r="AA44" i="4" s="1"/>
  <c r="S19" i="4"/>
  <c r="AB19" i="4" s="1"/>
  <c r="Z19" i="4"/>
  <c r="AA19" i="4" s="1"/>
  <c r="AC19" i="4" s="1"/>
  <c r="M52" i="4"/>
  <c r="AB52" i="4" s="1"/>
  <c r="AC52" i="4" s="1"/>
  <c r="Z52" i="4"/>
  <c r="AA52" i="4" s="1"/>
  <c r="M23" i="4"/>
  <c r="AB23" i="4" s="1"/>
  <c r="Z23" i="4"/>
  <c r="AA23" i="4" s="1"/>
  <c r="M95" i="4"/>
  <c r="AB95" i="4" s="1"/>
  <c r="Z95" i="4"/>
  <c r="AA95" i="4" s="1"/>
  <c r="M32" i="4"/>
  <c r="AB32" i="4" s="1"/>
  <c r="Z32" i="4"/>
  <c r="AA32" i="4" s="1"/>
  <c r="M33" i="4"/>
  <c r="AB33" i="4" s="1"/>
  <c r="Z33" i="4"/>
  <c r="AA33" i="4" s="1"/>
  <c r="M61" i="4"/>
  <c r="AB61" i="4" s="1"/>
  <c r="Z61" i="4"/>
  <c r="AA61" i="4" s="1"/>
  <c r="M68" i="4"/>
  <c r="AB68" i="4" s="1"/>
  <c r="Z68" i="4"/>
  <c r="AA68" i="4" s="1"/>
  <c r="M12" i="4"/>
  <c r="AB12" i="4" s="1"/>
  <c r="Z12" i="4"/>
  <c r="AA12" i="4" s="1"/>
  <c r="AC12" i="4" s="1"/>
  <c r="M98" i="4"/>
  <c r="AB98" i="4" s="1"/>
  <c r="AC98" i="4" s="1"/>
  <c r="Z98" i="4"/>
  <c r="AA98" i="4" s="1"/>
  <c r="M79" i="4"/>
  <c r="AB79" i="4" s="1"/>
  <c r="Z79" i="4"/>
  <c r="AA79" i="4" s="1"/>
  <c r="AC79" i="4" s="1"/>
  <c r="M26" i="4"/>
  <c r="AB26" i="4" s="1"/>
  <c r="Z26" i="4"/>
  <c r="AA26" i="4" s="1"/>
  <c r="AC26" i="4" s="1"/>
  <c r="M36" i="4"/>
  <c r="AB36" i="4" s="1"/>
  <c r="Z36" i="4"/>
  <c r="AA36" i="4" s="1"/>
  <c r="M38" i="4"/>
  <c r="AB38" i="4" s="1"/>
  <c r="Z38" i="4"/>
  <c r="AA38" i="4" s="1"/>
  <c r="M16" i="4"/>
  <c r="AB16" i="4" s="1"/>
  <c r="Z16" i="4"/>
  <c r="AA16" i="4" s="1"/>
  <c r="M40" i="4"/>
  <c r="AB40" i="4" s="1"/>
  <c r="Z40" i="4"/>
  <c r="AA40" i="4" s="1"/>
  <c r="M66" i="4"/>
  <c r="AB66" i="4" s="1"/>
  <c r="Z66" i="4"/>
  <c r="AA66" i="4" s="1"/>
  <c r="M53" i="4"/>
  <c r="AB53" i="4" s="1"/>
  <c r="AC53" i="4" s="1"/>
  <c r="Z53" i="4"/>
  <c r="AA53" i="4" s="1"/>
  <c r="M45" i="4"/>
  <c r="AB45" i="4" s="1"/>
  <c r="Z45" i="4"/>
  <c r="AA45" i="4" s="1"/>
  <c r="M99" i="4"/>
  <c r="AB99" i="4" s="1"/>
  <c r="Z99" i="4"/>
  <c r="AA99" i="4" s="1"/>
  <c r="M41" i="4"/>
  <c r="AB41" i="4" s="1"/>
  <c r="Z41" i="4"/>
  <c r="AA41" i="4" s="1"/>
  <c r="S76" i="4"/>
  <c r="AB76" i="4" s="1"/>
  <c r="Z76" i="4"/>
  <c r="AA76" i="4" s="1"/>
  <c r="AU85" i="4"/>
  <c r="Q101" i="4"/>
  <c r="S101" i="4" s="1"/>
  <c r="BC101" i="4" s="1"/>
  <c r="Q74" i="4"/>
  <c r="S74" i="4" s="1"/>
  <c r="Y11" i="4"/>
  <c r="S11" i="4"/>
  <c r="M11" i="4"/>
  <c r="K92" i="4"/>
  <c r="K109" i="4"/>
  <c r="K78" i="4"/>
  <c r="K73" i="4"/>
  <c r="K94" i="4"/>
  <c r="K91" i="4"/>
  <c r="K75" i="4"/>
  <c r="K107" i="4"/>
  <c r="K97" i="4"/>
  <c r="AC43" i="12"/>
  <c r="AC12" i="12"/>
  <c r="BE74" i="4"/>
  <c r="BG45" i="4"/>
  <c r="AS22" i="4"/>
  <c r="AS45" i="4"/>
  <c r="BE45" i="4" s="1"/>
  <c r="AS66" i="4"/>
  <c r="BE66" i="4" s="1"/>
  <c r="AS58" i="4"/>
  <c r="AS40" i="4"/>
  <c r="BE40" i="4" s="1"/>
  <c r="BG40" i="4"/>
  <c r="BG66" i="4"/>
  <c r="AU84" i="4"/>
  <c r="AU32" i="4"/>
  <c r="BG32" i="4" s="1"/>
  <c r="AC53" i="12"/>
  <c r="AC14" i="12"/>
  <c r="AC56" i="12"/>
  <c r="AC37" i="12"/>
  <c r="AC79" i="12"/>
  <c r="BE105" i="4"/>
  <c r="J101" i="4"/>
  <c r="K101" i="4" s="1"/>
  <c r="AY101" i="4"/>
  <c r="BB100" i="4"/>
  <c r="P100" i="4"/>
  <c r="AV228" i="14"/>
  <c r="AW17" i="4"/>
  <c r="BI17" i="4" s="1"/>
  <c r="BE104" i="4"/>
  <c r="AY106" i="4"/>
  <c r="J106" i="4"/>
  <c r="K106" i="4" s="1"/>
  <c r="BE103" i="4"/>
  <c r="J102" i="4"/>
  <c r="K102" i="4" s="1"/>
  <c r="AY102" i="4"/>
  <c r="AC66" i="12"/>
  <c r="J103" i="4"/>
  <c r="K103" i="4" s="1"/>
  <c r="AY103" i="4"/>
  <c r="AC52" i="12"/>
  <c r="P104" i="4"/>
  <c r="P106" i="4"/>
  <c r="J105" i="4"/>
  <c r="K105" i="4" s="1"/>
  <c r="AY105" i="4"/>
  <c r="AV119" i="14"/>
  <c r="AX85" i="4" s="1"/>
  <c r="P102" i="4"/>
  <c r="AW85" i="4"/>
  <c r="BE102" i="4"/>
  <c r="U119" i="14"/>
  <c r="AW119" i="14" s="1"/>
  <c r="AY85" i="4" s="1"/>
  <c r="P105" i="4"/>
  <c r="Q105" i="4" s="1"/>
  <c r="S105" i="4" s="1"/>
  <c r="P103" i="4"/>
  <c r="BI69" i="4"/>
  <c r="P69" i="4"/>
  <c r="Q69" i="4" s="1"/>
  <c r="S69" i="4" s="1"/>
  <c r="J69" i="4"/>
  <c r="AC81" i="12"/>
  <c r="AC42" i="12"/>
  <c r="AC64" i="12"/>
  <c r="AC29" i="12"/>
  <c r="AC19" i="12"/>
  <c r="AC23" i="12"/>
  <c r="AC85" i="12"/>
  <c r="AX219" i="14"/>
  <c r="AS82" i="4"/>
  <c r="U110" i="14"/>
  <c r="AC51" i="12"/>
  <c r="AH180" i="14"/>
  <c r="AU87" i="4"/>
  <c r="BG87" i="4" s="1"/>
  <c r="AU110" i="14"/>
  <c r="AW82" i="4"/>
  <c r="BI82" i="4" s="1"/>
  <c r="AH176" i="14"/>
  <c r="AU86" i="4"/>
  <c r="BG86" i="4" s="1"/>
  <c r="AU180" i="14"/>
  <c r="AW87" i="4"/>
  <c r="BI87" i="4" s="1"/>
  <c r="AU176" i="14"/>
  <c r="AW86" i="4"/>
  <c r="BI86" i="4" s="1"/>
  <c r="AU12" i="4"/>
  <c r="BG12" i="4" s="1"/>
  <c r="AU242" i="14"/>
  <c r="AW88" i="4"/>
  <c r="BI88" i="4" s="1"/>
  <c r="AU155" i="14"/>
  <c r="AW89" i="4"/>
  <c r="BI89" i="4" s="1"/>
  <c r="AH155" i="14"/>
  <c r="AU89" i="4"/>
  <c r="BG89" i="4" s="1"/>
  <c r="AH242" i="14"/>
  <c r="AU88" i="4"/>
  <c r="BG88" i="4" s="1"/>
  <c r="BG83" i="4"/>
  <c r="AC49" i="12"/>
  <c r="AC30" i="12"/>
  <c r="AC80" i="12"/>
  <c r="AC91" i="12"/>
  <c r="AC89" i="12"/>
  <c r="AC40" i="12"/>
  <c r="AC44" i="12"/>
  <c r="AC88" i="12"/>
  <c r="AC36" i="12"/>
  <c r="P84" i="4"/>
  <c r="Q84" i="4" s="1"/>
  <c r="S84" i="4" s="1"/>
  <c r="P85" i="4"/>
  <c r="Q85" i="4" s="1"/>
  <c r="S85" i="4" s="1"/>
  <c r="J85" i="4"/>
  <c r="K85" i="4" s="1"/>
  <c r="J83" i="4"/>
  <c r="K83" i="4" s="1"/>
  <c r="AV223" i="14"/>
  <c r="J82" i="4"/>
  <c r="P90" i="4"/>
  <c r="Q90" i="4" s="1"/>
  <c r="S90" i="4" s="1"/>
  <c r="BI90" i="4"/>
  <c r="U128" i="14"/>
  <c r="AX128" i="14" s="1"/>
  <c r="AV225" i="14"/>
  <c r="S180" i="14"/>
  <c r="AS87" i="4" s="1"/>
  <c r="BE87" i="4" s="1"/>
  <c r="S166" i="14"/>
  <c r="AV166" i="14" s="1"/>
  <c r="AX84" i="4" s="1"/>
  <c r="S176" i="14"/>
  <c r="AS86" i="4" s="1"/>
  <c r="BE86" i="4" s="1"/>
  <c r="S194" i="14"/>
  <c r="U194" i="14" s="1"/>
  <c r="S242" i="14"/>
  <c r="AS88" i="4" s="1"/>
  <c r="BE88" i="4" s="1"/>
  <c r="AU54" i="4"/>
  <c r="AW33" i="4"/>
  <c r="BI33" i="4" s="1"/>
  <c r="AX186" i="14"/>
  <c r="AC87" i="12"/>
  <c r="AC46" i="12"/>
  <c r="AC62" i="12"/>
  <c r="AC16" i="12"/>
  <c r="AC50" i="12"/>
  <c r="AX138" i="14"/>
  <c r="AV138" i="14"/>
  <c r="AV182" i="14"/>
  <c r="AV221" i="14"/>
  <c r="AU50" i="4"/>
  <c r="AU62" i="4"/>
  <c r="U221" i="14"/>
  <c r="AW221" i="14" s="1"/>
  <c r="AV220" i="14"/>
  <c r="AU26" i="4"/>
  <c r="BG26" i="4" s="1"/>
  <c r="BE77" i="4"/>
  <c r="U220" i="14"/>
  <c r="AX220" i="14" s="1"/>
  <c r="AV226" i="14"/>
  <c r="AW165" i="14"/>
  <c r="AU54" i="14"/>
  <c r="AW77" i="4"/>
  <c r="BI77" i="4" s="1"/>
  <c r="AH54" i="14"/>
  <c r="AU77" i="4"/>
  <c r="BG77" i="4" s="1"/>
  <c r="AV247" i="14"/>
  <c r="AX162" i="14"/>
  <c r="AX123" i="14"/>
  <c r="AV123" i="14"/>
  <c r="AW174" i="14"/>
  <c r="AV219" i="14"/>
  <c r="AX17" i="14"/>
  <c r="AW219" i="14"/>
  <c r="AH208" i="14"/>
  <c r="AU96" i="4"/>
  <c r="BG96" i="4" s="1"/>
  <c r="AU44" i="4"/>
  <c r="BG44" i="4" s="1"/>
  <c r="AU21" i="4"/>
  <c r="AU39" i="4"/>
  <c r="BG39" i="4" s="1"/>
  <c r="AU57" i="4"/>
  <c r="AU65" i="4"/>
  <c r="AS44" i="4"/>
  <c r="BE44" i="4" s="1"/>
  <c r="AS21" i="4"/>
  <c r="AS39" i="4"/>
  <c r="BE39" i="4" s="1"/>
  <c r="AS57" i="4"/>
  <c r="BE57" i="4" s="1"/>
  <c r="AS65" i="4"/>
  <c r="AS96" i="4"/>
  <c r="BE96" i="4" s="1"/>
  <c r="AC45" i="12"/>
  <c r="AC78" i="12"/>
  <c r="AC22" i="12"/>
  <c r="AC28" i="12"/>
  <c r="AC38" i="12"/>
  <c r="AC58" i="12"/>
  <c r="AC60" i="12"/>
  <c r="AC74" i="12"/>
  <c r="AC61" i="12"/>
  <c r="AC47" i="12"/>
  <c r="AC90" i="12"/>
  <c r="AC54" i="12"/>
  <c r="AC84" i="12"/>
  <c r="AC21" i="12"/>
  <c r="AC67" i="12"/>
  <c r="AC24" i="12"/>
  <c r="AC11" i="12"/>
  <c r="AC20" i="12"/>
  <c r="AC27" i="12"/>
  <c r="AC41" i="12"/>
  <c r="AC65" i="12"/>
  <c r="BG75" i="4"/>
  <c r="BG20" i="4"/>
  <c r="BE111" i="4"/>
  <c r="BG99" i="4"/>
  <c r="BI111" i="4"/>
  <c r="AX228" i="14"/>
  <c r="AY228" i="14" s="1"/>
  <c r="AX179" i="14"/>
  <c r="AX113" i="14"/>
  <c r="AY113" i="14" s="1"/>
  <c r="AX5" i="14"/>
  <c r="AW5" i="14"/>
  <c r="AU237" i="14"/>
  <c r="AV237" i="14"/>
  <c r="AX90" i="4" s="1"/>
  <c r="AH11" i="14"/>
  <c r="AU97" i="4"/>
  <c r="BG97" i="4" s="1"/>
  <c r="AV11" i="14"/>
  <c r="AX97" i="4" s="1"/>
  <c r="AU188" i="14"/>
  <c r="AX188" i="14" s="1"/>
  <c r="AV188" i="14"/>
  <c r="U73" i="14"/>
  <c r="AV73" i="14"/>
  <c r="AW20" i="14"/>
  <c r="AX20" i="14"/>
  <c r="AV20" i="14"/>
  <c r="U116" i="14"/>
  <c r="AS32" i="4"/>
  <c r="BE32" i="4" s="1"/>
  <c r="AW68" i="4"/>
  <c r="BI68" i="4" s="1"/>
  <c r="AW46" i="4"/>
  <c r="AW24" i="4"/>
  <c r="BI24" i="4" s="1"/>
  <c r="AW98" i="4"/>
  <c r="BI98" i="4" s="1"/>
  <c r="AW60" i="4"/>
  <c r="AW42" i="4"/>
  <c r="AW123" i="14"/>
  <c r="AU12" i="14"/>
  <c r="AW47" i="4"/>
  <c r="BI47" i="4" s="1"/>
  <c r="AW79" i="4"/>
  <c r="BI79" i="4" s="1"/>
  <c r="AX133" i="14"/>
  <c r="AS11" i="4"/>
  <c r="BE11" i="4" s="1"/>
  <c r="AS61" i="4"/>
  <c r="BE61" i="4" s="1"/>
  <c r="AS49" i="4"/>
  <c r="BE49" i="4" s="1"/>
  <c r="AS53" i="4"/>
  <c r="AS25" i="4"/>
  <c r="BE25" i="4" s="1"/>
  <c r="AH12" i="14"/>
  <c r="AU79" i="4"/>
  <c r="BG79" i="4" s="1"/>
  <c r="AU47" i="4"/>
  <c r="BG47" i="4" s="1"/>
  <c r="AU175" i="14"/>
  <c r="AW15" i="4"/>
  <c r="BI15" i="4" s="1"/>
  <c r="AW34" i="4"/>
  <c r="BI34" i="4" s="1"/>
  <c r="AU127" i="14"/>
  <c r="AW25" i="4"/>
  <c r="BI25" i="4" s="1"/>
  <c r="AW61" i="4"/>
  <c r="BI61" i="4" s="1"/>
  <c r="AW49" i="4"/>
  <c r="BI49" i="4" s="1"/>
  <c r="AW11" i="4"/>
  <c r="BI11" i="4" s="1"/>
  <c r="AW53" i="4"/>
  <c r="AU116" i="14"/>
  <c r="AW32" i="4"/>
  <c r="BI32" i="4" s="1"/>
  <c r="AU117" i="14"/>
  <c r="AW20" i="4"/>
  <c r="BI20" i="4" s="1"/>
  <c r="AW52" i="4"/>
  <c r="BI52" i="4" s="1"/>
  <c r="AW56" i="4"/>
  <c r="AW64" i="4"/>
  <c r="AW38" i="4"/>
  <c r="BI38" i="4" s="1"/>
  <c r="AW108" i="4"/>
  <c r="BI108" i="4" s="1"/>
  <c r="AU46" i="4"/>
  <c r="AU24" i="4"/>
  <c r="BG24" i="4" s="1"/>
  <c r="AU98" i="4"/>
  <c r="BG98" i="4" s="1"/>
  <c r="AU60" i="4"/>
  <c r="AU68" i="4"/>
  <c r="BG68" i="4" s="1"/>
  <c r="AU42" i="4"/>
  <c r="AV218" i="14"/>
  <c r="AH127" i="14"/>
  <c r="AU25" i="4"/>
  <c r="BG25" i="4" s="1"/>
  <c r="AU61" i="4"/>
  <c r="BG61" i="4" s="1"/>
  <c r="AU49" i="4"/>
  <c r="BG49" i="4" s="1"/>
  <c r="AU53" i="4"/>
  <c r="AU11" i="4"/>
  <c r="BG11" i="4" s="1"/>
  <c r="AH175" i="14"/>
  <c r="AU34" i="4"/>
  <c r="BG34" i="4" s="1"/>
  <c r="AU15" i="4"/>
  <c r="BG15" i="4" s="1"/>
  <c r="AV227" i="14"/>
  <c r="AS56" i="4"/>
  <c r="AS108" i="4"/>
  <c r="BE108" i="4" s="1"/>
  <c r="AS38" i="4"/>
  <c r="BE38" i="4" s="1"/>
  <c r="AS64" i="4"/>
  <c r="AS20" i="4"/>
  <c r="BE20" i="4" s="1"/>
  <c r="AS52" i="4"/>
  <c r="BE52" i="4" s="1"/>
  <c r="AW62" i="4"/>
  <c r="AW50" i="4"/>
  <c r="AW12" i="4"/>
  <c r="BI12" i="4" s="1"/>
  <c r="AW54" i="4"/>
  <c r="AW26" i="4"/>
  <c r="BI26" i="4" s="1"/>
  <c r="AF16" i="14"/>
  <c r="AH190" i="14"/>
  <c r="AU14" i="4"/>
  <c r="BG14" i="4" s="1"/>
  <c r="AS79" i="4"/>
  <c r="BE79" i="4" s="1"/>
  <c r="AS47" i="4"/>
  <c r="BE47" i="4" s="1"/>
  <c r="AV222" i="14"/>
  <c r="U200" i="14"/>
  <c r="S200" i="14"/>
  <c r="AX182" i="14"/>
  <c r="AH227" i="14"/>
  <c r="AX227" i="14" s="1"/>
  <c r="AH107" i="14"/>
  <c r="AU17" i="4"/>
  <c r="BG17" i="4" s="1"/>
  <c r="AU11" i="14"/>
  <c r="AW97" i="4"/>
  <c r="BI97" i="4" s="1"/>
  <c r="S198" i="14"/>
  <c r="AV198" i="14" s="1"/>
  <c r="AY37" i="4"/>
  <c r="AY19" i="4"/>
  <c r="AU190" i="14"/>
  <c r="AW14" i="4"/>
  <c r="BI14" i="4" s="1"/>
  <c r="BH193" i="14"/>
  <c r="AX19" i="4"/>
  <c r="AX37" i="4"/>
  <c r="BG93" i="4"/>
  <c r="BG13" i="4"/>
  <c r="BG110" i="4"/>
  <c r="BG80" i="4"/>
  <c r="BG18" i="4"/>
  <c r="BI110" i="4"/>
  <c r="BI16" i="4"/>
  <c r="BE13" i="4"/>
  <c r="BE18" i="4"/>
  <c r="BG33" i="4"/>
  <c r="BE99" i="4"/>
  <c r="BE33" i="4"/>
  <c r="BE27" i="4"/>
  <c r="BG78" i="4"/>
  <c r="BI73" i="4"/>
  <c r="BI27" i="4"/>
  <c r="BG111" i="4"/>
  <c r="BG19" i="4"/>
  <c r="BI78" i="4"/>
  <c r="BE12" i="4"/>
  <c r="BI99" i="4"/>
  <c r="BE37" i="4"/>
  <c r="BE14" i="4"/>
  <c r="BG52" i="4"/>
  <c r="BI107" i="4"/>
  <c r="BE110" i="4"/>
  <c r="BG109" i="4"/>
  <c r="BE16" i="4"/>
  <c r="BI109" i="4"/>
  <c r="BG91" i="4"/>
  <c r="BG37" i="4"/>
  <c r="BE55" i="4"/>
  <c r="BG92" i="4"/>
  <c r="BE34" i="4"/>
  <c r="BI35" i="4"/>
  <c r="BG55" i="4"/>
  <c r="BG35" i="4"/>
  <c r="BE36" i="4"/>
  <c r="BE19" i="4"/>
  <c r="BI13" i="4"/>
  <c r="BI36" i="4"/>
  <c r="BI63" i="4"/>
  <c r="BG94" i="4"/>
  <c r="BG108" i="4"/>
  <c r="BG16" i="4"/>
  <c r="BI91" i="4"/>
  <c r="BI75" i="4"/>
  <c r="BE17" i="4"/>
  <c r="BI18" i="4"/>
  <c r="BG73" i="4"/>
  <c r="BI55" i="4"/>
  <c r="BG76" i="4"/>
  <c r="BE15" i="4"/>
  <c r="BG38" i="4"/>
  <c r="BG27" i="4"/>
  <c r="BE26" i="4"/>
  <c r="BG107" i="4"/>
  <c r="BE35" i="4"/>
  <c r="AH74" i="14"/>
  <c r="AW74" i="14" s="1"/>
  <c r="AV74" i="14"/>
  <c r="AH55" i="14"/>
  <c r="AX55" i="14" s="1"/>
  <c r="AV55" i="14"/>
  <c r="AU170" i="14"/>
  <c r="AW170" i="14" s="1"/>
  <c r="AV170" i="14"/>
  <c r="U117" i="14"/>
  <c r="AV117" i="14"/>
  <c r="AH51" i="14"/>
  <c r="AV51" i="14"/>
  <c r="AV243" i="14"/>
  <c r="U243" i="14"/>
  <c r="AX243" i="14" s="1"/>
  <c r="AV82" i="14"/>
  <c r="U82" i="14"/>
  <c r="AW82" i="14" s="1"/>
  <c r="AU178" i="14"/>
  <c r="AW178" i="14" s="1"/>
  <c r="AV178" i="14"/>
  <c r="AS18" i="14"/>
  <c r="AV18" i="14" s="1"/>
  <c r="AT18" i="14"/>
  <c r="AX8" i="14"/>
  <c r="AV6" i="14"/>
  <c r="AW138" i="14"/>
  <c r="AV224" i="14"/>
  <c r="AT199" i="14"/>
  <c r="AU199" i="14"/>
  <c r="AX165" i="14"/>
  <c r="AV165" i="14"/>
  <c r="AU18" i="14"/>
  <c r="AV133" i="14"/>
  <c r="AW133" i="14"/>
  <c r="AS199" i="14"/>
  <c r="AW80" i="4" s="1"/>
  <c r="BI80" i="4" s="1"/>
  <c r="AW17" i="14"/>
  <c r="U103" i="14"/>
  <c r="AV103" i="14"/>
  <c r="AS200" i="14"/>
  <c r="AV126" i="14"/>
  <c r="AV217" i="14"/>
  <c r="AV8" i="14"/>
  <c r="S139" i="14"/>
  <c r="AV139" i="14" s="1"/>
  <c r="AH16" i="14"/>
  <c r="AU15" i="14"/>
  <c r="AT15" i="14"/>
  <c r="U198" i="14"/>
  <c r="AX174" i="14"/>
  <c r="AV5" i="14"/>
  <c r="AV124" i="14"/>
  <c r="AS15" i="14"/>
  <c r="AH157" i="14"/>
  <c r="AW157" i="14" s="1"/>
  <c r="AV157" i="14"/>
  <c r="AH209" i="14"/>
  <c r="AX209" i="14" s="1"/>
  <c r="AV209" i="14"/>
  <c r="AU153" i="14"/>
  <c r="AX153" i="14" s="1"/>
  <c r="AV153" i="14"/>
  <c r="AV172" i="14"/>
  <c r="U172" i="14"/>
  <c r="U204" i="14"/>
  <c r="AV204" i="14"/>
  <c r="AU149" i="14"/>
  <c r="AW149" i="14" s="1"/>
  <c r="AV149" i="14"/>
  <c r="AU99" i="14"/>
  <c r="AX99" i="14" s="1"/>
  <c r="AV99" i="14"/>
  <c r="AU114" i="14"/>
  <c r="AX114" i="14" s="1"/>
  <c r="AV114" i="14"/>
  <c r="AU72" i="14"/>
  <c r="AV72" i="14"/>
  <c r="AV167" i="14"/>
  <c r="U167" i="14"/>
  <c r="AU189" i="14"/>
  <c r="AW189" i="14" s="1"/>
  <c r="AV189" i="14"/>
  <c r="AU46" i="14"/>
  <c r="AV46" i="14"/>
  <c r="AH88" i="14"/>
  <c r="AX88" i="14" s="1"/>
  <c r="AV88" i="14"/>
  <c r="U147" i="14"/>
  <c r="AV147" i="14"/>
  <c r="AV75" i="14"/>
  <c r="U75" i="14"/>
  <c r="AU102" i="14"/>
  <c r="AW102" i="14" s="1"/>
  <c r="AV102" i="14"/>
  <c r="AV14" i="14"/>
  <c r="U14" i="14"/>
  <c r="U66" i="14"/>
  <c r="AV66" i="14"/>
  <c r="AH207" i="14"/>
  <c r="AX207" i="14" s="1"/>
  <c r="AV207" i="14"/>
  <c r="AH69" i="14"/>
  <c r="AW69" i="14" s="1"/>
  <c r="AV69" i="14"/>
  <c r="U67" i="14"/>
  <c r="AV67" i="14"/>
  <c r="AU108" i="14"/>
  <c r="AW108" i="14" s="1"/>
  <c r="AV108" i="14"/>
  <c r="AH93" i="14"/>
  <c r="AW93" i="14" s="1"/>
  <c r="AV93" i="14"/>
  <c r="AU27" i="14"/>
  <c r="AX27" i="14" s="1"/>
  <c r="AV27" i="14"/>
  <c r="AV205" i="14"/>
  <c r="U205" i="14"/>
  <c r="AU171" i="14"/>
  <c r="AV171" i="14"/>
  <c r="AH87" i="14"/>
  <c r="AX87" i="14" s="1"/>
  <c r="AV87" i="14"/>
  <c r="AH161" i="14"/>
  <c r="AW161" i="14" s="1"/>
  <c r="AV161" i="14"/>
  <c r="U245" i="14"/>
  <c r="AV245" i="14"/>
  <c r="AX33" i="4" s="1"/>
  <c r="AU166" i="14"/>
  <c r="AV142" i="14"/>
  <c r="U142" i="14"/>
  <c r="AU122" i="14"/>
  <c r="AX122" i="14" s="1"/>
  <c r="AV122" i="14"/>
  <c r="AH160" i="14"/>
  <c r="AX160" i="14" s="1"/>
  <c r="AV160" i="14"/>
  <c r="U58" i="14"/>
  <c r="AV58" i="14"/>
  <c r="AU191" i="14"/>
  <c r="AV191" i="14"/>
  <c r="AV140" i="14"/>
  <c r="U140" i="14"/>
  <c r="AU112" i="14"/>
  <c r="AX112" i="14" s="1"/>
  <c r="AV112" i="14"/>
  <c r="AU146" i="14"/>
  <c r="AX146" i="14" s="1"/>
  <c r="AV146" i="14"/>
  <c r="AV206" i="14"/>
  <c r="U206" i="14"/>
  <c r="AH230" i="14"/>
  <c r="AX230" i="14" s="1"/>
  <c r="AV230" i="14"/>
  <c r="U104" i="14"/>
  <c r="AV104" i="14"/>
  <c r="U56" i="14"/>
  <c r="AV56" i="14"/>
  <c r="AU181" i="14"/>
  <c r="AV181" i="14"/>
  <c r="AV190" i="14"/>
  <c r="AX14" i="4" s="1"/>
  <c r="U190" i="14"/>
  <c r="AU177" i="14"/>
  <c r="AV177" i="14"/>
  <c r="U135" i="14"/>
  <c r="AV135" i="14"/>
  <c r="AU201" i="14"/>
  <c r="AX201" i="14" s="1"/>
  <c r="AV201" i="14"/>
  <c r="U134" i="14"/>
  <c r="AV134" i="14"/>
  <c r="AU101" i="14"/>
  <c r="AX101" i="14" s="1"/>
  <c r="AZ16" i="4" s="1"/>
  <c r="AV101" i="14"/>
  <c r="AX16" i="4" s="1"/>
  <c r="AU187" i="14"/>
  <c r="AW187" i="14" s="1"/>
  <c r="AV187" i="14"/>
  <c r="U203" i="14"/>
  <c r="AV203" i="14"/>
  <c r="AV210" i="14"/>
  <c r="U210" i="14"/>
  <c r="AH144" i="14"/>
  <c r="AX144" i="14" s="1"/>
  <c r="AV144" i="14"/>
  <c r="AH95" i="14"/>
  <c r="AX95" i="14" s="1"/>
  <c r="AV95" i="14"/>
  <c r="AV184" i="14"/>
  <c r="U184" i="14"/>
  <c r="AH150" i="14"/>
  <c r="AX150" i="14" s="1"/>
  <c r="AV150" i="14"/>
  <c r="AH94" i="14"/>
  <c r="AW94" i="14" s="1"/>
  <c r="AV94" i="14"/>
  <c r="AU4" i="14"/>
  <c r="AV4" i="14"/>
  <c r="AH19" i="14"/>
  <c r="AW19" i="14" s="1"/>
  <c r="AV19" i="14"/>
  <c r="AH65" i="14"/>
  <c r="AV65" i="14"/>
  <c r="AH232" i="14"/>
  <c r="AV232" i="14"/>
  <c r="AU159" i="14"/>
  <c r="AX159" i="14" s="1"/>
  <c r="AV159" i="14"/>
  <c r="AH90" i="14"/>
  <c r="AW90" i="14" s="1"/>
  <c r="AV90" i="14"/>
  <c r="AU136" i="14"/>
  <c r="AW136" i="14" s="1"/>
  <c r="AV136" i="14"/>
  <c r="AV12" i="14"/>
  <c r="U12" i="14"/>
  <c r="AH59" i="14"/>
  <c r="AV59" i="14"/>
  <c r="U240" i="14"/>
  <c r="AV240" i="14"/>
  <c r="AV202" i="14"/>
  <c r="AV89" i="14"/>
  <c r="AV155" i="14"/>
  <c r="AX89" i="4" s="1"/>
  <c r="AV238" i="14"/>
  <c r="U238" i="14"/>
  <c r="U127" i="14"/>
  <c r="AV127" i="14"/>
  <c r="AV141" i="14"/>
  <c r="U141" i="14"/>
  <c r="U246" i="14"/>
  <c r="AV246" i="14"/>
  <c r="AV183" i="14"/>
  <c r="AV236" i="14"/>
  <c r="AX241" i="14"/>
  <c r="AW241" i="14"/>
  <c r="AX124" i="14"/>
  <c r="AW124" i="14"/>
  <c r="AX126" i="14"/>
  <c r="AW126" i="14"/>
  <c r="AV100" i="14"/>
  <c r="AX218" i="14"/>
  <c r="AW218" i="14"/>
  <c r="AV244" i="14"/>
  <c r="U244" i="14"/>
  <c r="AX247" i="14"/>
  <c r="AW247" i="14"/>
  <c r="AV143" i="14"/>
  <c r="AX183" i="14"/>
  <c r="AW183" i="14"/>
  <c r="AX236" i="14"/>
  <c r="AW236" i="14"/>
  <c r="AV91" i="14"/>
  <c r="AX100" i="14"/>
  <c r="AW100" i="14"/>
  <c r="AX223" i="14"/>
  <c r="AW223" i="14"/>
  <c r="U139" i="14"/>
  <c r="U107" i="14"/>
  <c r="AV107" i="14"/>
  <c r="AX17" i="4" s="1"/>
  <c r="AX143" i="14"/>
  <c r="AW143" i="14"/>
  <c r="AW179" i="14"/>
  <c r="U60" i="14"/>
  <c r="AV60" i="14"/>
  <c r="AX91" i="14"/>
  <c r="AW91" i="14"/>
  <c r="AV118" i="14"/>
  <c r="AV211" i="14"/>
  <c r="U211" i="14"/>
  <c r="AV174" i="14"/>
  <c r="AX222" i="14"/>
  <c r="AW222" i="14"/>
  <c r="AX118" i="14"/>
  <c r="AW118" i="14"/>
  <c r="AV148" i="14"/>
  <c r="AV208" i="14"/>
  <c r="U208" i="14"/>
  <c r="AV229" i="14"/>
  <c r="AU200" i="14"/>
  <c r="AW162" i="14"/>
  <c r="AG18" i="14"/>
  <c r="AH18" i="14"/>
  <c r="AF200" i="14"/>
  <c r="AX148" i="14"/>
  <c r="AW148" i="14"/>
  <c r="AX229" i="14"/>
  <c r="AW229" i="14"/>
  <c r="AW186" i="14"/>
  <c r="AV9" i="14"/>
  <c r="U9" i="14"/>
  <c r="AV96" i="14"/>
  <c r="AW8" i="14"/>
  <c r="S15" i="14"/>
  <c r="AX226" i="14"/>
  <c r="AW226" i="14"/>
  <c r="AV195" i="14"/>
  <c r="AX96" i="14"/>
  <c r="AW96" i="14"/>
  <c r="U3" i="14"/>
  <c r="AV3" i="14"/>
  <c r="U15" i="14"/>
  <c r="S16" i="14"/>
  <c r="AV92" i="14"/>
  <c r="AV17" i="14"/>
  <c r="U16" i="14"/>
  <c r="AH199" i="14"/>
  <c r="AG199" i="14"/>
  <c r="AV186" i="14"/>
  <c r="U199" i="14"/>
  <c r="AX195" i="14"/>
  <c r="AW195" i="14"/>
  <c r="AV239" i="14"/>
  <c r="AH200" i="14"/>
  <c r="U7" i="14"/>
  <c r="AV7" i="14"/>
  <c r="AV10" i="14"/>
  <c r="U10" i="14"/>
  <c r="AX6" i="14"/>
  <c r="AW6" i="14"/>
  <c r="AW92" i="14"/>
  <c r="AX92" i="14"/>
  <c r="AV116" i="14"/>
  <c r="AX32" i="4" s="1"/>
  <c r="U156" i="14"/>
  <c r="AV156" i="14"/>
  <c r="AV179" i="14"/>
  <c r="S199" i="14"/>
  <c r="AW182" i="14"/>
  <c r="AV110" i="14"/>
  <c r="AX82" i="4" s="1"/>
  <c r="AX224" i="14"/>
  <c r="AW224" i="14"/>
  <c r="AV162" i="14"/>
  <c r="AX217" i="14"/>
  <c r="AW217" i="14"/>
  <c r="AW239" i="14"/>
  <c r="AY239" i="14" s="1"/>
  <c r="AW111" i="14"/>
  <c r="AX111" i="14"/>
  <c r="AW115" i="14"/>
  <c r="AY83" i="4" s="1"/>
  <c r="AX115" i="14"/>
  <c r="AZ83" i="4" s="1"/>
  <c r="AU198" i="14"/>
  <c r="AT198" i="14"/>
  <c r="U151" i="14"/>
  <c r="AV151" i="14"/>
  <c r="AV152" i="14"/>
  <c r="AU169" i="14"/>
  <c r="AV169" i="14"/>
  <c r="U97" i="14"/>
  <c r="AV97" i="14"/>
  <c r="AW98" i="14"/>
  <c r="AX98" i="14"/>
  <c r="AW125" i="14"/>
  <c r="AX125" i="14"/>
  <c r="AW85" i="14"/>
  <c r="AX85" i="14"/>
  <c r="AV145" i="14"/>
  <c r="AX152" i="14"/>
  <c r="AW152" i="14"/>
  <c r="AV98" i="14"/>
  <c r="AV85" i="14"/>
  <c r="U173" i="14"/>
  <c r="AV173" i="14"/>
  <c r="AW145" i="14"/>
  <c r="AX145" i="14"/>
  <c r="AV175" i="14"/>
  <c r="AW225" i="14"/>
  <c r="AX225" i="14"/>
  <c r="AX202" i="14"/>
  <c r="AW202" i="14"/>
  <c r="U54" i="14"/>
  <c r="AV54" i="14"/>
  <c r="AX89" i="14"/>
  <c r="AW89" i="14"/>
  <c r="AC68" i="12"/>
  <c r="AC63" i="12"/>
  <c r="AC72" i="12"/>
  <c r="AC69" i="12"/>
  <c r="AC33" i="12"/>
  <c r="AC59" i="12"/>
  <c r="AC39" i="12"/>
  <c r="AC25" i="12"/>
  <c r="AC32" i="12"/>
  <c r="AC48" i="12"/>
  <c r="AC86" i="12"/>
  <c r="AC57" i="12"/>
  <c r="AC31" i="12"/>
  <c r="AC92" i="12"/>
  <c r="AC77" i="12"/>
  <c r="AC76" i="12"/>
  <c r="AC75" i="12"/>
  <c r="AC34" i="12"/>
  <c r="AC17" i="12"/>
  <c r="AC26" i="12"/>
  <c r="AC83" i="12"/>
  <c r="AC70" i="12"/>
  <c r="AC18" i="12"/>
  <c r="AC13" i="12"/>
  <c r="AC35" i="12"/>
  <c r="AC55" i="12"/>
  <c r="AA96" i="12"/>
  <c r="L153" i="4"/>
  <c r="BL99" i="4"/>
  <c r="M105" i="4" l="1"/>
  <c r="AB105" i="4" s="1"/>
  <c r="Z105" i="4"/>
  <c r="AA105" i="4" s="1"/>
  <c r="AC66" i="4"/>
  <c r="M101" i="4"/>
  <c r="AB101" i="4" s="1"/>
  <c r="Z101" i="4"/>
  <c r="AA101" i="4" s="1"/>
  <c r="AC68" i="4"/>
  <c r="AC44" i="4"/>
  <c r="AC80" i="4"/>
  <c r="AC81" i="4"/>
  <c r="M97" i="4"/>
  <c r="AB97" i="4" s="1"/>
  <c r="Z97" i="4"/>
  <c r="AA97" i="4" s="1"/>
  <c r="AC76" i="4"/>
  <c r="AC33" i="4"/>
  <c r="AC36" i="4"/>
  <c r="M83" i="4"/>
  <c r="AB83" i="4" s="1"/>
  <c r="Z83" i="4"/>
  <c r="AA83" i="4" s="1"/>
  <c r="M91" i="4"/>
  <c r="Z91" i="4"/>
  <c r="AA91" i="4" s="1"/>
  <c r="AC25" i="4"/>
  <c r="AC20" i="4"/>
  <c r="BJ66" i="4"/>
  <c r="M85" i="4"/>
  <c r="AB85" i="4" s="1"/>
  <c r="Z85" i="4"/>
  <c r="AA85" i="4" s="1"/>
  <c r="M106" i="4"/>
  <c r="M94" i="4"/>
  <c r="AB94" i="4" s="1"/>
  <c r="Z94" i="4"/>
  <c r="AA94" i="4" s="1"/>
  <c r="AC99" i="4"/>
  <c r="AC95" i="4"/>
  <c r="AC18" i="4"/>
  <c r="AC77" i="4"/>
  <c r="AC60" i="4"/>
  <c r="M92" i="4"/>
  <c r="AB92" i="4" s="1"/>
  <c r="Z92" i="4"/>
  <c r="AA92" i="4" s="1"/>
  <c r="AC92" i="4" s="1"/>
  <c r="AC17" i="4"/>
  <c r="AC42" i="4"/>
  <c r="AC27" i="4"/>
  <c r="AC57" i="4"/>
  <c r="M102" i="4"/>
  <c r="M75" i="4"/>
  <c r="AB75" i="4" s="1"/>
  <c r="BL75" i="4" s="1"/>
  <c r="Z75" i="4"/>
  <c r="AA75" i="4" s="1"/>
  <c r="AC75" i="4" s="1"/>
  <c r="AC32" i="4"/>
  <c r="BL93" i="4"/>
  <c r="M73" i="4"/>
  <c r="Z73" i="4"/>
  <c r="AA73" i="4" s="1"/>
  <c r="M78" i="4"/>
  <c r="Z78" i="4"/>
  <c r="AA78" i="4" s="1"/>
  <c r="AC45" i="4"/>
  <c r="AC23" i="4"/>
  <c r="AC34" i="4"/>
  <c r="Z90" i="4"/>
  <c r="AA90" i="4" s="1"/>
  <c r="AC74" i="4"/>
  <c r="AC40" i="4"/>
  <c r="AC35" i="4"/>
  <c r="AC24" i="4"/>
  <c r="AC16" i="4"/>
  <c r="AC61" i="4"/>
  <c r="AC49" i="4"/>
  <c r="M103" i="4"/>
  <c r="Z103" i="4"/>
  <c r="AA103" i="4" s="1"/>
  <c r="AC38" i="4"/>
  <c r="M107" i="4"/>
  <c r="Z107" i="4"/>
  <c r="AA107" i="4" s="1"/>
  <c r="AC41" i="4"/>
  <c r="M109" i="4"/>
  <c r="Z109" i="4"/>
  <c r="AA109" i="4" s="1"/>
  <c r="BK109" i="4" s="1"/>
  <c r="AB90" i="4"/>
  <c r="AC37" i="4"/>
  <c r="AX77" i="4"/>
  <c r="U180" i="14"/>
  <c r="AX180" i="14" s="1"/>
  <c r="AZ87" i="4" s="1"/>
  <c r="AX155" i="14"/>
  <c r="AZ89" i="4" s="1"/>
  <c r="BG74" i="4"/>
  <c r="Q100" i="4"/>
  <c r="Q103" i="4"/>
  <c r="S103" i="4" s="1"/>
  <c r="BC103" i="4" s="1"/>
  <c r="Q106" i="4"/>
  <c r="S106" i="4" s="1"/>
  <c r="BC106" i="4" s="1"/>
  <c r="Q104" i="4"/>
  <c r="Q102" i="4"/>
  <c r="S102" i="4" s="1"/>
  <c r="BC102" i="4" s="1"/>
  <c r="BK107" i="4"/>
  <c r="BE73" i="4"/>
  <c r="BK92" i="4"/>
  <c r="BE75" i="4"/>
  <c r="BE91" i="4"/>
  <c r="BE94" i="4"/>
  <c r="BE78" i="4"/>
  <c r="K69" i="4"/>
  <c r="BE109" i="4"/>
  <c r="BE97" i="4"/>
  <c r="BE92" i="4"/>
  <c r="BJ91" i="4"/>
  <c r="K82" i="4"/>
  <c r="BI84" i="4"/>
  <c r="BE107" i="4"/>
  <c r="BL74" i="4"/>
  <c r="BL66" i="4"/>
  <c r="AW110" i="14"/>
  <c r="AY82" i="4" s="1"/>
  <c r="AW155" i="14"/>
  <c r="AY89" i="4" s="1"/>
  <c r="AY138" i="14"/>
  <c r="U242" i="14"/>
  <c r="AW242" i="14" s="1"/>
  <c r="AY88" i="4" s="1"/>
  <c r="BK88" i="4" s="1"/>
  <c r="AV242" i="14"/>
  <c r="AX88" i="4" s="1"/>
  <c r="BJ88" i="4" s="1"/>
  <c r="AX119" i="14"/>
  <c r="AZ85" i="4" s="1"/>
  <c r="AY179" i="14"/>
  <c r="BI83" i="4"/>
  <c r="BC105" i="4"/>
  <c r="AY186" i="14"/>
  <c r="U176" i="14"/>
  <c r="AX176" i="14" s="1"/>
  <c r="AZ86" i="4" s="1"/>
  <c r="BL86" i="4" s="1"/>
  <c r="AW128" i="14"/>
  <c r="AY128" i="14" s="1"/>
  <c r="AV176" i="14"/>
  <c r="AX86" i="4" s="1"/>
  <c r="BJ86" i="4" s="1"/>
  <c r="AV180" i="14"/>
  <c r="AX87" i="4" s="1"/>
  <c r="BJ87" i="4" s="1"/>
  <c r="AW220" i="14"/>
  <c r="AY220" i="14" s="1"/>
  <c r="AY219" i="14"/>
  <c r="BG69" i="4"/>
  <c r="AX110" i="14"/>
  <c r="AZ82" i="4" s="1"/>
  <c r="U166" i="14"/>
  <c r="AX166" i="14" s="1"/>
  <c r="AZ84" i="4" s="1"/>
  <c r="AS84" i="4"/>
  <c r="BE84" i="4" s="1"/>
  <c r="AX221" i="14"/>
  <c r="AY221" i="14" s="1"/>
  <c r="AV194" i="14"/>
  <c r="BG84" i="4"/>
  <c r="BI85" i="4"/>
  <c r="BE83" i="4"/>
  <c r="BE85" i="4"/>
  <c r="BG85" i="4"/>
  <c r="BG90" i="4"/>
  <c r="BE90" i="4"/>
  <c r="AY162" i="14"/>
  <c r="BE89" i="4"/>
  <c r="AY174" i="14"/>
  <c r="AY17" i="14"/>
  <c r="AX175" i="14"/>
  <c r="AZ15" i="4" s="1"/>
  <c r="AY165" i="14"/>
  <c r="AW230" i="14"/>
  <c r="AY230" i="14" s="1"/>
  <c r="AY5" i="14"/>
  <c r="AW27" i="14"/>
  <c r="AY27" i="14" s="1"/>
  <c r="AW175" i="14"/>
  <c r="AY15" i="4" s="1"/>
  <c r="AX93" i="14"/>
  <c r="AY93" i="14" s="1"/>
  <c r="AW55" i="14"/>
  <c r="AY55" i="14" s="1"/>
  <c r="AX161" i="14"/>
  <c r="AY161" i="14" s="1"/>
  <c r="AO76" i="4" s="1"/>
  <c r="AX157" i="14"/>
  <c r="AY157" i="14" s="1"/>
  <c r="AO101" i="4" s="1"/>
  <c r="BA101" i="4" s="1"/>
  <c r="AY123" i="14"/>
  <c r="AW188" i="14"/>
  <c r="AY188" i="14" s="1"/>
  <c r="AX116" i="14"/>
  <c r="AZ32" i="4" s="1"/>
  <c r="AX90" i="14"/>
  <c r="AY90" i="14" s="1"/>
  <c r="AW122" i="14"/>
  <c r="AY122" i="14" s="1"/>
  <c r="AW88" i="14"/>
  <c r="AY88" i="14" s="1"/>
  <c r="AX11" i="14"/>
  <c r="AZ97" i="4" s="1"/>
  <c r="AV15" i="14"/>
  <c r="AW114" i="14"/>
  <c r="AY114" i="14" s="1"/>
  <c r="AY20" i="14"/>
  <c r="BL92" i="4"/>
  <c r="AY6" i="14"/>
  <c r="AO105" i="4" s="1"/>
  <c r="BA105" i="4" s="1"/>
  <c r="AX96" i="4"/>
  <c r="BJ96" i="4" s="1"/>
  <c r="AX44" i="4"/>
  <c r="AX65" i="4"/>
  <c r="AX21" i="4"/>
  <c r="AX39" i="4"/>
  <c r="AX57" i="4"/>
  <c r="AW99" i="14"/>
  <c r="AY99" i="14" s="1"/>
  <c r="AY133" i="14"/>
  <c r="AV200" i="14"/>
  <c r="AX95" i="4" s="1"/>
  <c r="BJ95" i="4" s="1"/>
  <c r="AW116" i="14"/>
  <c r="AY32" i="4" s="1"/>
  <c r="AW227" i="14"/>
  <c r="AY227" i="14" s="1"/>
  <c r="AX187" i="14"/>
  <c r="AY187" i="14" s="1"/>
  <c r="AW153" i="14"/>
  <c r="AY153" i="14" s="1"/>
  <c r="AW150" i="14"/>
  <c r="AY150" i="14" s="1"/>
  <c r="AW209" i="14"/>
  <c r="AY209" i="14" s="1"/>
  <c r="AX19" i="14"/>
  <c r="AY19" i="14" s="1"/>
  <c r="AX102" i="14"/>
  <c r="AY102" i="14" s="1"/>
  <c r="AY8" i="14"/>
  <c r="AW159" i="14"/>
  <c r="AY159" i="14" s="1"/>
  <c r="AY182" i="14"/>
  <c r="AV199" i="14"/>
  <c r="AX80" i="4" s="1"/>
  <c r="BJ80" i="4" s="1"/>
  <c r="AS80" i="4"/>
  <c r="BE80" i="4" s="1"/>
  <c r="AX69" i="14"/>
  <c r="AY69" i="14" s="1"/>
  <c r="AX47" i="4"/>
  <c r="AX79" i="4"/>
  <c r="BJ79" i="4" s="1"/>
  <c r="AX42" i="4"/>
  <c r="AX68" i="4"/>
  <c r="BJ68" i="4" s="1"/>
  <c r="AX46" i="4"/>
  <c r="AX24" i="4"/>
  <c r="AX98" i="4"/>
  <c r="BJ98" i="4" s="1"/>
  <c r="AX60" i="4"/>
  <c r="AS67" i="4"/>
  <c r="BE67" i="4" s="1"/>
  <c r="AS23" i="4"/>
  <c r="BE23" i="4" s="1"/>
  <c r="AS81" i="4"/>
  <c r="BE81" i="4" s="1"/>
  <c r="AS43" i="4"/>
  <c r="AS59" i="4"/>
  <c r="AS95" i="4"/>
  <c r="BE95" i="4" s="1"/>
  <c r="AS41" i="4"/>
  <c r="BE41" i="4" s="1"/>
  <c r="AX74" i="14"/>
  <c r="AY74" i="14" s="1"/>
  <c r="AX170" i="14"/>
  <c r="AY170" i="14" s="1"/>
  <c r="AX149" i="14"/>
  <c r="AY149" i="14" s="1"/>
  <c r="AX73" i="14"/>
  <c r="AW73" i="14"/>
  <c r="AX26" i="4"/>
  <c r="AX62" i="4"/>
  <c r="AX50" i="4"/>
  <c r="AX12" i="4"/>
  <c r="AX54" i="4"/>
  <c r="AV16" i="14"/>
  <c r="AW95" i="14"/>
  <c r="AY95" i="14" s="1"/>
  <c r="AS24" i="4"/>
  <c r="BE24" i="4" s="1"/>
  <c r="AS68" i="4"/>
  <c r="BE68" i="4" s="1"/>
  <c r="AS98" i="4"/>
  <c r="BE98" i="4" s="1"/>
  <c r="AS60" i="4"/>
  <c r="AS42" i="4"/>
  <c r="AS46" i="4"/>
  <c r="AY26" i="4"/>
  <c r="AY62" i="4"/>
  <c r="AY50" i="4"/>
  <c r="AY12" i="4"/>
  <c r="AY54" i="4"/>
  <c r="AX200" i="14"/>
  <c r="AX20" i="4"/>
  <c r="AX52" i="4"/>
  <c r="AX56" i="4"/>
  <c r="AX108" i="4"/>
  <c r="BJ108" i="4" s="1"/>
  <c r="AX38" i="4"/>
  <c r="AX64" i="4"/>
  <c r="AU41" i="4"/>
  <c r="BG41" i="4" s="1"/>
  <c r="AU81" i="4"/>
  <c r="BG81" i="4" s="1"/>
  <c r="AU67" i="4"/>
  <c r="BG67" i="4" s="1"/>
  <c r="AU23" i="4"/>
  <c r="BG23" i="4" s="1"/>
  <c r="AU95" i="4"/>
  <c r="BG95" i="4" s="1"/>
  <c r="AU43" i="4"/>
  <c r="AU59" i="4"/>
  <c r="AX237" i="14"/>
  <c r="AZ90" i="4" s="1"/>
  <c r="AW237" i="14"/>
  <c r="AY90" i="4" s="1"/>
  <c r="AW95" i="4"/>
  <c r="BI95" i="4" s="1"/>
  <c r="AW41" i="4"/>
  <c r="BI41" i="4" s="1"/>
  <c r="AW81" i="4"/>
  <c r="BI81" i="4" s="1"/>
  <c r="AW67" i="4"/>
  <c r="BI67" i="4" s="1"/>
  <c r="AW23" i="4"/>
  <c r="AW43" i="4"/>
  <c r="AW59" i="4"/>
  <c r="AX189" i="14"/>
  <c r="AY189" i="14" s="1"/>
  <c r="AW18" i="14"/>
  <c r="AW207" i="14"/>
  <c r="AY207" i="14" s="1"/>
  <c r="AW146" i="14"/>
  <c r="AY146" i="14" s="1"/>
  <c r="AW11" i="14"/>
  <c r="AY97" i="4" s="1"/>
  <c r="AX15" i="4"/>
  <c r="AX34" i="4"/>
  <c r="AX25" i="4"/>
  <c r="AX53" i="4"/>
  <c r="AX61" i="4"/>
  <c r="AX49" i="4"/>
  <c r="AX11" i="4"/>
  <c r="BJ77" i="4"/>
  <c r="BL76" i="4"/>
  <c r="BK76" i="4"/>
  <c r="BJ76" i="4"/>
  <c r="BK99" i="4"/>
  <c r="BJ99" i="4"/>
  <c r="BK93" i="4"/>
  <c r="BJ93" i="4"/>
  <c r="BK78" i="4"/>
  <c r="BJ78" i="4"/>
  <c r="BK66" i="4"/>
  <c r="BK74" i="4"/>
  <c r="BJ74" i="4"/>
  <c r="BG36" i="4"/>
  <c r="AY98" i="14"/>
  <c r="AY111" i="14"/>
  <c r="AY218" i="14"/>
  <c r="AY118" i="14"/>
  <c r="AW160" i="14"/>
  <c r="AY160" i="14" s="1"/>
  <c r="AY236" i="14"/>
  <c r="AW51" i="14"/>
  <c r="AX51" i="14"/>
  <c r="AY152" i="14"/>
  <c r="AX178" i="14"/>
  <c r="AY178" i="14" s="1"/>
  <c r="AX117" i="14"/>
  <c r="AW117" i="14"/>
  <c r="AW201" i="14"/>
  <c r="AY201" i="14" s="1"/>
  <c r="AX82" i="14"/>
  <c r="AY82" i="14" s="1"/>
  <c r="AX18" i="14"/>
  <c r="AW101" i="14"/>
  <c r="AX136" i="14"/>
  <c r="AY85" i="14"/>
  <c r="AX108" i="14"/>
  <c r="AY108" i="14" s="1"/>
  <c r="AW144" i="14"/>
  <c r="AY144" i="14" s="1"/>
  <c r="AX103" i="14"/>
  <c r="AW103" i="14"/>
  <c r="AW243" i="14"/>
  <c r="AY243" i="14" s="1"/>
  <c r="AY148" i="14"/>
  <c r="AY241" i="14"/>
  <c r="AX60" i="14"/>
  <c r="AW60" i="14"/>
  <c r="AW200" i="14"/>
  <c r="AX7" i="14"/>
  <c r="AW7" i="14"/>
  <c r="AX104" i="14"/>
  <c r="AW104" i="14"/>
  <c r="AX58" i="14"/>
  <c r="AW58" i="14"/>
  <c r="AY224" i="14"/>
  <c r="AX194" i="14"/>
  <c r="AW194" i="14"/>
  <c r="AX246" i="14"/>
  <c r="AW246" i="14"/>
  <c r="AX134" i="14"/>
  <c r="AW134" i="14"/>
  <c r="AX171" i="14"/>
  <c r="AW171" i="14"/>
  <c r="AX151" i="14"/>
  <c r="AW151" i="14"/>
  <c r="AX141" i="14"/>
  <c r="AW141" i="14"/>
  <c r="AX184" i="14"/>
  <c r="AW184" i="14"/>
  <c r="AW206" i="14"/>
  <c r="AX206" i="14"/>
  <c r="AX205" i="14"/>
  <c r="AW205" i="14"/>
  <c r="AX54" i="14"/>
  <c r="AZ77" i="4" s="1"/>
  <c r="BL77" i="4" s="1"/>
  <c r="AW54" i="14"/>
  <c r="AY125" i="14"/>
  <c r="AY115" i="14"/>
  <c r="AX3" i="14"/>
  <c r="AW3" i="14"/>
  <c r="AY183" i="14"/>
  <c r="AY126" i="14"/>
  <c r="AX204" i="14"/>
  <c r="AW204" i="14"/>
  <c r="AX94" i="14"/>
  <c r="AY94" i="14" s="1"/>
  <c r="AX142" i="14"/>
  <c r="AW142" i="14"/>
  <c r="AW66" i="14"/>
  <c r="AX66" i="14"/>
  <c r="AX172" i="14"/>
  <c r="AW172" i="14"/>
  <c r="AW198" i="14"/>
  <c r="AX198" i="14"/>
  <c r="AX15" i="14"/>
  <c r="AW15" i="14"/>
  <c r="AY202" i="14"/>
  <c r="AW112" i="14"/>
  <c r="AY112" i="14" s="1"/>
  <c r="AY96" i="14"/>
  <c r="AY229" i="14"/>
  <c r="AY143" i="14"/>
  <c r="AY124" i="14"/>
  <c r="AX232" i="14"/>
  <c r="AW232" i="14"/>
  <c r="AX135" i="14"/>
  <c r="AW135" i="14"/>
  <c r="AX14" i="14"/>
  <c r="AW14" i="14"/>
  <c r="AX46" i="14"/>
  <c r="AW46" i="14"/>
  <c r="AY89" i="14"/>
  <c r="AO104" i="4" s="1"/>
  <c r="BA104" i="4" s="1"/>
  <c r="AX9" i="14"/>
  <c r="AW9" i="14"/>
  <c r="AX173" i="14"/>
  <c r="AW173" i="14"/>
  <c r="AY225" i="14"/>
  <c r="AY92" i="14"/>
  <c r="AX208" i="14"/>
  <c r="AW208" i="14"/>
  <c r="AY222" i="14"/>
  <c r="AY247" i="14"/>
  <c r="AX240" i="14"/>
  <c r="AW240" i="14"/>
  <c r="AX107" i="14"/>
  <c r="AZ17" i="4" s="1"/>
  <c r="AW107" i="14"/>
  <c r="AY17" i="4" s="1"/>
  <c r="AX177" i="14"/>
  <c r="AW177" i="14"/>
  <c r="AY195" i="14"/>
  <c r="AY226" i="14"/>
  <c r="AX211" i="14"/>
  <c r="AW211" i="14"/>
  <c r="AX139" i="14"/>
  <c r="AW139" i="14"/>
  <c r="AX210" i="14"/>
  <c r="AW210" i="14"/>
  <c r="AX190" i="14"/>
  <c r="AW190" i="14"/>
  <c r="AY14" i="4" s="1"/>
  <c r="AX167" i="14"/>
  <c r="AW167" i="14"/>
  <c r="AX65" i="14"/>
  <c r="AW65" i="14"/>
  <c r="AW75" i="14"/>
  <c r="AX75" i="14"/>
  <c r="AX199" i="14"/>
  <c r="AZ80" i="4" s="1"/>
  <c r="AW199" i="14"/>
  <c r="AY80" i="4" s="1"/>
  <c r="AX97" i="14"/>
  <c r="AW97" i="14"/>
  <c r="AW156" i="14"/>
  <c r="AX156" i="14"/>
  <c r="AY223" i="14"/>
  <c r="AX59" i="14"/>
  <c r="AW59" i="14"/>
  <c r="AX140" i="14"/>
  <c r="AW140" i="14"/>
  <c r="AX245" i="14"/>
  <c r="AZ33" i="4" s="1"/>
  <c r="AW245" i="14"/>
  <c r="AY33" i="4" s="1"/>
  <c r="AX244" i="14"/>
  <c r="AW244" i="14"/>
  <c r="AX127" i="14"/>
  <c r="AW127" i="14"/>
  <c r="AX12" i="14"/>
  <c r="AW12" i="14"/>
  <c r="AX203" i="14"/>
  <c r="AW203" i="14"/>
  <c r="AX181" i="14"/>
  <c r="AW181" i="14"/>
  <c r="AX67" i="14"/>
  <c r="AW67" i="14"/>
  <c r="AX72" i="14"/>
  <c r="AW72" i="14"/>
  <c r="AX169" i="14"/>
  <c r="AW169" i="14"/>
  <c r="AX10" i="14"/>
  <c r="AW10" i="14"/>
  <c r="AW87" i="14"/>
  <c r="AY87" i="14" s="1"/>
  <c r="AY91" i="14"/>
  <c r="AY100" i="14"/>
  <c r="AX238" i="14"/>
  <c r="AW238" i="14"/>
  <c r="AX147" i="14"/>
  <c r="AW147" i="14"/>
  <c r="AY145" i="14"/>
  <c r="AY217" i="14"/>
  <c r="AW16" i="14"/>
  <c r="AX16" i="14"/>
  <c r="AW4" i="14"/>
  <c r="AX4" i="14"/>
  <c r="AX56" i="14"/>
  <c r="AW56" i="14"/>
  <c r="AX191" i="14"/>
  <c r="AW191" i="14"/>
  <c r="AA135" i="12"/>
  <c r="AB4" i="12"/>
  <c r="AB6" i="12" s="1"/>
  <c r="L115" i="11"/>
  <c r="K115" i="11"/>
  <c r="AC90" i="4" l="1"/>
  <c r="AC85" i="4"/>
  <c r="AB73" i="4"/>
  <c r="AC73" i="4" s="1"/>
  <c r="AC94" i="4"/>
  <c r="AC97" i="4"/>
  <c r="Z102" i="4"/>
  <c r="AA102" i="4" s="1"/>
  <c r="BL94" i="4"/>
  <c r="AB109" i="4"/>
  <c r="AC109" i="4" s="1"/>
  <c r="AC101" i="4"/>
  <c r="AE101" i="4" s="1"/>
  <c r="S104" i="4"/>
  <c r="Z104" i="4"/>
  <c r="AA104" i="4" s="1"/>
  <c r="AC83" i="4"/>
  <c r="AB103" i="4"/>
  <c r="AC103" i="4" s="1"/>
  <c r="M69" i="4"/>
  <c r="AB69" i="4" s="1"/>
  <c r="AC69" i="4" s="1"/>
  <c r="Z69" i="4"/>
  <c r="AA69" i="4" s="1"/>
  <c r="S100" i="4"/>
  <c r="Z100" i="4"/>
  <c r="AA100" i="4" s="1"/>
  <c r="BL97" i="4"/>
  <c r="BK75" i="4"/>
  <c r="AB102" i="4"/>
  <c r="BJ94" i="4"/>
  <c r="BJ73" i="4"/>
  <c r="AB78" i="4"/>
  <c r="AC78" i="4" s="1"/>
  <c r="BM78" i="4" s="1"/>
  <c r="Z106" i="4"/>
  <c r="AA106" i="4" s="1"/>
  <c r="AB106" i="4"/>
  <c r="AC106" i="4" s="1"/>
  <c r="M82" i="4"/>
  <c r="AB82" i="4" s="1"/>
  <c r="BL82" i="4" s="1"/>
  <c r="Z82" i="4"/>
  <c r="AA82" i="4" s="1"/>
  <c r="AB107" i="4"/>
  <c r="AC107" i="4" s="1"/>
  <c r="AB91" i="4"/>
  <c r="AC91" i="4" s="1"/>
  <c r="AC105" i="4"/>
  <c r="AY155" i="14"/>
  <c r="BL89" i="4"/>
  <c r="AW180" i="14"/>
  <c r="AY87" i="4" s="1"/>
  <c r="BK87" i="4" s="1"/>
  <c r="BJ107" i="4"/>
  <c r="BK94" i="4"/>
  <c r="BJ109" i="4"/>
  <c r="BJ97" i="4"/>
  <c r="BK73" i="4"/>
  <c r="BE82" i="4"/>
  <c r="BK91" i="4"/>
  <c r="BJ75" i="4"/>
  <c r="BJ92" i="4"/>
  <c r="BE69" i="4"/>
  <c r="BJ69" i="4"/>
  <c r="AX242" i="14"/>
  <c r="AZ88" i="4" s="1"/>
  <c r="BL88" i="4" s="1"/>
  <c r="AW166" i="14"/>
  <c r="AY84" i="4" s="1"/>
  <c r="AY119" i="14"/>
  <c r="AX43" i="4"/>
  <c r="AW176" i="14"/>
  <c r="AY86" i="4" s="1"/>
  <c r="BK86" i="4" s="1"/>
  <c r="AE105" i="4"/>
  <c r="AY77" i="4"/>
  <c r="BK77" i="4" s="1"/>
  <c r="AX81" i="4"/>
  <c r="BJ81" i="4" s="1"/>
  <c r="AY175" i="14"/>
  <c r="AO34" i="4" s="1"/>
  <c r="AZ34" i="4"/>
  <c r="AY116" i="14"/>
  <c r="AY110" i="14"/>
  <c r="AO82" i="4" s="1"/>
  <c r="AX59" i="4"/>
  <c r="AX41" i="4"/>
  <c r="AY34" i="4"/>
  <c r="AX23" i="4"/>
  <c r="AX67" i="4"/>
  <c r="BJ67" i="4" s="1"/>
  <c r="BA89" i="4"/>
  <c r="AO89" i="4"/>
  <c r="BA83" i="4"/>
  <c r="AO83" i="4"/>
  <c r="BJ84" i="4"/>
  <c r="BL84" i="4"/>
  <c r="BL85" i="4"/>
  <c r="BL90" i="4"/>
  <c r="BJ85" i="4"/>
  <c r="BK85" i="4"/>
  <c r="BL83" i="4"/>
  <c r="BJ83" i="4"/>
  <c r="BK83" i="4"/>
  <c r="BL87" i="4"/>
  <c r="BJ89" i="4"/>
  <c r="BK90" i="4"/>
  <c r="BJ90" i="4"/>
  <c r="AY18" i="14"/>
  <c r="AY57" i="4"/>
  <c r="AY65" i="4"/>
  <c r="AY96" i="4"/>
  <c r="BK96" i="4" s="1"/>
  <c r="AY44" i="4"/>
  <c r="AY21" i="4"/>
  <c r="AY39" i="4"/>
  <c r="AY11" i="14"/>
  <c r="AO97" i="4" s="1"/>
  <c r="AZ57" i="4"/>
  <c r="AZ65" i="4"/>
  <c r="AZ96" i="4"/>
  <c r="BL96" i="4" s="1"/>
  <c r="AZ44" i="4"/>
  <c r="AZ21" i="4"/>
  <c r="AZ39" i="4"/>
  <c r="BK97" i="4"/>
  <c r="BM66" i="4"/>
  <c r="AY141" i="14"/>
  <c r="BK80" i="4"/>
  <c r="AY73" i="14"/>
  <c r="AY4" i="14"/>
  <c r="AY53" i="4"/>
  <c r="AY25" i="4"/>
  <c r="AY11" i="4"/>
  <c r="AY61" i="4"/>
  <c r="AY49" i="4"/>
  <c r="AY97" i="14"/>
  <c r="AY190" i="14"/>
  <c r="AZ14" i="4"/>
  <c r="AZ53" i="4"/>
  <c r="AZ25" i="4"/>
  <c r="AZ11" i="4"/>
  <c r="AZ61" i="4"/>
  <c r="AZ49" i="4"/>
  <c r="AZ42" i="4"/>
  <c r="AZ68" i="4"/>
  <c r="BL68" i="4" s="1"/>
  <c r="AZ46" i="4"/>
  <c r="AZ24" i="4"/>
  <c r="AZ98" i="4"/>
  <c r="BL98" i="4" s="1"/>
  <c r="AZ60" i="4"/>
  <c r="AY42" i="4"/>
  <c r="AY68" i="4"/>
  <c r="BK68" i="4" s="1"/>
  <c r="AY46" i="4"/>
  <c r="AY98" i="4"/>
  <c r="BK98" i="4" s="1"/>
  <c r="AY24" i="4"/>
  <c r="AY60" i="4"/>
  <c r="AY51" i="14"/>
  <c r="AY47" i="4"/>
  <c r="AY79" i="4"/>
  <c r="BK79" i="4" s="1"/>
  <c r="AY20" i="4"/>
  <c r="AY52" i="4"/>
  <c r="AY64" i="4"/>
  <c r="AY56" i="4"/>
  <c r="AY38" i="4"/>
  <c r="AY108" i="4"/>
  <c r="BK108" i="4" s="1"/>
  <c r="AY56" i="14"/>
  <c r="AY12" i="14"/>
  <c r="AZ47" i="4"/>
  <c r="AZ79" i="4"/>
  <c r="BL79" i="4" s="1"/>
  <c r="AY46" i="14"/>
  <c r="AY184" i="14"/>
  <c r="AY117" i="14"/>
  <c r="AZ64" i="4"/>
  <c r="AZ20" i="4"/>
  <c r="AZ52" i="4"/>
  <c r="AZ56" i="4"/>
  <c r="AZ108" i="4"/>
  <c r="BL108" i="4" s="1"/>
  <c r="AZ38" i="4"/>
  <c r="AY75" i="14"/>
  <c r="AY237" i="14"/>
  <c r="AY136" i="14"/>
  <c r="AZ26" i="4"/>
  <c r="AZ62" i="4"/>
  <c r="AZ50" i="4"/>
  <c r="AZ12" i="4"/>
  <c r="AZ54" i="4"/>
  <c r="AY200" i="14"/>
  <c r="AY95" i="4"/>
  <c r="BK95" i="4" s="1"/>
  <c r="AY41" i="4"/>
  <c r="AY81" i="4"/>
  <c r="BK81" i="4" s="1"/>
  <c r="AY67" i="4"/>
  <c r="BK67" i="4" s="1"/>
  <c r="AY23" i="4"/>
  <c r="AY43" i="4"/>
  <c r="AY59" i="4"/>
  <c r="AY101" i="14"/>
  <c r="AY16" i="4"/>
  <c r="AZ95" i="4"/>
  <c r="BL95" i="4" s="1"/>
  <c r="AZ59" i="4"/>
  <c r="AZ41" i="4"/>
  <c r="AZ81" i="4"/>
  <c r="BL81" i="4" s="1"/>
  <c r="AZ67" i="4"/>
  <c r="BL67" i="4" s="1"/>
  <c r="AZ43" i="4"/>
  <c r="AZ23" i="4"/>
  <c r="BL80" i="4"/>
  <c r="BM76" i="4"/>
  <c r="AY66" i="14"/>
  <c r="AY135" i="14"/>
  <c r="AY147" i="14"/>
  <c r="AY107" i="14"/>
  <c r="AO69" i="4" s="1"/>
  <c r="AY103" i="14"/>
  <c r="AY16" i="14"/>
  <c r="AY198" i="14"/>
  <c r="AY15" i="14"/>
  <c r="AY244" i="14"/>
  <c r="AY199" i="14"/>
  <c r="AY58" i="14"/>
  <c r="AY10" i="14"/>
  <c r="AY127" i="14"/>
  <c r="AY240" i="14"/>
  <c r="AY245" i="14"/>
  <c r="AY139" i="14"/>
  <c r="AY172" i="14"/>
  <c r="AY151" i="14"/>
  <c r="AY104" i="14"/>
  <c r="AY208" i="14"/>
  <c r="AY232" i="14"/>
  <c r="AY3" i="14"/>
  <c r="AO106" i="4" s="1"/>
  <c r="BA106" i="4" s="1"/>
  <c r="AY169" i="14"/>
  <c r="AY72" i="14"/>
  <c r="AO78" i="4" s="1"/>
  <c r="AY140" i="14"/>
  <c r="AY211" i="14"/>
  <c r="AY54" i="14"/>
  <c r="AY171" i="14"/>
  <c r="AY7" i="14"/>
  <c r="AY59" i="14"/>
  <c r="AY142" i="14"/>
  <c r="AY134" i="14"/>
  <c r="AY14" i="14"/>
  <c r="AY65" i="14"/>
  <c r="AY173" i="14"/>
  <c r="AY167" i="14"/>
  <c r="AY67" i="14"/>
  <c r="AY60" i="14"/>
  <c r="AY204" i="14"/>
  <c r="AY205" i="14"/>
  <c r="AY191" i="14"/>
  <c r="AY203" i="14"/>
  <c r="AY156" i="14"/>
  <c r="AY9" i="14"/>
  <c r="AY206" i="14"/>
  <c r="AY194" i="14"/>
  <c r="AY210" i="14"/>
  <c r="AY181" i="14"/>
  <c r="AY177" i="14"/>
  <c r="AY246" i="14"/>
  <c r="AY238" i="14"/>
  <c r="AB5" i="4"/>
  <c r="J110" i="11"/>
  <c r="J109" i="11"/>
  <c r="J108" i="11"/>
  <c r="J107" i="11"/>
  <c r="J106" i="11"/>
  <c r="J105" i="11"/>
  <c r="J103" i="11"/>
  <c r="J102" i="11"/>
  <c r="J100" i="11"/>
  <c r="J98" i="11"/>
  <c r="J97" i="11"/>
  <c r="J96" i="11"/>
  <c r="J94" i="11"/>
  <c r="J93" i="11"/>
  <c r="J92" i="11"/>
  <c r="J91" i="11"/>
  <c r="J90" i="11"/>
  <c r="J89" i="11"/>
  <c r="J87" i="11"/>
  <c r="J86" i="11"/>
  <c r="J84" i="11"/>
  <c r="J82" i="11"/>
  <c r="J81" i="11"/>
  <c r="J80" i="11"/>
  <c r="J78" i="11"/>
  <c r="J77" i="11"/>
  <c r="J76" i="11"/>
  <c r="J75" i="11"/>
  <c r="J74" i="11"/>
  <c r="J73" i="11"/>
  <c r="J71" i="11"/>
  <c r="J70" i="11"/>
  <c r="J68" i="11"/>
  <c r="J66" i="11"/>
  <c r="J65" i="4"/>
  <c r="J64" i="4"/>
  <c r="K64" i="4" s="1"/>
  <c r="J63" i="4"/>
  <c r="K63" i="4" s="1"/>
  <c r="V62" i="4"/>
  <c r="W62" i="4" s="1"/>
  <c r="Y62" i="4" s="1"/>
  <c r="J62" i="4"/>
  <c r="K62" i="4" s="1"/>
  <c r="BJ61" i="4"/>
  <c r="BG58" i="4"/>
  <c r="J58" i="4"/>
  <c r="BJ57" i="4"/>
  <c r="J56" i="4"/>
  <c r="K56" i="4" s="1"/>
  <c r="BL55" i="4"/>
  <c r="BJ55" i="4"/>
  <c r="BJ52" i="4"/>
  <c r="V51" i="4"/>
  <c r="W51" i="4" s="1"/>
  <c r="Y51" i="4" s="1"/>
  <c r="J51" i="4"/>
  <c r="K51" i="4" s="1"/>
  <c r="V50" i="4"/>
  <c r="W50" i="4" s="1"/>
  <c r="Y50" i="4" s="1"/>
  <c r="J50" i="4"/>
  <c r="K50" i="4" s="1"/>
  <c r="BJ49" i="4"/>
  <c r="J48" i="4"/>
  <c r="K48" i="4" s="1"/>
  <c r="BJ47" i="4"/>
  <c r="BL45" i="4"/>
  <c r="BJ45" i="4"/>
  <c r="BJ44" i="4"/>
  <c r="BL40" i="4"/>
  <c r="BJ40" i="4"/>
  <c r="BJ39" i="4"/>
  <c r="BJ38" i="4"/>
  <c r="BL37" i="4"/>
  <c r="BJ37" i="4"/>
  <c r="BL36" i="4"/>
  <c r="BJ36" i="4"/>
  <c r="BL35" i="4"/>
  <c r="BJ35" i="4"/>
  <c r="BJ34" i="4"/>
  <c r="BL33" i="4"/>
  <c r="BJ33" i="4"/>
  <c r="BL32" i="4"/>
  <c r="BJ32" i="4"/>
  <c r="V31" i="4"/>
  <c r="W31" i="4" s="1"/>
  <c r="Y31" i="4" s="1"/>
  <c r="J31" i="4"/>
  <c r="K31" i="4" s="1"/>
  <c r="V30" i="4"/>
  <c r="W30" i="4" s="1"/>
  <c r="Y30" i="4" s="1"/>
  <c r="J30" i="4"/>
  <c r="K30" i="4" s="1"/>
  <c r="V29" i="4"/>
  <c r="W29" i="4" s="1"/>
  <c r="Y29" i="4" s="1"/>
  <c r="J29" i="4"/>
  <c r="K29" i="4" s="1"/>
  <c r="V28" i="4"/>
  <c r="W28" i="4" s="1"/>
  <c r="Y28" i="4" s="1"/>
  <c r="J28" i="4"/>
  <c r="K28" i="4" s="1"/>
  <c r="BL27" i="4"/>
  <c r="BJ27" i="4"/>
  <c r="BJ26" i="4"/>
  <c r="BJ25" i="4"/>
  <c r="BJ24" i="4"/>
  <c r="J22" i="4"/>
  <c r="K22" i="4" s="1"/>
  <c r="J21" i="4"/>
  <c r="K21" i="4" s="1"/>
  <c r="Z21" i="4" s="1"/>
  <c r="AA21" i="4" s="1"/>
  <c r="BJ20" i="4"/>
  <c r="BL19" i="4"/>
  <c r="BJ19" i="4"/>
  <c r="BL18" i="4"/>
  <c r="BJ18" i="4"/>
  <c r="BL17" i="4"/>
  <c r="BJ17" i="4"/>
  <c r="BL16" i="4"/>
  <c r="BJ16" i="4"/>
  <c r="BL15" i="4"/>
  <c r="BJ15" i="4"/>
  <c r="BJ14" i="4"/>
  <c r="BL13" i="4"/>
  <c r="BJ13" i="4"/>
  <c r="BJ12" i="4"/>
  <c r="M50" i="4" l="1"/>
  <c r="AB50" i="4" s="1"/>
  <c r="Z50" i="4"/>
  <c r="AA50" i="4" s="1"/>
  <c r="M28" i="4"/>
  <c r="AB28" i="4" s="1"/>
  <c r="Z28" i="4"/>
  <c r="AA28" i="4" s="1"/>
  <c r="BL78" i="4"/>
  <c r="BL109" i="4"/>
  <c r="M30" i="4"/>
  <c r="AB30" i="4" s="1"/>
  <c r="Z30" i="4"/>
  <c r="AA30" i="4" s="1"/>
  <c r="M56" i="4"/>
  <c r="AB56" i="4" s="1"/>
  <c r="Z56" i="4"/>
  <c r="AA56" i="4" s="1"/>
  <c r="M64" i="4"/>
  <c r="AB64" i="4" s="1"/>
  <c r="Z64" i="4"/>
  <c r="AA64" i="4" s="1"/>
  <c r="M31" i="4"/>
  <c r="AB31" i="4" s="1"/>
  <c r="Z31" i="4"/>
  <c r="AA31" i="4" s="1"/>
  <c r="AC102" i="4"/>
  <c r="M51" i="4"/>
  <c r="AB51" i="4" s="1"/>
  <c r="Z51" i="4"/>
  <c r="AA51" i="4" s="1"/>
  <c r="M29" i="4"/>
  <c r="AB29" i="4" s="1"/>
  <c r="Z29" i="4"/>
  <c r="AA29" i="4" s="1"/>
  <c r="M62" i="4"/>
  <c r="AB62" i="4" s="1"/>
  <c r="Z62" i="4"/>
  <c r="AA62" i="4" s="1"/>
  <c r="BL73" i="4"/>
  <c r="BL107" i="4"/>
  <c r="AC82" i="4"/>
  <c r="AE82" i="4" s="1"/>
  <c r="BC104" i="4"/>
  <c r="AB104" i="4"/>
  <c r="M22" i="4"/>
  <c r="AB22" i="4" s="1"/>
  <c r="Z22" i="4"/>
  <c r="AA22" i="4" s="1"/>
  <c r="BC100" i="4"/>
  <c r="AB100" i="4"/>
  <c r="AC100" i="4" s="1"/>
  <c r="AC104" i="4"/>
  <c r="AE104" i="4" s="1"/>
  <c r="M48" i="4"/>
  <c r="AB48" i="4" s="1"/>
  <c r="Z48" i="4"/>
  <c r="AA48" i="4" s="1"/>
  <c r="M63" i="4"/>
  <c r="AB63" i="4" s="1"/>
  <c r="Z63" i="4"/>
  <c r="AA63" i="4" s="1"/>
  <c r="AC63" i="4" s="1"/>
  <c r="BL91" i="4"/>
  <c r="BA85" i="4"/>
  <c r="AO103" i="4"/>
  <c r="BA103" i="4" s="1"/>
  <c r="AE106" i="4"/>
  <c r="BA32" i="4"/>
  <c r="AO100" i="4"/>
  <c r="BA100" i="4" s="1"/>
  <c r="AE78" i="4"/>
  <c r="AY176" i="14"/>
  <c r="AO86" i="4" s="1"/>
  <c r="AE86" i="4" s="1"/>
  <c r="AY166" i="14"/>
  <c r="AY180" i="14"/>
  <c r="AY242" i="14"/>
  <c r="BA88" i="4" s="1"/>
  <c r="BM88" i="4" s="1"/>
  <c r="AE97" i="4"/>
  <c r="BM99" i="4"/>
  <c r="AE99" i="4"/>
  <c r="BM92" i="4"/>
  <c r="AE92" i="4"/>
  <c r="BM107" i="4"/>
  <c r="AE107" i="4"/>
  <c r="BM74" i="4"/>
  <c r="AE74" i="4"/>
  <c r="BM93" i="4"/>
  <c r="AE93" i="4"/>
  <c r="AE76" i="4"/>
  <c r="BM109" i="4"/>
  <c r="AE109" i="4"/>
  <c r="BM75" i="4"/>
  <c r="AE75" i="4"/>
  <c r="BK82" i="4"/>
  <c r="BJ82" i="4"/>
  <c r="Q7" i="4"/>
  <c r="R7" i="4"/>
  <c r="BK69" i="4"/>
  <c r="K58" i="4"/>
  <c r="M21" i="4"/>
  <c r="AB21" i="4" s="1"/>
  <c r="AC21" i="4" s="1"/>
  <c r="K65" i="4"/>
  <c r="BK84" i="4"/>
  <c r="AO85" i="4"/>
  <c r="AO32" i="4"/>
  <c r="BA34" i="4"/>
  <c r="AO22" i="4"/>
  <c r="AO66" i="4"/>
  <c r="AE66" i="4" s="1"/>
  <c r="AO58" i="4"/>
  <c r="AO45" i="4"/>
  <c r="AO40" i="4"/>
  <c r="AO15" i="4"/>
  <c r="BA15" i="4"/>
  <c r="BL34" i="4"/>
  <c r="BJ41" i="4"/>
  <c r="BA82" i="4"/>
  <c r="BA97" i="4"/>
  <c r="BM97" i="4" s="1"/>
  <c r="BL69" i="4"/>
  <c r="AO84" i="4"/>
  <c r="AO87" i="4"/>
  <c r="AE87" i="4" s="1"/>
  <c r="BA87" i="4"/>
  <c r="BM87" i="4" s="1"/>
  <c r="AO90" i="4"/>
  <c r="BA90" i="4"/>
  <c r="BM83" i="4"/>
  <c r="BM85" i="4"/>
  <c r="BM89" i="4"/>
  <c r="BK89" i="4"/>
  <c r="BL44" i="4"/>
  <c r="BA77" i="4"/>
  <c r="BM77" i="4" s="1"/>
  <c r="AO77" i="4"/>
  <c r="AE77" i="4" s="1"/>
  <c r="BL39" i="4"/>
  <c r="BL49" i="4"/>
  <c r="BJ21" i="4"/>
  <c r="BA39" i="4"/>
  <c r="AO21" i="4"/>
  <c r="BA57" i="4"/>
  <c r="BA65" i="4"/>
  <c r="AO39" i="4"/>
  <c r="AO57" i="4"/>
  <c r="AO65" i="4"/>
  <c r="BA96" i="4"/>
  <c r="BM96" i="4" s="1"/>
  <c r="BA44" i="4"/>
  <c r="AO96" i="4"/>
  <c r="AE96" i="4" s="1"/>
  <c r="BA21" i="4"/>
  <c r="AO44" i="4"/>
  <c r="BL52" i="4"/>
  <c r="BJ53" i="4"/>
  <c r="BL24" i="4"/>
  <c r="BJ29" i="4"/>
  <c r="BJ50" i="4"/>
  <c r="BJ51" i="4"/>
  <c r="BL47" i="4"/>
  <c r="BJ30" i="4"/>
  <c r="BJ42" i="4"/>
  <c r="BJ28" i="4"/>
  <c r="BJ62" i="4"/>
  <c r="BJ43" i="4"/>
  <c r="BJ48" i="4"/>
  <c r="BL20" i="4"/>
  <c r="BL14" i="4"/>
  <c r="BJ59" i="4"/>
  <c r="BJ63" i="4"/>
  <c r="BJ46" i="4"/>
  <c r="BJ60" i="4"/>
  <c r="BJ54" i="4"/>
  <c r="BL38" i="4"/>
  <c r="BL26" i="4"/>
  <c r="BL41" i="4"/>
  <c r="AO33" i="4"/>
  <c r="BA33" i="4"/>
  <c r="BA14" i="4"/>
  <c r="AO14" i="4"/>
  <c r="BL61" i="4"/>
  <c r="BA80" i="4"/>
  <c r="BM80" i="4" s="1"/>
  <c r="AO80" i="4"/>
  <c r="AE80" i="4" s="1"/>
  <c r="BA108" i="4"/>
  <c r="BM108" i="4" s="1"/>
  <c r="BA64" i="4"/>
  <c r="AO38" i="4"/>
  <c r="AO108" i="4"/>
  <c r="AE108" i="4" s="1"/>
  <c r="BA20" i="4"/>
  <c r="BA52" i="4"/>
  <c r="AO64" i="4"/>
  <c r="AO20" i="4"/>
  <c r="AO52" i="4"/>
  <c r="BA56" i="4"/>
  <c r="AO56" i="4"/>
  <c r="BA38" i="4"/>
  <c r="AO98" i="4"/>
  <c r="AE98" i="4" s="1"/>
  <c r="AO60" i="4"/>
  <c r="BA42" i="4"/>
  <c r="BA68" i="4"/>
  <c r="BM68" i="4" s="1"/>
  <c r="AO42" i="4"/>
  <c r="BA46" i="4"/>
  <c r="BA60" i="4"/>
  <c r="BA24" i="4"/>
  <c r="AO68" i="4"/>
  <c r="AE68" i="4" s="1"/>
  <c r="AO46" i="4"/>
  <c r="BA98" i="4"/>
  <c r="BM98" i="4" s="1"/>
  <c r="AO24" i="4"/>
  <c r="BA16" i="4"/>
  <c r="AO16" i="4"/>
  <c r="AO12" i="4"/>
  <c r="BA26" i="4"/>
  <c r="AO54" i="4"/>
  <c r="AO50" i="4"/>
  <c r="AO26" i="4"/>
  <c r="BA62" i="4"/>
  <c r="BA54" i="4"/>
  <c r="BA50" i="4"/>
  <c r="AO62" i="4"/>
  <c r="BA12" i="4"/>
  <c r="AO49" i="4"/>
  <c r="BA53" i="4"/>
  <c r="BA11" i="4"/>
  <c r="BA25" i="4"/>
  <c r="AO53" i="4"/>
  <c r="AO25" i="4"/>
  <c r="BA61" i="4"/>
  <c r="BA49" i="4"/>
  <c r="AO61" i="4"/>
  <c r="AO23" i="4"/>
  <c r="BA43" i="4"/>
  <c r="BA59" i="4"/>
  <c r="AO43" i="4"/>
  <c r="AO59" i="4"/>
  <c r="BA95" i="4"/>
  <c r="BM95" i="4" s="1"/>
  <c r="BA41" i="4"/>
  <c r="BA81" i="4"/>
  <c r="BM81" i="4" s="1"/>
  <c r="BA67" i="4"/>
  <c r="BM67" i="4" s="1"/>
  <c r="AO95" i="4"/>
  <c r="AE95" i="4" s="1"/>
  <c r="AO41" i="4"/>
  <c r="AO81" i="4"/>
  <c r="AE81" i="4" s="1"/>
  <c r="BA23" i="4"/>
  <c r="AO67" i="4"/>
  <c r="AE67" i="4" s="1"/>
  <c r="BL25" i="4"/>
  <c r="BL12" i="4"/>
  <c r="AO17" i="4"/>
  <c r="BA17" i="4"/>
  <c r="AO79" i="4"/>
  <c r="AE79" i="4" s="1"/>
  <c r="BA47" i="4"/>
  <c r="BA79" i="4"/>
  <c r="BM79" i="4" s="1"/>
  <c r="AO47" i="4"/>
  <c r="BE21" i="4"/>
  <c r="BG48" i="4"/>
  <c r="BI51" i="4"/>
  <c r="BI54" i="4"/>
  <c r="BI60" i="4"/>
  <c r="BG21" i="4"/>
  <c r="BG64" i="4"/>
  <c r="BE30" i="4"/>
  <c r="BE28" i="4"/>
  <c r="BG30" i="4"/>
  <c r="BE42" i="4"/>
  <c r="BG42" i="4"/>
  <c r="BE62" i="4"/>
  <c r="BI30" i="4"/>
  <c r="BG22" i="4"/>
  <c r="BI28" i="4"/>
  <c r="BI42" i="4"/>
  <c r="BG46" i="4"/>
  <c r="BG50" i="4"/>
  <c r="BG53" i="4"/>
  <c r="BG56" i="4"/>
  <c r="BG59" i="4"/>
  <c r="BG62" i="4"/>
  <c r="BE64" i="4"/>
  <c r="BG28" i="4"/>
  <c r="BE50" i="4"/>
  <c r="BI46" i="4"/>
  <c r="BI53" i="4"/>
  <c r="BI59" i="4"/>
  <c r="BI62" i="4"/>
  <c r="BG65" i="4"/>
  <c r="BE22" i="4"/>
  <c r="BE56" i="4"/>
  <c r="BE43" i="4"/>
  <c r="BE59" i="4"/>
  <c r="BE31" i="4"/>
  <c r="BG31" i="4"/>
  <c r="BE46" i="4"/>
  <c r="BI64" i="4"/>
  <c r="BI56" i="4"/>
  <c r="BE29" i="4"/>
  <c r="BG29" i="4"/>
  <c r="BI31" i="4"/>
  <c r="BG43" i="4"/>
  <c r="BE51" i="4"/>
  <c r="BE54" i="4"/>
  <c r="BE60" i="4"/>
  <c r="BE63" i="4"/>
  <c r="BI50" i="4"/>
  <c r="BL57" i="4"/>
  <c r="BG57" i="4"/>
  <c r="BE53" i="4"/>
  <c r="BI29" i="4"/>
  <c r="BI43" i="4"/>
  <c r="BE48" i="4"/>
  <c r="BG51" i="4"/>
  <c r="BG54" i="4"/>
  <c r="BG60" i="4"/>
  <c r="BG63" i="4"/>
  <c r="AO11" i="4"/>
  <c r="J12" i="11"/>
  <c r="BK12" i="4"/>
  <c r="J13" i="11"/>
  <c r="BK13" i="4"/>
  <c r="J14" i="11"/>
  <c r="BK14" i="4"/>
  <c r="J15" i="11"/>
  <c r="BK15" i="4"/>
  <c r="J16" i="11"/>
  <c r="BK16" i="4"/>
  <c r="J17" i="11"/>
  <c r="BK17" i="4"/>
  <c r="J18" i="11"/>
  <c r="BK18" i="4"/>
  <c r="J19" i="11"/>
  <c r="BK19" i="4"/>
  <c r="J20" i="11"/>
  <c r="J24" i="11"/>
  <c r="BK24" i="4"/>
  <c r="J25" i="11"/>
  <c r="BK25" i="4"/>
  <c r="J26" i="11"/>
  <c r="J27" i="11"/>
  <c r="BK27" i="4"/>
  <c r="J32" i="11"/>
  <c r="BK32" i="4"/>
  <c r="J33" i="11"/>
  <c r="BK33" i="4"/>
  <c r="J34" i="11"/>
  <c r="BK34" i="4"/>
  <c r="J35" i="11"/>
  <c r="BK35" i="4"/>
  <c r="J36" i="11"/>
  <c r="BK36" i="4"/>
  <c r="J37" i="11"/>
  <c r="J38" i="11"/>
  <c r="BK38" i="4"/>
  <c r="J39" i="11"/>
  <c r="BK39" i="4"/>
  <c r="J40" i="11"/>
  <c r="BK40" i="4"/>
  <c r="J41" i="11"/>
  <c r="BK41" i="4"/>
  <c r="J44" i="11"/>
  <c r="BK44" i="4"/>
  <c r="J45" i="11"/>
  <c r="BK45" i="4"/>
  <c r="J47" i="11"/>
  <c r="BK47" i="4"/>
  <c r="J49" i="11"/>
  <c r="BK49" i="4"/>
  <c r="J52" i="11"/>
  <c r="BK52" i="4"/>
  <c r="J55" i="11"/>
  <c r="BK55" i="4"/>
  <c r="J57" i="11"/>
  <c r="J61" i="11"/>
  <c r="BK61" i="4"/>
  <c r="L111" i="11"/>
  <c r="K111" i="11"/>
  <c r="J111" i="11"/>
  <c r="L110" i="11"/>
  <c r="K110" i="11"/>
  <c r="L109" i="11"/>
  <c r="K109" i="11"/>
  <c r="L108" i="11"/>
  <c r="K108" i="11"/>
  <c r="L107" i="11"/>
  <c r="K107" i="11"/>
  <c r="K106" i="11"/>
  <c r="L106" i="11"/>
  <c r="K105" i="11"/>
  <c r="L105" i="11"/>
  <c r="L104" i="11"/>
  <c r="K104" i="11"/>
  <c r="J104" i="11"/>
  <c r="L103" i="11"/>
  <c r="K103" i="11"/>
  <c r="L102" i="11"/>
  <c r="K102" i="11"/>
  <c r="L101" i="11"/>
  <c r="K101" i="11"/>
  <c r="J101" i="11"/>
  <c r="K100" i="11"/>
  <c r="L100" i="11"/>
  <c r="L99" i="11"/>
  <c r="K99" i="11"/>
  <c r="J99" i="11"/>
  <c r="L98" i="11"/>
  <c r="K98" i="11"/>
  <c r="K97" i="11"/>
  <c r="L97" i="11"/>
  <c r="K96" i="11"/>
  <c r="L96" i="11"/>
  <c r="L95" i="11"/>
  <c r="K95" i="11"/>
  <c r="J95" i="11"/>
  <c r="L94" i="11"/>
  <c r="K94" i="11"/>
  <c r="L93" i="11"/>
  <c r="K93" i="11"/>
  <c r="L92" i="11"/>
  <c r="K92" i="11"/>
  <c r="L91" i="11"/>
  <c r="K91" i="11"/>
  <c r="K90" i="11"/>
  <c r="L90" i="11"/>
  <c r="L89" i="11"/>
  <c r="K89" i="11"/>
  <c r="K88" i="11"/>
  <c r="L88" i="11"/>
  <c r="J88" i="11"/>
  <c r="L87" i="11"/>
  <c r="K87" i="11"/>
  <c r="L86" i="11"/>
  <c r="K86" i="11"/>
  <c r="L85" i="11"/>
  <c r="K85" i="11"/>
  <c r="J85" i="11"/>
  <c r="K84" i="11"/>
  <c r="L84" i="11"/>
  <c r="L83" i="11"/>
  <c r="K83" i="11"/>
  <c r="J83" i="11"/>
  <c r="L82" i="11"/>
  <c r="K82" i="11"/>
  <c r="L81" i="11"/>
  <c r="K81" i="11"/>
  <c r="L80" i="11"/>
  <c r="K80" i="11"/>
  <c r="L79" i="11"/>
  <c r="K79" i="11"/>
  <c r="J79" i="11"/>
  <c r="L78" i="11"/>
  <c r="K78" i="11"/>
  <c r="L77" i="11"/>
  <c r="K77" i="11"/>
  <c r="L76" i="11"/>
  <c r="K76" i="11"/>
  <c r="L75" i="11"/>
  <c r="K75" i="11"/>
  <c r="K74" i="11"/>
  <c r="L74" i="11"/>
  <c r="K73" i="11"/>
  <c r="L73" i="11"/>
  <c r="K72" i="11"/>
  <c r="L72" i="11"/>
  <c r="J72" i="11"/>
  <c r="K71" i="11"/>
  <c r="L71" i="11"/>
  <c r="L70" i="11"/>
  <c r="K70" i="11"/>
  <c r="K69" i="11"/>
  <c r="L69" i="11"/>
  <c r="J69" i="11"/>
  <c r="K68" i="11"/>
  <c r="L68" i="11"/>
  <c r="L67" i="11"/>
  <c r="K67" i="11"/>
  <c r="J67" i="11"/>
  <c r="L66" i="11"/>
  <c r="K66" i="11"/>
  <c r="AC64" i="4" l="1"/>
  <c r="M65" i="4"/>
  <c r="AB65" i="4" s="1"/>
  <c r="Z65" i="4"/>
  <c r="AA65" i="4" s="1"/>
  <c r="AC56" i="4"/>
  <c r="AC30" i="4"/>
  <c r="AC62" i="4"/>
  <c r="AC31" i="4"/>
  <c r="BJ31" i="4"/>
  <c r="BJ64" i="4"/>
  <c r="BM82" i="4"/>
  <c r="M58" i="4"/>
  <c r="AB58" i="4" s="1"/>
  <c r="Z58" i="4"/>
  <c r="AA58" i="4" s="1"/>
  <c r="BJ56" i="4"/>
  <c r="AC28" i="4"/>
  <c r="AC22" i="4"/>
  <c r="BJ22" i="4"/>
  <c r="AC29" i="4"/>
  <c r="AC48" i="4"/>
  <c r="AC51" i="4"/>
  <c r="AC50" i="4"/>
  <c r="BA84" i="4"/>
  <c r="BM84" i="4" s="1"/>
  <c r="AO102" i="4"/>
  <c r="AO88" i="4"/>
  <c r="AE88" i="4" s="1"/>
  <c r="AE100" i="4"/>
  <c r="AE103" i="4"/>
  <c r="AE84" i="4"/>
  <c r="AE85" i="4"/>
  <c r="BA86" i="4"/>
  <c r="BM86" i="4" s="1"/>
  <c r="AE20" i="4"/>
  <c r="BM37" i="4"/>
  <c r="AE37" i="4"/>
  <c r="BM91" i="4"/>
  <c r="AE91" i="4"/>
  <c r="BM73" i="4"/>
  <c r="AE73" i="4"/>
  <c r="AE90" i="4"/>
  <c r="BM94" i="4"/>
  <c r="AE94" i="4"/>
  <c r="AE44" i="4"/>
  <c r="AE26" i="4"/>
  <c r="AE83" i="4"/>
  <c r="AE89" i="4"/>
  <c r="S7" i="4"/>
  <c r="M7" i="4"/>
  <c r="K7" i="4"/>
  <c r="BJ65" i="4"/>
  <c r="BE65" i="4"/>
  <c r="BE58" i="4"/>
  <c r="BK21" i="4"/>
  <c r="J21" i="11"/>
  <c r="J60" i="11"/>
  <c r="BK29" i="4"/>
  <c r="BK53" i="4"/>
  <c r="J29" i="11"/>
  <c r="BK56" i="4"/>
  <c r="J56" i="11"/>
  <c r="J53" i="11"/>
  <c r="J46" i="11"/>
  <c r="BK46" i="4"/>
  <c r="BK22" i="4"/>
  <c r="BK42" i="4"/>
  <c r="J22" i="11"/>
  <c r="BM90" i="4"/>
  <c r="BK64" i="4"/>
  <c r="BK51" i="4"/>
  <c r="J51" i="11"/>
  <c r="BK50" i="4"/>
  <c r="J50" i="11"/>
  <c r="J42" i="11"/>
  <c r="J31" i="11"/>
  <c r="J43" i="11"/>
  <c r="BK62" i="4"/>
  <c r="J62" i="11"/>
  <c r="BK30" i="4"/>
  <c r="J30" i="11"/>
  <c r="BK54" i="4"/>
  <c r="BK28" i="4"/>
  <c r="J54" i="11"/>
  <c r="J28" i="11"/>
  <c r="J64" i="11"/>
  <c r="J48" i="11"/>
  <c r="BK48" i="4"/>
  <c r="J59" i="11"/>
  <c r="BL48" i="4"/>
  <c r="BM61" i="4"/>
  <c r="BK43" i="4"/>
  <c r="BK59" i="4"/>
  <c r="J63" i="11"/>
  <c r="BL53" i="4"/>
  <c r="BK63" i="4"/>
  <c r="BM15" i="4"/>
  <c r="BK60" i="4"/>
  <c r="BM41" i="4"/>
  <c r="BM47" i="4"/>
  <c r="BM25" i="4"/>
  <c r="BK31" i="4"/>
  <c r="BM24" i="4"/>
  <c r="BM14" i="4"/>
  <c r="BM26" i="4"/>
  <c r="BM40" i="4"/>
  <c r="BM33" i="4"/>
  <c r="BM45" i="4"/>
  <c r="BM39" i="4"/>
  <c r="BM32" i="4"/>
  <c r="BM12" i="4"/>
  <c r="BL54" i="4"/>
  <c r="BL46" i="4"/>
  <c r="BM44" i="4"/>
  <c r="BM17" i="4"/>
  <c r="BL51" i="4"/>
  <c r="BM57" i="4"/>
  <c r="BM49" i="4"/>
  <c r="BM16" i="4"/>
  <c r="BM20" i="4"/>
  <c r="BL65" i="4"/>
  <c r="BM38" i="4"/>
  <c r="K37" i="11"/>
  <c r="BK37" i="4"/>
  <c r="L20" i="11"/>
  <c r="BK20" i="4"/>
  <c r="BK26" i="4"/>
  <c r="BM52" i="4"/>
  <c r="K57" i="11"/>
  <c r="BK57" i="4"/>
  <c r="K32" i="11"/>
  <c r="L15" i="11"/>
  <c r="L38" i="11"/>
  <c r="L27" i="11"/>
  <c r="BJ58" i="4" l="1"/>
  <c r="AC58" i="4"/>
  <c r="AC65" i="4"/>
  <c r="BL58" i="4"/>
  <c r="BA102" i="4"/>
  <c r="AE102" i="4"/>
  <c r="AE39" i="4"/>
  <c r="BK65" i="4"/>
  <c r="J65" i="11"/>
  <c r="AE45" i="4"/>
  <c r="AE17" i="4"/>
  <c r="AE12" i="4"/>
  <c r="AE38" i="4"/>
  <c r="AE32" i="4"/>
  <c r="BM18" i="4"/>
  <c r="AE18" i="4"/>
  <c r="BM35" i="4"/>
  <c r="AE35" i="4"/>
  <c r="BM27" i="4"/>
  <c r="AE27" i="4"/>
  <c r="AE47" i="4"/>
  <c r="AE40" i="4"/>
  <c r="AE14" i="4"/>
  <c r="AE49" i="4"/>
  <c r="AE15" i="4"/>
  <c r="BM13" i="4"/>
  <c r="AE13" i="4"/>
  <c r="AE57" i="4"/>
  <c r="AE33" i="4"/>
  <c r="BM55" i="4"/>
  <c r="AE55" i="4"/>
  <c r="AE61" i="4"/>
  <c r="AE41" i="4"/>
  <c r="AE16" i="4"/>
  <c r="BM34" i="4"/>
  <c r="AE34" i="4"/>
  <c r="BM19" i="4"/>
  <c r="AE19" i="4"/>
  <c r="BM69" i="4"/>
  <c r="AE69" i="4"/>
  <c r="AE25" i="4"/>
  <c r="BM36" i="4"/>
  <c r="AE36" i="4"/>
  <c r="AE24" i="4"/>
  <c r="AE52" i="4"/>
  <c r="BK58" i="4"/>
  <c r="J58" i="11"/>
  <c r="K56" i="11"/>
  <c r="K53" i="11"/>
  <c r="K21" i="11"/>
  <c r="L29" i="11"/>
  <c r="L22" i="11"/>
  <c r="K46" i="11"/>
  <c r="L50" i="11"/>
  <c r="L51" i="11"/>
  <c r="K42" i="11"/>
  <c r="L62" i="11"/>
  <c r="L30" i="11"/>
  <c r="K28" i="11"/>
  <c r="K64" i="11"/>
  <c r="L60" i="11"/>
  <c r="L48" i="11"/>
  <c r="K54" i="11"/>
  <c r="K63" i="11"/>
  <c r="L43" i="11"/>
  <c r="L59" i="11"/>
  <c r="K31" i="11"/>
  <c r="BL28" i="4"/>
  <c r="BL56" i="4"/>
  <c r="BL21" i="4"/>
  <c r="L37" i="11"/>
  <c r="BL63" i="4"/>
  <c r="BL22" i="4"/>
  <c r="BL64" i="4"/>
  <c r="K15" i="11"/>
  <c r="BL29" i="4"/>
  <c r="L57" i="11"/>
  <c r="BL59" i="4"/>
  <c r="BL60" i="4"/>
  <c r="BL62" i="4"/>
  <c r="BL31" i="4"/>
  <c r="BL42" i="4"/>
  <c r="K20" i="11"/>
  <c r="BL30" i="4"/>
  <c r="BL50" i="4"/>
  <c r="BL43" i="4"/>
  <c r="L26" i="11"/>
  <c r="K26" i="11"/>
  <c r="K24" i="11"/>
  <c r="L24" i="11"/>
  <c r="L32" i="11"/>
  <c r="L44" i="11"/>
  <c r="K44" i="11"/>
  <c r="K45" i="11"/>
  <c r="L45" i="11"/>
  <c r="L61" i="11"/>
  <c r="K61" i="11"/>
  <c r="L18" i="11"/>
  <c r="K18" i="11"/>
  <c r="L35" i="11"/>
  <c r="K35" i="11"/>
  <c r="K38" i="11"/>
  <c r="L47" i="11"/>
  <c r="K47" i="11"/>
  <c r="L14" i="11"/>
  <c r="K14" i="11"/>
  <c r="K27" i="11"/>
  <c r="L25" i="11"/>
  <c r="K25" i="11"/>
  <c r="L41" i="11"/>
  <c r="K41" i="11"/>
  <c r="K12" i="11"/>
  <c r="L12" i="11"/>
  <c r="L39" i="11"/>
  <c r="K39" i="11"/>
  <c r="L55" i="11"/>
  <c r="K55" i="11"/>
  <c r="L40" i="11"/>
  <c r="K40" i="11"/>
  <c r="L13" i="11"/>
  <c r="K13" i="11"/>
  <c r="K19" i="11"/>
  <c r="L19" i="11"/>
  <c r="K36" i="11"/>
  <c r="L36" i="11"/>
  <c r="L52" i="11"/>
  <c r="K52" i="11"/>
  <c r="K16" i="11"/>
  <c r="L16" i="11"/>
  <c r="K49" i="11"/>
  <c r="L49" i="11"/>
  <c r="L33" i="11"/>
  <c r="K33" i="11"/>
  <c r="K17" i="11"/>
  <c r="L17" i="11"/>
  <c r="L34" i="11"/>
  <c r="K34" i="11"/>
  <c r="X7" i="4"/>
  <c r="X6" i="4" s="1"/>
  <c r="AV97" i="7"/>
  <c r="AU97" i="7"/>
  <c r="AR97" i="7"/>
  <c r="AQ97" i="7"/>
  <c r="AP97" i="7"/>
  <c r="AL97" i="7"/>
  <c r="AK97" i="7"/>
  <c r="AJ97" i="7"/>
  <c r="AI97" i="7"/>
  <c r="AH97" i="7"/>
  <c r="AG97" i="7"/>
  <c r="AF97" i="7"/>
  <c r="AD97" i="7"/>
  <c r="AC97" i="7"/>
  <c r="AA97" i="7"/>
  <c r="AB97" i="7" s="1"/>
  <c r="X97" i="7"/>
  <c r="W97" i="7"/>
  <c r="U97" i="7"/>
  <c r="V97" i="7" s="1"/>
  <c r="R97" i="7"/>
  <c r="Q97" i="7"/>
  <c r="O97" i="7"/>
  <c r="P97" i="7" s="1"/>
  <c r="L97" i="7"/>
  <c r="K97" i="7"/>
  <c r="I97" i="7"/>
  <c r="J97" i="7" s="1"/>
  <c r="A97" i="7"/>
  <c r="AV96" i="7"/>
  <c r="AU96" i="7"/>
  <c r="AR96" i="7"/>
  <c r="AQ96" i="7"/>
  <c r="AP96" i="7"/>
  <c r="AL96" i="7"/>
  <c r="AK96" i="7"/>
  <c r="AJ96" i="7"/>
  <c r="AI96" i="7"/>
  <c r="AH96" i="7"/>
  <c r="AG96" i="7"/>
  <c r="AF96" i="7"/>
  <c r="AD96" i="7"/>
  <c r="AC96" i="7"/>
  <c r="AA96" i="7"/>
  <c r="AB96" i="7" s="1"/>
  <c r="X96" i="7"/>
  <c r="W96" i="7"/>
  <c r="U96" i="7"/>
  <c r="V96" i="7" s="1"/>
  <c r="R96" i="7"/>
  <c r="Q96" i="7"/>
  <c r="O96" i="7"/>
  <c r="P96" i="7" s="1"/>
  <c r="L96" i="7"/>
  <c r="AM96" i="7" s="1"/>
  <c r="AN96" i="7" s="1"/>
  <c r="K96" i="7"/>
  <c r="I96" i="7"/>
  <c r="J96" i="7" s="1"/>
  <c r="A96" i="7"/>
  <c r="AO96" i="7" s="1"/>
  <c r="AV95" i="7"/>
  <c r="AU95" i="7"/>
  <c r="AR95" i="7"/>
  <c r="AQ95" i="7"/>
  <c r="AP95" i="7"/>
  <c r="AL95" i="7"/>
  <c r="AK95" i="7"/>
  <c r="AJ95" i="7"/>
  <c r="AI95" i="7"/>
  <c r="AH95" i="7"/>
  <c r="AG95" i="7"/>
  <c r="AF95" i="7"/>
  <c r="AD95" i="7"/>
  <c r="AC95" i="7"/>
  <c r="AA95" i="7"/>
  <c r="AB95" i="7" s="1"/>
  <c r="X95" i="7"/>
  <c r="W95" i="7"/>
  <c r="U95" i="7"/>
  <c r="V95" i="7" s="1"/>
  <c r="R95" i="7"/>
  <c r="Q95" i="7"/>
  <c r="O95" i="7"/>
  <c r="P95" i="7" s="1"/>
  <c r="L95" i="7"/>
  <c r="K95" i="7"/>
  <c r="I95" i="7"/>
  <c r="J95" i="7" s="1"/>
  <c r="A95" i="7"/>
  <c r="AV94" i="7"/>
  <c r="AU94" i="7"/>
  <c r="AR94" i="7"/>
  <c r="AQ94" i="7"/>
  <c r="AP94" i="7"/>
  <c r="AL94" i="7"/>
  <c r="AK94" i="7"/>
  <c r="AJ94" i="7"/>
  <c r="AI94" i="7"/>
  <c r="AH94" i="7"/>
  <c r="AG94" i="7"/>
  <c r="AF94" i="7"/>
  <c r="AD94" i="7"/>
  <c r="AC94" i="7"/>
  <c r="AA94" i="7"/>
  <c r="AB94" i="7" s="1"/>
  <c r="X94" i="7"/>
  <c r="W94" i="7"/>
  <c r="U94" i="7"/>
  <c r="V94" i="7" s="1"/>
  <c r="R94" i="7"/>
  <c r="Q94" i="7"/>
  <c r="O94" i="7"/>
  <c r="P94" i="7" s="1"/>
  <c r="L94" i="7"/>
  <c r="K94" i="7"/>
  <c r="I94" i="7"/>
  <c r="J94" i="7" s="1"/>
  <c r="A94" i="7"/>
  <c r="AV93" i="7"/>
  <c r="AU93" i="7"/>
  <c r="AR93" i="7"/>
  <c r="AQ93" i="7"/>
  <c r="AP93" i="7"/>
  <c r="AL93" i="7"/>
  <c r="AK93" i="7"/>
  <c r="AJ93" i="7"/>
  <c r="AI93" i="7"/>
  <c r="AH93" i="7"/>
  <c r="AG93" i="7"/>
  <c r="AF93" i="7"/>
  <c r="AD93" i="7"/>
  <c r="AC93" i="7"/>
  <c r="AA93" i="7"/>
  <c r="AB93" i="7" s="1"/>
  <c r="X93" i="7"/>
  <c r="W93" i="7"/>
  <c r="U93" i="7"/>
  <c r="V93" i="7" s="1"/>
  <c r="R93" i="7"/>
  <c r="Q93" i="7"/>
  <c r="O93" i="7"/>
  <c r="P93" i="7" s="1"/>
  <c r="L93" i="7"/>
  <c r="K93" i="7"/>
  <c r="I93" i="7"/>
  <c r="J93" i="7" s="1"/>
  <c r="A93" i="7"/>
  <c r="AO93" i="7" s="1"/>
  <c r="AV92" i="7"/>
  <c r="AU92" i="7"/>
  <c r="AR92" i="7"/>
  <c r="AQ92" i="7"/>
  <c r="AP92" i="7"/>
  <c r="AL92" i="7"/>
  <c r="AK92" i="7"/>
  <c r="AJ92" i="7"/>
  <c r="AI92" i="7"/>
  <c r="AH92" i="7"/>
  <c r="AG92" i="7"/>
  <c r="AF92" i="7"/>
  <c r="AD92" i="7"/>
  <c r="AC92" i="7"/>
  <c r="AA92" i="7"/>
  <c r="AB92" i="7" s="1"/>
  <c r="X92" i="7"/>
  <c r="AM92" i="7" s="1"/>
  <c r="AN92" i="7" s="1"/>
  <c r="W92" i="7"/>
  <c r="U92" i="7"/>
  <c r="V92" i="7" s="1"/>
  <c r="R92" i="7"/>
  <c r="Q92" i="7"/>
  <c r="O92" i="7"/>
  <c r="P92" i="7" s="1"/>
  <c r="L92" i="7"/>
  <c r="K92" i="7"/>
  <c r="I92" i="7"/>
  <c r="J92" i="7" s="1"/>
  <c r="A92" i="7"/>
  <c r="AE92" i="7" s="1"/>
  <c r="AV91" i="7"/>
  <c r="AU91" i="7"/>
  <c r="AR91" i="7"/>
  <c r="AQ91" i="7"/>
  <c r="AP91" i="7"/>
  <c r="AL91" i="7"/>
  <c r="AK91" i="7"/>
  <c r="AJ91" i="7"/>
  <c r="AI91" i="7"/>
  <c r="AH91" i="7"/>
  <c r="AG91" i="7"/>
  <c r="AF91" i="7"/>
  <c r="AD91" i="7"/>
  <c r="AC91" i="7"/>
  <c r="AA91" i="7"/>
  <c r="AB91" i="7" s="1"/>
  <c r="X91" i="7"/>
  <c r="W91" i="7"/>
  <c r="U91" i="7"/>
  <c r="V91" i="7" s="1"/>
  <c r="R91" i="7"/>
  <c r="Q91" i="7"/>
  <c r="O91" i="7"/>
  <c r="P91" i="7" s="1"/>
  <c r="L91" i="7"/>
  <c r="K91" i="7"/>
  <c r="I91" i="7"/>
  <c r="J91" i="7" s="1"/>
  <c r="A91" i="7"/>
  <c r="AV90" i="7"/>
  <c r="AU90" i="7"/>
  <c r="AR90" i="7"/>
  <c r="AQ90" i="7"/>
  <c r="AP90" i="7"/>
  <c r="AL90" i="7"/>
  <c r="AK90" i="7"/>
  <c r="AJ90" i="7"/>
  <c r="AI90" i="7"/>
  <c r="AH90" i="7"/>
  <c r="AG90" i="7"/>
  <c r="AF90" i="7"/>
  <c r="AD90" i="7"/>
  <c r="AC90" i="7"/>
  <c r="AA90" i="7"/>
  <c r="AB90" i="7" s="1"/>
  <c r="X90" i="7"/>
  <c r="W90" i="7"/>
  <c r="U90" i="7"/>
  <c r="V90" i="7" s="1"/>
  <c r="R90" i="7"/>
  <c r="Q90" i="7"/>
  <c r="O90" i="7"/>
  <c r="P90" i="7" s="1"/>
  <c r="L90" i="7"/>
  <c r="K90" i="7"/>
  <c r="I90" i="7"/>
  <c r="J90" i="7" s="1"/>
  <c r="A90" i="7"/>
  <c r="AO90" i="7" s="1"/>
  <c r="AV89" i="7"/>
  <c r="AU89" i="7"/>
  <c r="AR89" i="7"/>
  <c r="AQ89" i="7"/>
  <c r="AP89" i="7"/>
  <c r="AL89" i="7"/>
  <c r="AK89" i="7"/>
  <c r="AJ89" i="7"/>
  <c r="AI89" i="7"/>
  <c r="AH89" i="7"/>
  <c r="AG89" i="7"/>
  <c r="AF89" i="7"/>
  <c r="AD89" i="7"/>
  <c r="AC89" i="7"/>
  <c r="AA89" i="7"/>
  <c r="AB89" i="7" s="1"/>
  <c r="X89" i="7"/>
  <c r="W89" i="7"/>
  <c r="U89" i="7"/>
  <c r="V89" i="7" s="1"/>
  <c r="R89" i="7"/>
  <c r="Q89" i="7"/>
  <c r="O89" i="7"/>
  <c r="P89" i="7" s="1"/>
  <c r="L89" i="7"/>
  <c r="K89" i="7"/>
  <c r="I89" i="7"/>
  <c r="J89" i="7" s="1"/>
  <c r="A89" i="7"/>
  <c r="AV88" i="7"/>
  <c r="AU88" i="7"/>
  <c r="AR88" i="7"/>
  <c r="AQ88" i="7"/>
  <c r="AP88" i="7"/>
  <c r="AL88" i="7"/>
  <c r="AK88" i="7"/>
  <c r="AJ88" i="7"/>
  <c r="AI88" i="7"/>
  <c r="AH88" i="7"/>
  <c r="AG88" i="7"/>
  <c r="AF88" i="7"/>
  <c r="AD88" i="7"/>
  <c r="AC88" i="7"/>
  <c r="AA88" i="7"/>
  <c r="AB88" i="7" s="1"/>
  <c r="X88" i="7"/>
  <c r="W88" i="7"/>
  <c r="U88" i="7"/>
  <c r="V88" i="7" s="1"/>
  <c r="R88" i="7"/>
  <c r="Q88" i="7"/>
  <c r="O88" i="7"/>
  <c r="P88" i="7" s="1"/>
  <c r="L88" i="7"/>
  <c r="K88" i="7"/>
  <c r="I88" i="7"/>
  <c r="J88" i="7" s="1"/>
  <c r="A88" i="7"/>
  <c r="AO88" i="7" s="1"/>
  <c r="AV87" i="7"/>
  <c r="AU87" i="7"/>
  <c r="AR87" i="7"/>
  <c r="AQ87" i="7"/>
  <c r="AP87" i="7"/>
  <c r="AL87" i="7"/>
  <c r="AK87" i="7"/>
  <c r="AJ87" i="7"/>
  <c r="AI87" i="7"/>
  <c r="AH87" i="7"/>
  <c r="AG87" i="7"/>
  <c r="AF87" i="7"/>
  <c r="AD87" i="7"/>
  <c r="AC87" i="7"/>
  <c r="AA87" i="7"/>
  <c r="AB87" i="7" s="1"/>
  <c r="X87" i="7"/>
  <c r="W87" i="7"/>
  <c r="U87" i="7"/>
  <c r="V87" i="7" s="1"/>
  <c r="R87" i="7"/>
  <c r="Q87" i="7"/>
  <c r="O87" i="7"/>
  <c r="P87" i="7" s="1"/>
  <c r="L87" i="7"/>
  <c r="AS87" i="7" s="1"/>
  <c r="K87" i="7"/>
  <c r="I87" i="7"/>
  <c r="J87" i="7" s="1"/>
  <c r="A87" i="7"/>
  <c r="AO87" i="7" s="1"/>
  <c r="AV86" i="7"/>
  <c r="AU86" i="7"/>
  <c r="AR86" i="7"/>
  <c r="AQ86" i="7"/>
  <c r="AP86" i="7"/>
  <c r="AL86" i="7"/>
  <c r="AK86" i="7"/>
  <c r="AJ86" i="7"/>
  <c r="AI86" i="7"/>
  <c r="AH86" i="7"/>
  <c r="AG86" i="7"/>
  <c r="AF86" i="7"/>
  <c r="AD86" i="7"/>
  <c r="AC86" i="7"/>
  <c r="AA86" i="7"/>
  <c r="AB86" i="7" s="1"/>
  <c r="X86" i="7"/>
  <c r="W86" i="7"/>
  <c r="U86" i="7"/>
  <c r="V86" i="7" s="1"/>
  <c r="R86" i="7"/>
  <c r="Q86" i="7"/>
  <c r="O86" i="7"/>
  <c r="P86" i="7" s="1"/>
  <c r="L86" i="7"/>
  <c r="AT86" i="7" s="1"/>
  <c r="K86" i="7"/>
  <c r="I86" i="7"/>
  <c r="J86" i="7" s="1"/>
  <c r="A86" i="7"/>
  <c r="AE86" i="7" s="1"/>
  <c r="AV85" i="7"/>
  <c r="AU85" i="7"/>
  <c r="AR85" i="7"/>
  <c r="AQ85" i="7"/>
  <c r="AP85" i="7"/>
  <c r="AL85" i="7"/>
  <c r="AK85" i="7"/>
  <c r="AJ85" i="7"/>
  <c r="AI85" i="7"/>
  <c r="AH85" i="7"/>
  <c r="AG85" i="7"/>
  <c r="AF85" i="7"/>
  <c r="AD85" i="7"/>
  <c r="AC85" i="7"/>
  <c r="AA85" i="7"/>
  <c r="AB85" i="7" s="1"/>
  <c r="X85" i="7"/>
  <c r="W85" i="7"/>
  <c r="U85" i="7"/>
  <c r="V85" i="7" s="1"/>
  <c r="R85" i="7"/>
  <c r="Q85" i="7"/>
  <c r="O85" i="7"/>
  <c r="P85" i="7" s="1"/>
  <c r="L85" i="7"/>
  <c r="K85" i="7"/>
  <c r="I85" i="7"/>
  <c r="J85" i="7" s="1"/>
  <c r="A85" i="7"/>
  <c r="AV84" i="7"/>
  <c r="AU84" i="7"/>
  <c r="AR84" i="7"/>
  <c r="AQ84" i="7"/>
  <c r="AP84" i="7"/>
  <c r="AL84" i="7"/>
  <c r="AK84" i="7"/>
  <c r="AJ84" i="7"/>
  <c r="AI84" i="7"/>
  <c r="AH84" i="7"/>
  <c r="AG84" i="7"/>
  <c r="AF84" i="7"/>
  <c r="AD84" i="7"/>
  <c r="AC84" i="7"/>
  <c r="AA84" i="7"/>
  <c r="AB84" i="7" s="1"/>
  <c r="X84" i="7"/>
  <c r="W84" i="7"/>
  <c r="U84" i="7"/>
  <c r="V84" i="7" s="1"/>
  <c r="R84" i="7"/>
  <c r="Q84" i="7"/>
  <c r="O84" i="7"/>
  <c r="P84" i="7" s="1"/>
  <c r="L84" i="7"/>
  <c r="K84" i="7"/>
  <c r="I84" i="7"/>
  <c r="J84" i="7" s="1"/>
  <c r="A84" i="7"/>
  <c r="AO84" i="7" s="1"/>
  <c r="AV83" i="7"/>
  <c r="AU83" i="7"/>
  <c r="AR83" i="7"/>
  <c r="AQ83" i="7"/>
  <c r="AP83" i="7"/>
  <c r="AL83" i="7"/>
  <c r="AK83" i="7"/>
  <c r="AJ83" i="7"/>
  <c r="AI83" i="7"/>
  <c r="AH83" i="7"/>
  <c r="AG83" i="7"/>
  <c r="AF83" i="7"/>
  <c r="AD83" i="7"/>
  <c r="AC83" i="7"/>
  <c r="AA83" i="7"/>
  <c r="AB83" i="7" s="1"/>
  <c r="X83" i="7"/>
  <c r="W83" i="7"/>
  <c r="U83" i="7"/>
  <c r="V83" i="7" s="1"/>
  <c r="R83" i="7"/>
  <c r="Q83" i="7"/>
  <c r="O83" i="7"/>
  <c r="P83" i="7" s="1"/>
  <c r="L83" i="7"/>
  <c r="AM83" i="7" s="1"/>
  <c r="AN83" i="7" s="1"/>
  <c r="K83" i="7"/>
  <c r="I83" i="7"/>
  <c r="J83" i="7" s="1"/>
  <c r="A83" i="7"/>
  <c r="AV82" i="7"/>
  <c r="AU82" i="7"/>
  <c r="AR82" i="7"/>
  <c r="AQ82" i="7"/>
  <c r="AP82" i="7"/>
  <c r="AL82" i="7"/>
  <c r="AK82" i="7"/>
  <c r="AJ82" i="7"/>
  <c r="AI82" i="7"/>
  <c r="AH82" i="7"/>
  <c r="AG82" i="7"/>
  <c r="AF82" i="7"/>
  <c r="AD82" i="7"/>
  <c r="AC82" i="7"/>
  <c r="AA82" i="7"/>
  <c r="AB82" i="7" s="1"/>
  <c r="X82" i="7"/>
  <c r="W82" i="7"/>
  <c r="U82" i="7"/>
  <c r="V82" i="7" s="1"/>
  <c r="R82" i="7"/>
  <c r="Q82" i="7"/>
  <c r="O82" i="7"/>
  <c r="P82" i="7" s="1"/>
  <c r="L82" i="7"/>
  <c r="K82" i="7"/>
  <c r="I82" i="7"/>
  <c r="J82" i="7" s="1"/>
  <c r="A82" i="7"/>
  <c r="AV81" i="7"/>
  <c r="AU81" i="7"/>
  <c r="AR81" i="7"/>
  <c r="AQ81" i="7"/>
  <c r="AP81" i="7"/>
  <c r="AL81" i="7"/>
  <c r="AK81" i="7"/>
  <c r="AJ81" i="7"/>
  <c r="AI81" i="7"/>
  <c r="AH81" i="7"/>
  <c r="AG81" i="7"/>
  <c r="AF81" i="7"/>
  <c r="AD81" i="7"/>
  <c r="AC81" i="7"/>
  <c r="AA81" i="7"/>
  <c r="AB81" i="7" s="1"/>
  <c r="X81" i="7"/>
  <c r="W81" i="7"/>
  <c r="U81" i="7"/>
  <c r="V81" i="7" s="1"/>
  <c r="R81" i="7"/>
  <c r="Q81" i="7"/>
  <c r="O81" i="7"/>
  <c r="P81" i="7" s="1"/>
  <c r="L81" i="7"/>
  <c r="AM81" i="7" s="1"/>
  <c r="AN81" i="7" s="1"/>
  <c r="K81" i="7"/>
  <c r="I81" i="7"/>
  <c r="J81" i="7" s="1"/>
  <c r="A81" i="7"/>
  <c r="AV80" i="7"/>
  <c r="AU80" i="7"/>
  <c r="AT80" i="7"/>
  <c r="AS80" i="7"/>
  <c r="AR80" i="7"/>
  <c r="AQ80" i="7"/>
  <c r="AP80" i="7"/>
  <c r="AL80" i="7"/>
  <c r="AK80" i="7"/>
  <c r="AJ80" i="7"/>
  <c r="AI80" i="7"/>
  <c r="AH80" i="7"/>
  <c r="AG80" i="7"/>
  <c r="AF80" i="7"/>
  <c r="AD80" i="7"/>
  <c r="AC80" i="7"/>
  <c r="AA80" i="7"/>
  <c r="AB80" i="7" s="1"/>
  <c r="X80" i="7"/>
  <c r="W80" i="7"/>
  <c r="U80" i="7"/>
  <c r="V80" i="7" s="1"/>
  <c r="R80" i="7"/>
  <c r="Q80" i="7"/>
  <c r="O80" i="7"/>
  <c r="P80" i="7" s="1"/>
  <c r="L80" i="7"/>
  <c r="K80" i="7"/>
  <c r="I80" i="7"/>
  <c r="J80" i="7" s="1"/>
  <c r="A80" i="7"/>
  <c r="AO80" i="7" s="1"/>
  <c r="AV79" i="7"/>
  <c r="AU79" i="7"/>
  <c r="AR79" i="7"/>
  <c r="AQ79" i="7"/>
  <c r="AP79" i="7"/>
  <c r="AL79" i="7"/>
  <c r="AK79" i="7"/>
  <c r="AJ79" i="7"/>
  <c r="AI79" i="7"/>
  <c r="AH79" i="7"/>
  <c r="AG79" i="7"/>
  <c r="AF79" i="7"/>
  <c r="AD79" i="7"/>
  <c r="AC79" i="7"/>
  <c r="AA79" i="7"/>
  <c r="AB79" i="7" s="1"/>
  <c r="X79" i="7"/>
  <c r="W79" i="7"/>
  <c r="U79" i="7"/>
  <c r="V79" i="7" s="1"/>
  <c r="R79" i="7"/>
  <c r="Q79" i="7"/>
  <c r="O79" i="7"/>
  <c r="P79" i="7" s="1"/>
  <c r="L79" i="7"/>
  <c r="AS79" i="7" s="1"/>
  <c r="K79" i="7"/>
  <c r="I79" i="7"/>
  <c r="J79" i="7" s="1"/>
  <c r="A79" i="7"/>
  <c r="AV78" i="7"/>
  <c r="AU78" i="7"/>
  <c r="AR78" i="7"/>
  <c r="AQ78" i="7"/>
  <c r="AP78" i="7"/>
  <c r="AL78" i="7"/>
  <c r="AK78" i="7"/>
  <c r="AJ78" i="7"/>
  <c r="AI78" i="7"/>
  <c r="AH78" i="7"/>
  <c r="AG78" i="7"/>
  <c r="AF78" i="7"/>
  <c r="AD78" i="7"/>
  <c r="AC78" i="7"/>
  <c r="AA78" i="7"/>
  <c r="AB78" i="7" s="1"/>
  <c r="X78" i="7"/>
  <c r="W78" i="7"/>
  <c r="U78" i="7"/>
  <c r="V78" i="7" s="1"/>
  <c r="R78" i="7"/>
  <c r="Q78" i="7"/>
  <c r="O78" i="7"/>
  <c r="P78" i="7" s="1"/>
  <c r="L78" i="7"/>
  <c r="K78" i="7"/>
  <c r="I78" i="7"/>
  <c r="J78" i="7" s="1"/>
  <c r="A78" i="7"/>
  <c r="AO78" i="7" s="1"/>
  <c r="AV77" i="7"/>
  <c r="AU77" i="7"/>
  <c r="AR77" i="7"/>
  <c r="AQ77" i="7"/>
  <c r="AP77" i="7"/>
  <c r="AL77" i="7"/>
  <c r="AK77" i="7"/>
  <c r="AJ77" i="7"/>
  <c r="AI77" i="7"/>
  <c r="AH77" i="7"/>
  <c r="AG77" i="7"/>
  <c r="AF77" i="7"/>
  <c r="AD77" i="7"/>
  <c r="AC77" i="7"/>
  <c r="AA77" i="7"/>
  <c r="AB77" i="7" s="1"/>
  <c r="X77" i="7"/>
  <c r="W77" i="7"/>
  <c r="U77" i="7"/>
  <c r="V77" i="7" s="1"/>
  <c r="R77" i="7"/>
  <c r="Q77" i="7"/>
  <c r="O77" i="7"/>
  <c r="P77" i="7" s="1"/>
  <c r="L77" i="7"/>
  <c r="K77" i="7"/>
  <c r="I77" i="7"/>
  <c r="J77" i="7" s="1"/>
  <c r="A77" i="7"/>
  <c r="AV76" i="7"/>
  <c r="AU76" i="7"/>
  <c r="AR76" i="7"/>
  <c r="AQ76" i="7"/>
  <c r="AP76" i="7"/>
  <c r="AL76" i="7"/>
  <c r="AK76" i="7"/>
  <c r="AJ76" i="7"/>
  <c r="AI76" i="7"/>
  <c r="AH76" i="7"/>
  <c r="AG76" i="7"/>
  <c r="AF76" i="7"/>
  <c r="AD76" i="7"/>
  <c r="AC76" i="7"/>
  <c r="AA76" i="7"/>
  <c r="AB76" i="7" s="1"/>
  <c r="X76" i="7"/>
  <c r="W76" i="7"/>
  <c r="U76" i="7"/>
  <c r="V76" i="7" s="1"/>
  <c r="R76" i="7"/>
  <c r="Q76" i="7"/>
  <c r="O76" i="7"/>
  <c r="P76" i="7" s="1"/>
  <c r="L76" i="7"/>
  <c r="AM76" i="7" s="1"/>
  <c r="AN76" i="7" s="1"/>
  <c r="K76" i="7"/>
  <c r="I76" i="7"/>
  <c r="J76" i="7" s="1"/>
  <c r="A76" i="7"/>
  <c r="AV75" i="7"/>
  <c r="AU75" i="7"/>
  <c r="AR75" i="7"/>
  <c r="AQ75" i="7"/>
  <c r="AP75" i="7"/>
  <c r="AL75" i="7"/>
  <c r="AK75" i="7"/>
  <c r="AJ75" i="7"/>
  <c r="AI75" i="7"/>
  <c r="AH75" i="7"/>
  <c r="AG75" i="7"/>
  <c r="AF75" i="7"/>
  <c r="AD75" i="7"/>
  <c r="AC75" i="7"/>
  <c r="AA75" i="7"/>
  <c r="AB75" i="7" s="1"/>
  <c r="X75" i="7"/>
  <c r="W75" i="7"/>
  <c r="U75" i="7"/>
  <c r="V75" i="7" s="1"/>
  <c r="R75" i="7"/>
  <c r="Q75" i="7"/>
  <c r="O75" i="7"/>
  <c r="P75" i="7" s="1"/>
  <c r="L75" i="7"/>
  <c r="K75" i="7"/>
  <c r="I75" i="7"/>
  <c r="J75" i="7" s="1"/>
  <c r="A75" i="7"/>
  <c r="AV74" i="7"/>
  <c r="AU74" i="7"/>
  <c r="AR74" i="7"/>
  <c r="AQ74" i="7"/>
  <c r="AP74" i="7"/>
  <c r="AL74" i="7"/>
  <c r="AK74" i="7"/>
  <c r="AJ74" i="7"/>
  <c r="AI74" i="7"/>
  <c r="AH74" i="7"/>
  <c r="AG74" i="7"/>
  <c r="AF74" i="7"/>
  <c r="AD74" i="7"/>
  <c r="AC74" i="7"/>
  <c r="AA74" i="7"/>
  <c r="AB74" i="7" s="1"/>
  <c r="X74" i="7"/>
  <c r="W74" i="7"/>
  <c r="U74" i="7"/>
  <c r="V74" i="7" s="1"/>
  <c r="R74" i="7"/>
  <c r="Q74" i="7"/>
  <c r="O74" i="7"/>
  <c r="P74" i="7" s="1"/>
  <c r="L74" i="7"/>
  <c r="K74" i="7"/>
  <c r="I74" i="7"/>
  <c r="J74" i="7" s="1"/>
  <c r="A74" i="7"/>
  <c r="AV73" i="7"/>
  <c r="AU73" i="7"/>
  <c r="AR73" i="7"/>
  <c r="AQ73" i="7"/>
  <c r="AP73" i="7"/>
  <c r="AL73" i="7"/>
  <c r="AK73" i="7"/>
  <c r="AJ73" i="7"/>
  <c r="AI73" i="7"/>
  <c r="AH73" i="7"/>
  <c r="AG73" i="7"/>
  <c r="AF73" i="7"/>
  <c r="AD73" i="7"/>
  <c r="AC73" i="7"/>
  <c r="AA73" i="7"/>
  <c r="AB73" i="7" s="1"/>
  <c r="X73" i="7"/>
  <c r="W73" i="7"/>
  <c r="U73" i="7"/>
  <c r="V73" i="7" s="1"/>
  <c r="R73" i="7"/>
  <c r="Q73" i="7"/>
  <c r="O73" i="7"/>
  <c r="P73" i="7" s="1"/>
  <c r="L73" i="7"/>
  <c r="K73" i="7"/>
  <c r="I73" i="7"/>
  <c r="J73" i="7" s="1"/>
  <c r="A73" i="7"/>
  <c r="AV72" i="7"/>
  <c r="AU72" i="7"/>
  <c r="AR72" i="7"/>
  <c r="AQ72" i="7"/>
  <c r="AP72" i="7"/>
  <c r="AL72" i="7"/>
  <c r="AK72" i="7"/>
  <c r="AJ72" i="7"/>
  <c r="AI72" i="7"/>
  <c r="AH72" i="7"/>
  <c r="AG72" i="7"/>
  <c r="AF72" i="7"/>
  <c r="AD72" i="7"/>
  <c r="AC72" i="7"/>
  <c r="AA72" i="7"/>
  <c r="AB72" i="7" s="1"/>
  <c r="X72" i="7"/>
  <c r="W72" i="7"/>
  <c r="U72" i="7"/>
  <c r="V72" i="7" s="1"/>
  <c r="R72" i="7"/>
  <c r="Q72" i="7"/>
  <c r="O72" i="7"/>
  <c r="P72" i="7" s="1"/>
  <c r="L72" i="7"/>
  <c r="K72" i="7"/>
  <c r="I72" i="7"/>
  <c r="J72" i="7" s="1"/>
  <c r="A72" i="7"/>
  <c r="AV71" i="7"/>
  <c r="AU71" i="7"/>
  <c r="AR71" i="7"/>
  <c r="AQ71" i="7"/>
  <c r="AP71" i="7"/>
  <c r="AL71" i="7"/>
  <c r="AK71" i="7"/>
  <c r="AJ71" i="7"/>
  <c r="AI71" i="7"/>
  <c r="AH71" i="7"/>
  <c r="AG71" i="7"/>
  <c r="AF71" i="7"/>
  <c r="AD71" i="7"/>
  <c r="AC71" i="7"/>
  <c r="AA71" i="7"/>
  <c r="AB71" i="7" s="1"/>
  <c r="X71" i="7"/>
  <c r="W71" i="7"/>
  <c r="U71" i="7"/>
  <c r="V71" i="7" s="1"/>
  <c r="R71" i="7"/>
  <c r="Q71" i="7"/>
  <c r="O71" i="7"/>
  <c r="P71" i="7" s="1"/>
  <c r="L71" i="7"/>
  <c r="K71" i="7"/>
  <c r="I71" i="7"/>
  <c r="J71" i="7" s="1"/>
  <c r="A71" i="7"/>
  <c r="AV70" i="7"/>
  <c r="AU70" i="7"/>
  <c r="AR70" i="7"/>
  <c r="AQ70" i="7"/>
  <c r="AP70" i="7"/>
  <c r="AL70" i="7"/>
  <c r="AK70" i="7"/>
  <c r="AJ70" i="7"/>
  <c r="AI70" i="7"/>
  <c r="AH70" i="7"/>
  <c r="AG70" i="7"/>
  <c r="AF70" i="7"/>
  <c r="AD70" i="7"/>
  <c r="AC70" i="7"/>
  <c r="AA70" i="7"/>
  <c r="AB70" i="7" s="1"/>
  <c r="X70" i="7"/>
  <c r="W70" i="7"/>
  <c r="U70" i="7"/>
  <c r="V70" i="7" s="1"/>
  <c r="R70" i="7"/>
  <c r="Q70" i="7"/>
  <c r="O70" i="7"/>
  <c r="P70" i="7" s="1"/>
  <c r="L70" i="7"/>
  <c r="K70" i="7"/>
  <c r="I70" i="7"/>
  <c r="J70" i="7" s="1"/>
  <c r="A70" i="7"/>
  <c r="AO70" i="7" s="1"/>
  <c r="CH69" i="7"/>
  <c r="AV69" i="7"/>
  <c r="AU69" i="7"/>
  <c r="AR69" i="7"/>
  <c r="AQ69" i="7"/>
  <c r="AP69" i="7"/>
  <c r="AL69" i="7"/>
  <c r="AK69" i="7"/>
  <c r="AJ69" i="7"/>
  <c r="AI69" i="7"/>
  <c r="AH69" i="7"/>
  <c r="AG69" i="7"/>
  <c r="AF69" i="7"/>
  <c r="AD69" i="7"/>
  <c r="AC69" i="7"/>
  <c r="AA69" i="7"/>
  <c r="AB69" i="7" s="1"/>
  <c r="X69" i="7"/>
  <c r="W69" i="7"/>
  <c r="U69" i="7"/>
  <c r="V69" i="7" s="1"/>
  <c r="R69" i="7"/>
  <c r="Q69" i="7"/>
  <c r="O69" i="7"/>
  <c r="P69" i="7" s="1"/>
  <c r="L69" i="7"/>
  <c r="K69" i="7"/>
  <c r="I69" i="7"/>
  <c r="J69" i="7" s="1"/>
  <c r="A69" i="7"/>
  <c r="AV68" i="7"/>
  <c r="AU68" i="7"/>
  <c r="AR68" i="7"/>
  <c r="AQ68" i="7"/>
  <c r="AP68" i="7"/>
  <c r="AL68" i="7"/>
  <c r="AK68" i="7"/>
  <c r="AJ68" i="7"/>
  <c r="AI68" i="7"/>
  <c r="AH68" i="7"/>
  <c r="AG68" i="7"/>
  <c r="AF68" i="7"/>
  <c r="AD68" i="7"/>
  <c r="AC68" i="7"/>
  <c r="AA68" i="7"/>
  <c r="AB68" i="7" s="1"/>
  <c r="X68" i="7"/>
  <c r="W68" i="7"/>
  <c r="U68" i="7"/>
  <c r="V68" i="7" s="1"/>
  <c r="R68" i="7"/>
  <c r="Q68" i="7"/>
  <c r="O68" i="7"/>
  <c r="P68" i="7" s="1"/>
  <c r="L68" i="7"/>
  <c r="K68" i="7"/>
  <c r="I68" i="7"/>
  <c r="J68" i="7" s="1"/>
  <c r="A68" i="7"/>
  <c r="AV67" i="7"/>
  <c r="AU67" i="7"/>
  <c r="AR67" i="7"/>
  <c r="AQ67" i="7"/>
  <c r="AP67" i="7"/>
  <c r="AL67" i="7"/>
  <c r="AK67" i="7"/>
  <c r="AJ67" i="7"/>
  <c r="AI67" i="7"/>
  <c r="AH67" i="7"/>
  <c r="AG67" i="7"/>
  <c r="AF67" i="7"/>
  <c r="AD67" i="7"/>
  <c r="AC67" i="7"/>
  <c r="AA67" i="7"/>
  <c r="AB67" i="7" s="1"/>
  <c r="X67" i="7"/>
  <c r="W67" i="7"/>
  <c r="U67" i="7"/>
  <c r="V67" i="7" s="1"/>
  <c r="R67" i="7"/>
  <c r="Q67" i="7"/>
  <c r="O67" i="7"/>
  <c r="P67" i="7" s="1"/>
  <c r="L67" i="7"/>
  <c r="K67" i="7"/>
  <c r="I67" i="7"/>
  <c r="J67" i="7" s="1"/>
  <c r="A67" i="7"/>
  <c r="AV66" i="7"/>
  <c r="AU66" i="7"/>
  <c r="AR66" i="7"/>
  <c r="AQ66" i="7"/>
  <c r="AP66" i="7"/>
  <c r="AL66" i="7"/>
  <c r="AK66" i="7"/>
  <c r="AJ66" i="7"/>
  <c r="AI66" i="7"/>
  <c r="AH66" i="7"/>
  <c r="AG66" i="7"/>
  <c r="AF66" i="7"/>
  <c r="AD66" i="7"/>
  <c r="AC66" i="7"/>
  <c r="AA66" i="7"/>
  <c r="AB66" i="7" s="1"/>
  <c r="X66" i="7"/>
  <c r="W66" i="7"/>
  <c r="U66" i="7"/>
  <c r="V66" i="7" s="1"/>
  <c r="R66" i="7"/>
  <c r="Q66" i="7"/>
  <c r="O66" i="7"/>
  <c r="P66" i="7" s="1"/>
  <c r="L66" i="7"/>
  <c r="K66" i="7"/>
  <c r="I66" i="7"/>
  <c r="J66" i="7" s="1"/>
  <c r="A66" i="7"/>
  <c r="AV65" i="7"/>
  <c r="AU65" i="7"/>
  <c r="AR65" i="7"/>
  <c r="AQ65" i="7"/>
  <c r="AP65" i="7"/>
  <c r="AL65" i="7"/>
  <c r="AK65" i="7"/>
  <c r="AJ65" i="7"/>
  <c r="AI65" i="7"/>
  <c r="AH65" i="7"/>
  <c r="AG65" i="7"/>
  <c r="AF65" i="7"/>
  <c r="AD65" i="7"/>
  <c r="AC65" i="7"/>
  <c r="AA65" i="7"/>
  <c r="AB65" i="7" s="1"/>
  <c r="X65" i="7"/>
  <c r="W65" i="7"/>
  <c r="U65" i="7"/>
  <c r="V65" i="7" s="1"/>
  <c r="R65" i="7"/>
  <c r="Q65" i="7"/>
  <c r="O65" i="7"/>
  <c r="P65" i="7" s="1"/>
  <c r="L65" i="7"/>
  <c r="K65" i="7"/>
  <c r="I65" i="7"/>
  <c r="J65" i="7" s="1"/>
  <c r="A65" i="7"/>
  <c r="AV64" i="7"/>
  <c r="AU64" i="7"/>
  <c r="AR64" i="7"/>
  <c r="AQ64" i="7"/>
  <c r="AP64" i="7"/>
  <c r="AL64" i="7"/>
  <c r="AK64" i="7"/>
  <c r="AJ64" i="7"/>
  <c r="AI64" i="7"/>
  <c r="AH64" i="7"/>
  <c r="AG64" i="7"/>
  <c r="AF64" i="7"/>
  <c r="AD64" i="7"/>
  <c r="AC64" i="7"/>
  <c r="AA64" i="7"/>
  <c r="AB64" i="7" s="1"/>
  <c r="X64" i="7"/>
  <c r="W64" i="7"/>
  <c r="U64" i="7"/>
  <c r="V64" i="7" s="1"/>
  <c r="R64" i="7"/>
  <c r="Q64" i="7"/>
  <c r="O64" i="7"/>
  <c r="P64" i="7" s="1"/>
  <c r="L64" i="7"/>
  <c r="K64" i="7"/>
  <c r="I64" i="7"/>
  <c r="J64" i="7" s="1"/>
  <c r="A64" i="7"/>
  <c r="AV63" i="7"/>
  <c r="AU63" i="7"/>
  <c r="AR63" i="7"/>
  <c r="AQ63" i="7"/>
  <c r="AP63" i="7"/>
  <c r="AL63" i="7"/>
  <c r="AK63" i="7"/>
  <c r="AJ63" i="7"/>
  <c r="AI63" i="7"/>
  <c r="AH63" i="7"/>
  <c r="AG63" i="7"/>
  <c r="AF63" i="7"/>
  <c r="AD63" i="7"/>
  <c r="AC63" i="7"/>
  <c r="AA63" i="7"/>
  <c r="AB63" i="7" s="1"/>
  <c r="X63" i="7"/>
  <c r="W63" i="7"/>
  <c r="U63" i="7"/>
  <c r="V63" i="7" s="1"/>
  <c r="R63" i="7"/>
  <c r="Q63" i="7"/>
  <c r="O63" i="7"/>
  <c r="P63" i="7" s="1"/>
  <c r="L63" i="7"/>
  <c r="K63" i="7"/>
  <c r="I63" i="7"/>
  <c r="J63" i="7" s="1"/>
  <c r="A63" i="7"/>
  <c r="AV62" i="7"/>
  <c r="AU62" i="7"/>
  <c r="AR62" i="7"/>
  <c r="AQ62" i="7"/>
  <c r="AP62" i="7"/>
  <c r="AL62" i="7"/>
  <c r="AK62" i="7"/>
  <c r="AJ62" i="7"/>
  <c r="AI62" i="7"/>
  <c r="AH62" i="7"/>
  <c r="AG62" i="7"/>
  <c r="AF62" i="7"/>
  <c r="AD62" i="7"/>
  <c r="AC62" i="7"/>
  <c r="AA62" i="7"/>
  <c r="AB62" i="7" s="1"/>
  <c r="X62" i="7"/>
  <c r="W62" i="7"/>
  <c r="U62" i="7"/>
  <c r="V62" i="7" s="1"/>
  <c r="R62" i="7"/>
  <c r="Q62" i="7"/>
  <c r="O62" i="7"/>
  <c r="P62" i="7" s="1"/>
  <c r="L62" i="7"/>
  <c r="K62" i="7"/>
  <c r="I62" i="7"/>
  <c r="J62" i="7" s="1"/>
  <c r="A62" i="7"/>
  <c r="AV61" i="7"/>
  <c r="AU61" i="7"/>
  <c r="AR61" i="7"/>
  <c r="AQ61" i="7"/>
  <c r="AP61" i="7"/>
  <c r="AL61" i="7"/>
  <c r="AK61" i="7"/>
  <c r="AJ61" i="7"/>
  <c r="AI61" i="7"/>
  <c r="AH61" i="7"/>
  <c r="AG61" i="7"/>
  <c r="AF61" i="7"/>
  <c r="AD61" i="7"/>
  <c r="AC61" i="7"/>
  <c r="AA61" i="7"/>
  <c r="AB61" i="7" s="1"/>
  <c r="X61" i="7"/>
  <c r="W61" i="7"/>
  <c r="U61" i="7"/>
  <c r="V61" i="7" s="1"/>
  <c r="R61" i="7"/>
  <c r="Q61" i="7"/>
  <c r="O61" i="7"/>
  <c r="P61" i="7" s="1"/>
  <c r="L61" i="7"/>
  <c r="K61" i="7"/>
  <c r="I61" i="7"/>
  <c r="J61" i="7" s="1"/>
  <c r="A61" i="7"/>
  <c r="AV60" i="7"/>
  <c r="AU60" i="7"/>
  <c r="AR60" i="7"/>
  <c r="AQ60" i="7"/>
  <c r="AP60" i="7"/>
  <c r="AL60" i="7"/>
  <c r="AK60" i="7"/>
  <c r="AJ60" i="7"/>
  <c r="AI60" i="7"/>
  <c r="AH60" i="7"/>
  <c r="AG60" i="7"/>
  <c r="AF60" i="7"/>
  <c r="AD60" i="7"/>
  <c r="AC60" i="7"/>
  <c r="AA60" i="7"/>
  <c r="AB60" i="7" s="1"/>
  <c r="X60" i="7"/>
  <c r="W60" i="7"/>
  <c r="U60" i="7"/>
  <c r="V60" i="7" s="1"/>
  <c r="R60" i="7"/>
  <c r="Q60" i="7"/>
  <c r="O60" i="7"/>
  <c r="P60" i="7" s="1"/>
  <c r="L60" i="7"/>
  <c r="K60" i="7"/>
  <c r="I60" i="7"/>
  <c r="J60" i="7" s="1"/>
  <c r="A60" i="7"/>
  <c r="AV59" i="7"/>
  <c r="AU59" i="7"/>
  <c r="AR59" i="7"/>
  <c r="AQ59" i="7"/>
  <c r="AP59" i="7"/>
  <c r="AL59" i="7"/>
  <c r="AK59" i="7"/>
  <c r="AJ59" i="7"/>
  <c r="AI59" i="7"/>
  <c r="AH59" i="7"/>
  <c r="AG59" i="7"/>
  <c r="AF59" i="7"/>
  <c r="AD59" i="7"/>
  <c r="AC59" i="7"/>
  <c r="AA59" i="7"/>
  <c r="AB59" i="7" s="1"/>
  <c r="X59" i="7"/>
  <c r="W59" i="7"/>
  <c r="U59" i="7"/>
  <c r="V59" i="7" s="1"/>
  <c r="R59" i="7"/>
  <c r="Q59" i="7"/>
  <c r="O59" i="7"/>
  <c r="P59" i="7" s="1"/>
  <c r="L59" i="7"/>
  <c r="AT59" i="7" s="1"/>
  <c r="K59" i="7"/>
  <c r="I59" i="7"/>
  <c r="J59" i="7" s="1"/>
  <c r="A59" i="7"/>
  <c r="AV58" i="7"/>
  <c r="AU58" i="7"/>
  <c r="AR58" i="7"/>
  <c r="AQ58" i="7"/>
  <c r="AP58" i="7"/>
  <c r="AL58" i="7"/>
  <c r="AK58" i="7"/>
  <c r="AJ58" i="7"/>
  <c r="AI58" i="7"/>
  <c r="AH58" i="7"/>
  <c r="AG58" i="7"/>
  <c r="AF58" i="7"/>
  <c r="AD58" i="7"/>
  <c r="AC58" i="7"/>
  <c r="AA58" i="7"/>
  <c r="AB58" i="7" s="1"/>
  <c r="X58" i="7"/>
  <c r="W58" i="7"/>
  <c r="U58" i="7"/>
  <c r="V58" i="7" s="1"/>
  <c r="R58" i="7"/>
  <c r="Q58" i="7"/>
  <c r="O58" i="7"/>
  <c r="P58" i="7" s="1"/>
  <c r="L58" i="7"/>
  <c r="K58" i="7"/>
  <c r="I58" i="7"/>
  <c r="J58" i="7" s="1"/>
  <c r="A58" i="7"/>
  <c r="AV57" i="7"/>
  <c r="AU57" i="7"/>
  <c r="AR57" i="7"/>
  <c r="AQ57" i="7"/>
  <c r="AP57" i="7"/>
  <c r="AL57" i="7"/>
  <c r="AK57" i="7"/>
  <c r="AJ57" i="7"/>
  <c r="AI57" i="7"/>
  <c r="AH57" i="7"/>
  <c r="AG57" i="7"/>
  <c r="AF57" i="7"/>
  <c r="AD57" i="7"/>
  <c r="AC57" i="7"/>
  <c r="AA57" i="7"/>
  <c r="AB57" i="7" s="1"/>
  <c r="X57" i="7"/>
  <c r="W57" i="7"/>
  <c r="U57" i="7"/>
  <c r="V57" i="7" s="1"/>
  <c r="R57" i="7"/>
  <c r="Q57" i="7"/>
  <c r="O57" i="7"/>
  <c r="P57" i="7" s="1"/>
  <c r="L57" i="7"/>
  <c r="K57" i="7"/>
  <c r="I57" i="7"/>
  <c r="J57" i="7" s="1"/>
  <c r="A57" i="7"/>
  <c r="AV56" i="7"/>
  <c r="AU56" i="7"/>
  <c r="AR56" i="7"/>
  <c r="AQ56" i="7"/>
  <c r="AP56" i="7"/>
  <c r="AL56" i="7"/>
  <c r="AK56" i="7"/>
  <c r="AJ56" i="7"/>
  <c r="AI56" i="7"/>
  <c r="AH56" i="7"/>
  <c r="AG56" i="7"/>
  <c r="AF56" i="7"/>
  <c r="AD56" i="7"/>
  <c r="AC56" i="7"/>
  <c r="AA56" i="7"/>
  <c r="AB56" i="7" s="1"/>
  <c r="X56" i="7"/>
  <c r="W56" i="7"/>
  <c r="U56" i="7"/>
  <c r="V56" i="7" s="1"/>
  <c r="R56" i="7"/>
  <c r="Q56" i="7"/>
  <c r="O56" i="7"/>
  <c r="P56" i="7" s="1"/>
  <c r="L56" i="7"/>
  <c r="K56" i="7"/>
  <c r="I56" i="7"/>
  <c r="J56" i="7" s="1"/>
  <c r="A56" i="7"/>
  <c r="AV55" i="7"/>
  <c r="AU55" i="7"/>
  <c r="AR55" i="7"/>
  <c r="AQ55" i="7"/>
  <c r="AP55" i="7"/>
  <c r="AL55" i="7"/>
  <c r="AK55" i="7"/>
  <c r="AJ55" i="7"/>
  <c r="AI55" i="7"/>
  <c r="AH55" i="7"/>
  <c r="AG55" i="7"/>
  <c r="AF55" i="7"/>
  <c r="AD55" i="7"/>
  <c r="AC55" i="7"/>
  <c r="AA55" i="7"/>
  <c r="AB55" i="7" s="1"/>
  <c r="X55" i="7"/>
  <c r="W55" i="7"/>
  <c r="U55" i="7"/>
  <c r="V55" i="7" s="1"/>
  <c r="R55" i="7"/>
  <c r="Q55" i="7"/>
  <c r="O55" i="7"/>
  <c r="P55" i="7" s="1"/>
  <c r="L55" i="7"/>
  <c r="K55" i="7"/>
  <c r="I55" i="7"/>
  <c r="J55" i="7" s="1"/>
  <c r="A55" i="7"/>
  <c r="AO55" i="7" s="1"/>
  <c r="AV54" i="7"/>
  <c r="AU54" i="7"/>
  <c r="AR54" i="7"/>
  <c r="AQ54" i="7"/>
  <c r="AP54" i="7"/>
  <c r="AL54" i="7"/>
  <c r="AK54" i="7"/>
  <c r="AJ54" i="7"/>
  <c r="AI54" i="7"/>
  <c r="AH54" i="7"/>
  <c r="AG54" i="7"/>
  <c r="AF54" i="7"/>
  <c r="AD54" i="7"/>
  <c r="AC54" i="7"/>
  <c r="AA54" i="7"/>
  <c r="AB54" i="7" s="1"/>
  <c r="X54" i="7"/>
  <c r="W54" i="7"/>
  <c r="U54" i="7"/>
  <c r="V54" i="7" s="1"/>
  <c r="R54" i="7"/>
  <c r="Q54" i="7"/>
  <c r="O54" i="7"/>
  <c r="P54" i="7" s="1"/>
  <c r="L54" i="7"/>
  <c r="AM54" i="7" s="1"/>
  <c r="AN54" i="7" s="1"/>
  <c r="K54" i="7"/>
  <c r="I54" i="7"/>
  <c r="J54" i="7" s="1"/>
  <c r="A54" i="7"/>
  <c r="AV53" i="7"/>
  <c r="AU53" i="7"/>
  <c r="AR53" i="7"/>
  <c r="AQ53" i="7"/>
  <c r="AP53" i="7"/>
  <c r="AL53" i="7"/>
  <c r="AK53" i="7"/>
  <c r="AJ53" i="7"/>
  <c r="AI53" i="7"/>
  <c r="AH53" i="7"/>
  <c r="AG53" i="7"/>
  <c r="AF53" i="7"/>
  <c r="AD53" i="7"/>
  <c r="AC53" i="7"/>
  <c r="AA53" i="7"/>
  <c r="AB53" i="7" s="1"/>
  <c r="X53" i="7"/>
  <c r="W53" i="7"/>
  <c r="U53" i="7"/>
  <c r="V53" i="7" s="1"/>
  <c r="R53" i="7"/>
  <c r="Q53" i="7"/>
  <c r="O53" i="7"/>
  <c r="P53" i="7" s="1"/>
  <c r="L53" i="7"/>
  <c r="K53" i="7"/>
  <c r="I53" i="7"/>
  <c r="J53" i="7" s="1"/>
  <c r="A53" i="7"/>
  <c r="AV52" i="7"/>
  <c r="AU52" i="7"/>
  <c r="AT52" i="7"/>
  <c r="AR52" i="7"/>
  <c r="AQ52" i="7"/>
  <c r="AP52" i="7"/>
  <c r="AL52" i="7"/>
  <c r="AK52" i="7"/>
  <c r="AJ52" i="7"/>
  <c r="AI52" i="7"/>
  <c r="AH52" i="7"/>
  <c r="AG52" i="7"/>
  <c r="AF52" i="7"/>
  <c r="AD52" i="7"/>
  <c r="AC52" i="7"/>
  <c r="AA52" i="7"/>
  <c r="AB52" i="7" s="1"/>
  <c r="X52" i="7"/>
  <c r="W52" i="7"/>
  <c r="U52" i="7"/>
  <c r="V52" i="7" s="1"/>
  <c r="R52" i="7"/>
  <c r="Q52" i="7"/>
  <c r="O52" i="7"/>
  <c r="P52" i="7" s="1"/>
  <c r="L52" i="7"/>
  <c r="AS52" i="7" s="1"/>
  <c r="K52" i="7"/>
  <c r="I52" i="7"/>
  <c r="J52" i="7" s="1"/>
  <c r="A52" i="7"/>
  <c r="AV51" i="7"/>
  <c r="AU51" i="7"/>
  <c r="AR51" i="7"/>
  <c r="AQ51" i="7"/>
  <c r="AP51" i="7"/>
  <c r="AL51" i="7"/>
  <c r="AK51" i="7"/>
  <c r="AJ51" i="7"/>
  <c r="AI51" i="7"/>
  <c r="AH51" i="7"/>
  <c r="AG51" i="7"/>
  <c r="AF51" i="7"/>
  <c r="AD51" i="7"/>
  <c r="AC51" i="7"/>
  <c r="AA51" i="7"/>
  <c r="AB51" i="7" s="1"/>
  <c r="X51" i="7"/>
  <c r="W51" i="7"/>
  <c r="U51" i="7"/>
  <c r="V51" i="7" s="1"/>
  <c r="R51" i="7"/>
  <c r="Q51" i="7"/>
  <c r="O51" i="7"/>
  <c r="P51" i="7" s="1"/>
  <c r="L51" i="7"/>
  <c r="K51" i="7"/>
  <c r="I51" i="7"/>
  <c r="J51" i="7" s="1"/>
  <c r="A51" i="7"/>
  <c r="AV50" i="7"/>
  <c r="AU50" i="7"/>
  <c r="AR50" i="7"/>
  <c r="AQ50" i="7"/>
  <c r="AP50" i="7"/>
  <c r="AL50" i="7"/>
  <c r="AK50" i="7"/>
  <c r="AJ50" i="7"/>
  <c r="AI50" i="7"/>
  <c r="AH50" i="7"/>
  <c r="AG50" i="7"/>
  <c r="AF50" i="7"/>
  <c r="AD50" i="7"/>
  <c r="AC50" i="7"/>
  <c r="AA50" i="7"/>
  <c r="AB50" i="7" s="1"/>
  <c r="X50" i="7"/>
  <c r="W50" i="7"/>
  <c r="U50" i="7"/>
  <c r="V50" i="7" s="1"/>
  <c r="R50" i="7"/>
  <c r="Q50" i="7"/>
  <c r="O50" i="7"/>
  <c r="P50" i="7" s="1"/>
  <c r="L50" i="7"/>
  <c r="K50" i="7"/>
  <c r="I50" i="7"/>
  <c r="J50" i="7" s="1"/>
  <c r="A50" i="7"/>
  <c r="AV49" i="7"/>
  <c r="AU49" i="7"/>
  <c r="AR49" i="7"/>
  <c r="AQ49" i="7"/>
  <c r="AP49" i="7"/>
  <c r="AL49" i="7"/>
  <c r="AK49" i="7"/>
  <c r="AJ49" i="7"/>
  <c r="AI49" i="7"/>
  <c r="AH49" i="7"/>
  <c r="AG49" i="7"/>
  <c r="AF49" i="7"/>
  <c r="AD49" i="7"/>
  <c r="AC49" i="7"/>
  <c r="AA49" i="7"/>
  <c r="AB49" i="7" s="1"/>
  <c r="X49" i="7"/>
  <c r="W49" i="7"/>
  <c r="U49" i="7"/>
  <c r="V49" i="7" s="1"/>
  <c r="R49" i="7"/>
  <c r="Q49" i="7"/>
  <c r="O49" i="7"/>
  <c r="P49" i="7" s="1"/>
  <c r="L49" i="7"/>
  <c r="K49" i="7"/>
  <c r="I49" i="7"/>
  <c r="J49" i="7" s="1"/>
  <c r="A49" i="7"/>
  <c r="AV48" i="7"/>
  <c r="AU48" i="7"/>
  <c r="AR48" i="7"/>
  <c r="AQ48" i="7"/>
  <c r="AP48" i="7"/>
  <c r="AL48" i="7"/>
  <c r="AK48" i="7"/>
  <c r="AJ48" i="7"/>
  <c r="AI48" i="7"/>
  <c r="AH48" i="7"/>
  <c r="AG48" i="7"/>
  <c r="AF48" i="7"/>
  <c r="AD48" i="7"/>
  <c r="AC48" i="7"/>
  <c r="AA48" i="7"/>
  <c r="AB48" i="7" s="1"/>
  <c r="X48" i="7"/>
  <c r="W48" i="7"/>
  <c r="U48" i="7"/>
  <c r="V48" i="7" s="1"/>
  <c r="R48" i="7"/>
  <c r="Q48" i="7"/>
  <c r="O48" i="7"/>
  <c r="P48" i="7" s="1"/>
  <c r="L48" i="7"/>
  <c r="K48" i="7"/>
  <c r="I48" i="7"/>
  <c r="J48" i="7" s="1"/>
  <c r="A48" i="7"/>
  <c r="AV47" i="7"/>
  <c r="AU47" i="7"/>
  <c r="AS47" i="7"/>
  <c r="AR47" i="7"/>
  <c r="AQ47" i="7"/>
  <c r="AP47" i="7"/>
  <c r="AO47" i="7"/>
  <c r="AL47" i="7"/>
  <c r="AK47" i="7"/>
  <c r="AJ47" i="7"/>
  <c r="AI47" i="7"/>
  <c r="AH47" i="7"/>
  <c r="AG47" i="7"/>
  <c r="AF47" i="7"/>
  <c r="AD47" i="7"/>
  <c r="AC47" i="7"/>
  <c r="AA47" i="7"/>
  <c r="AB47" i="7" s="1"/>
  <c r="X47" i="7"/>
  <c r="W47" i="7"/>
  <c r="U47" i="7"/>
  <c r="V47" i="7" s="1"/>
  <c r="R47" i="7"/>
  <c r="Q47" i="7"/>
  <c r="O47" i="7"/>
  <c r="P47" i="7" s="1"/>
  <c r="L47" i="7"/>
  <c r="K47" i="7"/>
  <c r="I47" i="7"/>
  <c r="J47" i="7" s="1"/>
  <c r="A47" i="7"/>
  <c r="AE47" i="7" s="1"/>
  <c r="AV46" i="7"/>
  <c r="AU46" i="7"/>
  <c r="AR46" i="7"/>
  <c r="AQ46" i="7"/>
  <c r="AP46" i="7"/>
  <c r="AL46" i="7"/>
  <c r="AK46" i="7"/>
  <c r="AJ46" i="7"/>
  <c r="AI46" i="7"/>
  <c r="AH46" i="7"/>
  <c r="AG46" i="7"/>
  <c r="AF46" i="7"/>
  <c r="AD46" i="7"/>
  <c r="AC46" i="7"/>
  <c r="AA46" i="7"/>
  <c r="AB46" i="7" s="1"/>
  <c r="X46" i="7"/>
  <c r="W46" i="7"/>
  <c r="U46" i="7"/>
  <c r="V46" i="7" s="1"/>
  <c r="R46" i="7"/>
  <c r="Q46" i="7"/>
  <c r="O46" i="7"/>
  <c r="P46" i="7" s="1"/>
  <c r="L46" i="7"/>
  <c r="K46" i="7"/>
  <c r="I46" i="7"/>
  <c r="J46" i="7" s="1"/>
  <c r="A46" i="7"/>
  <c r="AO46" i="7" s="1"/>
  <c r="AV45" i="7"/>
  <c r="AU45" i="7"/>
  <c r="AR45" i="7"/>
  <c r="AQ45" i="7"/>
  <c r="AP45" i="7"/>
  <c r="AL45" i="7"/>
  <c r="AK45" i="7"/>
  <c r="AJ45" i="7"/>
  <c r="AI45" i="7"/>
  <c r="AH45" i="7"/>
  <c r="AG45" i="7"/>
  <c r="AF45" i="7"/>
  <c r="AD45" i="7"/>
  <c r="AC45" i="7"/>
  <c r="AA45" i="7"/>
  <c r="AB45" i="7" s="1"/>
  <c r="X45" i="7"/>
  <c r="W45" i="7"/>
  <c r="U45" i="7"/>
  <c r="V45" i="7" s="1"/>
  <c r="R45" i="7"/>
  <c r="Q45" i="7"/>
  <c r="O45" i="7"/>
  <c r="P45" i="7" s="1"/>
  <c r="L45" i="7"/>
  <c r="K45" i="7"/>
  <c r="I45" i="7"/>
  <c r="J45" i="7" s="1"/>
  <c r="A45" i="7"/>
  <c r="AV44" i="7"/>
  <c r="AU44" i="7"/>
  <c r="AR44" i="7"/>
  <c r="AQ44" i="7"/>
  <c r="AP44" i="7"/>
  <c r="AL44" i="7"/>
  <c r="AK44" i="7"/>
  <c r="AJ44" i="7"/>
  <c r="AI44" i="7"/>
  <c r="AH44" i="7"/>
  <c r="AG44" i="7"/>
  <c r="AF44" i="7"/>
  <c r="AD44" i="7"/>
  <c r="AC44" i="7"/>
  <c r="AA44" i="7"/>
  <c r="AB44" i="7" s="1"/>
  <c r="X44" i="7"/>
  <c r="W44" i="7"/>
  <c r="U44" i="7"/>
  <c r="V44" i="7" s="1"/>
  <c r="R44" i="7"/>
  <c r="Q44" i="7"/>
  <c r="O44" i="7"/>
  <c r="P44" i="7" s="1"/>
  <c r="L44" i="7"/>
  <c r="AM44" i="7" s="1"/>
  <c r="AN44" i="7" s="1"/>
  <c r="K44" i="7"/>
  <c r="I44" i="7"/>
  <c r="J44" i="7" s="1"/>
  <c r="A44" i="7"/>
  <c r="AV43" i="7"/>
  <c r="AU43" i="7"/>
  <c r="AR43" i="7"/>
  <c r="AQ43" i="7"/>
  <c r="AP43" i="7"/>
  <c r="AL43" i="7"/>
  <c r="AK43" i="7"/>
  <c r="AJ43" i="7"/>
  <c r="AI43" i="7"/>
  <c r="AH43" i="7"/>
  <c r="AG43" i="7"/>
  <c r="AF43" i="7"/>
  <c r="AD43" i="7"/>
  <c r="AC43" i="7"/>
  <c r="AA43" i="7"/>
  <c r="AB43" i="7" s="1"/>
  <c r="X43" i="7"/>
  <c r="W43" i="7"/>
  <c r="U43" i="7"/>
  <c r="V43" i="7" s="1"/>
  <c r="R43" i="7"/>
  <c r="Q43" i="7"/>
  <c r="O43" i="7"/>
  <c r="P43" i="7" s="1"/>
  <c r="L43" i="7"/>
  <c r="K43" i="7"/>
  <c r="I43" i="7"/>
  <c r="J43" i="7" s="1"/>
  <c r="A43" i="7"/>
  <c r="AV42" i="7"/>
  <c r="AU42" i="7"/>
  <c r="AR42" i="7"/>
  <c r="AQ42" i="7"/>
  <c r="AP42" i="7"/>
  <c r="AL42" i="7"/>
  <c r="AK42" i="7"/>
  <c r="AJ42" i="7"/>
  <c r="AI42" i="7"/>
  <c r="AH42" i="7"/>
  <c r="AG42" i="7"/>
  <c r="AF42" i="7"/>
  <c r="AD42" i="7"/>
  <c r="AC42" i="7"/>
  <c r="AA42" i="7"/>
  <c r="AB42" i="7" s="1"/>
  <c r="X42" i="7"/>
  <c r="W42" i="7"/>
  <c r="U42" i="7"/>
  <c r="V42" i="7" s="1"/>
  <c r="R42" i="7"/>
  <c r="Q42" i="7"/>
  <c r="O42" i="7"/>
  <c r="P42" i="7" s="1"/>
  <c r="L42" i="7"/>
  <c r="K42" i="7"/>
  <c r="I42" i="7"/>
  <c r="J42" i="7" s="1"/>
  <c r="A42" i="7"/>
  <c r="AV41" i="7"/>
  <c r="AU41" i="7"/>
  <c r="AR41" i="7"/>
  <c r="AQ41" i="7"/>
  <c r="AP41" i="7"/>
  <c r="AL41" i="7"/>
  <c r="AK41" i="7"/>
  <c r="AJ41" i="7"/>
  <c r="AI41" i="7"/>
  <c r="AH41" i="7"/>
  <c r="AG41" i="7"/>
  <c r="AF41" i="7"/>
  <c r="AD41" i="7"/>
  <c r="AC41" i="7"/>
  <c r="AA41" i="7"/>
  <c r="AB41" i="7" s="1"/>
  <c r="X41" i="7"/>
  <c r="W41" i="7"/>
  <c r="U41" i="7"/>
  <c r="V41" i="7" s="1"/>
  <c r="R41" i="7"/>
  <c r="Q41" i="7"/>
  <c r="O41" i="7"/>
  <c r="P41" i="7" s="1"/>
  <c r="L41" i="7"/>
  <c r="K41" i="7"/>
  <c r="I41" i="7"/>
  <c r="J41" i="7" s="1"/>
  <c r="A41" i="7"/>
  <c r="AV40" i="7"/>
  <c r="AU40" i="7"/>
  <c r="AR40" i="7"/>
  <c r="AQ40" i="7"/>
  <c r="AP40" i="7"/>
  <c r="AL40" i="7"/>
  <c r="AK40" i="7"/>
  <c r="AJ40" i="7"/>
  <c r="AI40" i="7"/>
  <c r="AH40" i="7"/>
  <c r="AG40" i="7"/>
  <c r="AF40" i="7"/>
  <c r="AD40" i="7"/>
  <c r="AC40" i="7"/>
  <c r="AA40" i="7"/>
  <c r="AB40" i="7" s="1"/>
  <c r="X40" i="7"/>
  <c r="W40" i="7"/>
  <c r="U40" i="7"/>
  <c r="V40" i="7" s="1"/>
  <c r="R40" i="7"/>
  <c r="Q40" i="7"/>
  <c r="O40" i="7"/>
  <c r="P40" i="7" s="1"/>
  <c r="L40" i="7"/>
  <c r="K40" i="7"/>
  <c r="I40" i="7"/>
  <c r="J40" i="7" s="1"/>
  <c r="A40" i="7"/>
  <c r="AV39" i="7"/>
  <c r="AU39" i="7"/>
  <c r="AR39" i="7"/>
  <c r="AQ39" i="7"/>
  <c r="AP39" i="7"/>
  <c r="AL39" i="7"/>
  <c r="AK39" i="7"/>
  <c r="AJ39" i="7"/>
  <c r="AI39" i="7"/>
  <c r="AH39" i="7"/>
  <c r="AG39" i="7"/>
  <c r="AF39" i="7"/>
  <c r="AD39" i="7"/>
  <c r="AC39" i="7"/>
  <c r="AA39" i="7"/>
  <c r="AB39" i="7" s="1"/>
  <c r="X39" i="7"/>
  <c r="W39" i="7"/>
  <c r="U39" i="7"/>
  <c r="V39" i="7" s="1"/>
  <c r="R39" i="7"/>
  <c r="Q39" i="7"/>
  <c r="O39" i="7"/>
  <c r="P39" i="7" s="1"/>
  <c r="L39" i="7"/>
  <c r="K39" i="7"/>
  <c r="I39" i="7"/>
  <c r="J39" i="7" s="1"/>
  <c r="A39" i="7"/>
  <c r="AO39" i="7" s="1"/>
  <c r="AV38" i="7"/>
  <c r="AU38" i="7"/>
  <c r="AR38" i="7"/>
  <c r="AQ38" i="7"/>
  <c r="AP38" i="7"/>
  <c r="AL38" i="7"/>
  <c r="AK38" i="7"/>
  <c r="AJ38" i="7"/>
  <c r="AI38" i="7"/>
  <c r="AH38" i="7"/>
  <c r="AG38" i="7"/>
  <c r="AF38" i="7"/>
  <c r="AD38" i="7"/>
  <c r="AC38" i="7"/>
  <c r="AA38" i="7"/>
  <c r="AB38" i="7" s="1"/>
  <c r="X38" i="7"/>
  <c r="W38" i="7"/>
  <c r="U38" i="7"/>
  <c r="V38" i="7" s="1"/>
  <c r="R38" i="7"/>
  <c r="Q38" i="7"/>
  <c r="O38" i="7"/>
  <c r="P38" i="7" s="1"/>
  <c r="L38" i="7"/>
  <c r="K38" i="7"/>
  <c r="I38" i="7"/>
  <c r="J38" i="7" s="1"/>
  <c r="A38" i="7"/>
  <c r="AV37" i="7"/>
  <c r="AU37" i="7"/>
  <c r="AR37" i="7"/>
  <c r="AQ37" i="7"/>
  <c r="AP37" i="7"/>
  <c r="AL37" i="7"/>
  <c r="AK37" i="7"/>
  <c r="AJ37" i="7"/>
  <c r="AI37" i="7"/>
  <c r="AH37" i="7"/>
  <c r="AG37" i="7"/>
  <c r="AF37" i="7"/>
  <c r="AD37" i="7"/>
  <c r="AC37" i="7"/>
  <c r="AA37" i="7"/>
  <c r="AB37" i="7" s="1"/>
  <c r="X37" i="7"/>
  <c r="W37" i="7"/>
  <c r="U37" i="7"/>
  <c r="V37" i="7" s="1"/>
  <c r="R37" i="7"/>
  <c r="Q37" i="7"/>
  <c r="O37" i="7"/>
  <c r="P37" i="7" s="1"/>
  <c r="L37" i="7"/>
  <c r="AT37" i="7" s="1"/>
  <c r="K37" i="7"/>
  <c r="I37" i="7"/>
  <c r="J37" i="7" s="1"/>
  <c r="A37" i="7"/>
  <c r="BN36" i="7"/>
  <c r="BK36" i="7"/>
  <c r="AV36" i="7"/>
  <c r="AU36" i="7"/>
  <c r="AR36" i="7"/>
  <c r="AQ36" i="7"/>
  <c r="AP36" i="7"/>
  <c r="AL36" i="7"/>
  <c r="AK36" i="7"/>
  <c r="AJ36" i="7"/>
  <c r="AI36" i="7"/>
  <c r="AH36" i="7"/>
  <c r="AG36" i="7"/>
  <c r="AF36" i="7"/>
  <c r="AD36" i="7"/>
  <c r="AC36" i="7"/>
  <c r="AA36" i="7"/>
  <c r="AB36" i="7" s="1"/>
  <c r="X36" i="7"/>
  <c r="W36" i="7"/>
  <c r="U36" i="7"/>
  <c r="V36" i="7" s="1"/>
  <c r="R36" i="7"/>
  <c r="Q36" i="7"/>
  <c r="O36" i="7"/>
  <c r="P36" i="7" s="1"/>
  <c r="L36" i="7"/>
  <c r="K36" i="7"/>
  <c r="I36" i="7"/>
  <c r="J36" i="7" s="1"/>
  <c r="A36" i="7"/>
  <c r="BN35" i="7"/>
  <c r="BK35" i="7"/>
  <c r="AV35" i="7"/>
  <c r="AU35" i="7"/>
  <c r="AR35" i="7"/>
  <c r="AQ35" i="7"/>
  <c r="AP35" i="7"/>
  <c r="AL35" i="7"/>
  <c r="AK35" i="7"/>
  <c r="AJ35" i="7"/>
  <c r="AI35" i="7"/>
  <c r="AH35" i="7"/>
  <c r="AG35" i="7"/>
  <c r="AF35" i="7"/>
  <c r="AD35" i="7"/>
  <c r="AC35" i="7"/>
  <c r="AA35" i="7"/>
  <c r="AB35" i="7" s="1"/>
  <c r="X35" i="7"/>
  <c r="W35" i="7"/>
  <c r="U35" i="7"/>
  <c r="V35" i="7" s="1"/>
  <c r="R35" i="7"/>
  <c r="Q35" i="7"/>
  <c r="O35" i="7"/>
  <c r="P35" i="7" s="1"/>
  <c r="L35" i="7"/>
  <c r="K35" i="7"/>
  <c r="I35" i="7"/>
  <c r="J35" i="7" s="1"/>
  <c r="A35" i="7"/>
  <c r="BN34" i="7"/>
  <c r="BK34" i="7"/>
  <c r="AV34" i="7"/>
  <c r="AU34" i="7"/>
  <c r="AR34" i="7"/>
  <c r="AQ34" i="7"/>
  <c r="AP34" i="7"/>
  <c r="AL34" i="7"/>
  <c r="AK34" i="7"/>
  <c r="AJ34" i="7"/>
  <c r="AI34" i="7"/>
  <c r="AH34" i="7"/>
  <c r="AG34" i="7"/>
  <c r="AF34" i="7"/>
  <c r="AD34" i="7"/>
  <c r="AC34" i="7"/>
  <c r="AA34" i="7"/>
  <c r="AB34" i="7" s="1"/>
  <c r="X34" i="7"/>
  <c r="W34" i="7"/>
  <c r="U34" i="7"/>
  <c r="V34" i="7" s="1"/>
  <c r="R34" i="7"/>
  <c r="Q34" i="7"/>
  <c r="O34" i="7"/>
  <c r="P34" i="7" s="1"/>
  <c r="L34" i="7"/>
  <c r="K34" i="7"/>
  <c r="I34" i="7"/>
  <c r="J34" i="7" s="1"/>
  <c r="A34" i="7"/>
  <c r="AO34" i="7" s="1"/>
  <c r="BN33" i="7"/>
  <c r="BK33" i="7"/>
  <c r="AV33" i="7"/>
  <c r="AU33" i="7"/>
  <c r="AR33" i="7"/>
  <c r="AQ33" i="7"/>
  <c r="AP33" i="7"/>
  <c r="AL33" i="7"/>
  <c r="AK33" i="7"/>
  <c r="AJ33" i="7"/>
  <c r="AI33" i="7"/>
  <c r="AH33" i="7"/>
  <c r="AG33" i="7"/>
  <c r="AF33" i="7"/>
  <c r="AD33" i="7"/>
  <c r="AC33" i="7"/>
  <c r="AA33" i="7"/>
  <c r="AB33" i="7" s="1"/>
  <c r="X33" i="7"/>
  <c r="W33" i="7"/>
  <c r="U33" i="7"/>
  <c r="V33" i="7" s="1"/>
  <c r="R33" i="7"/>
  <c r="Q33" i="7"/>
  <c r="O33" i="7"/>
  <c r="P33" i="7" s="1"/>
  <c r="L33" i="7"/>
  <c r="K33" i="7"/>
  <c r="I33" i="7"/>
  <c r="J33" i="7" s="1"/>
  <c r="A33" i="7"/>
  <c r="BN32" i="7"/>
  <c r="BK32" i="7"/>
  <c r="AV32" i="7"/>
  <c r="AU32" i="7"/>
  <c r="AR32" i="7"/>
  <c r="AQ32" i="7"/>
  <c r="AP32" i="7"/>
  <c r="AL32" i="7"/>
  <c r="AK32" i="7"/>
  <c r="AJ32" i="7"/>
  <c r="AI32" i="7"/>
  <c r="AH32" i="7"/>
  <c r="AG32" i="7"/>
  <c r="AF32" i="7"/>
  <c r="AD32" i="7"/>
  <c r="AC32" i="7"/>
  <c r="AA32" i="7"/>
  <c r="AB32" i="7" s="1"/>
  <c r="X32" i="7"/>
  <c r="W32" i="7"/>
  <c r="U32" i="7"/>
  <c r="V32" i="7" s="1"/>
  <c r="R32" i="7"/>
  <c r="Q32" i="7"/>
  <c r="O32" i="7"/>
  <c r="P32" i="7" s="1"/>
  <c r="L32" i="7"/>
  <c r="K32" i="7"/>
  <c r="I32" i="7"/>
  <c r="J32" i="7" s="1"/>
  <c r="A32" i="7"/>
  <c r="BN31" i="7"/>
  <c r="BK31" i="7"/>
  <c r="AV31" i="7"/>
  <c r="AU31" i="7"/>
  <c r="AR31" i="7"/>
  <c r="AQ31" i="7"/>
  <c r="AP31" i="7"/>
  <c r="AL31" i="7"/>
  <c r="AK31" i="7"/>
  <c r="AJ31" i="7"/>
  <c r="AI31" i="7"/>
  <c r="AH31" i="7"/>
  <c r="AG31" i="7"/>
  <c r="AF31" i="7"/>
  <c r="AD31" i="7"/>
  <c r="AC31" i="7"/>
  <c r="AA31" i="7"/>
  <c r="AB31" i="7" s="1"/>
  <c r="X31" i="7"/>
  <c r="W31" i="7"/>
  <c r="U31" i="7"/>
  <c r="V31" i="7" s="1"/>
  <c r="R31" i="7"/>
  <c r="Q31" i="7"/>
  <c r="O31" i="7"/>
  <c r="P31" i="7" s="1"/>
  <c r="L31" i="7"/>
  <c r="K31" i="7"/>
  <c r="I31" i="7"/>
  <c r="J31" i="7" s="1"/>
  <c r="A31" i="7"/>
  <c r="BN30" i="7"/>
  <c r="BK30" i="7"/>
  <c r="AV30" i="7"/>
  <c r="AU30" i="7"/>
  <c r="AR30" i="7"/>
  <c r="AQ30" i="7"/>
  <c r="AP30" i="7"/>
  <c r="AL30" i="7"/>
  <c r="AK30" i="7"/>
  <c r="AJ30" i="7"/>
  <c r="AI30" i="7"/>
  <c r="AH30" i="7"/>
  <c r="AG30" i="7"/>
  <c r="AF30" i="7"/>
  <c r="AD30" i="7"/>
  <c r="AC30" i="7"/>
  <c r="AA30" i="7"/>
  <c r="AB30" i="7" s="1"/>
  <c r="X30" i="7"/>
  <c r="W30" i="7"/>
  <c r="U30" i="7"/>
  <c r="V30" i="7" s="1"/>
  <c r="R30" i="7"/>
  <c r="Q30" i="7"/>
  <c r="O30" i="7"/>
  <c r="P30" i="7" s="1"/>
  <c r="L30" i="7"/>
  <c r="AS30" i="7" s="1"/>
  <c r="K30" i="7"/>
  <c r="I30" i="7"/>
  <c r="J30" i="7" s="1"/>
  <c r="A30" i="7"/>
  <c r="AE30" i="7" s="1"/>
  <c r="BN29" i="7"/>
  <c r="BK29" i="7"/>
  <c r="AV29" i="7"/>
  <c r="AU29" i="7"/>
  <c r="AR29" i="7"/>
  <c r="AQ29" i="7"/>
  <c r="AP29" i="7"/>
  <c r="AL29" i="7"/>
  <c r="AK29" i="7"/>
  <c r="AJ29" i="7"/>
  <c r="AI29" i="7"/>
  <c r="AH29" i="7"/>
  <c r="AG29" i="7"/>
  <c r="AF29" i="7"/>
  <c r="AD29" i="7"/>
  <c r="AC29" i="7"/>
  <c r="AA29" i="7"/>
  <c r="AB29" i="7" s="1"/>
  <c r="X29" i="7"/>
  <c r="W29" i="7"/>
  <c r="U29" i="7"/>
  <c r="V29" i="7" s="1"/>
  <c r="R29" i="7"/>
  <c r="Q29" i="7"/>
  <c r="O29" i="7"/>
  <c r="P29" i="7" s="1"/>
  <c r="L29" i="7"/>
  <c r="K29" i="7"/>
  <c r="I29" i="7"/>
  <c r="J29" i="7" s="1"/>
  <c r="A29" i="7"/>
  <c r="BN28" i="7"/>
  <c r="BK28" i="7"/>
  <c r="AV28" i="7"/>
  <c r="AU28" i="7"/>
  <c r="AR28" i="7"/>
  <c r="AQ28" i="7"/>
  <c r="AP28" i="7"/>
  <c r="AL28" i="7"/>
  <c r="AK28" i="7"/>
  <c r="AJ28" i="7"/>
  <c r="AI28" i="7"/>
  <c r="AH28" i="7"/>
  <c r="AG28" i="7"/>
  <c r="AF28" i="7"/>
  <c r="AD28" i="7"/>
  <c r="AC28" i="7"/>
  <c r="AA28" i="7"/>
  <c r="AB28" i="7" s="1"/>
  <c r="X28" i="7"/>
  <c r="W28" i="7"/>
  <c r="U28" i="7"/>
  <c r="V28" i="7" s="1"/>
  <c r="R28" i="7"/>
  <c r="Q28" i="7"/>
  <c r="O28" i="7"/>
  <c r="P28" i="7" s="1"/>
  <c r="L28" i="7"/>
  <c r="K28" i="7"/>
  <c r="I28" i="7"/>
  <c r="J28" i="7" s="1"/>
  <c r="A28" i="7"/>
  <c r="BN27" i="7"/>
  <c r="BK27" i="7"/>
  <c r="AV27" i="7"/>
  <c r="AU27" i="7"/>
  <c r="AR27" i="7"/>
  <c r="AQ27" i="7"/>
  <c r="AP27" i="7"/>
  <c r="AL27" i="7"/>
  <c r="AK27" i="7"/>
  <c r="AJ27" i="7"/>
  <c r="AI27" i="7"/>
  <c r="AH27" i="7"/>
  <c r="AG27" i="7"/>
  <c r="AF27" i="7"/>
  <c r="AD27" i="7"/>
  <c r="AC27" i="7"/>
  <c r="AA27" i="7"/>
  <c r="AB27" i="7" s="1"/>
  <c r="X27" i="7"/>
  <c r="W27" i="7"/>
  <c r="U27" i="7"/>
  <c r="V27" i="7" s="1"/>
  <c r="R27" i="7"/>
  <c r="Q27" i="7"/>
  <c r="O27" i="7"/>
  <c r="P27" i="7" s="1"/>
  <c r="L27" i="7"/>
  <c r="AM27" i="7" s="1"/>
  <c r="AN27" i="7" s="1"/>
  <c r="K27" i="7"/>
  <c r="I27" i="7"/>
  <c r="J27" i="7" s="1"/>
  <c r="A27" i="7"/>
  <c r="AO27" i="7" s="1"/>
  <c r="BN26" i="7"/>
  <c r="BK26" i="7"/>
  <c r="AV26" i="7"/>
  <c r="AU26" i="7"/>
  <c r="AR26" i="7"/>
  <c r="AQ26" i="7"/>
  <c r="AP26" i="7"/>
  <c r="AL26" i="7"/>
  <c r="AK26" i="7"/>
  <c r="AJ26" i="7"/>
  <c r="AI26" i="7"/>
  <c r="AH26" i="7"/>
  <c r="AG26" i="7"/>
  <c r="AF26" i="7"/>
  <c r="AD26" i="7"/>
  <c r="AC26" i="7"/>
  <c r="AA26" i="7"/>
  <c r="AB26" i="7" s="1"/>
  <c r="X26" i="7"/>
  <c r="W26" i="7"/>
  <c r="U26" i="7"/>
  <c r="V26" i="7" s="1"/>
  <c r="R26" i="7"/>
  <c r="Q26" i="7"/>
  <c r="O26" i="7"/>
  <c r="P26" i="7" s="1"/>
  <c r="L26" i="7"/>
  <c r="K26" i="7"/>
  <c r="I26" i="7"/>
  <c r="J26" i="7" s="1"/>
  <c r="A26" i="7"/>
  <c r="BN25" i="7"/>
  <c r="BK25" i="7"/>
  <c r="AV25" i="7"/>
  <c r="AU25" i="7"/>
  <c r="AR25" i="7"/>
  <c r="AQ25" i="7"/>
  <c r="AP25" i="7"/>
  <c r="AL25" i="7"/>
  <c r="AK25" i="7"/>
  <c r="AJ25" i="7"/>
  <c r="AI25" i="7"/>
  <c r="AH25" i="7"/>
  <c r="AG25" i="7"/>
  <c r="AF25" i="7"/>
  <c r="AD25" i="7"/>
  <c r="AC25" i="7"/>
  <c r="AA25" i="7"/>
  <c r="AB25" i="7" s="1"/>
  <c r="X25" i="7"/>
  <c r="W25" i="7"/>
  <c r="U25" i="7"/>
  <c r="V25" i="7" s="1"/>
  <c r="R25" i="7"/>
  <c r="Q25" i="7"/>
  <c r="O25" i="7"/>
  <c r="P25" i="7" s="1"/>
  <c r="L25" i="7"/>
  <c r="K25" i="7"/>
  <c r="I25" i="7"/>
  <c r="J25" i="7" s="1"/>
  <c r="A25" i="7"/>
  <c r="BN24" i="7"/>
  <c r="BK24" i="7"/>
  <c r="AV24" i="7"/>
  <c r="AU24" i="7"/>
  <c r="AR24" i="7"/>
  <c r="AQ24" i="7"/>
  <c r="AP24" i="7"/>
  <c r="AL24" i="7"/>
  <c r="AK24" i="7"/>
  <c r="AJ24" i="7"/>
  <c r="AI24" i="7"/>
  <c r="AH24" i="7"/>
  <c r="AG24" i="7"/>
  <c r="AF24" i="7"/>
  <c r="AD24" i="7"/>
  <c r="AC24" i="7"/>
  <c r="AA24" i="7"/>
  <c r="AB24" i="7" s="1"/>
  <c r="X24" i="7"/>
  <c r="W24" i="7"/>
  <c r="U24" i="7"/>
  <c r="V24" i="7" s="1"/>
  <c r="R24" i="7"/>
  <c r="Q24" i="7"/>
  <c r="O24" i="7"/>
  <c r="P24" i="7" s="1"/>
  <c r="L24" i="7"/>
  <c r="K24" i="7"/>
  <c r="I24" i="7"/>
  <c r="J24" i="7" s="1"/>
  <c r="A24" i="7"/>
  <c r="BN23" i="7"/>
  <c r="BK23" i="7"/>
  <c r="AV23" i="7"/>
  <c r="AU23" i="7"/>
  <c r="AR23" i="7"/>
  <c r="AQ23" i="7"/>
  <c r="AP23" i="7"/>
  <c r="AL23" i="7"/>
  <c r="AK23" i="7"/>
  <c r="AJ23" i="7"/>
  <c r="AI23" i="7"/>
  <c r="AH23" i="7"/>
  <c r="AG23" i="7"/>
  <c r="AF23" i="7"/>
  <c r="AD23" i="7"/>
  <c r="AC23" i="7"/>
  <c r="AA23" i="7"/>
  <c r="AB23" i="7" s="1"/>
  <c r="X23" i="7"/>
  <c r="W23" i="7"/>
  <c r="U23" i="7"/>
  <c r="V23" i="7" s="1"/>
  <c r="R23" i="7"/>
  <c r="Q23" i="7"/>
  <c r="O23" i="7"/>
  <c r="P23" i="7" s="1"/>
  <c r="L23" i="7"/>
  <c r="AW23" i="7" s="1"/>
  <c r="AX23" i="7" s="1"/>
  <c r="K23" i="7"/>
  <c r="I23" i="7"/>
  <c r="J23" i="7" s="1"/>
  <c r="A23" i="7"/>
  <c r="BN22" i="7"/>
  <c r="BK22" i="7"/>
  <c r="AV22" i="7"/>
  <c r="AU22" i="7"/>
  <c r="AR22" i="7"/>
  <c r="AQ22" i="7"/>
  <c r="AP22" i="7"/>
  <c r="AL22" i="7"/>
  <c r="AK22" i="7"/>
  <c r="AJ22" i="7"/>
  <c r="AI22" i="7"/>
  <c r="AH22" i="7"/>
  <c r="AG22" i="7"/>
  <c r="AF22" i="7"/>
  <c r="AD22" i="7"/>
  <c r="AC22" i="7"/>
  <c r="AA22" i="7"/>
  <c r="AB22" i="7" s="1"/>
  <c r="X22" i="7"/>
  <c r="W22" i="7"/>
  <c r="U22" i="7"/>
  <c r="V22" i="7" s="1"/>
  <c r="R22" i="7"/>
  <c r="Q22" i="7"/>
  <c r="O22" i="7"/>
  <c r="P22" i="7" s="1"/>
  <c r="L22" i="7"/>
  <c r="K22" i="7"/>
  <c r="I22" i="7"/>
  <c r="J22" i="7" s="1"/>
  <c r="A22" i="7"/>
  <c r="BN21" i="7"/>
  <c r="BK21" i="7"/>
  <c r="AV21" i="7"/>
  <c r="AU21" i="7"/>
  <c r="AR21" i="7"/>
  <c r="AQ21" i="7"/>
  <c r="AP21" i="7"/>
  <c r="AL21" i="7"/>
  <c r="AK21" i="7"/>
  <c r="AJ21" i="7"/>
  <c r="AI21" i="7"/>
  <c r="AH21" i="7"/>
  <c r="AG21" i="7"/>
  <c r="AF21" i="7"/>
  <c r="AD21" i="7"/>
  <c r="AC21" i="7"/>
  <c r="AA21" i="7"/>
  <c r="AB21" i="7" s="1"/>
  <c r="X21" i="7"/>
  <c r="W21" i="7"/>
  <c r="U21" i="7"/>
  <c r="V21" i="7" s="1"/>
  <c r="R21" i="7"/>
  <c r="Q21" i="7"/>
  <c r="O21" i="7"/>
  <c r="P21" i="7" s="1"/>
  <c r="L21" i="7"/>
  <c r="K21" i="7"/>
  <c r="I21" i="7"/>
  <c r="J21" i="7" s="1"/>
  <c r="A21" i="7"/>
  <c r="AO21" i="7" s="1"/>
  <c r="BN20" i="7"/>
  <c r="BK20" i="7"/>
  <c r="AV20" i="7"/>
  <c r="AU20" i="7"/>
  <c r="AR20" i="7"/>
  <c r="AQ20" i="7"/>
  <c r="AP20" i="7"/>
  <c r="AL20" i="7"/>
  <c r="AK20" i="7"/>
  <c r="AJ20" i="7"/>
  <c r="AI20" i="7"/>
  <c r="AH20" i="7"/>
  <c r="AG20" i="7"/>
  <c r="AF20" i="7"/>
  <c r="AD20" i="7"/>
  <c r="AC20" i="7"/>
  <c r="AA20" i="7"/>
  <c r="AB20" i="7" s="1"/>
  <c r="X20" i="7"/>
  <c r="W20" i="7"/>
  <c r="U20" i="7"/>
  <c r="V20" i="7" s="1"/>
  <c r="R20" i="7"/>
  <c r="Q20" i="7"/>
  <c r="O20" i="7"/>
  <c r="P20" i="7" s="1"/>
  <c r="L20" i="7"/>
  <c r="K20" i="7"/>
  <c r="I20" i="7"/>
  <c r="J20" i="7" s="1"/>
  <c r="A20" i="7"/>
  <c r="BN19" i="7"/>
  <c r="BK19" i="7"/>
  <c r="AV19" i="7"/>
  <c r="AU19" i="7"/>
  <c r="AR19" i="7"/>
  <c r="AQ19" i="7"/>
  <c r="AP19" i="7"/>
  <c r="AL19" i="7"/>
  <c r="AK19" i="7"/>
  <c r="AJ19" i="7"/>
  <c r="AI19" i="7"/>
  <c r="AH19" i="7"/>
  <c r="AG19" i="7"/>
  <c r="AF19" i="7"/>
  <c r="AD19" i="7"/>
  <c r="AC19" i="7"/>
  <c r="AA19" i="7"/>
  <c r="AB19" i="7" s="1"/>
  <c r="X19" i="7"/>
  <c r="W19" i="7"/>
  <c r="U19" i="7"/>
  <c r="V19" i="7" s="1"/>
  <c r="R19" i="7"/>
  <c r="Q19" i="7"/>
  <c r="O19" i="7"/>
  <c r="P19" i="7" s="1"/>
  <c r="L19" i="7"/>
  <c r="K19" i="7"/>
  <c r="I19" i="7"/>
  <c r="J19" i="7" s="1"/>
  <c r="A19" i="7"/>
  <c r="BN18" i="7"/>
  <c r="BK18" i="7"/>
  <c r="AV18" i="7"/>
  <c r="AU18" i="7"/>
  <c r="AR18" i="7"/>
  <c r="AQ18" i="7"/>
  <c r="AP18" i="7"/>
  <c r="AL18" i="7"/>
  <c r="AK18" i="7"/>
  <c r="AJ18" i="7"/>
  <c r="AI18" i="7"/>
  <c r="AH18" i="7"/>
  <c r="AG18" i="7"/>
  <c r="AF18" i="7"/>
  <c r="AD18" i="7"/>
  <c r="AC18" i="7"/>
  <c r="AA18" i="7"/>
  <c r="AB18" i="7" s="1"/>
  <c r="X18" i="7"/>
  <c r="W18" i="7"/>
  <c r="U18" i="7"/>
  <c r="V18" i="7" s="1"/>
  <c r="R18" i="7"/>
  <c r="Q18" i="7"/>
  <c r="O18" i="7"/>
  <c r="P18" i="7" s="1"/>
  <c r="L18" i="7"/>
  <c r="K18" i="7"/>
  <c r="I18" i="7"/>
  <c r="J18" i="7" s="1"/>
  <c r="A18" i="7"/>
  <c r="BN17" i="7"/>
  <c r="BK17" i="7"/>
  <c r="AV17" i="7"/>
  <c r="AU17" i="7"/>
  <c r="AR17" i="7"/>
  <c r="AQ17" i="7"/>
  <c r="AP17" i="7"/>
  <c r="AL17" i="7"/>
  <c r="AK17" i="7"/>
  <c r="AJ17" i="7"/>
  <c r="AI17" i="7"/>
  <c r="AH17" i="7"/>
  <c r="AG17" i="7"/>
  <c r="AF17" i="7"/>
  <c r="AD17" i="7"/>
  <c r="AC17" i="7"/>
  <c r="AA17" i="7"/>
  <c r="AB17" i="7" s="1"/>
  <c r="X17" i="7"/>
  <c r="W17" i="7"/>
  <c r="U17" i="7"/>
  <c r="V17" i="7" s="1"/>
  <c r="R17" i="7"/>
  <c r="Q17" i="7"/>
  <c r="O17" i="7"/>
  <c r="P17" i="7" s="1"/>
  <c r="L17" i="7"/>
  <c r="K17" i="7"/>
  <c r="I17" i="7"/>
  <c r="J17" i="7" s="1"/>
  <c r="A17" i="7"/>
  <c r="BN16" i="7"/>
  <c r="BK16" i="7"/>
  <c r="AV16" i="7"/>
  <c r="AU16" i="7"/>
  <c r="AR16" i="7"/>
  <c r="AQ16" i="7"/>
  <c r="AP16" i="7"/>
  <c r="AL16" i="7"/>
  <c r="AK16" i="7"/>
  <c r="AJ16" i="7"/>
  <c r="AI16" i="7"/>
  <c r="AH16" i="7"/>
  <c r="AG16" i="7"/>
  <c r="AF16" i="7"/>
  <c r="AD16" i="7"/>
  <c r="AC16" i="7"/>
  <c r="AA16" i="7"/>
  <c r="AB16" i="7" s="1"/>
  <c r="X16" i="7"/>
  <c r="W16" i="7"/>
  <c r="U16" i="7"/>
  <c r="V16" i="7" s="1"/>
  <c r="R16" i="7"/>
  <c r="Q16" i="7"/>
  <c r="O16" i="7"/>
  <c r="P16" i="7" s="1"/>
  <c r="L16" i="7"/>
  <c r="K16" i="7"/>
  <c r="I16" i="7"/>
  <c r="J16" i="7" s="1"/>
  <c r="A16" i="7"/>
  <c r="BN15" i="7"/>
  <c r="BK15" i="7"/>
  <c r="AV15" i="7"/>
  <c r="AU15" i="7"/>
  <c r="AR15" i="7"/>
  <c r="AQ15" i="7"/>
  <c r="AP15" i="7"/>
  <c r="AL15" i="7"/>
  <c r="AK15" i="7"/>
  <c r="AJ15" i="7"/>
  <c r="AI15" i="7"/>
  <c r="AH15" i="7"/>
  <c r="AG15" i="7"/>
  <c r="AF15" i="7"/>
  <c r="AD15" i="7"/>
  <c r="AC15" i="7"/>
  <c r="AA15" i="7"/>
  <c r="AB15" i="7" s="1"/>
  <c r="X15" i="7"/>
  <c r="W15" i="7"/>
  <c r="U15" i="7"/>
  <c r="V15" i="7" s="1"/>
  <c r="R15" i="7"/>
  <c r="Q15" i="7"/>
  <c r="O15" i="7"/>
  <c r="P15" i="7" s="1"/>
  <c r="L15" i="7"/>
  <c r="K15" i="7"/>
  <c r="I15" i="7"/>
  <c r="J15" i="7" s="1"/>
  <c r="A15" i="7"/>
  <c r="BN14" i="7"/>
  <c r="BK14" i="7"/>
  <c r="AV14" i="7"/>
  <c r="AU14" i="7"/>
  <c r="AR14" i="7"/>
  <c r="AQ14" i="7"/>
  <c r="AP14" i="7"/>
  <c r="AL14" i="7"/>
  <c r="AK14" i="7"/>
  <c r="AJ14" i="7"/>
  <c r="AI14" i="7"/>
  <c r="AH14" i="7"/>
  <c r="AG14" i="7"/>
  <c r="AF14" i="7"/>
  <c r="AD14" i="7"/>
  <c r="AC14" i="7"/>
  <c r="AA14" i="7"/>
  <c r="AB14" i="7" s="1"/>
  <c r="X14" i="7"/>
  <c r="W14" i="7"/>
  <c r="U14" i="7"/>
  <c r="V14" i="7" s="1"/>
  <c r="R14" i="7"/>
  <c r="Q14" i="7"/>
  <c r="O14" i="7"/>
  <c r="P14" i="7" s="1"/>
  <c r="L14" i="7"/>
  <c r="AM14" i="7" s="1"/>
  <c r="AN14" i="7" s="1"/>
  <c r="K14" i="7"/>
  <c r="I14" i="7"/>
  <c r="J14" i="7" s="1"/>
  <c r="A14" i="7"/>
  <c r="BN13" i="7"/>
  <c r="BK13" i="7"/>
  <c r="AV13" i="7"/>
  <c r="AU13" i="7"/>
  <c r="AR13" i="7"/>
  <c r="AQ13" i="7"/>
  <c r="AP13" i="7"/>
  <c r="AL13" i="7"/>
  <c r="AK13" i="7"/>
  <c r="AJ13" i="7"/>
  <c r="AI13" i="7"/>
  <c r="AH13" i="7"/>
  <c r="AG13" i="7"/>
  <c r="AF13" i="7"/>
  <c r="AD13" i="7"/>
  <c r="AC13" i="7"/>
  <c r="AA13" i="7"/>
  <c r="AB13" i="7" s="1"/>
  <c r="X13" i="7"/>
  <c r="W13" i="7"/>
  <c r="U13" i="7"/>
  <c r="V13" i="7" s="1"/>
  <c r="R13" i="7"/>
  <c r="Q13" i="7"/>
  <c r="O13" i="7"/>
  <c r="P13" i="7" s="1"/>
  <c r="L13" i="7"/>
  <c r="K13" i="7"/>
  <c r="I13" i="7"/>
  <c r="J13" i="7" s="1"/>
  <c r="A13" i="7"/>
  <c r="BN12" i="7"/>
  <c r="BK12" i="7"/>
  <c r="AV12" i="7"/>
  <c r="AU12" i="7"/>
  <c r="AR12" i="7"/>
  <c r="AQ12" i="7"/>
  <c r="AP12" i="7"/>
  <c r="AL12" i="7"/>
  <c r="AK12" i="7"/>
  <c r="AJ12" i="7"/>
  <c r="AI12" i="7"/>
  <c r="AH12" i="7"/>
  <c r="AG12" i="7"/>
  <c r="AF12" i="7"/>
  <c r="AD12" i="7"/>
  <c r="AC12" i="7"/>
  <c r="AA12" i="7"/>
  <c r="AB12" i="7" s="1"/>
  <c r="X12" i="7"/>
  <c r="W12" i="7"/>
  <c r="U12" i="7"/>
  <c r="V12" i="7" s="1"/>
  <c r="R12" i="7"/>
  <c r="Q12" i="7"/>
  <c r="O12" i="7"/>
  <c r="P12" i="7" s="1"/>
  <c r="L12" i="7"/>
  <c r="K12" i="7"/>
  <c r="I12" i="7"/>
  <c r="J12" i="7" s="1"/>
  <c r="A12" i="7"/>
  <c r="BN11" i="7"/>
  <c r="BN37" i="7" s="1"/>
  <c r="BK11" i="7"/>
  <c r="AV11" i="7"/>
  <c r="AU11" i="7"/>
  <c r="AR11" i="7"/>
  <c r="AQ11" i="7"/>
  <c r="AP11" i="7"/>
  <c r="AL11" i="7"/>
  <c r="AK11" i="7"/>
  <c r="AJ11" i="7"/>
  <c r="AI11" i="7"/>
  <c r="AH11" i="7"/>
  <c r="AG11" i="7"/>
  <c r="AF11" i="7"/>
  <c r="AD11" i="7"/>
  <c r="AC11" i="7"/>
  <c r="AA11" i="7"/>
  <c r="AB11" i="7" s="1"/>
  <c r="X11" i="7"/>
  <c r="W11" i="7"/>
  <c r="U11" i="7"/>
  <c r="V11" i="7" s="1"/>
  <c r="R11" i="7"/>
  <c r="Q11" i="7"/>
  <c r="O11" i="7"/>
  <c r="P11" i="7" s="1"/>
  <c r="L11" i="7"/>
  <c r="K11" i="7"/>
  <c r="I11" i="7"/>
  <c r="J11" i="7" s="1"/>
  <c r="A11" i="7"/>
  <c r="L56" i="11" l="1"/>
  <c r="L53" i="11"/>
  <c r="BM60" i="4"/>
  <c r="AE60" i="4"/>
  <c r="BM59" i="4"/>
  <c r="AE59" i="4"/>
  <c r="BM50" i="4"/>
  <c r="AE50" i="4"/>
  <c r="BM29" i="4"/>
  <c r="AE29" i="4"/>
  <c r="BM54" i="4"/>
  <c r="AE54" i="4"/>
  <c r="BM64" i="4"/>
  <c r="AE64" i="4"/>
  <c r="BM42" i="4"/>
  <c r="AE42" i="4"/>
  <c r="BM22" i="4"/>
  <c r="AE22" i="4"/>
  <c r="BM30" i="4"/>
  <c r="AE30" i="4"/>
  <c r="BM65" i="4"/>
  <c r="AE65" i="4"/>
  <c r="BM31" i="4"/>
  <c r="AE31" i="4"/>
  <c r="BM53" i="4"/>
  <c r="AE53" i="4"/>
  <c r="BM43" i="4"/>
  <c r="AE43" i="4"/>
  <c r="BM51" i="4"/>
  <c r="AE51" i="4"/>
  <c r="BM46" i="4"/>
  <c r="AE46" i="4"/>
  <c r="BM62" i="4"/>
  <c r="AE62" i="4"/>
  <c r="BM48" i="4"/>
  <c r="AE48" i="4"/>
  <c r="BM21" i="4"/>
  <c r="AE21" i="4"/>
  <c r="BM56" i="4"/>
  <c r="AE56" i="4"/>
  <c r="BM28" i="4"/>
  <c r="AE28" i="4"/>
  <c r="BM63" i="4"/>
  <c r="AE63" i="4"/>
  <c r="K58" i="11"/>
  <c r="L46" i="11"/>
  <c r="BI23" i="4"/>
  <c r="W7" i="4"/>
  <c r="K50" i="11"/>
  <c r="L21" i="11"/>
  <c r="K29" i="11"/>
  <c r="K22" i="11"/>
  <c r="AO30" i="7"/>
  <c r="AM57" i="7"/>
  <c r="AN57" i="7" s="1"/>
  <c r="AW73" i="7"/>
  <c r="AX73" i="7" s="1"/>
  <c r="AO92" i="7"/>
  <c r="AO86" i="7"/>
  <c r="AW18" i="7"/>
  <c r="AX18" i="7" s="1"/>
  <c r="AW26" i="7"/>
  <c r="AX26" i="7" s="1"/>
  <c r="AW32" i="7"/>
  <c r="AX32" i="7" s="1"/>
  <c r="AW38" i="7"/>
  <c r="AX38" i="7" s="1"/>
  <c r="AW71" i="7"/>
  <c r="AX71" i="7" s="1"/>
  <c r="AT30" i="7"/>
  <c r="L42" i="11"/>
  <c r="AW13" i="7"/>
  <c r="AX13" i="7" s="1"/>
  <c r="AW49" i="7"/>
  <c r="AX49" i="7" s="1"/>
  <c r="K51" i="11"/>
  <c r="L28" i="11"/>
  <c r="L64" i="11"/>
  <c r="K30" i="11"/>
  <c r="K62" i="11"/>
  <c r="K43" i="11"/>
  <c r="K59" i="11"/>
  <c r="L63" i="11"/>
  <c r="K60" i="11"/>
  <c r="L31" i="11"/>
  <c r="K48" i="11"/>
  <c r="L54" i="11"/>
  <c r="L65" i="11"/>
  <c r="K65" i="11"/>
  <c r="BJ23" i="4"/>
  <c r="AW92" i="7"/>
  <c r="AX92" i="7" s="1"/>
  <c r="AM91" i="7"/>
  <c r="AN91" i="7" s="1"/>
  <c r="AW90" i="7"/>
  <c r="AX90" i="7" s="1"/>
  <c r="AW89" i="7"/>
  <c r="AX89" i="7" s="1"/>
  <c r="AW87" i="7"/>
  <c r="AX87" i="7" s="1"/>
  <c r="AW68" i="7"/>
  <c r="AX68" i="7" s="1"/>
  <c r="AW62" i="7"/>
  <c r="AX62" i="7" s="1"/>
  <c r="AW84" i="7"/>
  <c r="AX84" i="7" s="1"/>
  <c r="AM66" i="7"/>
  <c r="AN66" i="7" s="1"/>
  <c r="AW56" i="7"/>
  <c r="AX56" i="7" s="1"/>
  <c r="AM25" i="7"/>
  <c r="AN25" i="7" s="1"/>
  <c r="AW21" i="7"/>
  <c r="AX21" i="7" s="1"/>
  <c r="AM93" i="7"/>
  <c r="AN93" i="7" s="1"/>
  <c r="AW80" i="7"/>
  <c r="AX80" i="7" s="1"/>
  <c r="AW79" i="7"/>
  <c r="AX79" i="7" s="1"/>
  <c r="AM77" i="7"/>
  <c r="AN77" i="7" s="1"/>
  <c r="AW74" i="7"/>
  <c r="AX74" i="7" s="1"/>
  <c r="AM73" i="7"/>
  <c r="AN73" i="7" s="1"/>
  <c r="AM63" i="7"/>
  <c r="AN63" i="7" s="1"/>
  <c r="AM58" i="7"/>
  <c r="AN58" i="7" s="1"/>
  <c r="AM56" i="7"/>
  <c r="AN56" i="7" s="1"/>
  <c r="AW25" i="7"/>
  <c r="AX25" i="7" s="1"/>
  <c r="AW24" i="7"/>
  <c r="AX24" i="7" s="1"/>
  <c r="AM15" i="7"/>
  <c r="AN15" i="7" s="1"/>
  <c r="AW51" i="7"/>
  <c r="AX51" i="7" s="1"/>
  <c r="AW39" i="7"/>
  <c r="AX39" i="7" s="1"/>
  <c r="AW35" i="7"/>
  <c r="AX35" i="7" s="1"/>
  <c r="AM34" i="7"/>
  <c r="AN34" i="7" s="1"/>
  <c r="AW46" i="7"/>
  <c r="AX46" i="7" s="1"/>
  <c r="AM42" i="7"/>
  <c r="AN42" i="7" s="1"/>
  <c r="AM41" i="7"/>
  <c r="AN41" i="7" s="1"/>
  <c r="AW34" i="7"/>
  <c r="AX34" i="7" s="1"/>
  <c r="AW22" i="7"/>
  <c r="AX22" i="7" s="1"/>
  <c r="AW30" i="7"/>
  <c r="AX30" i="7" s="1"/>
  <c r="AW29" i="7"/>
  <c r="AX29" i="7" s="1"/>
  <c r="AW28" i="7"/>
  <c r="AX28" i="7" s="1"/>
  <c r="AM28" i="7"/>
  <c r="AN28" i="7" s="1"/>
  <c r="AM95" i="7"/>
  <c r="AN95" i="7" s="1"/>
  <c r="AW14" i="7"/>
  <c r="AX14" i="7" s="1"/>
  <c r="AW12" i="7"/>
  <c r="AX12" i="7" s="1"/>
  <c r="AF98" i="7"/>
  <c r="AM11" i="7"/>
  <c r="AN11" i="7" s="1"/>
  <c r="AM97" i="7"/>
  <c r="AN97" i="7" s="1"/>
  <c r="AT97" i="7"/>
  <c r="AS97" i="7"/>
  <c r="AO97" i="7"/>
  <c r="AE97" i="7"/>
  <c r="AT95" i="7"/>
  <c r="AS95" i="7"/>
  <c r="AE95" i="7"/>
  <c r="AO95" i="7"/>
  <c r="AE94" i="7"/>
  <c r="AO94" i="7"/>
  <c r="AT93" i="7"/>
  <c r="AS93" i="7"/>
  <c r="AT91" i="7"/>
  <c r="AS91" i="7"/>
  <c r="AE91" i="7"/>
  <c r="AO91" i="7"/>
  <c r="AT90" i="7"/>
  <c r="AS90" i="7"/>
  <c r="AO89" i="7"/>
  <c r="AE89" i="7"/>
  <c r="AS88" i="7"/>
  <c r="AT88" i="7"/>
  <c r="AT85" i="7"/>
  <c r="AS85" i="7"/>
  <c r="AO85" i="7"/>
  <c r="AE85" i="7"/>
  <c r="AO83" i="7"/>
  <c r="AE83" i="7"/>
  <c r="AE81" i="7"/>
  <c r="AO81" i="7"/>
  <c r="AE79" i="7"/>
  <c r="AO79" i="7"/>
  <c r="AT78" i="7"/>
  <c r="AS78" i="7"/>
  <c r="AO77" i="7"/>
  <c r="AE77" i="7"/>
  <c r="AE76" i="7"/>
  <c r="AO76" i="7"/>
  <c r="AT75" i="7"/>
  <c r="AM75" i="7"/>
  <c r="AN75" i="7" s="1"/>
  <c r="AS75" i="7"/>
  <c r="AE75" i="7"/>
  <c r="AO75" i="7"/>
  <c r="AT74" i="7"/>
  <c r="AS74" i="7"/>
  <c r="AO74" i="7"/>
  <c r="AE74" i="7"/>
  <c r="AO73" i="7"/>
  <c r="AE73" i="7"/>
  <c r="AS72" i="7"/>
  <c r="AT72" i="7"/>
  <c r="AE72" i="7"/>
  <c r="AO72" i="7"/>
  <c r="AM71" i="7"/>
  <c r="AN71" i="7" s="1"/>
  <c r="AT71" i="7"/>
  <c r="AS71" i="7"/>
  <c r="AO71" i="7"/>
  <c r="AE71" i="7"/>
  <c r="AM69" i="7"/>
  <c r="AN69" i="7" s="1"/>
  <c r="AS69" i="7"/>
  <c r="AT69" i="7"/>
  <c r="AE69" i="7"/>
  <c r="AO69" i="7"/>
  <c r="AT68" i="7"/>
  <c r="AS68" i="7"/>
  <c r="AE68" i="7"/>
  <c r="AO68" i="7"/>
  <c r="AO67" i="7"/>
  <c r="AE67" i="7"/>
  <c r="AT66" i="7"/>
  <c r="AS66" i="7"/>
  <c r="AO66" i="7"/>
  <c r="AE66" i="7"/>
  <c r="AE65" i="7"/>
  <c r="AO65" i="7"/>
  <c r="AS64" i="7"/>
  <c r="AM64" i="7"/>
  <c r="AN64" i="7" s="1"/>
  <c r="AT64" i="7"/>
  <c r="AE64" i="7"/>
  <c r="AO64" i="7"/>
  <c r="AS63" i="7"/>
  <c r="AT63" i="7"/>
  <c r="AE63" i="7"/>
  <c r="AO63" i="7"/>
  <c r="AS62" i="7"/>
  <c r="AT62" i="7"/>
  <c r="AO62" i="7"/>
  <c r="AE62" i="7"/>
  <c r="AM61" i="7"/>
  <c r="AN61" i="7" s="1"/>
  <c r="AW61" i="7"/>
  <c r="AX61" i="7" s="1"/>
  <c r="AT61" i="7"/>
  <c r="AS61" i="7"/>
  <c r="AO61" i="7"/>
  <c r="AE61" i="7"/>
  <c r="AE60" i="7"/>
  <c r="AO60" i="7"/>
  <c r="AE59" i="7"/>
  <c r="AO59" i="7"/>
  <c r="AW58" i="7"/>
  <c r="AX58" i="7" s="1"/>
  <c r="AT58" i="7"/>
  <c r="AS58" i="7"/>
  <c r="AO58" i="7"/>
  <c r="AE58" i="7"/>
  <c r="AE57" i="7"/>
  <c r="AO57" i="7"/>
  <c r="AT56" i="7"/>
  <c r="AS56" i="7"/>
  <c r="AE56" i="7"/>
  <c r="AO56" i="7"/>
  <c r="AE54" i="7"/>
  <c r="AO54" i="7"/>
  <c r="AT53" i="7"/>
  <c r="AM53" i="7"/>
  <c r="AN53" i="7" s="1"/>
  <c r="AS53" i="7"/>
  <c r="AE53" i="7"/>
  <c r="AO53" i="7"/>
  <c r="AE52" i="7"/>
  <c r="AO52" i="7"/>
  <c r="AS51" i="7"/>
  <c r="AT51" i="7"/>
  <c r="AE51" i="7"/>
  <c r="AO51" i="7"/>
  <c r="AT50" i="7"/>
  <c r="AS50" i="7"/>
  <c r="AM50" i="7"/>
  <c r="AN50" i="7" s="1"/>
  <c r="AO50" i="7"/>
  <c r="AE50" i="7"/>
  <c r="AT49" i="7"/>
  <c r="AS49" i="7"/>
  <c r="AS48" i="7"/>
  <c r="AW48" i="7"/>
  <c r="AX48" i="7" s="1"/>
  <c r="AT48" i="7"/>
  <c r="AO48" i="7"/>
  <c r="AE48" i="7"/>
  <c r="AT46" i="7"/>
  <c r="AS46" i="7"/>
  <c r="AE45" i="7"/>
  <c r="AO45" i="7"/>
  <c r="AO43" i="7"/>
  <c r="AE43" i="7"/>
  <c r="AT41" i="7"/>
  <c r="AS41" i="7"/>
  <c r="AE41" i="7"/>
  <c r="AO41" i="7"/>
  <c r="AS40" i="7"/>
  <c r="AT40" i="7"/>
  <c r="AE40" i="7"/>
  <c r="AO40" i="7"/>
  <c r="AM39" i="7"/>
  <c r="AN39" i="7" s="1"/>
  <c r="AS39" i="7"/>
  <c r="AT39" i="7"/>
  <c r="AE38" i="7"/>
  <c r="AO38" i="7"/>
  <c r="AO37" i="7"/>
  <c r="AE37" i="7"/>
  <c r="AE36" i="7"/>
  <c r="AO36" i="7"/>
  <c r="AM35" i="7"/>
  <c r="AN35" i="7" s="1"/>
  <c r="AS35" i="7"/>
  <c r="AT35" i="7"/>
  <c r="AE35" i="7"/>
  <c r="AO35" i="7"/>
  <c r="AS34" i="7"/>
  <c r="AT34" i="7"/>
  <c r="AO33" i="7"/>
  <c r="AE33" i="7"/>
  <c r="AO32" i="7"/>
  <c r="AE32" i="7"/>
  <c r="AE31" i="7"/>
  <c r="AO31" i="7"/>
  <c r="AE29" i="7"/>
  <c r="AO29" i="7"/>
  <c r="AS28" i="7"/>
  <c r="AT28" i="7"/>
  <c r="AO28" i="7"/>
  <c r="AE28" i="7"/>
  <c r="AS26" i="7"/>
  <c r="AT26" i="7"/>
  <c r="AM26" i="7"/>
  <c r="AN26" i="7" s="1"/>
  <c r="AE26" i="7"/>
  <c r="AO26" i="7"/>
  <c r="AT25" i="7"/>
  <c r="AS25" i="7"/>
  <c r="AO25" i="7"/>
  <c r="AE25" i="7"/>
  <c r="AE23" i="7"/>
  <c r="AO23" i="7"/>
  <c r="AO22" i="7"/>
  <c r="AE22" i="7"/>
  <c r="AM21" i="7"/>
  <c r="AN21" i="7" s="1"/>
  <c r="AT21" i="7"/>
  <c r="AS21" i="7"/>
  <c r="AW20" i="7"/>
  <c r="AX20" i="7" s="1"/>
  <c r="AT20" i="7"/>
  <c r="AE20" i="7"/>
  <c r="AO20" i="7"/>
  <c r="AS19" i="7"/>
  <c r="AT19" i="7"/>
  <c r="AM19" i="7"/>
  <c r="AN19" i="7" s="1"/>
  <c r="AE19" i="7"/>
  <c r="AO19" i="7"/>
  <c r="AM18" i="7"/>
  <c r="AN18" i="7" s="1"/>
  <c r="AS18" i="7"/>
  <c r="AT18" i="7"/>
  <c r="AO18" i="7"/>
  <c r="AE18" i="7"/>
  <c r="AS17" i="7"/>
  <c r="AT17" i="7"/>
  <c r="AO17" i="7"/>
  <c r="AE17" i="7"/>
  <c r="AE16" i="7"/>
  <c r="AO16" i="7"/>
  <c r="AT15" i="7"/>
  <c r="AS15" i="7"/>
  <c r="AE15" i="7"/>
  <c r="AO15" i="7"/>
  <c r="AT12" i="7"/>
  <c r="AS12" i="7"/>
  <c r="AE12" i="7"/>
  <c r="AO12" i="7"/>
  <c r="AT11" i="7"/>
  <c r="AS11" i="7"/>
  <c r="AO11" i="7"/>
  <c r="AE11" i="7"/>
  <c r="AW91" i="7"/>
  <c r="AX91" i="7" s="1"/>
  <c r="AE13" i="7"/>
  <c r="AO13" i="7"/>
  <c r="AE14" i="7"/>
  <c r="AO14" i="7"/>
  <c r="AT43" i="7"/>
  <c r="AS43" i="7"/>
  <c r="AW43" i="7"/>
  <c r="AX43" i="7" s="1"/>
  <c r="AW77" i="7"/>
  <c r="AX77" i="7" s="1"/>
  <c r="AS37" i="7"/>
  <c r="AS96" i="7"/>
  <c r="AW96" i="7"/>
  <c r="AX96" i="7" s="1"/>
  <c r="AT96" i="7"/>
  <c r="AE39" i="7"/>
  <c r="AW42" i="7"/>
  <c r="AX42" i="7" s="1"/>
  <c r="AS42" i="7"/>
  <c r="AT42" i="7"/>
  <c r="AW53" i="7"/>
  <c r="AX53" i="7" s="1"/>
  <c r="AW59" i="7"/>
  <c r="AX59" i="7" s="1"/>
  <c r="AS59" i="7"/>
  <c r="AM59" i="7"/>
  <c r="AN59" i="7" s="1"/>
  <c r="AE21" i="7"/>
  <c r="AM43" i="7"/>
  <c r="AN43" i="7" s="1"/>
  <c r="AW69" i="7"/>
  <c r="AX69" i="7" s="1"/>
  <c r="AM80" i="7"/>
  <c r="AN80" i="7" s="1"/>
  <c r="AE84" i="7"/>
  <c r="AE90" i="7"/>
  <c r="AT24" i="7"/>
  <c r="AM24" i="7"/>
  <c r="AN24" i="7" s="1"/>
  <c r="AS24" i="7"/>
  <c r="AM45" i="7"/>
  <c r="AN45" i="7" s="1"/>
  <c r="AT45" i="7"/>
  <c r="AW45" i="7"/>
  <c r="AX45" i="7" s="1"/>
  <c r="AS45" i="7"/>
  <c r="AM22" i="7"/>
  <c r="AN22" i="7" s="1"/>
  <c r="AM32" i="7"/>
  <c r="AN32" i="7" s="1"/>
  <c r="AT32" i="7"/>
  <c r="AS32" i="7"/>
  <c r="AW37" i="7"/>
  <c r="AX37" i="7" s="1"/>
  <c r="AM37" i="7"/>
  <c r="AN37" i="7" s="1"/>
  <c r="AW40" i="7"/>
  <c r="AX40" i="7" s="1"/>
  <c r="AM55" i="7"/>
  <c r="AN55" i="7" s="1"/>
  <c r="AW55" i="7"/>
  <c r="AX55" i="7" s="1"/>
  <c r="AT55" i="7"/>
  <c r="AS55" i="7"/>
  <c r="AW82" i="7"/>
  <c r="AX82" i="7" s="1"/>
  <c r="AT82" i="7"/>
  <c r="AS82" i="7"/>
  <c r="AM36" i="7"/>
  <c r="AN36" i="7" s="1"/>
  <c r="AW36" i="7"/>
  <c r="AX36" i="7" s="1"/>
  <c r="AT36" i="7"/>
  <c r="AS36" i="7"/>
  <c r="AT31" i="7"/>
  <c r="AW31" i="7"/>
  <c r="AX31" i="7" s="1"/>
  <c r="AM31" i="7"/>
  <c r="AN31" i="7" s="1"/>
  <c r="AS31" i="7"/>
  <c r="AW44" i="7"/>
  <c r="AX44" i="7" s="1"/>
  <c r="AT44" i="7"/>
  <c r="AS44" i="7"/>
  <c r="AT54" i="7"/>
  <c r="AS54" i="7"/>
  <c r="AW54" i="7"/>
  <c r="AX54" i="7" s="1"/>
  <c r="AT60" i="7"/>
  <c r="AS60" i="7"/>
  <c r="AM60" i="7"/>
  <c r="AN60" i="7" s="1"/>
  <c r="AM82" i="7"/>
  <c r="AN82" i="7" s="1"/>
  <c r="AW27" i="7"/>
  <c r="AX27" i="7" s="1"/>
  <c r="AT27" i="7"/>
  <c r="AS27" i="7"/>
  <c r="AO49" i="7"/>
  <c r="AE49" i="7"/>
  <c r="AS70" i="7"/>
  <c r="AT70" i="7"/>
  <c r="AM70" i="7"/>
  <c r="AN70" i="7" s="1"/>
  <c r="AW81" i="7"/>
  <c r="AX81" i="7" s="1"/>
  <c r="AT81" i="7"/>
  <c r="AS81" i="7"/>
  <c r="AM12" i="7"/>
  <c r="AN12" i="7" s="1"/>
  <c r="AS13" i="7"/>
  <c r="AT13" i="7"/>
  <c r="AW17" i="7"/>
  <c r="AX17" i="7" s="1"/>
  <c r="AM17" i="7"/>
  <c r="AN17" i="7" s="1"/>
  <c r="AE46" i="7"/>
  <c r="AM51" i="7"/>
  <c r="AN51" i="7" s="1"/>
  <c r="AS67" i="7"/>
  <c r="AM67" i="7"/>
  <c r="AN67" i="7" s="1"/>
  <c r="AW67" i="7"/>
  <c r="AX67" i="7" s="1"/>
  <c r="AT67" i="7"/>
  <c r="AP98" i="7"/>
  <c r="BL46" i="7" s="1"/>
  <c r="AM13" i="7"/>
  <c r="AN13" i="7" s="1"/>
  <c r="AE34" i="7"/>
  <c r="AW60" i="7"/>
  <c r="AX60" i="7" s="1"/>
  <c r="AW70" i="7"/>
  <c r="AX70" i="7" s="1"/>
  <c r="AM16" i="7"/>
  <c r="AN16" i="7" s="1"/>
  <c r="AS16" i="7"/>
  <c r="AW16" i="7"/>
  <c r="AX16" i="7" s="1"/>
  <c r="AT16" i="7"/>
  <c r="AW41" i="7"/>
  <c r="AX41" i="7" s="1"/>
  <c r="AW47" i="7"/>
  <c r="AX47" i="7" s="1"/>
  <c r="AT47" i="7"/>
  <c r="AM47" i="7"/>
  <c r="AN47" i="7" s="1"/>
  <c r="AW66" i="7"/>
  <c r="AX66" i="7" s="1"/>
  <c r="AW78" i="7"/>
  <c r="AX78" i="7" s="1"/>
  <c r="AM78" i="7"/>
  <c r="AN78" i="7" s="1"/>
  <c r="AS20" i="7"/>
  <c r="AM20" i="7"/>
  <c r="AN20" i="7" s="1"/>
  <c r="AE24" i="7"/>
  <c r="AO24" i="7"/>
  <c r="AM84" i="7"/>
  <c r="AN84" i="7" s="1"/>
  <c r="AT84" i="7"/>
  <c r="AS84" i="7"/>
  <c r="AW94" i="7"/>
  <c r="AX94" i="7" s="1"/>
  <c r="AM94" i="7"/>
  <c r="AN94" i="7" s="1"/>
  <c r="AW95" i="7"/>
  <c r="AX95" i="7" s="1"/>
  <c r="AS14" i="7"/>
  <c r="AW15" i="7"/>
  <c r="AX15" i="7" s="1"/>
  <c r="AW19" i="7"/>
  <c r="AX19" i="7" s="1"/>
  <c r="AW57" i="7"/>
  <c r="AX57" i="7" s="1"/>
  <c r="AE70" i="7"/>
  <c r="AE82" i="7"/>
  <c r="AO82" i="7"/>
  <c r="AW83" i="7"/>
  <c r="AX83" i="7" s="1"/>
  <c r="AT83" i="7"/>
  <c r="AS83" i="7"/>
  <c r="AE87" i="7"/>
  <c r="AE88" i="7"/>
  <c r="AT14" i="7"/>
  <c r="AM23" i="7"/>
  <c r="AN23" i="7" s="1"/>
  <c r="AT23" i="7"/>
  <c r="AS23" i="7"/>
  <c r="AW33" i="7"/>
  <c r="AX33" i="7" s="1"/>
  <c r="AM33" i="7"/>
  <c r="AN33" i="7" s="1"/>
  <c r="AT33" i="7"/>
  <c r="AS33" i="7"/>
  <c r="AM65" i="7"/>
  <c r="AN65" i="7" s="1"/>
  <c r="AS65" i="7"/>
  <c r="AW65" i="7"/>
  <c r="AX65" i="7" s="1"/>
  <c r="AT65" i="7"/>
  <c r="AM87" i="7"/>
  <c r="AN87" i="7" s="1"/>
  <c r="AT87" i="7"/>
  <c r="AW97" i="7"/>
  <c r="AX97" i="7" s="1"/>
  <c r="AI98" i="7"/>
  <c r="AM62" i="7"/>
  <c r="AN62" i="7" s="1"/>
  <c r="AS29" i="7"/>
  <c r="AT29" i="7"/>
  <c r="AT89" i="7"/>
  <c r="AS89" i="7"/>
  <c r="AM89" i="7"/>
  <c r="AN89" i="7" s="1"/>
  <c r="AM48" i="7"/>
  <c r="AN48" i="7" s="1"/>
  <c r="AM40" i="7"/>
  <c r="AN40" i="7" s="1"/>
  <c r="AW88" i="7"/>
  <c r="AX88" i="7" s="1"/>
  <c r="AE27" i="7"/>
  <c r="AE44" i="7"/>
  <c r="AO44" i="7"/>
  <c r="AW64" i="7"/>
  <c r="AX64" i="7" s="1"/>
  <c r="AT76" i="7"/>
  <c r="AS76" i="7"/>
  <c r="AW76" i="7"/>
  <c r="AX76" i="7" s="1"/>
  <c r="AT77" i="7"/>
  <c r="AS77" i="7"/>
  <c r="AM88" i="7"/>
  <c r="AN88" i="7" s="1"/>
  <c r="AS92" i="7"/>
  <c r="AT92" i="7"/>
  <c r="AT94" i="7"/>
  <c r="AS94" i="7"/>
  <c r="AW11" i="7"/>
  <c r="AX11" i="7" s="1"/>
  <c r="AT38" i="7"/>
  <c r="AS38" i="7"/>
  <c r="AE78" i="7"/>
  <c r="AS86" i="7"/>
  <c r="AW86" i="7"/>
  <c r="AX86" i="7" s="1"/>
  <c r="AM90" i="7"/>
  <c r="AN90" i="7" s="1"/>
  <c r="AM49" i="7"/>
  <c r="AN49" i="7" s="1"/>
  <c r="AW85" i="7"/>
  <c r="AX85" i="7" s="1"/>
  <c r="AE80" i="7"/>
  <c r="AM85" i="7"/>
  <c r="AN85" i="7" s="1"/>
  <c r="AM86" i="7"/>
  <c r="AN86" i="7" s="1"/>
  <c r="AE96" i="7"/>
  <c r="AM38" i="7"/>
  <c r="AN38" i="7" s="1"/>
  <c r="AO42" i="7"/>
  <c r="AE42" i="7"/>
  <c r="AE55" i="7"/>
  <c r="AM29" i="7"/>
  <c r="AN29" i="7" s="1"/>
  <c r="AM30" i="7"/>
  <c r="AN30" i="7" s="1"/>
  <c r="AW50" i="7"/>
  <c r="AX50" i="7" s="1"/>
  <c r="AM52" i="7"/>
  <c r="AN52" i="7" s="1"/>
  <c r="AW52" i="7"/>
  <c r="AX52" i="7" s="1"/>
  <c r="AW75" i="7"/>
  <c r="AX75" i="7" s="1"/>
  <c r="AT79" i="7"/>
  <c r="AM79" i="7"/>
  <c r="AN79" i="7" s="1"/>
  <c r="AW93" i="7"/>
  <c r="AX93" i="7" s="1"/>
  <c r="AS57" i="7"/>
  <c r="AT57" i="7"/>
  <c r="AT73" i="7"/>
  <c r="AS73" i="7"/>
  <c r="AT22" i="7"/>
  <c r="AS22" i="7"/>
  <c r="AM46" i="7"/>
  <c r="AN46" i="7" s="1"/>
  <c r="AW63" i="7"/>
  <c r="AX63" i="7" s="1"/>
  <c r="AM68" i="7"/>
  <c r="AN68" i="7" s="1"/>
  <c r="AW72" i="7"/>
  <c r="AX72" i="7" s="1"/>
  <c r="AE93" i="7"/>
  <c r="AM72" i="7"/>
  <c r="AN72" i="7" s="1"/>
  <c r="AM74" i="7"/>
  <c r="AN74" i="7" s="1"/>
  <c r="BM58" i="4" l="1"/>
  <c r="AE58" i="4"/>
  <c r="L58" i="11"/>
  <c r="BL23" i="4"/>
  <c r="Y7" i="4"/>
  <c r="Y6" i="4" s="1"/>
  <c r="J23" i="11"/>
  <c r="BK23" i="4"/>
  <c r="AS98" i="7"/>
  <c r="K23" i="11" l="1"/>
  <c r="AB11" i="4"/>
  <c r="BL11" i="4" s="1"/>
  <c r="Z11" i="4"/>
  <c r="BJ11" i="4" s="1"/>
  <c r="BM23" i="4" l="1"/>
  <c r="AE23" i="4"/>
  <c r="L23" i="11"/>
  <c r="AA11" i="4"/>
  <c r="AA113" i="4" l="1"/>
  <c r="BK11" i="4"/>
  <c r="AC11" i="4"/>
  <c r="J11" i="11"/>
  <c r="BM11" i="4" l="1"/>
  <c r="AE11" i="4"/>
  <c r="AB4" i="4"/>
  <c r="AB6" i="4" s="1"/>
  <c r="AD5" i="4" s="1"/>
  <c r="AA152" i="4"/>
  <c r="K11" i="11"/>
  <c r="L11" i="11"/>
</calcChain>
</file>

<file path=xl/sharedStrings.xml><?xml version="1.0" encoding="utf-8"?>
<sst xmlns="http://schemas.openxmlformats.org/spreadsheetml/2006/main" count="10615" uniqueCount="1466">
  <si>
    <t>ALCALDÍA LOCAL DE SUBA - ESTUDIO DE MERCADO</t>
  </si>
  <si>
    <t xml:space="preserve">Estudio de Mercado </t>
  </si>
  <si>
    <t>FECHA DE ENTREGA DEL ESTUDIO DE MERCADO</t>
  </si>
  <si>
    <t>MODALIDAD CONTRATACIÓN</t>
  </si>
  <si>
    <t>Licitación Pública</t>
  </si>
  <si>
    <t>TOTAL ITEMS</t>
  </si>
  <si>
    <t>ESTRUCTURADOR</t>
  </si>
  <si>
    <t>Sarita Rico Valdés</t>
  </si>
  <si>
    <t>REVISÓ</t>
  </si>
  <si>
    <t>APROBÓ</t>
  </si>
  <si>
    <t>TOTAL RECURSO HUMANO</t>
  </si>
  <si>
    <t>OBJETO DEL PROCESO DE CONTRATACIÓN</t>
  </si>
  <si>
    <t xml:space="preserve">PRESTAR	SERVICIOS	PARA	EJECUTAR	ACCIONES	QUE  CONTRIBUYAN A LA PROMOCIÓN Y CUIDADO DE LA SALUD MENTAL EN LA LOCALIDAD DE SUBA </t>
  </si>
  <si>
    <t>TOTAL ESTUDIO DE MERCADO</t>
  </si>
  <si>
    <t>Cotización 1</t>
  </si>
  <si>
    <t>Cotización 2</t>
  </si>
  <si>
    <t>Cotización 3</t>
  </si>
  <si>
    <t>Promedio Simple</t>
  </si>
  <si>
    <t>Item</t>
  </si>
  <si>
    <t>Componente del anexo técnico</t>
  </si>
  <si>
    <t>Elemento</t>
  </si>
  <si>
    <t>Descripción del elemento y / o actividad</t>
  </si>
  <si>
    <t>Unidad de medida</t>
  </si>
  <si>
    <t>Cantidad establecida según anexo técnico</t>
  </si>
  <si>
    <t>Compra Alquiler
Prestación Servicio</t>
  </si>
  <si>
    <t>Empresa Cotizante cotización 1</t>
  </si>
  <si>
    <t>Valor unitario sin IVA</t>
  </si>
  <si>
    <t>Valor IVA</t>
  </si>
  <si>
    <t>Valor unitario con IVA</t>
  </si>
  <si>
    <t>Valor total Sin IVA</t>
  </si>
  <si>
    <t>Valor total con IVA</t>
  </si>
  <si>
    <t>Empresa Cotizante cotización 2</t>
  </si>
  <si>
    <t>Empresa Cotizante cotización 3</t>
  </si>
  <si>
    <t>Promedio valor unitario con IVA</t>
  </si>
  <si>
    <t>Promedio valor total con IVA</t>
  </si>
  <si>
    <t xml:space="preserve">Desviación estandar </t>
  </si>
  <si>
    <t>Coeficiente de variación</t>
  </si>
  <si>
    <t xml:space="preserve">Observaciones </t>
  </si>
  <si>
    <t>TEJIENDO BIENESTAR FORJANDO JUVENTUDES</t>
  </si>
  <si>
    <t>Cuaderno 100 hojas</t>
  </si>
  <si>
    <t>Cuaderno argollado de 100 hojas cuadriculadas, gramaje de 60g a 75g. Carátula en cartón rígido plastificado, espiral metálico sencillo o doble</t>
  </si>
  <si>
    <t>Unidad</t>
  </si>
  <si>
    <t>Compra</t>
  </si>
  <si>
    <t>EXITO</t>
  </si>
  <si>
    <t>MULTIEXPRESS</t>
  </si>
  <si>
    <t>GRAN PAPELERA</t>
  </si>
  <si>
    <t xml:space="preserve">Esfero cualquier color caja x 10 </t>
  </si>
  <si>
    <t>Caja de 10 bolígrafos con tinta suave de baja viscosidad en colores variados. Cuerpo ergonómico transparente para control de tinta, punta de tungsteno para trazos precisos y tapa de seguridad ventilada.</t>
  </si>
  <si>
    <t>Guerra Editores</t>
  </si>
  <si>
    <t>PAPELERIA TIENDA ESTUDIANTIL LTDA</t>
  </si>
  <si>
    <t>ENTERPRISE</t>
  </si>
  <si>
    <t>Kit Básico de Pintura</t>
  </si>
  <si>
    <t>Set compuesto por 2 pinceles (plano y redondo), paleta plástica pequeña y lápiz de boceto, empaque individual</t>
  </si>
  <si>
    <t>COMTEC</t>
  </si>
  <si>
    <t>ULTRABELLA</t>
  </si>
  <si>
    <t>GUERRA EDITORES</t>
  </si>
  <si>
    <t>Pintura acrílica  de colores variados por  1.000 ml</t>
  </si>
  <si>
    <t>Pintura acrílica 1.000 ml: Presentación en frasco mediano con tapa de rosca, consistencia espesa y alta concentración de pigmento, colores variados</t>
  </si>
  <si>
    <t>PANAGRAFO</t>
  </si>
  <si>
    <t>LAVITELA</t>
  </si>
  <si>
    <t>OFFICE ARTE PAPELERIA</t>
  </si>
  <si>
    <t xml:space="preserve">Papel kraft  rollo </t>
  </si>
  <si>
    <t xml:space="preserve">Rollo de papel kraft con un ancho de 24 pulgadas (aprox. 61 cm) y una longitud de 150 metros. Con un gramaje de 60 g/m²
</t>
  </si>
  <si>
    <t>PAPELERIA LA ESTACION DE SUBA</t>
  </si>
  <si>
    <t>DETALSHOP</t>
  </si>
  <si>
    <t>MARRION EXPRESS</t>
  </si>
  <si>
    <t>Botella Aluminio 750 ml</t>
  </si>
  <si>
    <t>Botella en Aluminio Action 750ml / 25 Oz Tapa rosca con pitillo, libre de BPA, No retiene ni transmite sabores. Pintura exterior atóxica. • MATERIAL: Aluminio con tapa PP. • MEDIDAS: 24 x 7 cm. de diámetro</t>
  </si>
  <si>
    <t>REGALOS CORPORATIVO</t>
  </si>
  <si>
    <t>PUBLICITAR</t>
  </si>
  <si>
    <t>PROMAL</t>
  </si>
  <si>
    <t>Camiseta</t>
  </si>
  <si>
    <t>Merchandising/     Camiseta T-Shirt Adulto
Camiseta T-Shirt 100% algodón de 180 gr., cuello redondo.
Marca: 28 cm x 21 cm / Screen A 4 tntas /delante y atras
Talla: XS, S, M, L, XL, XXL, XXXL
Diseño, logos y colores aprobados por la Oficinade Comunicaciones Alcaldia Local de Suba</t>
  </si>
  <si>
    <t>DICOESGRUPO PUBLICITARIO SAS</t>
  </si>
  <si>
    <t>NEXUS ESTUDIO GRÁFICO</t>
  </si>
  <si>
    <t>ANGIE PACHON (PERSONALIZADO INK)</t>
  </si>
  <si>
    <t>Tapete o colchoneta individual</t>
  </si>
  <si>
    <t xml:space="preserve">Tipo de producto: Tapete individual para actividad física y corporal
Material: Espuma de alta densidad, PVC, EVA o material sintético equivalente
Espesor: Entre 6 mm y 10 mm
Dimensiones: Largo entre 170 cm y 185 cm; ancho entre 55 cm y 65 cm
Superficie:  Antideslizante en ambas caras
Textura: Acolchada y flexible para mayor comodidad y protección
Peso: Liviano, fácil de transportar
Absorción de impacto: Nivel medio de amortiguación para ejercicios en suelo
Resistencia: Alta resistencia al uso continuo, presión corporal y deformación
Impermeabilidad; Material resistente a humedad y sudor
Sistema de enrollado:, Flexible, enrollable para almacenamiento práctico
Transporte: Incluye banda elástica o correa de sujeción (opcional), aprobado en comité técnico por el supervisor y/o apoyo a la supervisión.
Color, Colores sólidos o institucionales según disponibilidad, aprobados en comité técnico (supervisor y/o apoyo a la supervisión).
Olor:, Material con bajo nivel de olor químico
Bordes:, Bordes sellados o reforzados para evitar desgaste prematuro, empaque individual . </t>
  </si>
  <si>
    <t>Tula Deportiva con logos</t>
  </si>
  <si>
    <t>Color: unisex, Poliester 210d, con cordón para ajustar y cargar, con bolsillo delantero y cremallera, con refuerzo en las esquinas
Características:
Alto: 45 cm
Ancho: 35 cm
Profundidad: 20 garantía: 12 Meses
Con logos aprobados por la oficina de prensa del FDLS</t>
  </si>
  <si>
    <t>INVENTIA</t>
  </si>
  <si>
    <t>Certificado de participación</t>
  </si>
  <si>
    <t>Impresión a media carta 4 tintas en papel
propalcote o kimberly 200 gr, tamaño 22x28 cm con nombres individuales o espacio para el mismo, refilados.</t>
  </si>
  <si>
    <t>SG DIGITAL SAS</t>
  </si>
  <si>
    <t>JEGAR PUBLICIDAD MISIONES</t>
  </si>
  <si>
    <t>Espacio Apto para 50 personas  (media jornada más equipos audiovisuales)</t>
  </si>
  <si>
    <t>Espacio físico para 50 personas con baño, sillas y mesas, ubicado en la localidad de Suba, con disponibilidad de espacio exterior para desarrollo de actividades
Dotado con equipo de computo, video beam y sonido
Jornada de 4 horas</t>
  </si>
  <si>
    <t>Horas</t>
  </si>
  <si>
    <t>Alquiler</t>
  </si>
  <si>
    <t>JAC PRADO</t>
  </si>
  <si>
    <t>JAC URBANIZACION EL LAGUITO DE SUBA</t>
  </si>
  <si>
    <t>Espacio Apto para 100 personas  (media jornada más equipos audiovisuales)</t>
  </si>
  <si>
    <t>Espacio físico para 100 personas con baño, sillas y mesas, ubicado en la localidad de Suba, con disponibilidad de espacio exterior para desarrollo de actividades
Dotado con equipo de computo, video beam y sonido
Jornada de 4 horas</t>
  </si>
  <si>
    <t>Refrigerio Tipo 1</t>
  </si>
  <si>
    <t>Compuesto por: 
1. Bebida: Deberá contener al menos 200 mililitros. Jugo de frutas y/o yogurt y/o kumis y/o avena, naturales no procesados, no se permitirá el suministro de bebidas empacadas en bolsa plástica, la Alcaldía Local de Suba requiere que las mismas sean entregadas a los asistentes en empaque tetra pack. 
2. Un producto cereal   o producto de panadería tipo: Deberán tener un peso mínimo de 100 gramos. Podrá ser  Pastel de pollo o carne, ponqué, arepa, empanada, mantecada,  arepa con queso, pastel gloria, croissant de jamón y queso, brownie, buñuelo o similares. Los gramajes corresponden a los productos ya elaborados.   
3. Una fruta de temporada: Porción de fruta no menor de 100 gramos. Mandarina, naranja,  manzana, pera, durazno o similares. 
4. Dulce: Deberá tener mínimo entre 12 y 15 gramos. Chocolatina, Arequipe,  bocadillo o similares.</t>
  </si>
  <si>
    <t>INVERSIONES BECORATI E Y O SAS</t>
  </si>
  <si>
    <t xml:space="preserve"> Estimación de precios con base en el proceso FDLSUBA-LP-013-2025 (140689) – Contrato 1000 – 2025, indexando el incremento de precios en el mercado con base en el Índice de Precios al Consumidor (IPC) para el mes de marzo de 2026, el cual fue de 5,56%. </t>
  </si>
  <si>
    <t>Refrigerio Especial</t>
  </si>
  <si>
    <t>"BEBIDA: Jugo natural  de fruta en agua o  néctares,  o refrescos de fruta,  con opción sin azúcar, o bajo en azúcar, o gaseosas ligth o normal; contenido mínimo 200 ml, en empaque comercial  duro ( no en bolsa, no de icopor o plástico), o servido en vaso de vidrio
ALIMENTO PRINCIPAL: Sánduche de jamón y/o queso o atún o pollo o espinaca y queso en pan común o integral  para sánduche,  ponqués o galletas o palito de queso o arepas  con queso o pasteles gloria, de pollo, de carne,  de queso, de harina  integral o comunes; porción entre  60 a 100 gr.
ACOMPAÑAMIENTO: Papas fritas de pollo o natural, o fruta deshidratada, paq de 30gr.
FRUTA: De temporada 150 gr.
EMPAQUE:  En bolsa plástica bio-degradable (si se requiere), preferiblemente que los productos se encuentren en empaques reciclables y/o biodegradables.
OPCIONAL: servicio de entrega al usuario final."</t>
  </si>
  <si>
    <t>ESFERA DE EVENTOS SAS</t>
  </si>
  <si>
    <t>CATERIGN DEPOT</t>
  </si>
  <si>
    <t>D&amp;R PRODUCCIONES SAS</t>
  </si>
  <si>
    <t>ARMONÍA MENTAL</t>
  </si>
  <si>
    <t>Sobre de semillas para flores variadas</t>
  </si>
  <si>
    <t>"Sobre de semillas flores.
Las plántulas, las semillas y las materas serán entregadas a les beneficaries al inicio de las sesiones con el fin de iniciar y realizar el seguimiento a la huerta emocional "</t>
  </si>
  <si>
    <t>EL SEMILLERO</t>
  </si>
  <si>
    <t>IMPULSEMILLA</t>
  </si>
  <si>
    <t>SEMBRAMOS</t>
  </si>
  <si>
    <t>Plantillas cartografía corporal</t>
  </si>
  <si>
    <t>Tipo de material, Formato impreso pedagógico
Tamaño, Carta (21,59 x 27,94 cm) o tabloide según disponibilidad
Papel, Bond o propalcote mate
Gramaje, Entre 75 g/m² y 120 g/m²
Impresión, Blanco y negro o escala de grises (optimización de costos)
Diseño gráfico, Silueta corporal neutra (sin diferenciación de género)
Orientación, Vertical
Contenido visual, Figura humana frontal y posterior para registro emocional
Espacios de registro, Áreas destinadas a escritura, símbolos o coloración
Compatibilidad, Apta para lápiz, esfero, colores o marcadores
Presentación, Entrega individual por participante
Seguridad, Diseño inclusivo y respetuoso del enfoque diferencial aprobado en el comité técnico de apoyo a la supervisión.</t>
  </si>
  <si>
    <t>H&amp;N PUBLICIDAD</t>
  </si>
  <si>
    <t>Folletos rutas institucionales</t>
  </si>
  <si>
    <t xml:space="preserve">Tipo de material, Folleto informativo plegable
Formato, Díptico o tríptico
Tamaño abierto, Carta (21,59 x 27,94 cm)
Tamaño plegado, Aproximadamente 10 x 21 cm
Papel, Bond, propalcote mate o papel ecológico
Gramaje, Entre 90 g/m² y 150 g/m²
Impresión, Tinta negra o full color según disponibilidad presupuestal
Acabado, Mate, fácil lectura y manipulación
Diseño gráfico, Diagramación clara con iconografía accesible
Lenguaje, Claro, inclusivo y no estigmatizante
Tipografía, Legible, tamaño mínimo 10 pt
Presentación, Entrega individual
El folleto deberá incluir como mínimo:
Información básica sobre salud mental y búsqueda de ayuda.
Rutas institucionales de atención psicosocial.
Líneas telefónicas de emergencia y orientación.
Servicios locales de atención en salud mental.
Entidades de apoyo a población LGBTI.
Recomendaciones básicas ante crisis emocional.
Mensaje preventivo de cuidado y acompañamiento.
Este será aprobado por el supervisor y/o apoyos a la supervisión. </t>
  </si>
  <si>
    <t>Plántulas vivas</t>
  </si>
  <si>
    <t>"Plántulas vivas, y/o plantas vivas, Variedad de especies: Plantas aromáticas, medicinales, ornamentales y hortalizas (ej.: hierbabuena, albahaca blanca, limonaria, ruda, menta, cidrón, albahaca morada, lechuga, espinaca, caléndula, manzanilla dulce, siempre viva, u otras especies adaptadas al clima local).
Condición fitosanitaria: Libre de plagas y enfermedades visibles, aptas para trasplante.
Estado de desarrollo: Altura aproximada entre 8 y 20 cm, con sistema radicular formado y adecuado para trasplante.
Presentación: Plántulas en bolsas biodegradables o contenedores reutilizables.
Origen: Viveros certificados o proveedores locales que garanticen calidad vegetal y adaptación climática en la localidad. "</t>
  </si>
  <si>
    <t>JARDINEROS</t>
  </si>
  <si>
    <t xml:space="preserve">VIVEROS DE COLOMBIA </t>
  </si>
  <si>
    <t>Cajas Arómaticas</t>
  </si>
  <si>
    <t>Cajas aromáticas de 60 paquetes cualquier sabor</t>
  </si>
  <si>
    <t>PAYSER</t>
  </si>
  <si>
    <t>LA TERESITA</t>
  </si>
  <si>
    <t>MAKRO</t>
  </si>
  <si>
    <t>Cartulina por octavos paquete 50 láminas</t>
  </si>
  <si>
    <t>Paquete de 50 láminas de cartulina de 25 x 35 cm (1/8 de pliego), gramaje de 180g, colores surtidos o color único según requerimiento.</t>
  </si>
  <si>
    <t>TIENDA ESTUDIANTIL</t>
  </si>
  <si>
    <t>PANAMERICANA</t>
  </si>
  <si>
    <t>Tula Deportiva</t>
  </si>
  <si>
    <t xml:space="preserve">Color: unisex, Poliester 210d, con cordón para ajustar y cargar, con bolsillo delantero y cremallera, con refuerzo en las esquinas
Características:
Alto: 45 cm
Ancho: 35 cm
Profundidad: 20 garantía: 12 Meses </t>
  </si>
  <si>
    <t>DIOES GRUPO PUBLICITARIO SAS</t>
  </si>
  <si>
    <t>ANGIE PACHON (PERSONALIZADOS INK)</t>
  </si>
  <si>
    <t>Materas</t>
  </si>
  <si>
    <t>"""Matera plástica, Entre alto 5.5 pulgadas, ancho 6,5 pulgadas, y/o  12 alto y ancho, color negro o variados. Maceta de resina de estilo cónico. Resistente y ligera. Orificios de drenaje. Pigmentos de color de alta calidad y aditivos UV.
Las plántulas, las semillas y las materas serán entregadas a los beneficaries al inicio de las sesiones con el fin de iniciar y realizar el seguimiento a la huerta emocional. """</t>
  </si>
  <si>
    <t>FALABELLA</t>
  </si>
  <si>
    <t>HOMECENTER</t>
  </si>
  <si>
    <t>TUMATERA</t>
  </si>
  <si>
    <t>Pulsera simbólica de la diversidad</t>
  </si>
  <si>
    <t>Pulsera elaborada en material resistente e hipoalergénico (silicona o textil), con diseño alusivo a la bandera LGBTI  con su nombre, se sugiere mostacilla checha. Tamaño estándar ajustable, resistente al uso continuo y actividades comunitarias, el diseño y el material serán aprobados en el comité técnico por el supervisor y/o apoyos a la supervisión.</t>
  </si>
  <si>
    <t>H&amp;N PUBLCICIDAD</t>
  </si>
  <si>
    <t>Núcleos de entrenamiento en Regulación</t>
  </si>
  <si>
    <t>Agua en botella x 24 unidades 300 ml</t>
  </si>
  <si>
    <t>Bandeja X 24 unidades de agua en botella por 300 ML.</t>
  </si>
  <si>
    <t xml:space="preserve">Bandeja </t>
  </si>
  <si>
    <t>OLIMPICA</t>
  </si>
  <si>
    <t>TIENDAS JUMBO</t>
  </si>
  <si>
    <t xml:space="preserve">MAT PARA YOGA </t>
  </si>
  <si>
    <t xml:space="preserve">Tapete para realizar ejercicios de pilates, yoga, aeróbicos, estiramiento, etc. en PVC antideslizante estable para el momento del ejercicio. medidas 175cm x 56vm x 10mm. Deberán ser adquiridos en comercios reconocidos, pertenecer a marcas tradicionales o de amplia trayectoria, contar con garantía mínima de un (1) año y cumplir estándares de calidad y durabilidad, asegurando respaldo y soporte posventa. </t>
  </si>
  <si>
    <t>JUEGO DE CARTILLAS PEDAGÓGICAS – MÉTODO SUBA REGULA</t>
  </si>
  <si>
    <t>Material pedagógico de diseño propio del componente, no disponible como bien estandarizado en el mercado. Juego pedagógico compuesto por mínimo doce (12) láminas pedagógicas impresas a color en papel propalcote de alto gramaje (mínimo 240 gramos), tamaño aproximado media carta (A5) o superior, plastificadas en acabado mate o brillante para garantizar durabilidad y resistencia al uso continuo. El contenido conceptual y pedagógico será diseñado por el profesional en ciencias sociales del equipo del proyecto con formación certificada en Terapia Dialéctico Conductual (DBT) o metodologías de entrenamiento en habilidades socioemocionales, garantizando coherencia metodológica con el componente Núcleos de Entrenamiento en Regulación y con el enfoque del Método Suba Regula. Cada juego deberá incluir seis habilidades pedagógicas desarrolladas mediante dos láminas por habilidad (una lámina explicativa y una lámina práctica de aplicación): identificación emocional, regulación emocional, respiración consciente, comunicación asertiva, afrontamiento de situaciones difíciles y relajación corporal. El proceso incluye diseño pedagógico, diagramación, impresión, plastificado, corte y entrega final a los participantes. Las cartillas serán entregadas de manera individual a cada beneficiario como herramienta pedagógica permanente para la práctica y consulta posterior de las habilidades aprendidas.</t>
  </si>
  <si>
    <t>Juego</t>
  </si>
  <si>
    <t>SUBA INTERGENERACIONAL</t>
  </si>
  <si>
    <t>UNIDAD</t>
  </si>
  <si>
    <t>Llaveros Simbólicos RED AQUI ESTOY</t>
  </si>
  <si>
    <t>Elemento institucional de carácter simbólico elaborado en material resistente (acrílico, madera MDF sellada o PVC rígido), diseñado para representar la pertenencia a la Red AQUÍ ESTOY – Lazos Activos de Integración, Diálogo y Observación Solidaria. Presenta forma estándar (circular o rectangular), con dimensiones aproximadas entre 5 y 7 cm, impresión o grabado a una cara con el nombre de la red, imagen institucional y mensaje alusivo al acompañamiento comunitario. Incluye argolla metálica inoxidable de alta resistencia para su uso cotidiano en llaves u objetos personales. La aprobación del llavero estará dispuesta al comité técnico por parte del supervisor del contrato y/o apoyos a la supervisión. , Empaque individual</t>
  </si>
  <si>
    <t>ARTE SANANDO 2.0</t>
  </si>
  <si>
    <t>Guía de Bolsillo primeros auxilios psicológicos</t>
  </si>
  <si>
    <t>Impresión fotográfica, Tipo de material:
Guía impresa pedagógica tipo folleto de bolsillo, Formato:
Díptico, tríptico o cuadernillo plegado (según diseño aprobado).
Dimensiones:
Cerrado: entre 9 x 14 cm y 11 x 16 cm
Abierto: proporcional al tipo de plegado
Número de páginas:
Entre 6 y 12 caras (según contenido aprobado).
Papel: Propalcote mate o bond de alta calidad
Gramaje entre 90 g/m² y 150 g/m²
Impresión: Tinta negra o policromía (según disponibilidad presupuestal)
Alta legibilidad
Acabados: Mate (evita reflejo y facilita lectura)
Doblado preciso
Opcional: laminado mate para mayor durabilidad
Encuadernación: Plegado simple o grapado (si es tipo cuadernillo), diseño aprobado en comité técnico de supervisión y/o apoyos a la supervisión</t>
  </si>
  <si>
    <t xml:space="preserve">Guerra Editores </t>
  </si>
  <si>
    <t>Suba se siente – festival comunitario de bienestar y salud mental</t>
  </si>
  <si>
    <t>KIT INSTITUCIONAL FESTIVAL SUBA SE SIENTE</t>
  </si>
  <si>
    <t xml:space="preserve">Camiseta deportiva (mín. 180 g, logos aprobados), tula ecológica institucional, medalla conmemorativa resistente con cinta institucional y número simbólico de participación. Diseño aprobado por la oficina de prensa. Con colores diferentes para 3k y 6k
La entrega se realizará contra listado de inscripción previamente consolidado y validado por supervisión. </t>
  </si>
  <si>
    <t>H&amp;N PUBICIDAD</t>
  </si>
  <si>
    <t>MEDALLAS RECONOCIMIENTOS ESPECIALES</t>
  </si>
  <si>
    <t>"Medallas destinadas al reconocimiento de la participación en actividades comunitarias de bienestar y salud mental, en el marco de la realización de carrera recreativa 3K/5K de carácter no competitivo. Material: Metal, aleación metálica o acrílico de alta resistencia
Acabado: Grabado, estampado o impresión con diseño alusivo al evento
Personalización: Nombre del evento, año y/o identidad gráfica institucional
Cinta: Incluye cinta tipo cuello en material textil resistente, con colores acordes al evento
Bordes y terminaciones: Seguros, sin filos ni irregularidades"</t>
  </si>
  <si>
    <t>Carpa 3 x 3</t>
  </si>
  <si>
    <t>Alquiler Carpa 3X3 con laterales. Incluye transporte, instalación y entrega en el lugar requerido, montaje y desmontaje, alquiler por día.</t>
  </si>
  <si>
    <t>Estimación de precios con base en el proceso FDLSUBA-LP-013-2025 (140689) – Contrato 1000 – 2025, indexando el incremento de precios en el mercado con base en el Índice de Precios al Consumidor (IPC) para el mes de marzo de 2026, el cual fue de 5,56%.</t>
  </si>
  <si>
    <t>FUNCAS</t>
  </si>
  <si>
    <t>SILLAS PARA ESTACIONES</t>
  </si>
  <si>
    <t xml:space="preserve">Alquiler de sillas: sillas plástica tipo sin brazos de 46,7 cms de ancho x 50,5 cms de largo y 89 cms de alto incluido el transporte. 
</t>
  </si>
  <si>
    <t xml:space="preserve">Unidad </t>
  </si>
  <si>
    <t>RYF</t>
  </si>
  <si>
    <t>COMERCIALIZADORA PROVENSA</t>
  </si>
  <si>
    <t>MESAS PARA ESTACIONES</t>
  </si>
  <si>
    <t>Alquiler de Mesas plásticas blancas, cuadrada de 75 cms de largo X 75 cms de ancho X 70,5 cms de alto Incluye transporte, instalación y entrega en el lugar requerido.</t>
  </si>
  <si>
    <t>Sonido 1000 w 8 a 12 horas</t>
  </si>
  <si>
    <t>Alquiler de Sonido de 1000 watios con operario por un periodo de 6 a 8 horas 2 cabinas de sonido, 2 trípodes para cabinas, sistema de monitoreo, set de micrófono, 1 consola de sonido.</t>
  </si>
  <si>
    <t>Servicio</t>
  </si>
  <si>
    <t>ACTIVO2 EVENTOS</t>
  </si>
  <si>
    <t>EFECTO MASIVO</t>
  </si>
  <si>
    <t xml:space="preserve">Tarima 6 x 6 Jornada completa_x000D_
</t>
  </si>
  <si>
    <t>Tarima un solo módulo de 6 m x 6 m y altura de 1,20 m, con faldón negro y una escalera de embarque con cinta antideslizante, barandas y  señalización con cinta reflectiva., con acceso a personas con discapacidad. Incluye Instalación, Transporte Y Entrega En El Lugar Requerido, Montaje Y Desmontaje De La Misma (Jornada día de 8 a 12 horas, sin montaje y desmontaje)  Debe contar con techo que cubra la superficie de la tarima en caso de lluvia.</t>
  </si>
  <si>
    <t>PRODUCCIONES EL SOL</t>
  </si>
  <si>
    <t>Paquete</t>
  </si>
  <si>
    <t>Refrigerio para deportista</t>
  </si>
  <si>
    <t>Refrigerio para deportista Una fruta fresca (banano, manzana, pera, mandarina o guayaba), botella plástica sellada de agua de 600ml, 2 bocadillos veleño en empaque individual, 1 Barra de proteína con 20g de proteína premium, baja en azúcar y enriquecida con fibra y superalimentos para recuperar energía y favorecer el crecimiento muscular. (No se aceptarán productos con alto contenido de azúcares añadidos, colorantes o conservantes artificiales).</t>
  </si>
  <si>
    <t>LOGISTBOX L&amp;L SAS</t>
  </si>
  <si>
    <t>DISTRIBUIDORA CATERING Y CAFE SAS</t>
  </si>
  <si>
    <t>MATERIAL PEDAGÓGICO ESTACIONES</t>
  </si>
  <si>
    <t>Papelógrafos (mínimo 20 unidades), marcadores gruesos y delgados (mínimo 30 unidades surtidas), cartulinas tamaño pliego (mínimo 50 unidades en colores variados), notas adhesivas tipo post-it (mínimo 20 paquetes), cintas adhesivas (mínimo 10 rollos), stickers emocionales y materiales para construcción de mural colectivo (papel kraft, revistas, pegante, tijeras y elementos de expresión gráfica).</t>
  </si>
  <si>
    <t>Kit proceso</t>
  </si>
  <si>
    <t>REGISTRO FOTOGRÁFICO Y AUDIOVISUAL</t>
  </si>
  <si>
    <t>"Registro fotográfico profesional y video institucional donde se evidencie el resumen del evento con edición.
Registro fotográfico profesional y producción de video institucional del evento. El registro fotográfico deberá incluir una cobertura suficiente que evidencie las diferentes fases de la jornada (montaje, desarrollo de la carrera, estaciones metodológicas, participación de la comunidad y cierre), con un mínimo de cincuenta (50) fotografías editadas en alta resolución.
El video institucional deberá tener una duración mínima de dos (2) minutos, con edición básica que incluya selección de tomas representativas, ambientación musical libre de restricciones legales, inclusión de créditos institucionales y elementos gráficos básicos. Este deberá evidenciar de manera integral el desarrollo del evento, la participación comunitaria y los principales momentos de la jornada."</t>
  </si>
  <si>
    <t>GRUPO EMPRESARIAL SOLUCIONES 360 SAS</t>
  </si>
  <si>
    <t>SERVICIO PRIMEROS AUXILIOS</t>
  </si>
  <si>
    <t xml:space="preserve">Personal capacitado en atención prehospitalaria con botiquín básico durante el evento. </t>
  </si>
  <si>
    <t>PrestaciónServicio</t>
  </si>
  <si>
    <t>Grupo Empresarial Soluciones 360 SAS</t>
  </si>
  <si>
    <t>PROYECTARTE</t>
  </si>
  <si>
    <t>BAÑOS PORTÁTILES</t>
  </si>
  <si>
    <t>ALQUILER DE 2 BAÑOS PORTÁTILES PERSONAS DISCAPACITADAS: INCLUYE SUMINISTRO DE PAPEL HIGIÉNICO – PERSONA DE ASEO (JORNADA POR EVENTO O DÍA)   INCLUYE INSTALACIÓN, TRASPORTE Y ENTREGA EN EL LUGAR REQUERIDO, MONTAJE Y DESMONTAJE</t>
  </si>
  <si>
    <t>LOGÍSTICA DE SEGURIDAD Y CONTROL DEL EVENTO</t>
  </si>
  <si>
    <t>Servicio de logística para control del evento que incluya personal de apoyo, control de ingreso y flujo de participantes, delimitación de espacios y apoyo en señalización</t>
  </si>
  <si>
    <t>Esfera de eventos SAS</t>
  </si>
  <si>
    <t>Estilo subamente consciente 2.0: barberías que cuidan</t>
  </si>
  <si>
    <t>horas</t>
  </si>
  <si>
    <t>Agendas con esfero con logos institucionales</t>
  </si>
  <si>
    <t>Agenda:  Tamaño cuaderno (21,5 x 14 cm), 80 hojas internas  papel bond 76 gms impresas a una tinta (1x2)  hojas cuadriculadas, tapa dura, full color, plastificada, anillo doble. Con Logos de la Alcaldía aprobados por la oficina de prensa
Esfero: Bolígrafo plástico tinta negra Medidas: 14.5 cm, con sistema retráctil.</t>
  </si>
  <si>
    <t>CARTILLA METODOLÓGICA ESTILO SUBAMENTE CONSCIENTE 2.0</t>
  </si>
  <si>
    <t>Cartilla impresa full color, mínimo 60 páginas, papel ecológico, tamaño carta o media carta, argollada o empastada. Contiene módulos DBT (Mindfulness, Regulación Emocional, Tolerancia al Malestar, Efectividad Interpersonal), ejercicios prácticos, autorregistros y rutas institucionales. Logos aprobados por prensa.</t>
  </si>
  <si>
    <t xml:space="preserve"> COMTEC </t>
  </si>
  <si>
    <t xml:space="preserve">H&amp;N PUBLICIDAD </t>
  </si>
  <si>
    <t>MATERIAL PEDAGÓGICO Y DIDÁCTICO PARA SESIONES DBT</t>
  </si>
  <si>
    <t>Incluye cartulinas, marcadores gruesos, post-it, cinta, papel bond, impresiones de casos prácticos, formatos de role-play, pliegos para mapas de red, insumos para dinámicas experienciales y construcción colectiva del kit. </t>
  </si>
  <si>
    <t>INSIGNIA TERRITORIAL “BARBERÍA SUBAMENTE CONSCIENTE”</t>
  </si>
  <si>
    <t>Placa acrílica o metálica con diseño institucional aprobado por prensa, adhesivo o sistema de fijación resistente, identificación territorial del proceso.</t>
  </si>
  <si>
    <t xml:space="preserve">INSTRUMENTO DE EVALUACIÓN PRE Y POST </t>
  </si>
  <si>
    <t>Diseño, impresión y sistematización de instrumento de evaluación (pretest y postest), aplicación a los 35 participantes, consolidación básica de resultados.</t>
  </si>
  <si>
    <t>Proceso</t>
  </si>
  <si>
    <t>BOLSA PARA BARBEROS</t>
  </si>
  <si>
    <t>Bolsa para insumos de los 35 barberos, monto máximo de $2.737.000</t>
  </si>
  <si>
    <t xml:space="preserve">BOLSA PARA LA CARRERA 3K Y 6K </t>
  </si>
  <si>
    <t xml:space="preserve">Permisos y póliza de accidentes personales para los 410 participantes </t>
  </si>
  <si>
    <t>Total ítems Estudio de Mercado</t>
  </si>
  <si>
    <t>RECURSO HUMANO</t>
  </si>
  <si>
    <t>Perfil solicitado Recurso Humano</t>
  </si>
  <si>
    <t>Descripción del perfil - Recurso Humano</t>
  </si>
  <si>
    <t xml:space="preserve">Duración </t>
  </si>
  <si>
    <t>Valor unitario</t>
  </si>
  <si>
    <t xml:space="preserve">Valor total </t>
  </si>
  <si>
    <t>Valor total</t>
  </si>
  <si>
    <t>COMPONENTE 1,2,3,4,5,6,7 Y 8</t>
  </si>
  <si>
    <t xml:space="preserve">Coordinador(a) general del proyecto. </t>
  </si>
  <si>
    <t>FORMACIÓN PROFESIONAL DE ACUERDO CON EL ÁREA DE CONOCIMIENTO DEL NÚCLEO BÁSICO DEL CONOCIMIENTO
Profesional en el área de las ciencias sociales y/o de la salud (Psicología, Trabajo Social, Sociología u otras disciplinas afines).
Con especialización y/o maestría en Gerencia de Proyectos y/o Gerencia Social y/o Salud Pública y/o Gestión Psicosocial u otras áreas afines al objeto del proyecto (según clasificación SNIES).
Tarjeta profesional vigente en los casos que aplique.
EXPERIENCIA PROFESIONAL Tres (3) años de experiencia profesional, contados a partir de la terminación de materias y/o fecha de grado, según aplique 
EXPERIENCIA ESPECIFICA En dos (2) años en procesos de salud mental y un año (1) como coordinador/a y/o Director/a en proyectos sociales en temas relacionados con salud mental.</t>
  </si>
  <si>
    <t>Persona</t>
  </si>
  <si>
    <t>9 meses</t>
  </si>
  <si>
    <t>Memorando de Honorarios SDG 2026</t>
  </si>
  <si>
    <t>VALOR ESTUDIO DE MERCADO - 3 PROVEEDORES</t>
  </si>
  <si>
    <t>VALOR ESTUDIO DE MERCADO</t>
  </si>
  <si>
    <t>COMPONENTE 1,2,3,4,5,6,7 Y 9</t>
  </si>
  <si>
    <t>Apoyo profesional</t>
  </si>
  <si>
    <t>FORMACIÓN PROFESIONAL DE ACUERDO CON EL ÁREA DE CONOCIMIENTO DEL NÚCLEO BÁSICO DEL CONOCIMIENTO
Profesional en el núcleo básico del conocimiento en Profesional en Trabajo social y/o Psicología y/o ciencias sociales, y/o ciencias humanas. Tarjeta profesional vigente en los casos que aplique. (según clasificación del SNIES).
EXPERIENCIA PROFESIONAL Tres (3) años de experiencia profesional, contados a partir de la terminación de materias y/o fecha de grado, según aplique.
EXPERIENCIA ESPECIFICA En un (1) proyecto de mínimo seis (6) meses como apoyo a la coordinación y/o Dirección en proyectos sociales en temas relacionados con salud mental.</t>
  </si>
  <si>
    <t>Serán de exclusiva responsabilidad del proponente los errores u omisiones en que incurra al indicar el valor de su propuesta, debiendo asumir los mayores costos y/o pérdidas que se deriven de dichos errores u omisiones, sin que por esta razón haya lugar a alegar ruptura del equilibrio contractual. 
Para efectos del señalamiento del precio ofrecido, el proponente debe tener en cuenta todos los costos, gastos, impuestos, seguros, pago de salarios, prestaciones sociales y demás emolumentos que considere necesarios para la fijación de la propuesta económica. 
Los proponentes deben tener en cuenta que el costo ofertado respecto de los productos y/o servicios a contratar, NO PUDE SER MAYOR POR ITEM AL ESTABLECIDO POR LA ENTIDAD EN SUS CUADRO DE COSTOS, SO PENA DE RECHAZO DE LA PROPUESTA 
Los proponentes no modificarán el valor de items que la entidad identifique como ""item no ofertable"" 
Se deberá diligenciar el formato de propuesta económica conforme al anexo correspondiente aportado por el Fondo de Desarrollo de Local de Suba para el presente proceso de selección. EL PROPONENTE QUE OFERTE ELEMENTOS O SERVICIOS NO SOLICITADOS POR LA ENTIDAD ENTRARA EN CAUSAL DE RECHAZO DE LA PROPUESTA. 
Cuando se trate de errores simplemente aritméticos (sumas o multiplicaciones) la Alcaldía podrá hacer uso de la facultad de corrección aritmética.</t>
  </si>
  <si>
    <t>COMPONENTE 1,2,3,4,5,6,7 Y 10</t>
  </si>
  <si>
    <t>Apoyo Profesional de Inclusión</t>
  </si>
  <si>
    <t>FORMACIÓN PROFESIONAL DE ACUERDO CON EL ÁREA DE CONOCIMIENTO DEL NÚCLEO BÁSICO DEL CONOCIMIENTO
Profesional en Terapia Ocupacional, Fisioterapia, Fonoaudiología o Educación Especial, de acuerdo con la clasificación del Núcleo Básico del Conocimiento (NBC) del SNIES. Con tarjeta profesional vigente en los casos que aplique.
EXPERIENCIA PROFESIONAL
Mínimo 3 años de experiencia profesional relacionada con procesos de atención, intervención y/o acompañamiento en contextos sociales, educativos o comunitarios.
EXPERIENCIA ESPECÍFICA
Mínimo 1 año de experiencia en el desarrollo o implementación de procesos de inclusión, ajustes razonables, intervención psicosocial y/o trabajo comunitario, relacionados con el objeto del proyecto.</t>
  </si>
  <si>
    <t>COMPONENTE 1,2,3,4,5,6,7 Y 11</t>
  </si>
  <si>
    <t>Profesional de Diseño Gráfico</t>
  </si>
  <si>
    <t>FORMACIÓN PROFESIONAL DE ACUERDO CON EL ÁREA DE CONOCIMIENTO DEL NÚCLEO BÁSICO DEL CONOCIMIENTO
Profesional en Diseño Gráfico, Diseño Visual, Comunicación Visual o afines, de acuerdo con la clasificación del Núcleo Básico del Conocimiento (NBC) del SNIES.
EXPERIENCIA PROFESIONAL
Mínimo dos (2) años de experiencia profesional relacionada con diseño de piezas comunicativas, producción de contenidos gráficos y/o estrategias de comunicación en proyectos sociales, comunitarios o institucionales.
EXPERIENCIA ESPECÍFICA
Mínimo un (1) año de experiencia en el diseño e implementación de piezas comunicativas para procesos de formación, promoción social, salud pública o proyectos comunitarios.</t>
  </si>
  <si>
    <t>COMPONENTE 1,2,3,4,5,6,7 Y 12</t>
  </si>
  <si>
    <t>Canalizador/a:</t>
  </si>
  <si>
    <t>FORMACIÓN PROFESIONAL DE ACUERDO AL ÁREA DE CONOCIMIENTO DEL NÚCLEO BÁSICO DEL CONOCIMIENTO
Profesional en Enfermería y/o Trabajo social y/o Psicología y/o ciencias sociales, y/o ciencias humanas y/o afines. Tarjeta profesional vigente en los casos que aplique. (según clasificación del SNIES).
EXPERIENCIA PROFESIONAL Tres (3) años de experiencia profesional, contados a partir de la terminación de materias y/o fecha de grado, según aplique.
 EXPERIENCIA ESPECIFICA En un (1) proyectos de mínimo seis (6) meses como profesional en canalización de acuerdo a los lineamientos de la secretaria de salud.</t>
  </si>
  <si>
    <t>COMPONENTE 1,2,3,4,5,6,7 Y 13</t>
  </si>
  <si>
    <t>Asistente administrativo</t>
  </si>
  <si>
    <t>Título de formación técnica o técnica profesional o tecnológica o 6 semestres de educación superior en gestión empresarial, administración y/o ingeniería administrativa. Con 36 meses de experiencia laboral en temas relacionados.</t>
  </si>
  <si>
    <t>COMPONENTE 1,2,3,4,5,6,7 Y 14</t>
  </si>
  <si>
    <t>Auxiliar logístico</t>
  </si>
  <si>
    <t>Bachiller 
EXPERIENCIA: Desde 36 meses de experiencia que esté relacionada con el apoyo logístico en la ejecución de proyectos sociales</t>
  </si>
  <si>
    <t>COMPONENTE 2</t>
  </si>
  <si>
    <t>Licenciado en artes plásticas</t>
  </si>
  <si>
    <t>FORMACIÓN PROFESIONAL DE ACUERDO AL ÁREA DE CONOCIMIENTO DEL NUCLEO BASICO DE CONOCIMIENTO
Profesional en artes plásticas y/o profesional en bellas artes y/o, tarjeta profesional vigente en los casos que aplique (Según clasificación del SNIES)
EXPERIENCIA PROFESIONAL:
Tres años de experiencia general, contados a partir de la terminación de materias y/o fecha de grado, según aplique.
EXPERIENCIA ESPECIFÍCA:
Mínimo seis (6) meses de experiencia como profesional formador en artes plásticas y/o en procesos comunitarios, preferiblemente relacionados con salud mental.</t>
  </si>
  <si>
    <t>10 sesiones</t>
  </si>
  <si>
    <t>Se realiza calculo del costo por día según Memorando de Honorarios SDG 2026 y se multiplica por los 10 sesiones : 10 días tomando en cuenta el tiempo de preparación</t>
  </si>
  <si>
    <t>Licenciado en literatura</t>
  </si>
  <si>
    <t>FORMACIÓN PROFESIONAL DE ACUERDO AL ÁREA DE CONOCIMIENTO DEL NUCLEO BASICO DE CONOCIMIENTO
Profesional en literatura, estudios literarios y edición / lengua castellana, / creación literaria, escritura creativa, tarjeta profesional vigente en los casos que aplique (Según clasificación del  SNIES)
EXPERIENCIA PROFESIONAL:
Tres años de experiencia general, contados a partir de la terminación de materias y/o fecha de grado, según aplique.
EXPERIENCIA ESPECIFÍCA:
Mínimo seis (6) meses de experiencia como profesional formador en literatura y/o en procesos comunitarios, preferiblemente relacionados con salud mental.</t>
  </si>
  <si>
    <t>Licenciado en artes escénicas</t>
  </si>
  <si>
    <t>FORMACIÓN PROFESIONAL DE ACUERDO AL ÁREA DE CONOCIMIENTO DEL NUCLEO BASICO DE CONOCIMIENTO
Profesional en artes escénicas y/o licenciatura en educación artística, licenciatura en teatro, tarjeta profesional vigente en los casos que aplique (Según clasificación del SNIES)
EXPERIENCIA PROFESIONAL:
Tres años de experiencia general, contados a partir de la terminación de materias y/o fecha de grado, según aplique.
EXPERIENCIA ESPECIFÍCA:
Mínimo seis (6) meses de experiencia como profesional formador en artes escénicas y/o en procesos comunitarios, preferiblemente relacionados con salud mental.</t>
  </si>
  <si>
    <t xml:space="preserve">Profesional en Ciencias Sociales </t>
  </si>
  <si>
    <t>Gestor Comunitario</t>
  </si>
  <si>
    <t xml:space="preserve">FORMACIÓN CON NIVEL EDUCATIVO MÍNIMO BACHILLER
Con experiencia certificada en al menos tres años (3) en trabajo comunitario y social relacionados con apoyo a procesos sociales. Se priorizará que residan en la localidad de suba, en caso de que se requiera una modificación respecto a la localidad de vivienda, esto será analizado y aprobado en el comité técnico de supervisión. </t>
  </si>
  <si>
    <t>COMPONENTE 3</t>
  </si>
  <si>
    <t>Profesional Psicología</t>
  </si>
  <si>
    <t xml:space="preserve">FORMACIÓN PROFESIONAL DE ACUERDO AL ÁREA DE CONOCIMIENTO DEL NUCLEO BASICO DE CONOCIMIENTO:
Profesional en Psicología especialista en terapias de tercera generación.
Tarjeta profesional vigente en los casos que aplique (según clasificación del SNIES).
EXPERIENCIA PROFESIONAL:
Tres años de experiencia general, contados a partir de la terminación de materias y/o fecha de grado, según aplique.
EXPERIENCIA ESPECIFÍCA:
En un (1) proyecto de mínimo seis (6) meses como profesional en proyectos relacionados con el fortalecimiento de habilidades socioemocionales, intervenciones grupales, prevención del suicidio, acompañamiento a población diversa. Experiencia en herramientas de autorregulación como respiración guiada y mindfulness </t>
  </si>
  <si>
    <t>28 sesiones</t>
  </si>
  <si>
    <t>Se realiza calculo del costo por día según Memorando de Honorarios SDG 2026 y se multiplica por los 28 sesiones : 28 días tomando en cuenta el tiempo de preparación</t>
  </si>
  <si>
    <t>Técnico Agroecológico / Facilitador de Huertas Urbanas</t>
  </si>
  <si>
    <t>FORMACIÓN TÉCNICO DE ACUERDO AL ÁREA DE CONOCIMIENTO DEL NUCLEO BASICO DE CONOCIMIENTO
Técnico agroecológico o profesional ambiental con experiencia en agricultura urbana y pedagogía comunitaria.
EXPERIENCIA PROFESIONAL:
Tres años de experiencia general, contados a partir de la terminación de materias y/o fecha de grado, según aplique.
EXPERIENCIA ESPECIFÍCA:
En un (1) proyecto de mínimo seis (6) meses como profesional en proyectos relacionados con el fortalecimiento de habilidades socioemocionales, intervenciones grupales, Acompañamiento en huertas urbanas.</t>
  </si>
  <si>
    <t>Técnico o Tecnólogo en música</t>
  </si>
  <si>
    <t>FORMACIÓN TÉCNICA DE ACUERDO CON EL AREA DE CONOCIMIENTO DEL NUCLEO BÁSICO DEL CONOCIMIENTO
Técnico o Tecnólogo en el núcleo básico del conocimiento en licenciatura en música y/o afines. Tarjeta profesional vigente en los casos que aplique. (según clasificación del SNIES)
EXPERIENCIA PROFESIONAL:
Con experiencia certificada en al menos tres años (3) en trabajo comunitario y social relacionados con apoyo a procesos sociales, y liderazgo en actividades musicales.</t>
  </si>
  <si>
    <t>FORMACIÓN CON NIVEL EDUCATIVO MÍNIMO BACHILLER
Con experiencia certificada en al menos tres años (3) en trabajo comunitario y social relacionados con apoyo a procesos sociales. Se priorizarán gestores que residan en la localidad de suba, sin embargo, en caso de que se requiera una modificación respecto a la localidad de vivienda, esto será analizado y aprobado en el comité técnico de supervisión</t>
  </si>
  <si>
    <t>COMPONENTE 4</t>
  </si>
  <si>
    <t>Profesional en Psicología con enfoque DBT</t>
  </si>
  <si>
    <t>FORMACIÓN PROFESIONAL DE ACUERDO CON EL ÁREA DE CONOCIMIENTO DEL NUCLEO BASICO DE CONOCIMIENTO
Profesional en Psicología y/o Trabajo Social y/o disciplinas afines del área de las ciencias sociales o de la salud, con formación complementaria certificada en Terapia Dialéctico Conductual (DBT), terapias contextuales, regulación emocional o intervención psicosocial basada en habilidades socioemocionales.
Tarjeta profesional vigente en los casos que aplique (según clasificación del SNIES).
EXPERIENCIA PROFESIONAL:
Tres años de experiencia general, contados a partir de la terminación de materias y/o fecha de grado, según aplique.
EXPERIENCIA ESPECIFÍCA:
En un (1) proyecto de mínimo seis (6) meses como profesional en proyectos relacionados con el fortalecimiento de habilidades socioemocionales y/o la implementación de metodologías psicoeducativas grupales basadas en Terapia Dialéctico Conductual (DBT) o enfoques similares.</t>
  </si>
  <si>
    <t>Apoyo Logístico</t>
  </si>
  <si>
    <t>FORMACIÓN CON NIVEL EDUCATIVO MÍNIMO BACHILLER
Con experiencia certificada en al menos tres años (3) en trabajo comunitario y social relacionados con apoyo a procesos sociales y residente de la localidad.</t>
  </si>
  <si>
    <t>COMPONENTE 5</t>
  </si>
  <si>
    <t xml:space="preserve">Profesional Psicología /trabajo social. </t>
  </si>
  <si>
    <t xml:space="preserve">CONOCIMIENTO DEL NUCLEO BASICO DE CONOCIMIENTO
Profesional en el núcleo básico del conocimiento en profesional en Psicología, trabajo social, y/o ciencias sociales, y/o ciencias humanas y/o afines. Tarjeta profesional vigente en los casos que aplique (según clasificación del SNIES)
EXPERIENCIA PROFESIONAL:  Tres (3) años de experiencia profesional, contados a partir de la terminación de materias y/o fecha de grado según aplique
EXPERIENCIA ESPECIFÍCA: En un (1) proyecto de mínimo seis (6) meses como profesional Psicosocial, con experiencia en intervención salud mental comunitaria, manejo de grupos intergeneracionales, prevención del riesgo emocional y promoción del bienestar. </t>
  </si>
  <si>
    <t>37 sesiones</t>
  </si>
  <si>
    <t>Se realiza calculo del costo por día según Memorando de Honorarios SDG 2026 y se multiplica por los 37  sesiones : 37 días tomando en cuenta el tiempo de preparación</t>
  </si>
  <si>
    <t>Facilitador artístico</t>
  </si>
  <si>
    <t xml:space="preserve">FORMACIÓN PROFESIONAL DE ACUERDO AL ÁREA DE CONOCIMIENTO DEL NUCLEO BASICO DE CONOCIMIENTO
Licenciado/a en artes, gestor cultural, educador comunitario o profesional afín.
EXPERIENCIA PROFESIONAL:  tres (3) años de experiencia profesional, contados a partir de la terminación de materias y/o fecha de grado, según aplique.
EXPERIENCIA ESPECIFÍCA: En un (1) proyecto de mínimo (6) seis meses como profesional en gestor comunitario, docente en artes en proyectos intergeneracionales., conocimiento en metodologías artísticas participativas. </t>
  </si>
  <si>
    <t>FORMACIÓN CON NIVEL EDUCATIVO MÍNIMO BACHILLER
Con experiencia certificada en al menos tres años (3) en trabajo comunitario y social relacionados con apoyo a procesos sociales, Se priorizará gestores que residan en la localidad de suba, sin embargo, en caso de que se requiera una modificación respecto a la localidad de vivienda, esto será analizado y aprobado en el comité técnico de supervisión</t>
  </si>
  <si>
    <t>COMPONENTE 6</t>
  </si>
  <si>
    <t xml:space="preserve">Fotógrafo/a y/o Tallerista de Fotografía. </t>
  </si>
  <si>
    <t>FORMACIÓN PROFESIONAL DE ACUERDO AL ÁREA DE CONOCIMIENTO DEL NUCLEO BASICO DE CONOCIMIENTO
Técnico o tecnólogo en artes visuales y/o fotografía y/o artes visuales y/o afines.
EXPERIENCIA PROFESIONAL:
Tres (3) años de experiencia general, contados a partir de la terminación de materias y/o fecha de grado, según aplique. EXPERIENCIA ESPECIFÍCA:
En dos (2) proyecto de mínimo seis (6) meses como profesional en formación y/o orientación de fotografía. Experiencia en trabajo comunitario preferiblemente en proyectos de salud mental.</t>
  </si>
  <si>
    <t>Se realiza calculo del costo por día según Memorando de Honorarios SDG 2026 y se multiplica por los 28  sesiones : 28 días tomando en cuenta el tiempo de preparación</t>
  </si>
  <si>
    <t>Licenciado en artes</t>
  </si>
  <si>
    <t xml:space="preserve">FORMACIÓN PROFESIONAL DE ACUERDO AL ÁREA DE CONOCIMIENTO DEL NUCLEO BASICO DE CONOCIMIENTO
Profesional en teatro y/o licenciatura en artes escénicas y/o licenciatura en educación artística, tarjeta profesional vigente en los casos que aplique (según clasificación del SNIES)
EXPERIENCIA PROFESIONAL:
Tres (3) años de experiencia general, contados a a partir de la terminación de materias y/o fecha de grado según aplique.
EXPERIENCIA ESPECIFÍCA:
En un (1) proyecto de mínimo seis (6) meses como profesional en formación y/o orientación en arteterapia. Trabajo con comunidades, proyectos sociales, preferiblemente en promoción y prevención en temas relacionados con salud mental. </t>
  </si>
  <si>
    <t xml:space="preserve">Profesional Capacitador Primeros Auxilios Psicológicos. </t>
  </si>
  <si>
    <t xml:space="preserve">FORMACIÓN PROFESIONAL DE ACUERDO AL ÁREA DE CONOCIMIENTO DEL NUCLEO BASICO DE CONOCIMIENTO
Psicólogo / trabajador social, tarjeta profesional vigente en los casos que aplique (según clasificación SNIES).
EXPERIENCIA PROFESIONAL:
Tres (3) años de experiencia general, contados a partir de la terminación de materias y/o fecha de grado, según aplique.
EXPERIENCIA ESPECIFÍCA: en 1 proyecto minímo de 6 meses como capacitador en primeros auxilios psicológicos, trabajo con comunidades, Y/o proyectos sociales relacionados con salud mental. </t>
  </si>
  <si>
    <t>9 sesiones</t>
  </si>
  <si>
    <t>Se realiza calculo del costo por día según Memorando de Honorarios SDG 2026 y se multiplica por los 9  sesiones : 9 días tomando en cuenta el tiempo de preparación</t>
  </si>
  <si>
    <t>FORMACIÓN CON NIVEL EDUCATIVO MINÍMO BACHILLER:
Con experiencia certificada en al menos tres años (3) en trabajo comunitario y social relacionados con apoyo a procesos sociales,
Se priorizará que este perfil residan en la localidad de suba, sin embargo, en caso de que se requiera una modificación respecto a la localidad de vivienda, esto será analizado y aprobado en el comité técnico de supervisión</t>
  </si>
  <si>
    <t>Se realiza calculo del costo por día según Memorando de Honorarios SDG 2026 y se multiplica por los 10  sesiones : 10 días tomando en cuenta el tiempo de preparación</t>
  </si>
  <si>
    <t>COMPONENTE 7</t>
  </si>
  <si>
    <t>Coordinador(a) operativo del Festival</t>
  </si>
  <si>
    <t>FORMACIÓN PROFESIONAL:
Profesional en Psicología, Trabajo Social, Ciencias Sociales, Administración de Empresas, Gestión Cultural o áreas afines.
EXPERIENCIA GENERAL:
Tres (3) años de experiencia profesional.
EXPERIENCIA ESPECÍFICA:
Mínimo un (1) año en coordinación logística u operativa de eventos comunitarios, jornadas masivas o proyectos sociales con enfoque territorial.</t>
  </si>
  <si>
    <t>2 meses</t>
  </si>
  <si>
    <t>Profesional psicosocial facilitador(a) de estaciones</t>
  </si>
  <si>
    <t>FORMACIÓN PROFESIONAL:
Psicólogo(a) y/o Trabajador(a) Social y/o Profesional en Ciencias Humanas o Sociales. Tarjeta profesional vigente cuando aplique.
EXPERIENCIA GENERAL:
Dos (2) años de experiencia profesional.
EXPERIENCIA ESPECÍFICA:
Experiencia en promoción y prevención en salud mental comunitaria, facilitación grupal o procesos psicoeducativos colectivos.</t>
  </si>
  <si>
    <t>1 mes</t>
  </si>
  <si>
    <t>Conductor(a) / Animador(a) de evento comunitario</t>
  </si>
  <si>
    <t>FORMACIÓN PROFESIONAL:
Profesional en comunicación social, educación física, cultura física, artes escénicas, recreación o áreas afines.
EXPERIENCIA GENERAL:
Dos (2) años de experiencia profesional.
EXPERIENCIA ESPECÍFICA:
Experiencia certificada en dirección de actividades físicas comunitarias, carreras recreativas o jornadas deportivas masivas.</t>
  </si>
  <si>
    <t>Gestor Comunitario Territorial</t>
  </si>
  <si>
    <t>FORMACIÓN:
Técnico, tecnólogo o estudiante de últimos semestres en ciencias sociales y/o humanas y/o administrativas.
EXPERIENCIA:
Mínimo dos (2) años de experiencia en trabajo comunitario, convocatoria territorial y articulación con actores locales.</t>
  </si>
  <si>
    <t>Auxiliar Logístico del Evento</t>
  </si>
  <si>
    <t>FORMACIÓN:
Bachiller académico.
EXPERIENCIA:
Mínimo dos (2) años de experiencia en apoyo logístico para ejecución de proyectos sociales.</t>
  </si>
  <si>
    <t>COMPONENTE 8</t>
  </si>
  <si>
    <t>Profesional en Psicología (Formador DBT)</t>
  </si>
  <si>
    <t>FORMACIÓN PROFESIONAL DE ACUERDO CON EL ÁREA DE CONOCIMIENTO DEL NÚCLEO BÁSICO DEL CONOCIMIENTO: Profesional en Psicología. Tarjeta profesional vigente.
EXPERIENCIA PROFESIONAL:
Tres (3) años de experiencia profesional contados a partir de la fecha de grado.
EXPERIENCIA ESPECÍFICA:
Mínimo un (1) año de experiencia en procesos comunitarios en salud mental y formación en habilidades de regulación emocional y/o enfoques cognitivo-conductuales. Experiencia en facilitación grupal.</t>
  </si>
  <si>
    <t>4 meses</t>
  </si>
  <si>
    <t>Profesional en Ciencias Sociales con enfoque en género</t>
  </si>
  <si>
    <t>FORMACIÓN PROFESIONAL:
Profesional en Trabajo Social y/o Sociología y/o Antropología y/o Ciencias Sociales afines.
EXPERIENCIA PROFESIONAL:
Tres (3) años de experiencia profesional.
EXPERIENCIA ESPECÍFICA:
Experiencia mínima de un (1) año en procesos comunitarios de prevención de violencias basadas en género y trabajo con hombres y masculinidades.</t>
  </si>
  <si>
    <t>Profesional en Administración o Emprendimiento</t>
  </si>
  <si>
    <t>FORMACIÓN PROFESIONAL:
Profesional en Administración de Empresas y/o Economía y/o Ingeniería Industrial y/o áreas afines.
EXPERIENCIA PROFESIONAL:
Tres (3) años de experiencia profesional.
EXPERIENCIA ESPECÍFICA:
Experiencia mínima de un (1) año en formación a emprendedores, fortalecimiento empresarial o procesos de formalización comercial.</t>
  </si>
  <si>
    <t>3 meses</t>
  </si>
  <si>
    <t>Auxiliar Logístico</t>
  </si>
  <si>
    <t>Tula</t>
  </si>
  <si>
    <t>Medalla</t>
  </si>
  <si>
    <t>PRECIO KIT CON BOLSA + COTIZACIÓN MEDALLAS</t>
  </si>
  <si>
    <t>PRECIO ENVIADO</t>
  </si>
  <si>
    <t>Marcela González</t>
  </si>
  <si>
    <t>Ítem cotizado por el área, cumple desviación de acuerdo a la transcripción del equipo de cotizaciones</t>
  </si>
  <si>
    <t>Revisión</t>
  </si>
  <si>
    <t>cruce bolsa general</t>
  </si>
  <si>
    <t>Descripción</t>
  </si>
  <si>
    <t>Proveedor 1</t>
  </si>
  <si>
    <t>Valor final con IVA 1</t>
  </si>
  <si>
    <t xml:space="preserve">Proveedor 2 </t>
  </si>
  <si>
    <t>Valor final con IVA 2</t>
  </si>
  <si>
    <t>Proveedor 3</t>
  </si>
  <si>
    <t>Valor final con IVA 3</t>
  </si>
  <si>
    <t>El ítem tiene diferencias de decimales de los precios pegados de la bolsa</t>
  </si>
  <si>
    <t>Ítem cotizado por el área, cumple desviación de acuerdo a la transcripción del equipo de cotizaciones- ALERTA PRECIO ALTO</t>
  </si>
  <si>
    <t>OK desviación</t>
  </si>
  <si>
    <t>Salón - Espacio Apto para 50 personas  (media jornada más equipos audiovisuales)</t>
  </si>
  <si>
    <t>Ok desviación</t>
  </si>
  <si>
    <t>Salón - Espacio Apto para 100 personas  (media jornada más equipos audiovisuales)</t>
  </si>
  <si>
    <t>Cambio nombre</t>
  </si>
  <si>
    <t>AJUSTADO</t>
  </si>
  <si>
    <t>OK</t>
  </si>
  <si>
    <t>No coinciden las cotizaciones, responsabilidad del área</t>
  </si>
  <si>
    <t>Espacio físico para 100 personas con baño, sillas y mesas, ubicado en la localidad de Suba, con disponibilidad de espacio exterior para desarrollo de actividades_x000D_
Dotado con equipo de computo, video beam y sonido_x000D_
Jornada de 4 horas</t>
  </si>
  <si>
    <t>Bajo</t>
  </si>
  <si>
    <t>Alto- revisar anexo técnico</t>
  </si>
  <si>
    <t>Merchandising/     Camiseta T-Shirt Adulto_x000D_
Camiseta T-Shirt 100% algodón de 180 gr., cuello redondo. _x000D_
Marca: 28 cm x 21 cm / Screen A 4 tntas /delante y atras_x000D_
Talla: XS, S, M, L, XL, XXL, XXXL _x000D_
Diseño, logos y colores aprobados por la Oficinade Comunicaciones Alcaldia Local de Suba</t>
  </si>
  <si>
    <t>La cotización de Angie Pachón no presenta IVA para este elemento</t>
  </si>
  <si>
    <t>MODIFICADO POR ESTAR EN UN KIT CUANDO HABÍAN ELEMENTOS DE LA BOLSA</t>
  </si>
  <si>
    <t>Dorsal Deportivo de Competencia</t>
  </si>
  <si>
    <t xml:space="preserve">Material: Papel Sintético Tyvek® de alta densidad (peso sugerido: 75 g/m² o 105 g/m²).  tamaño 21 cm de ancho × 15 cm de alto Diseño e Impresión: Impresión digital a todo color (Full Color) </t>
  </si>
  <si>
    <t>METAVISUAL</t>
  </si>
  <si>
    <t>PURA VIDA SPORT</t>
  </si>
  <si>
    <t>COTIZADO NUEVO POR ESTAR EN UN KIT CUANDO HABÍAN ELEMENTOS DE LA BOLSA</t>
  </si>
  <si>
    <t>Color: unisex, Poliester 210d, con cordón para ajustar y cargar, con bolsillo delantero y cremallera, con refuerzo en las esquinas
Características:
Alto: 45 cm 
Ancho: 35 cm
Profundidad: 20 garantía: 12 Meses 
Con logos aprobados por la oficina de prensa del FDLS</t>
  </si>
  <si>
    <t>Medallas de reconocimiento</t>
  </si>
  <si>
    <t>Alquiler Carpa 3 x 3</t>
  </si>
  <si>
    <t>Alquiler de sillas</t>
  </si>
  <si>
    <t xml:space="preserve">Alquiler de sillas: sillas plástica tipo sin brazos de 46,7 cms de ancho x 50,5 cms de largo y 89 cms de alto incluido el transporte. </t>
  </si>
  <si>
    <t>Mesas cuadradas</t>
  </si>
  <si>
    <t>Alquiler Sonido 1000 w 8 a 12 horas</t>
  </si>
  <si>
    <t xml:space="preserve">Alquiler Tarima 6 x 6 Jornada completa
</t>
  </si>
  <si>
    <t>Carton Cartulina Blanco x pliego</t>
  </si>
  <si>
    <t>Cartulina blanca 70x100 cm: Pliego de alto gramaje con superficie lisa y acabado uniforme en ambas caras.</t>
  </si>
  <si>
    <t>Cartulina Papel Iris Pliegos 70×100</t>
  </si>
  <si>
    <t>Paquete de 10 pliegos de papel Iris de 70 x 100 cm, gramaje de 125 g/m² y colores surtidos</t>
  </si>
  <si>
    <t>Notas Adhesivas (Post-it) cuadradas 5x 5 cm</t>
  </si>
  <si>
    <t>Bloque de 100 notas adhesivas de 5 x 5 cm (2" x 2"), fabricadas en papel de alto gramaje con acabado mate.</t>
  </si>
  <si>
    <t>Cinta transparente gruesa</t>
  </si>
  <si>
    <t>Cinta de polipropileno transparente de 48 mm de ancho x 160 m de longitud, con un espesor de 1143 µm y acabado brillante. Adhesivo de alta adherencia y película resistente a la tensión.</t>
  </si>
  <si>
    <t>Papel Kraft (Paquete x 25 Pliegos)</t>
  </si>
  <si>
    <t>Paquete de papel kraft de alta resistencia y gramaje uniforme, que contiene 25 pliegos de 100 cm x 70 cm cada uno</t>
  </si>
  <si>
    <t>Pegante liquido por 1.000 cc</t>
  </si>
  <si>
    <t>Colbon-Pegante-Liquido-UniversalVolumen de la unidad 1.000 cc Con Tapa dosificadora - esparcidora con  cierre anti secado, no deja arrugas, lavable e inofensivo a la piel.  Coloreable en cualquier pigmento</t>
  </si>
  <si>
    <t>Tijera punta roma</t>
  </si>
  <si>
    <t>Tijera punta roma: Herramienta de corte con hojas de acero inoxidable y puntas redondeadas para mayor seguridad. Mango ergonómico de polímero de alta resistencia. Tamaño entre 5 y 5.5 pulgadas</t>
  </si>
  <si>
    <t>Marcador borrable caja x 10</t>
  </si>
  <si>
    <t>Caja de 10 marcadores para tablero blanco con tinta de borrado en seco, colores intensos y bajo olor. Punta acrílica de alta resistencia (redonda o biselada)</t>
  </si>
  <si>
    <t>Tablero acrílico</t>
  </si>
  <si>
    <t>Tablero acrílico con base trípode caballete metálico medida trípode 150cm de alto , medidas tablero 120x80cm</t>
  </si>
  <si>
    <t>Persona primeros auxilios</t>
  </si>
  <si>
    <t>PERSONAL DE PRIMEROS AUXILIOS (AUXILIARES DE ENFERMERÍA)
(JORNADA ENTRE 5 Y HASTA 10 HORAS DÍA).</t>
  </si>
  <si>
    <t>CAMBIADO PORQUE HABÍA OTRA COTIZACIÓN EN OPERADOR LOGÍSTICO</t>
  </si>
  <si>
    <t>Alquiler baño portatil tipo 1</t>
  </si>
  <si>
    <t>Ajustado</t>
  </si>
  <si>
    <t>Operario Logístico eventos masivos</t>
  </si>
  <si>
    <t xml:space="preserve">LOGÍSTICO: OPERARIO CON EXPERIENCIA CERTIFICADA EN EVENTOS MÁSIVOS QUE INCLUYA DOTACIÓN DE UNIFORME Y ELEMENTOS DE BIOSEGURIDAD (JORNADA ENTRE 6 Y HASTA 10 HORAS DÍA) </t>
  </si>
  <si>
    <t>Marcadores de Alcohol Caja x 80 colores doble punta</t>
  </si>
  <si>
    <t>Set de 80 marcadores artísticos de punta doble (fina y biselada) con tinta a base de alcohol de secado rápido y mezcla profesional. Incluye estuche de lona con organizador interno y tapas codificadas por color y número para identificación técnica.</t>
  </si>
  <si>
    <t>Bitácora icopel ½ papel bond 50 hojas</t>
  </si>
  <si>
    <t>Bitácora icopel ½ papel bond 50 hojas. Papel bond blanco 75 g/m².</t>
  </si>
  <si>
    <t>Afiche tabloide  100 unidades</t>
  </si>
  <si>
    <t>Tamaño Tabloide 27.9 cm ancho X 43.2 cm alto
Papeles esmaltados C2S Gloss de 200 gr o Propalcote 200 gr, según las referencias o diseños que requiera la Alcaldía Local de Suba a 4 tintas full color y policromía, incluye logos.</t>
  </si>
  <si>
    <t>Afiche Medio Pliego  100 unidades</t>
  </si>
  <si>
    <t>Tamaño Medio Pliego_x000D_
Papeles esmaltados C2S Gloss de 200 gr o Propalcote 200 gr, según las referencias o diseños que requiera la Alcaldía Local de Suba a 4 tintas full color y policromía, incluye logos.</t>
  </si>
  <si>
    <t>Ítem cotizado por el área, cumple desviación de acuerdo a la transcripción del equipo de cotizaciones NO TIENE MAYOR DESCRIPCIÓN EL ÍTEM (TAMAÑO</t>
  </si>
  <si>
    <t>Pendiente</t>
  </si>
  <si>
    <t>Bolsa para barberos</t>
  </si>
  <si>
    <t>Bolsa para la carrera 3K y 6K</t>
  </si>
  <si>
    <t>TOTAL POR COMPONENTE INSUMOS</t>
  </si>
  <si>
    <t>Etiquetas de fila</t>
  </si>
  <si>
    <t>Cuenta de Promedio valor total con IVA</t>
  </si>
  <si>
    <t>(en blanco)</t>
  </si>
  <si>
    <t>Total general</t>
  </si>
  <si>
    <t>TOTAL POR COMPONENTE RECURSO HUMANO</t>
  </si>
  <si>
    <t>Suma de Valor Final / Promedio para cotizaciones Personal</t>
  </si>
  <si>
    <t>ALCALDÍA LOCAL DE SUBA 
BOLSA DE PRECIOS 2026</t>
  </si>
  <si>
    <t>Estructurador</t>
  </si>
  <si>
    <t>Proyecto</t>
  </si>
  <si>
    <t>Código UNSPSC</t>
  </si>
  <si>
    <t>Responsable Cotización 1</t>
  </si>
  <si>
    <t>Fecha diligenciamiento en la Bolsa cotización 1</t>
  </si>
  <si>
    <t>Link Cotización 1</t>
  </si>
  <si>
    <t>Tipo de Gestión Cotización 1</t>
  </si>
  <si>
    <t>Valor unitario en la cotización / página web</t>
  </si>
  <si>
    <t>IVA incluido en el precio/ Para adicionar IVA</t>
  </si>
  <si>
    <t>Aplica IVA</t>
  </si>
  <si>
    <t>Valor Unitario sin IVA</t>
  </si>
  <si>
    <t>Responsable Cotización 2</t>
  </si>
  <si>
    <t>Fecha diligenciamiento en la Bolsa cotización 2</t>
  </si>
  <si>
    <t>Link Cotización 2</t>
  </si>
  <si>
    <t>Tipo de Gestión Cotización 2</t>
  </si>
  <si>
    <t>Valor unitario en la factura</t>
  </si>
  <si>
    <t>Responsable Cotización 3</t>
  </si>
  <si>
    <t>Fecha diligenciamiento en la Bolsa cotización 3</t>
  </si>
  <si>
    <t>Link Cotización 3</t>
  </si>
  <si>
    <t>Tipo de Gestión Cotización 3</t>
  </si>
  <si>
    <t>Observaciones de las 3 cotizaciones (Estudio de mercado)</t>
  </si>
  <si>
    <t>Cuenta de Cotizaciones</t>
  </si>
  <si>
    <t>Bolsa General</t>
  </si>
  <si>
    <t>Publicidad</t>
  </si>
  <si>
    <t>Luz Jimenez</t>
  </si>
  <si>
    <t>Transcripción</t>
  </si>
  <si>
    <t>JEGAR PUBLICIDAD</t>
  </si>
  <si>
    <t>IVA incluido</t>
  </si>
  <si>
    <t>Si tiene IVA</t>
  </si>
  <si>
    <t>SGD_ VARIOS 19-02-2026 SAS</t>
  </si>
  <si>
    <t>Gestión</t>
  </si>
  <si>
    <t>SG DIGITAL</t>
  </si>
  <si>
    <t>Dicoes _ varios 12-02-2026.pdf</t>
  </si>
  <si>
    <t>DICOES GRUPÓ PUBLICITARIO SAS</t>
  </si>
  <si>
    <t>Precio sin Iva</t>
  </si>
  <si>
    <t>Afiche Medio Pliego Unidad</t>
  </si>
  <si>
    <t>Sandra Vargas</t>
  </si>
  <si>
    <t>Dicoes _ varios 12-02-2026</t>
  </si>
  <si>
    <t>Sandra vargas</t>
  </si>
  <si>
    <t>A LOT STUDIO SAS_Varios.pdf</t>
  </si>
  <si>
    <t>A LOT STUDIO SAS</t>
  </si>
  <si>
    <t>SG DIGITAL S.A.S</t>
  </si>
  <si>
    <t>Afiche Pliego  Unidad</t>
  </si>
  <si>
    <t>Tamaño Pliego
Papeles esmaltados C2S Gloss de 200 gr o Propalcote 200 gr, según las referencias o diseños que requiera la Alcaldía Local de Suba a 4 tintas full color y policromía, incluye logos.</t>
  </si>
  <si>
    <t>SGD_ VARIOS 19-02-2026 SAS.pdf</t>
  </si>
  <si>
    <t>Inventiva_varios 17-02-2026</t>
  </si>
  <si>
    <t>INVENTIVA</t>
  </si>
  <si>
    <t>Nexus_varios 16-02-2026.pdf</t>
  </si>
  <si>
    <t xml:space="preserve">NEXUS </t>
  </si>
  <si>
    <t>Afiche tabloide  Unidad</t>
  </si>
  <si>
    <t>ANGIE PACHÓN _VARIOS 19-02-2026.pdf</t>
  </si>
  <si>
    <t>Angie Pachon (personalizado INK)</t>
  </si>
  <si>
    <t>No tiene IVA</t>
  </si>
  <si>
    <t>Se realizara el ajuste en las tres angie pachon no tiene rutse solcita qie el proveedor lo envie</t>
  </si>
  <si>
    <t>Afiche tabloide Tabloide 1.000 unidades</t>
  </si>
  <si>
    <t>Tamaño Pliego_x000D_
Papeles esmaltados C2S Gloss de 200 gr o Propalcote 200 gr, según las referencias o diseños que requiera la Alcaldía Local de Suba a 4 tintas full color y policromía, incluye logos.</t>
  </si>
  <si>
    <t>Nexus_varios 16-02-2026</t>
  </si>
  <si>
    <t>NEXUS _VARIOS</t>
  </si>
  <si>
    <t>AfichePliego 1.000 unidades</t>
  </si>
  <si>
    <t>Publikraft 05-05-2026 varios.pdf</t>
  </si>
  <si>
    <t>PUBLI KRAFF</t>
  </si>
  <si>
    <t>JOES 05-05-2026 VARIOS</t>
  </si>
  <si>
    <t>JOES PUBLICIDAD</t>
  </si>
  <si>
    <t>44112005-44121702</t>
  </si>
  <si>
    <t>Agendas con esfero</t>
  </si>
  <si>
    <t xml:space="preserve">Agenda:  Tamaño cuaderno (21,5 x 14 cm), 80 hojas internas  papel bond 76 gms impresas a una tinta (1x2)  hojas cuadriculadas, tapa dura, full color, plastificada, anillo doble._x000D_
_x000D_
Esfero: Bolígrafo plástico tinta negra Medidas: 14.5 cm, con sistema retráctil._x000D_
_x000D_
</t>
  </si>
  <si>
    <t>Carol López</t>
  </si>
  <si>
    <t>Inventiva_varios 17-02-2026.pdf</t>
  </si>
  <si>
    <t>Maria Conflicto -Vario 19-02-2026.pdf</t>
  </si>
  <si>
    <t>MARIA CONFLICTO</t>
  </si>
  <si>
    <t xml:space="preserve">Agenda:  Tamaño cuaderno (21,5 x 14 cm), 80 hojas internas  papel bond 76 gms impresas a una tinta (1x2)  hojas cuadriculadas, tapa dura, full color, plastificada, anillo doble. Con Logos de la Alcaldía aprobados por la oficina de prensa_x000D_
_x000D_
Esfero: Bolígrafo plástico tinta negra Medidas: 14.5 cm, con sistema retráctil._x000D_
_x000D_
</t>
  </si>
  <si>
    <t>Logística</t>
  </si>
  <si>
    <t>Paquete x 24</t>
  </si>
  <si>
    <t>Exito_Agua CRISTAL sin gas botella x24und 300ml</t>
  </si>
  <si>
    <t>Exito</t>
  </si>
  <si>
    <t>Olimpica_ Agua Cristal 300 ML X24 Unds.pdf</t>
  </si>
  <si>
    <t>Olimpica</t>
  </si>
  <si>
    <t>Tiendas Jumbo_Agua Cristal 24 Unidades X 300ml</t>
  </si>
  <si>
    <t>Tiendas Jumbo</t>
  </si>
  <si>
    <t>Se corrige el link 04012026/coti 1</t>
  </si>
  <si>
    <t>OPERADOR LOGÍSTICO</t>
  </si>
  <si>
    <t>Agua en botella x 24 unidades 500 ml</t>
  </si>
  <si>
    <t>Suministro Botellas plástica con Agua.
500 ML</t>
  </si>
  <si>
    <t>SERVICIO</t>
  </si>
  <si>
    <t> </t>
  </si>
  <si>
    <t>Papelería</t>
  </si>
  <si>
    <t>Almohadilla para sellos 12 x 8 cm</t>
  </si>
  <si>
    <t>Almohadilla para sellos 12 x 8 cm. Material esponja absorbente en estuche plástico con tapa.</t>
  </si>
  <si>
    <t>Kaizen Colombia_ Almohadilla Para Sellos Sistec 12X8.5cm (365)</t>
  </si>
  <si>
    <t>Kaizen Colombia</t>
  </si>
  <si>
    <t>Comercializadora tj_Varios</t>
  </si>
  <si>
    <t>Comercializadora Tj</t>
  </si>
  <si>
    <t>Papeleria estacion de suba_Varios</t>
  </si>
  <si>
    <t>Papeleria Estacion de Suba</t>
  </si>
  <si>
    <t>Almuerzo Tipo 1</t>
  </si>
  <si>
    <t>Entrada, sopa o porción de fruta, 2 carnes (130 gr. c/u) + 1 carbohidrato 100 gramos + 1 ensalada 100 gramos + 1 acompañamiento 50 gramos postre 50 gramos + bebida 250 ml.Servicio de samovares y servido en cerámica</t>
  </si>
  <si>
    <t>Inversiones Becorati_Varios _09-02-2026</t>
  </si>
  <si>
    <t>Precio sin Ipoconsumo</t>
  </si>
  <si>
    <t>Si tiene IPOCONSUMO</t>
  </si>
  <si>
    <t>Catering Depot.pdf</t>
  </si>
  <si>
    <t>Catering Depot</t>
  </si>
  <si>
    <t>D&amp;R PRODUCCIONES_LOGISTICA_VARIOS_13-03-2026.pdf</t>
  </si>
  <si>
    <t>Almuerzo Tipo 2</t>
  </si>
  <si>
    <t>Entrada, sopa o porción de fruta, 2 carnes (130 gr. c/u) + 1 carbohidrato 100 gramos + 1 ensalada 100 gramos + 1 acompañamiento 50 gramos + postre 50 gramos + bebida 250 ml. Servicio de samovares y servido en desechables biodegradables</t>
  </si>
  <si>
    <t>Almuerzo Tipo 3 - Vegano</t>
  </si>
  <si>
    <t>Entrada, sopa o porción de fruta, Proteína vegetal + 1 carbohidrato 100 gramos + 1 ensalada 100 gramos + 1 acompañamiento 50 gramos + postre 50 gramos + bebida 250 ml. Servicio de samovares y servido en desechables biodegradables</t>
  </si>
  <si>
    <t>Almuerzo Tipo 4 -Vegetariano</t>
  </si>
  <si>
    <t>Entrada, sopa o porción de fruta, Proteína vegetal + 1 carbohidrato 100 gramos + 1 ensalada 100 gramos + 1 acompañamiento 50 gramos + postre 50 gramos + bebida 250 ml. Servicio de samovares y servido en cerámica</t>
  </si>
  <si>
    <t>80141607-30241601</t>
  </si>
  <si>
    <t>Alquiler  Tarima 12 x 12 Jornada completa</t>
  </si>
  <si>
    <t>Alquiler De Tarima De 12 x 12 (Altura Modular Entre 0.20 Y 1.60) Con Faldón Negro, Escalera De Embarque Y Desembarque, Cinta Anti Deslizante Y Barandas. Incluye Instalación, Transporte Y Entrega En El Lugar Requerido, Montaje Y Desmontaje De La Misma (Jornada día de 8 a 12 horas, sin montaje y desmontaje) Debe contar con techo que cubra la superficie de la tarima en caso de lluvia.</t>
  </si>
  <si>
    <t>D&amp;R PRODUCCIONES_VARIOS_03_02_2026.pdf</t>
  </si>
  <si>
    <t>D&amp;R PRODUCCIONES</t>
  </si>
  <si>
    <t>ACTIVA2_EVENTOS_VARIOS.pdf</t>
  </si>
  <si>
    <t>ACTIVOS2 ENVENTOS</t>
  </si>
  <si>
    <t>PRODUCCIONES_EL_SOL_VARIOS.pdf</t>
  </si>
  <si>
    <t>80141607-92101902</t>
  </si>
  <si>
    <t>Alquiler ambulancia</t>
  </si>
  <si>
    <t>Alquiler de Ambulancia medicalizada durante una jornada de 6 a 8 horas</t>
  </si>
  <si>
    <t>Ambulacias Particulares Ayudar_Ambulancia.pdf</t>
  </si>
  <si>
    <t>Ambulancias Particulares Ayudar</t>
  </si>
  <si>
    <t>Alquiler backline</t>
  </si>
  <si>
    <t>ALQUILER DE BACKLINE PROFESIONAL  COMPUESTO POR: 2 AMPLIFICADORES PROFESIONALES DE GUITARRA CABINA CABEZOTE,  1 AMPLIFICADOR PROFESIONAL DE BAJO CABINA CABEZOTE,  BATERÍA 5 PIEZAS (JORNADA POR EVENTO O DÍA)</t>
  </si>
  <si>
    <t>Alquiler baño portatil tipo 2</t>
  </si>
  <si>
    <t>Alquiler de  2 baños portátiles (sanitario, lavamanos) incluyendo transporte, instalación y desinstalación - tiempo de alquiler 1 día.   incluye instalación, trasporte y entrega en el lugar requerido, montaje y desmontaje</t>
  </si>
  <si>
    <t>Alquiler canal</t>
  </si>
  <si>
    <t>CANAL DEDICADO 1 ALQUILER DE SERVICIO DE CANAL DEDICADO 1:1 TRANSPORTE INTERNET GOLD,  CAPACIDAD DE 10 MEGAS, CON RADIO ENLACE.</t>
  </si>
  <si>
    <t>Alquiler Carpa 2 x 2</t>
  </si>
  <si>
    <t>Alquiler Carpa 2X2 con laterales. Incluye transporte, instalación y entrega en el lugar requerido, montaje y desmontaje, alquiler por día.</t>
  </si>
  <si>
    <t>Alquiler Carpa 4 x 4</t>
  </si>
  <si>
    <t>Alquiler Carpa 4X4 con laterales. Incluye transporte, instalación y entrega en el lugar requerido, montaje y desmontaje, alquiler por día.</t>
  </si>
  <si>
    <t>On Music Eventos_Varios.pdf</t>
  </si>
  <si>
    <t>On Music Eventos</t>
  </si>
  <si>
    <t>Carol Lopez</t>
  </si>
  <si>
    <t>PROVENSA 17-04-2026.pdf</t>
  </si>
  <si>
    <t>Alquiler Carpa Hangar Circular</t>
  </si>
  <si>
    <t>ALQUILER CARPA - HANGAR- CIRCULAR
(1) 6 MTS DE ANCHO X   6 MTS DE LARGO
(2) CON MECANISMO CORREDIZO OPCIÓN   HORIZONTAL O VERTICAL DE LATERALES
(3) PARALES DE 2,40 METROS DE ALTURA APROX
(4) 2,00 METROS DEL INICIO DE LA PARÁBOLA AL PUNTO CENTRAL DEL TECHO
(5) ALTURA CENTRAL 5 MTS
(6) LONA PLÁSTICA CON MICROFIBRAS INTERNAS TOTALMENTE IMPERMEABLE PARA EL TECHO
(7) INCLUYE TRANSPORTE, MONTAJE Y DESMONTAJE 
(8)  JORNADA POR EVENTO O DÍA</t>
  </si>
  <si>
    <t>Alquiler Carpa Pagoda 4 x 4</t>
  </si>
  <si>
    <t>CARPA PAGODA DE 4X4 CON LATERALES  INCLUYE INSTALACIÓN, TRASPORTE Y ENTREGA EN EL LUGAR REQUERIDO, MONTAJE Y DESMONTAJE DE LA MISMA (JORNADA POR EVENTO O DÍA)</t>
  </si>
  <si>
    <t>R Y F</t>
  </si>
  <si>
    <t>Alquiler manteles 2x2 pvc</t>
  </si>
  <si>
    <t xml:space="preserve">ALQUILER MANTELES DE COLOR BLANCO CON TAPA DE 2X2 EN PVC DRECRON POLIESTER CON REFUERZO EN TELA NO TEJIDA DE 25GR. PARA MESA RECTANGULAR. POR EVENTO O DÍA, INCLUYE TRANSPORTE, </t>
  </si>
  <si>
    <t>Alquiler MEC</t>
  </si>
  <si>
    <t xml:space="preserve">ALQUILER DE MEC (MÓDULO DE ESTABILIZACIÓN Y CLASIFICACIÓN), EN LOS EVENTOS MASIVOS SIEMPRE SE TIENE POR SOLICITUD DE LOS ENTES REGULADORES, ES EL ELEMENTO CENTRAL PARA LA ATENCIÓN A POSIBLES VÍCTIMAS DE LA CADENA DE SOCORRO DONDE INICIA LA ATENCIÓN MÉDICA Y SE CLASIFICA EL TIPO DE EMERGENCIA Y LA NECESIDAD DE TRASLADAR O NO UN POSIBLE AFECTADO A UN CENTRO DE ATENCIÓN O SE LE PRESTAN LOS PRIMEROS AUXILIOS BÁSICOS QUE REQUIERA. EVENTO DE 6 A 8. </t>
  </si>
  <si>
    <t>Alquiler metro de extensión</t>
  </si>
  <si>
    <t xml:space="preserve">ALQUILER METRO LINEAL DE EXTENSIÓN DE 10 BOMBILLOS LED TIPO PING PONG 3W ENTRE CADA UNO PARA EXTERIORES CON INSTALACIÓN Y DESINSTALACIÓN INCLUIDA.(SERVICIO POR EVENTO DE 4 A 6 HORAS) </t>
  </si>
  <si>
    <t xml:space="preserve">ALQUILER METRO LINEAL DE EXTENSIÓN DE 15 BOMBILLOS LED TIPO PING PONG 3W ENTRE CADA UNO PARA EXTERIORES CON INSTALACIÓN Y DESINSTALACIÓN INCLUIDA.(SERVICIO POR EVENTO DE 4 A 6 HORAS) </t>
  </si>
  <si>
    <t xml:space="preserve">ALQUILER METRO LINEAL DE EXTENSIÓN DE 20 BOMBILLOS LED TIPO PING PONG 3W ENTRE CADA UNO PARA EXTERIORES CON INSTALACIÓN Y DESINSTALACIÓN INCLUIDA.(SERVICIO POR EVENTO DE 4 A 6 HORAS) </t>
  </si>
  <si>
    <t xml:space="preserve">ALQUILER METRO LINEAL DE EXTENSIÓN DE 10 BOMBILLOS LED TIPO PING PONG 3W ENTRE CADA UNO PARA INTERIORES CON INSTALACIÓN Y DESINSTALACIÓN INCLUIDA.(SERVICIO POR EVENTO DE 4 A 6 HORAS) </t>
  </si>
  <si>
    <t xml:space="preserve">ALQUILER METRO LINEAL DE EXTENSIÓN DE 15 BOMBILLOS LED TIPO PING PONG 3W ENTRE CADA UNO PARA INTERIORES CON INSTALACIÓN Y DESINSTALACIÓN INCLUIDA. (SERVICIO POR EVENTO DE 4 A 6 HORAS) </t>
  </si>
  <si>
    <t xml:space="preserve">ALQUILER METRO LINEAL DE EXTENSIÓN DE 20 BOMBILLOS LED TIPO PING PONG 3W ENTRE CADA UNO PARA INTERIORES CON INSTALACIÓN Y DESINSTALACIÓN INCLUIDA.  (SERVICIO POR EVENTO DE 4 A 6 HORAS) </t>
  </si>
  <si>
    <t>Alquiler pantalla</t>
  </si>
  <si>
    <t>ALQUILER DE PANTALLA LED
DE 48 A 65 PULGADAS O TELEVISOR SMART TV CON ESTRUCTURA, CABLEADO NECESARIO, TRANSPORTE, INSTALACIÓN, DESINSTALACIÓN Y OPERARIO. (JORNADA 4 HORAS)</t>
  </si>
  <si>
    <t>Alquiler pantalla gigante</t>
  </si>
  <si>
    <t>ALQUILER DE PANTALLA GIGANTE CON ESTRUCTURA
(1) PANTALLAS LED DE 3.5 PITCH (2) LED INDOOR – OUTDOOR TIPO PIXEL PITCH  (3) TAMAÑO DE PANTALLA 3 MTS DE ANCHO X 2 MTS DE ALTO  (4) CON SDI (5) PARA CONEXIÓN DE HDMI, (6) INCLUYE TRANSPORTE, MONTAJE Y DESMONTAJE  (7) CARACTERÍSTICAS POR MÓDULO DE PANTALLA: ALTO CM (H): 500, LARGO CM (H): 500, GROSOR CM (H): 89,75,PITCH: 3, RESOLUCIÓN PIXELES: 128X128 (8) CON ESTRUCTURA DE SUSPENSIÓN DE PANTALLA AJUSTABLE A 50 CM Y 100 CM DEL PISO  (9) SERVICIO 8 HORAS</t>
  </si>
  <si>
    <t>Alquiler pisacable</t>
  </si>
  <si>
    <t>ALQUILER PISACABLE ALTO TRÁFICO- METRO - DIA</t>
  </si>
  <si>
    <t>Alquiler planta electrica  25 KVA</t>
  </si>
  <si>
    <t>ALQUILER DE PLANTA ELÉCTRICA DE 25 KVA: PLANTA ELECTRICA DE 25 KVA INSONORIZADA, QUE INCLUYA TRANSPORTE, PARCIAL DE CORRIENTE DE 10 METROS, TRIFÁSICA, TIERRA Y NEUTRO CON OPERARIO DISPONIBLE JORNADA POR EVENTO O DÍA</t>
  </si>
  <si>
    <t>Alquiler planta electrica 120 KVA</t>
  </si>
  <si>
    <t>ALQUILER DE PLANTA ELÉCTRICA DE 120 KVA: PLANTA ELECTRICA DE 120 KVA INSONORIZADA, QUE INCLUYA TRANSPORTE, PARCIAL DE CORRIENTE DE 10 METROS, TRIFÁSICA, TIERRA Y NEUTRO CON OPERARIO DISPONIBLE JORNADA POR EVENTO O DÍA.</t>
  </si>
  <si>
    <t>Alquiler planta electrica 200 KVA</t>
  </si>
  <si>
    <t>ALQUILER DE PLANTA ELÉCTRICA DE 200 KVA: PLANTA ELECTRICA DE 200 KVA INSONORIZADA, QUE INCLUYA TRANSPORTE, PARCIAL DE CORRIENTE DE 10 METROS, TRIFÁSICA, TIERRA Y NEUTRO CON OPERARIO DISPONIBLE JORNADA POR EVENTO O DÍA</t>
  </si>
  <si>
    <t>Alquiler planta electrica 250 KVA</t>
  </si>
  <si>
    <t>ALQUILER DE PLANTA ELÉCTRICA DE 250 KVA: PLANTA ELECTRICA DE 250 KVA INSONORIZADA, QUE INCLUYA TRANSPORTE, PARCIAL DE CORRIENTE DE 10 METROS, TRIFÁSICA, TIERRA Y NEUTRO CON OPERARIO DISPONIBLE JORNADA POR EVENTO O DÍA</t>
  </si>
  <si>
    <t>80141607-26111600</t>
  </si>
  <si>
    <t>Alquiler planta electrica 50 KVA</t>
  </si>
  <si>
    <t>Alquiler de planta eléctrica de 50 KVA, que incluya transporte: Planta eléctrica de 50 KVA insonorizada, parcial de corriente de 10 metros, trifásica, tierra y neutro con operario disponible jornada por evento o día.</t>
  </si>
  <si>
    <t>CJ POWER SAS- Plantas Electricas_12-02-2026.pdf</t>
  </si>
  <si>
    <t>CJ POWER SAS</t>
  </si>
  <si>
    <t>Alquiler planta electrica 75 KVA</t>
  </si>
  <si>
    <t>ALQUILER DE PLANTA ELÉCTRICA DE 75 KVA: PLANTA ELECTRICA DE 75 KVA INSONORIZADA, QUE INCLUYA TRANSPORTE, PARCIAL DE CORRIENTE DE 10 METROS, TRIFÁSICA, TIERRA Y NEUTRO CON OPERARIO DISPONIBLE JORNADA POR EVENTO O DÍA</t>
  </si>
  <si>
    <t>Alquiler punto corriente</t>
  </si>
  <si>
    <t>ALQUILER DE PUNTO DE CORRIENTE CON TOMA DOBLE TIPO LEVINTON Y CABLE ENCAUCHETADO, LA ELECTRICIDAD SALE DE LAS PLANTAS QUE SE ALQUILAN PARA EL EVENTO, DISPONIBLE JORNADA DE 7 A 10 HORAS.</t>
  </si>
  <si>
    <t>Alquiler señalizador</t>
  </si>
  <si>
    <t>ALQUILER SEÑALIZADOR TUBULAR
POSTE DELIMITADOR DE POLIETILENO HDPE COLOR NARANJA CINTA REFLECTIVA ALTA INTENSIDAD TIPO IV, III NTC 4739-99 O PRISMÁTICA PESO: 1.82 KG USO OBLIGATORIO EN TRABAJOS DE OBRAS VIALES Y CIVILES QUE IMPLIQUEN RIESGO PARA PEATONES Y CONDUCTORES. BASE: ALTO (32 CM) Y DIÁMETRO (35 CM) COLUMNA ALTO (98 CM) Y DIÁMETRO (7.5 CM)
(JORNADA ENTRE 4 Y HASTA 10 HORAS DÍA)</t>
  </si>
  <si>
    <t>Alquiler sobretarima 3 x 3</t>
  </si>
  <si>
    <t>ALQUILER DE SOBRETARIMA DE 3X3 (ALTURA MODULAR ENTRE 0.20 Y 0.80) CON ALFOMBRA Y LAS ESCALERAS RESPECTIVAS   INCLUYE INSTALACIÓN, TRANSPORTE Y ENTREGA EN EL LUGAR REQUERIDO, MONTAJE Y DESMONTAJE DE LA MISMA  (POR EVENTO O DÍA)</t>
  </si>
  <si>
    <t>Alquiler sobretarima 4 x 4</t>
  </si>
  <si>
    <t>ALQUILER DE SOBRETARIMA DE 4X4 (ALTURA MODULAR ENTRE 0.20 Y 0.80) CON ALFOMBRA Y LAS ESCALERAS RESPECTIVAS   INCLUYE INSTALACIÓN, TRANSPORTE Y ENTREGA EN EL LUGAR REQUERIDO, MONTAJE Y DESMONTAJE DE LA MISMA  (JORNADA POR EVENTO O DÍA)</t>
  </si>
  <si>
    <t>EFECTO_MASIVO_24_03.pdf</t>
  </si>
  <si>
    <t>EFECTO_MASIVO</t>
  </si>
  <si>
    <t>Michael</t>
  </si>
  <si>
    <t>Alquiler sobretarima 5 x 5</t>
  </si>
  <si>
    <t>ALQUILER DE SOBRETARIMA DE 5X5 (ALTURA MODULAR ENTRE 0.20 Y 0.80) CON ALFOMBRA Y LAS ESCALERAS RESPECTIVAS   INCLUYE INSTALACIÓN, TRANSPORTE Y ENTREGA EN EL LUGAR REQUERIDO, MONTAJE Y DESMONTAJE DE LA MISMA  (JORNADA POR EVENTO O DÍA)</t>
  </si>
  <si>
    <t>Alquiler sobretarima 6 x 6</t>
  </si>
  <si>
    <t>ALQUILER DE SOBRETARIMA DE 6X6 (ALTURA MODULAR ENTRE 0.20 Y 0.80) CON ALFOMBRA Y LAS ESCALERAS RESPECTIVAS   INCLUYE INSTALACIÓN, TRANSPORTE Y ENTREGA EN EL LUGAR REQUERIDO, MONTAJE Y DESMONTAJE DE LA MISMA  (JORNADA POR EVENTO O DÍA)</t>
  </si>
  <si>
    <t>80141607-45111503</t>
  </si>
  <si>
    <t>Alquiler Sonido 1000 w 6 a 8 horas</t>
  </si>
  <si>
    <t>Michael Bautista</t>
  </si>
  <si>
    <t>D&amp;R PRODUCCIONES_13_03_26.pdf</t>
  </si>
  <si>
    <t>ACTIVA2_EVENTOS_20_03.pdf</t>
  </si>
  <si>
    <t>Alquiler de Sonido de 1000 watios con operario por un periodo de 8 a 12 horas 2 cabinas de sonido, 2 trípodes para cabinas, sistema de monitoreo, set de micrófono, 1 consola de sonido.</t>
  </si>
  <si>
    <t>Alquiler sonido 13.000 WATTS</t>
  </si>
  <si>
    <t>Alquiler de sonido profesional de 13.000 watts
Line array para exteriores compuesto por 6 cabinas autopotenciadas a 3 vías en sta king de 1080 watts c/u, 2 bajos dobles de 3.600 vatios  c/u , 1 side fill, 2 monitores de 1.000 vatios cada uno, consola digital de 32 canales, 1 micrófono inalámbrico, microfoneria para grupos alámbrica, incluye kit de batería y bases de micrófonos - tiempo de alquiler 1 día. Instalación, transporte y desinstalación.</t>
  </si>
  <si>
    <t>LOGISTBOX L&amp;L SAS.pdf</t>
  </si>
  <si>
    <t>Alquiler sonido 2.000 Watts</t>
  </si>
  <si>
    <t>ALQUILER DE SONIDO DE 2000 WATTS
INCLUYE 2 CABINAS, 1 CONSOLA, 1  UNIDAD LECTORA DE DVD, MICRÓFONO ALÁMBRICO E INALÁMBRICO, BASE  PARA MICRÓFONO, TRÍPODES PARA CABINA Y 1 TÉCNICO DE SONIDO, CABLES  Y CONEXIONES - TIEMPO DE ALQUILER 1 DÍA. INSTALACIÓN, TRANSPORTE  Y DESINSTALACIÓN</t>
  </si>
  <si>
    <t>Alquiler Sonido 2000 w 6 a 8 horas</t>
  </si>
  <si>
    <t>Alquiler de Sonido de 2000 watios con operario por un periodo de 6 a 8 horas 2 cabinas de sonido, 2 trípodes para cabinas, sistema de monitoreo, set de micrófono, 1 consola de sonido.</t>
  </si>
  <si>
    <t xml:space="preserve">Michael Bautista </t>
  </si>
  <si>
    <t>Alquiler Sonido 2000 w 8 a 12 horas</t>
  </si>
  <si>
    <t>Alquiler de Sonido de 2000 watios con operario por un periodo de 8 a 12 horas 2 cabinas de sonido, 2 trípodes para cabinas, sistema de monitoreo, set de micrófono, 1 consola de sonido.</t>
  </si>
  <si>
    <t>Alquiler Sonido 2000 w completo 8 a 12 horas</t>
  </si>
  <si>
    <t xml:space="preserve">Alquiler de sonido de 2.000 watts,2 cabinas para público
8 micrófonos dinámicos, 
2 micrófonos condensadores
2 cajas directas activas
1 con sola análoga 16 canales
1 ecualizador gráfico
1 reverberación digital
1 cd player (mp3, wap, cd, dvd)
2 monitores para escenario
Técnico de sonido y operario de montaje, cables y conexiones Alquiler por día
instalación, transporte y desinstalación
</t>
  </si>
  <si>
    <t>Alquiler sonido 4.000 Watts</t>
  </si>
  <si>
    <t>ALQUILER DE SONIDO DE 4.000 WATTS
INCLUYE 8 MICRÓFONOS DINÁMICOS, 2 MICRÓFONOS CONDENSADORES, 2 CAJAS DIRECTAS ACTIVAS, 1 CON SOLA ANÁLOGA 16 CANALES, 1 ECUALIZADOR GRÁFICO, 1 REVERBERACIÓN DIGITAL, 1 CD PLAYER (MP3, WAP, CD, DVD), 2 CABINAS PARA PÚBLICO, 2  MONITORES PARA ESCENARIO, TÉCNICO DE SONIDO Y OPERARIO DE MONTAJE, CABLES Y CONEXIONES - TIEMPO DE ALQUILER DÍA. INSTALACIÓN, TRANSPORTE Y DESINSTALACIÓN</t>
  </si>
  <si>
    <t>Alquiler sonido 6.000 Watts</t>
  </si>
  <si>
    <t>ALQUILER DE SONIDO PROFESIONAL 6000 WATTS
PARA CONFERENCIA CON DOS (2) SISTEMAS LINE ARRAY TIPO COLUMNA BI-AMPLIFICADO ACTIVO A 12 VÍAS, 6 WOOFERS DE 4" Y 4 TWEETERS NEODIMIO DE 1" EN BOCINA, DE  2200 VATIOS CADA UNO, CON SUBWOOFER ACTIVO DOBLE DE 8" DE ALTA  CAPACIDAD DE EXCURSIÓN. CONSOLA DE 16 CANALES DIGITAL CON EFECTOS  DE MARCA RECONOCIDA, 1 MICRÓFONO INALÁMBRICO ULX BETA 58, 8 ALÁMBRICOS DE MESA, CABLEADO PROFESIONAL - TIEMPO DE ALQUILER 1  DÍA. INSTALACIÓN, TRANSPORTE Y DESINSTALACIÓN</t>
  </si>
  <si>
    <t>Alquiler sonido 7.000 Watts</t>
  </si>
  <si>
    <t>ALQUILER DE SONIDO PROFESIONAL DE 7.000 WATTS LINE ARRAY.
CON SISTEMA Y MICROFONERÍA COMPLETO PARA PRESENTACIONES. INCLUYE 8 MICRÓFONOS DINÁMICOS, 2 MICRÓFONOS CONDENSADORES, 4 CAJAS DIRECTAS ACTIVAS, 1 CONSOLA ANÁLOGA 16 CANALES, 1 ECUALIZADOR GRÁFICO, 1 REVERBERACIÓN DIGITAL, 1 SNAKE DE 8 CANALES Y 10 METROS, 1 CD PLAYER (MP3, WAP, CD, DVD), 2 CABINAS PARA PÚBLICO, 4  MONITORES PARA ESCENARIO, TÉCNICO DE SONIDO Y OPERARIO DE MONTAJE, CABLES Y CONEXIONES - TIEMPO DE ALQUILER 1 DÍA. INSTALACIÓN, TRANSPORTE Y DESINSTALACIÓN</t>
  </si>
  <si>
    <t>Alquiler tablero</t>
  </si>
  <si>
    <t>ALQUILER TABLERO ROMPETRÁFICO.
TABLERO ROMPETRÁFICO DOBLE CARA CON MARCO EN MADERA DE 15 CMS (LARGO) * 85 CMS (ANCHO)
(JORNADA ENTRE 4 Y HASTA 10 HORAS DÍA)</t>
  </si>
  <si>
    <t>Alquiler Tarima 12 x 12 Media Jornada</t>
  </si>
  <si>
    <t>Alquiler De Tarima De 12 x 12 (Altura Modular Entre 0.20 Y 1.60) Con Faldón Negro, Escalera De Embarque Y Desembarque, Cinta Anti Deslizante Y Barandas. Incluye Instalación, Transporte Y Entrega En El Lugar Requerido, Montaje Y Desmontaje De La Misma (Media Jornada 4 a 6 horas, sin montaje y desmontaje) Debe contar con techo que cubra la superficie de la tarima en caso de lluvia.</t>
  </si>
  <si>
    <t xml:space="preserve">Alquiler Tarima 3 x 3 Jornada completa
</t>
  </si>
  <si>
    <t>Tarima un solo módulo de 3 m x 3 m y altura de 1,20 m, con faldón negro y una escalera de embarque con cinta antideslizante, barandas y  señalización con cinta reflectiva., con acceso a personas con discapacidad. Incluye Instalación, Transporte Y Entrega En El Lugar Requerido, Montaje Y Desmontaje De La Misma (Jornada día de 8 a 12 horas, sin montaje y desmontaje)  Debe contar con techo que cubra la superficie de la tarima en caso de lluvia.</t>
  </si>
  <si>
    <t xml:space="preserve">Alquiler Tarima 3 x 3 Media Jornada
</t>
  </si>
  <si>
    <t>Tarima un solo módulo de 3 m x 3 m y altura de 1,20 m, con faldón negro y una escalera de embarque con cinta antideslizante, barandas y  señalización con cinta reflectiva., con acceso a personas con discapacidad. Incluye Instalación, Transporte Y Entrega En El Lugar Requerido, Montaje Y Desmontaje De La Misma (Media Jornada 4 a 6 horas, sin montaje y desmontaje)  Debe contar con techo que cubra la superficie de la tarima en caso de lluvia.</t>
  </si>
  <si>
    <t>Alquiler tarima 3.60  x 8.40</t>
  </si>
  <si>
    <t>ALQUILER DE TARIMA DE 3.60 X8.40 (ALTURA MODULAR ENTRE 0.20 Y 1.60) CON FALDON NEGRO, ESCALERA DE EMBARQUE Y DESEMBARQUE, CINTA ANTI DESLIZANTE Y BARANDAS.   INCLUYE INSTALACIÓN, TRANSPORTE Y ENTREGA EN EL LUGAR REQUERIDO, MONTAJE Y DESMONTAJE DE LA MISMA  (JORNADA POR EVENTO O DÍA)</t>
  </si>
  <si>
    <t>Alquiler Tarima 4 x 4 Jornada Completa</t>
  </si>
  <si>
    <t>Tarima un solo módulo de 4 m x 4 m y altura de 1,20 m, con faldón negro y una escalera de embarque con cinta antideslizante, barandas y  señalización con cinta reflectiva., con acceso a personas con discapacidad. Incluye Instalación, Transporte Y Entrega En El Lugar Requerido, Montaje Y Desmontaje De La Misma (Jornada día de 8 a 12 horas, sin montaje y desmontaje)  Debe contar con techo que cubra la superficie de la tarima en caso de lluvia.</t>
  </si>
  <si>
    <t>PRODUCCIONES_EL_SOL_19_03.pdf</t>
  </si>
  <si>
    <t xml:space="preserve">PRODUCCIONES EL SOL </t>
  </si>
  <si>
    <t>Alquiler tarima 4.88 x 3.66</t>
  </si>
  <si>
    <t>ALQUILER DE TARIMA DE 4,88 X 3,66 (ALTURA MODULAR ENTRE 0.20 Y 1.60) CON FALDON NEGRO, ESCALERA DE EMBARQUE Y DESEMBARQUE, CINTA ANTI DESLIZANTE Y BARANDAS. INCLUYE INSTALACIÓN, TRASPORTE Y ENTREGA EN EL LUGAR REQUERIDO, MONTAJE Y DESMONTAJE DE LA MISMA  (JORNADA POR EVENTO O DÍA)</t>
  </si>
  <si>
    <t>Alquiler tarima 5 x 5</t>
  </si>
  <si>
    <t>ALQUILER DE TARIMA DE 5X5 (ALTURA MODULAR ENTRE 0.20 Y 1.60) CON FALDON NEGRO, ESCALERA DE EMBARQUE Y DESEMBARQUE, CINTA ANTI DESLIZANTE Y BARANDAS.   INCLUYE INSTALACIÓN, TRANSPORTE Y ENTREGA EN EL LUGAR REQUERIDO, MONTAJE Y DESMONTAJE DE LA MISMA  (JORNADA POR EVENTO O DÍA)</t>
  </si>
  <si>
    <t xml:space="preserve">Alquiler Tarima 6 x 6 Media Jornada
</t>
  </si>
  <si>
    <t>Tarima un solo módulo de 6 m x 6 m y altura de 1,20 m, con faldón negro y una escalera de embarque con cinta antideslizante, barandas y  señalización con cinta reflectiva., con acceso a personas con discapacidad. Incluye Instalación, Transporte Y Entrega En El Lugar Requerido, Montaje Y Desmontaje De La Misma (Media Jornada 4 a 6 horas, sin montaje y desmontaje)  Debe contar con techo que cubra la superficie de la tarima en caso de lluvia.</t>
  </si>
  <si>
    <t>Alquiler Tarima 9 x 9  Media Jornada</t>
  </si>
  <si>
    <t>Alquiler De Tarima De 9x9 (Altura Modular Entre 0.20 Y 1.60) Con Faldón Negro, Escalera De Embarque Y Desembarque, Cinta Anti Deslizante Y Barandas. Incluye Instalación, Transporte Y Entrega En El Lugar Requerido, Montaje Y Desmontaje De La Misma (Media Jornada 4 a 6 horas, sin montaje y desmontaje) Debe contar con techo que cubra la superficie de la tarima en caso de lluvia.</t>
  </si>
  <si>
    <t>Alquiler Tarima 9 x 9 Jornada completa</t>
  </si>
  <si>
    <t>Alquiler De Tarima De 9x9 (Altura Modular Entre 0.20 Y 1.60) Con Faldón Negro, Escalera De Embarque Y Desembarque, Cinta Anti Deslizante Y Barandas. Incluye Instalación, Transporte Y Entrega En El Lugar Requerido, Montaje Y Desmontaje De La Misma (Jornada día de 8 a 12 horas, sin montaje y desmontaje) Debe contar con techo que cubra la superficie de la tarima en caso de lluvia.</t>
  </si>
  <si>
    <t>Alquiler techo 12 x 12</t>
  </si>
  <si>
    <t>ALQUILER TECHO EN ESTRUCTURA DE TRUSS PARA TARIMA DE 12X12 POR JORNADA DE 12 HORAS (CON MONTAJE EL DÍA ANTERIOR) * REQUIERE TENER CERTIFICACIÓN ESTRUCTURAL   INCLUYE INSTALACIÓN, TRANSPORTE Y ENTREGA EN EL LUGAR REQUERIDO, MONTAJE Y DESMONTAJE DE LA MISMA  (JORNADA POR EVENTO O DÍA)</t>
  </si>
  <si>
    <t>Alquiler techo tarima 6  x 6</t>
  </si>
  <si>
    <t>ALQUILER TECHO EN ESTRUCTURA DE TRUSS PARA TARIMA DE 6X6.   INCLUYE INSTALACIÓN, TRANSPORTE Y ENTREGA EN EL LUGAR REQUERIDO, MONTAJE Y DESMONTAJE DE LA MISMA  (JORNADA POR EVENTO O DÍA)</t>
  </si>
  <si>
    <t>Alquiler vallas</t>
  </si>
  <si>
    <t>ALQUILER DE VALLAS TIPO CONCIERTO
ALQUILER DE VALLAS TIPO CONCIERTO CON LAS SIGUIENTES DIMENSIONES: LARGO: 2,00MTS ANCHO: 1,40 MTS DIÁMETRO DE TUBO: 11/4 PULGADAS. FABRICADAS EN TUBO DE ALTA RESISTENCIA. PATAS DE 40 CM. POR 20 CM. PARA PERFECTO SOSTENIMIENTO. INCLUYE TRANSPORTE, INSTALACIÓN Y ENTREGA EN EL LUGAR REQUERIDO.
(JORNADA ENTRE 4 Y HASTA 10 HORAS DÍA)</t>
  </si>
  <si>
    <t>Alquiler video proyector y computador</t>
  </si>
  <si>
    <t xml:space="preserve">ALQUILER DE PROYECTOR DE VIDEO Y COMPUTADOR PORTÁTIL
CON TELÓN DE PROYECCIÓN DE 2X2 O DE 3X4 Y DEMÁS ELEMENTOS NECESARIOS PARA LA PRESTACIÓN DEL SERVICIO. MÍNIMO 2.000 LUMENS CON SOPORTE. INCLUYE TRANSPORTE, INSTALACIÓN Y OPERARIO. (JORNADA 4 HORAS) </t>
  </si>
  <si>
    <t>Alquiles radio de comnicación</t>
  </si>
  <si>
    <t>ALQUILER RADIO DE COMUNICACIÓN
1 RADIO  1 ANTENA 1 CLIP DE CINTURÓN 2 BATERÍAS 1 CARGADOR (ENCHUFE CARGA RÁPIDA) ALCANCE: DISTANCIA QUE DA EL RADIO ES DE UNOS 2 KILÓMETROS EN LA CUIDAD Y EN CAMPO ABIERTO 7 KILÓMETROS FRECUENCIA UHF -VH CAPACIDAD DEL CANAL: 16. SERVICIO POR DÍA</t>
  </si>
  <si>
    <t>Animador</t>
  </si>
  <si>
    <t>ANIMADOR CON EXPERIENCIA
(JORNADA ENTRE 5 Y HASTA 10 HORAS DÍA).</t>
  </si>
  <si>
    <t>Arcilla por  libra</t>
  </si>
  <si>
    <t>Arcilla para modelar, paquete por libra, colores surtidos</t>
  </si>
  <si>
    <t>Cartel arte y papeleria_varios</t>
  </si>
  <si>
    <t>CARTEL ARTE Y PAPELERIA</t>
  </si>
  <si>
    <t>Gran papelera_Varios 11-02-2026</t>
  </si>
  <si>
    <t>La gran Papeleria</t>
  </si>
  <si>
    <t>Auditorio 500 personas</t>
  </si>
  <si>
    <t>Alquiler salón de conferencias
Jornada completa
Capacidad para 500 personas.  
- sillas tapizadas
- Sistema de sonido, computador portátil y video beam
- 1 tablero
- Baños equipados (Jabón, Papel y Papeleras)
-Accesos para personas con discapacidad
-Servicio de Vigilancia y aseo</t>
  </si>
  <si>
    <t>Auditorio para 100 personas jornada completa</t>
  </si>
  <si>
    <t>Alquiler salón de conferencias
Jornada completa
Capacidad para 100 personas.  
- sillas tapizadas
- Sistema de sonido, computador portátil y video beam
- 1 tablero
- Baños equipados (Jabón, Papel y Papeleras)
-Accesos para personas con discapacidad
-Servicio de Vigilancia y aseo</t>
  </si>
  <si>
    <t>Espacio Físico</t>
  </si>
  <si>
    <t>80131500 - 90111603</t>
  </si>
  <si>
    <t>Auditorio para 100 personas media jornada</t>
  </si>
  <si>
    <t>Alquiler salón de conferencias 
Media Jornada
Capacidad para 100 personas.   
- sillas tapizadas 
- Sistema de sonido y video beam 
- 1 tablero 
- Baños equipados (Jabón, Papel y Papeleras) 
-Accesos para personas con discapacidad
-Servicio de Vigilancia y aseo</t>
  </si>
  <si>
    <t>Laura Pisco</t>
  </si>
  <si>
    <t>COMPENSAR_13_03_26.pdf</t>
  </si>
  <si>
    <t>COMPENSAR</t>
  </si>
  <si>
    <t>Mozarella de Eventos sas_Auditorios</t>
  </si>
  <si>
    <t>Mozarella de Eventos sas</t>
  </si>
  <si>
    <t>ASOCIACION COLOMBIANA DE MEDICOS VETERINARIOS Y ZOOTECNISTAS ESPECIALISTAS EN AVICULTURA.pdf</t>
  </si>
  <si>
    <t>ASOCIACION COLOMBIANA DE MEDICOS VETERINARIOS Y ZOOTECNISTAS ESPECIALISTAS EN AVICULTURA</t>
  </si>
  <si>
    <t>Auditorio para 50 personas jornada completa</t>
  </si>
  <si>
    <t>Alquiler salón de conferencias
Jornada completa
Capacidad para 50 personas.  
- sillas tapizadas
- Sistema de sonido, computador portátil y video beam
- 1 tablero
- Baños equipados (Jabón, Papel y Papeleras)
-Accesos para personas con discapacidad
-Servicio de Vigilancia y aseo</t>
  </si>
  <si>
    <t>Auditorio para 50 personas media jornada</t>
  </si>
  <si>
    <t>Alquiler salón de conferencias _x000D_
Media Jornada_x000D_
Capacidad para 50  personas.   _x000D_
_x000D_
- sillas tapizadas _x000D_
- Sistema de sonio y video beam _x000D_
- 1 tablero _x000D_
- Baños equipados (Jabón, Papel y Papeleras) _x000D_
-Accesos para personas con discapacidad_x000D_
-Servicio de Vigilancia y aseo</t>
  </si>
  <si>
    <t>Carol lópez</t>
  </si>
  <si>
    <t>AMCI INGENIEROS 17-04-2026 .pdf</t>
  </si>
  <si>
    <t>AMCI INGENIERIAS SAS</t>
  </si>
  <si>
    <t>Bisturí mediano</t>
  </si>
  <si>
    <t>Bisturí mediano,  hoja de 9 mm en acero al carbono de alta resistencia con segmentos pre-cortados para renovación de filo, cuerpo de polímero de alto impacto o aluminio con guía interna de acero inoxidable para evitar flexiones. Incorpora un sistema de seguridad Auto-Lock o bloqueo por tornillo, diseño ergonómico con grip antideslizante, clip de sujeción para bolsillo y una tapa posterior con ranura diseñada para el quiebre seguro de las cuchillas agotadas.</t>
  </si>
  <si>
    <t>JEN SA_Bisturí multiusos cuerpo metálico DISCOVER 9 mm</t>
  </si>
  <si>
    <t>JEN SA</t>
  </si>
  <si>
    <t>Adh Papeles Adhesivos_BISTURI METALICO ADH DE 9 MM METALICO CT-61231</t>
  </si>
  <si>
    <t>ADH PAPELES ADHESIVOS</t>
  </si>
  <si>
    <t>Easy Colombia_Bisturí 9 mm Forte</t>
  </si>
  <si>
    <t>EASY COLOMBIA</t>
  </si>
  <si>
    <t>Gran Papelera</t>
  </si>
  <si>
    <t>Cartel Arte y papeleria</t>
  </si>
  <si>
    <t>Icopel_Bitácora icopel ½ papel bond 50 hojas</t>
  </si>
  <si>
    <t>Icopel</t>
  </si>
  <si>
    <t>Block iris tamaño carta</t>
  </si>
  <si>
    <t>Block de papel Iris, con hojas de 125 g/m², tamaño carta (21.6 x 27.9 cm), x 50 hojas</t>
  </si>
  <si>
    <t>Tienda estudiantil_Varios</t>
  </si>
  <si>
    <t>Tienda Estudiantil</t>
  </si>
  <si>
    <t>Renovacion libreria y papeleria_Varios 16-02-2026...</t>
  </si>
  <si>
    <t>Renovacion Libreria y Papeleria</t>
  </si>
  <si>
    <t>Block iris tamaño oficio</t>
  </si>
  <si>
    <t>Block de papel Iris, con hojas de 125 g/m²,tamaño oficio (21.6 x 33 cm), x 50 hojas</t>
  </si>
  <si>
    <t>Block papel acuarela tamaño carta</t>
  </si>
  <si>
    <t>Block papel acuarela tamaño carta (21.6 x 27.9 cm). prensado en frío (grano fino o medio). Libre de ácido, resistente al agua y pigmentos.</t>
  </si>
  <si>
    <t>Tienda estudiantil_Varios.pdf</t>
  </si>
  <si>
    <t>Comercializadora TJ</t>
  </si>
  <si>
    <t>Block papel mantequilla tamaño carta (50 h)</t>
  </si>
  <si>
    <t>Papel mantequilla block tamaño carta  Gramaje: 40–60 g/m² aprox., 35 -40 hojas Translúcido, superficie lisa y semipermeable.</t>
  </si>
  <si>
    <t>Block papel origami 15cm x 15cm</t>
  </si>
  <si>
    <t>Block de papel Origami, 50 hojas Medidas: 15 cm x 15 cm x 0.8 cm en empaque</t>
  </si>
  <si>
    <t>Comercial papelera_Block Belpapel Origami 15x15cm x50 hjs</t>
  </si>
  <si>
    <t>Comercial Papelera</t>
  </si>
  <si>
    <t>Bloque de plastilina 250 gr.</t>
  </si>
  <si>
    <t>Plastilina en bloque x 250 gr, en colores surtidos</t>
  </si>
  <si>
    <t>Papeleria la Estacion de Suba</t>
  </si>
  <si>
    <t>Papelería gran central_varios 06-02-2026</t>
  </si>
  <si>
    <t>Papeleria gran Estacion</t>
  </si>
  <si>
    <t>Bola de icopor diametro 10 cm</t>
  </si>
  <si>
    <t>Bolas de icopor diametro 10 cm</t>
  </si>
  <si>
    <t>Cartel Arte y Papeleria</t>
  </si>
  <si>
    <t>Bola de icopor diametro 15 cm</t>
  </si>
  <si>
    <t>Bolas de icopor diametro 15 cm</t>
  </si>
  <si>
    <t>Papeleria  la Estacion de Suba</t>
  </si>
  <si>
    <t>Borrador nata caja x20</t>
  </si>
  <si>
    <t>Borrador de nata caja x20 unidades, tamaño grande (Ref. WS 30), dimensiones 62 x 22 mm aprox.</t>
  </si>
  <si>
    <t>Borrador negro caja x 20</t>
  </si>
  <si>
    <t>Caja de borradores de nata color negro x 20 unidades. Fabricados en PVC de alta calidad, diseñados para el borrado de lápiz de grafito sin dejar manchas ni dañar la superficie del papel.  Color negro,dimensiones aproximadas de 62 x 22 x 12 mm (tamaño grande).</t>
  </si>
  <si>
    <t>Papeleria Gran Central</t>
  </si>
  <si>
    <t>Borrador Tablero</t>
  </si>
  <si>
    <t>Borrador de tablero de material del cuerpo:
Plástico, espuma rígida o madera ligera
Material de limpieza (base): Fieltro sintético o microfibra, Superficie suave para no rayar el tablero, Tamaño promedio: 10-15cm</t>
  </si>
  <si>
    <t>Panfargo_Borrador para tablero Acrilico</t>
  </si>
  <si>
    <t xml:space="preserve">Panafargo </t>
  </si>
  <si>
    <t>Papeleria Gran central</t>
  </si>
  <si>
    <t>Regalos Corporativos- Botella en Aluminio Action 750 ml _ 25 Oz</t>
  </si>
  <si>
    <t>Regalos Corporativo</t>
  </si>
  <si>
    <t>Publicitar- BOTELLA EN ALUMINIO ACTION 750 ML 25 OZ.pdf</t>
  </si>
  <si>
    <t>Publicitar</t>
  </si>
  <si>
    <t>Promall_Botella en Aluminio Action 750ml.pdf</t>
  </si>
  <si>
    <t>Promal</t>
  </si>
  <si>
    <t>24122000-55121620</t>
  </si>
  <si>
    <t>Botella Aluminio 750 ml con logos</t>
  </si>
  <si>
    <t xml:space="preserve">Botella en Aluminio Action 750ml / 25 Oz Tapa rosca con pitillo, libre de BPA, No retiene ni transmite sabores. Pintura exterior atóxica. • MATERIAL: Aluminio con tapa PP. • MEDIDAS: 24 x 7 cm. de diámetro
ÁREA MARCACIÓN APROX: 4 cm. • MARCA: Laser 2 marcas </t>
  </si>
  <si>
    <t>Botella en Aluminio Action 750 ml _ 25 Oz – Regalos Corporativos.pdf</t>
  </si>
  <si>
    <t>Regalos Corpotaivos</t>
  </si>
  <si>
    <t>BOTILITO EN ALUMINIO PARA SUBLIMACION PARSONS 750 ML.pdf</t>
  </si>
  <si>
    <t>Botella en aluminio tower - Markados Tienda de Promocionales online Colombia.pdf</t>
  </si>
  <si>
    <t>Marcados tienda promocionales</t>
  </si>
  <si>
    <t>Botellón de agua con soporte</t>
  </si>
  <si>
    <t>20 Litros</t>
  </si>
  <si>
    <t>Tiendas Jumbo_Agua Cristal botellón 20L.pdf</t>
  </si>
  <si>
    <t>Megaaredil_Agua Cristal Botellon</t>
  </si>
  <si>
    <t>Megaredi</t>
  </si>
  <si>
    <t>Botón publicitario</t>
  </si>
  <si>
    <t>Tamaño 5 x 5 cm colores: full color material: herraje: metálico o plástico técnico de marca: litografía botón 50mm redondo metálico con gancho_x000D_
herraje metálico importado, excelente acabado y calidad_x000D_
referencia: bt-50_x000D_
tamaño: 50mm_x000D_
acabado: mate o brillante_x000D_
impresión: papel propalcote</t>
  </si>
  <si>
    <t>NEXUS ESTUDIO GRÁFICOS</t>
  </si>
  <si>
    <t>Brigada de aseo 4 personas con insumos</t>
  </si>
  <si>
    <t>BRIGADAS SE ASEO DE 4 PERSONAS, QUE INCLUYA LOS INSUMOS: 50 BOLSAS DE BASURA, ESCOBAS, RECOGEDORES, GUANTES PARA EL PERSONAL DE BRIGADA, TAPA BOCAS PARA EL PERSONAL DE BRIGADA PAPEL HIGIÉNICO INDUSTRIAL, JABÓN PARA LAVAR MANOS, DESINFECTANTE PARA PISOS, AMBIENTADOR.
(JORNADA ENTRE 6 Y HASTA 10 HORAS DÍA).</t>
  </si>
  <si>
    <t>Brigadista</t>
  </si>
  <si>
    <t>BRIGADISTA CON SU EQUIPO QUE INCLUYA ELEMENTOS NECESARIOS PARA PREVENCIÓN Y ATENCIÓN DE INCENDIOS.
(JORNADA ENTRE 5 Y HASTA 10 HORAS DÍA).</t>
  </si>
  <si>
    <t>angie Pachon (personalizado INK)</t>
  </si>
  <si>
    <t>Camiseta t-shirt o Camiseta blanca</t>
  </si>
  <si>
    <t>100% en algodón de 185 gr. cuello redondo y/o en v, de diferentes tallas, marcadas en screen 4 tintas. fabricación y materiales nacionales</t>
  </si>
  <si>
    <t>Carpa  Hangar 12x30</t>
  </si>
  <si>
    <t>ALQUILER CARPA - HANGAR- CIRCULAR
(1) 12 MTS DE ANCHO X   30 MTS DE LARGO
(2) CON MECANISMO CORREDIZO OPCIÓN   HORIZONTAL O VERTICAL DE LATERALES
(3) PARALES DE 2,40 METROS DE ALTURA APROX
(4) 2,60 METROS DEL INICIO DE LA PARÁBOLA AL PUNTO CENTRAL DEL TECHO
(5) ALTURA CENTRAL 5 MTS
(6) LONA PLÁSTICA CON MICROFIBRAS INTERNAS TOTALMENTE IMPERMEABLE PARA EL TECHO
(7) INCLUYE TRANSPORTE, MONTAJE Y DESMONTAJE 
(8)  JORNADA POR EVENTO O DÍA</t>
  </si>
  <si>
    <t>Papeleria jonan_Cartón Cartulina wpc reverso blanco mate 315 grs 70 x 100</t>
  </si>
  <si>
    <t>Papeleria Jonan</t>
  </si>
  <si>
    <t>Cartón paja octavo paquete  x 10 unidades</t>
  </si>
  <si>
    <t>Paquete de 10 unidades de cartón paja tamaño 1/8 (25 x 35 cm aprox.), de superficie lisa y semirrígida en color crema natural.</t>
  </si>
  <si>
    <t>Cartuchera</t>
  </si>
  <si>
    <t>Cartuchera en lona de alta resistencia, color neutro (unisex), con dimensiones de 23 cm de ancho x 11.5 cm de alto. Incluye cierre de cremallera reforzado y garantía de 12 meses por defectos de fabricación.</t>
  </si>
  <si>
    <t>Papeleria gran central</t>
  </si>
  <si>
    <t>Trascribimos_Cartuchera Lona unicolor</t>
  </si>
  <si>
    <t>Trascribimos</t>
  </si>
  <si>
    <t>Inversiones sja sas_Cartuchera Escolar</t>
  </si>
  <si>
    <t>Inversiones sja sas</t>
  </si>
  <si>
    <t>Cartulina durex octavo paquete x  20 unidades</t>
  </si>
  <si>
    <t>Paquete de 20 láminas de cartulina Durex tamaño 1/8 (25 x 35 cm), gramaje de 140 g/m². Textura rugosa de alta absorción, color blanco natural.</t>
  </si>
  <si>
    <t>Celeste_CARTULINA DUREX 1_8 PAQ X 20</t>
  </si>
  <si>
    <t>Celeste</t>
  </si>
  <si>
    <t>Cartulina Medio Pliego</t>
  </si>
  <si>
    <t>Lámina de cartulina de 50 x 70 cm (medio pliego), gramaje de 180g a 220g y acabado mate uniforme.</t>
  </si>
  <si>
    <t>Renovacion Libreria y papeleria</t>
  </si>
  <si>
    <t>Panamericana_Cartulina pack 160 gr, tamaño 1_8 , 16</t>
  </si>
  <si>
    <t>Panamericana</t>
  </si>
  <si>
    <t>Exito_Block Cartulina</t>
  </si>
  <si>
    <t xml:space="preserve">Impresión a media carta 4 tintas en papel _x000D_
propalcote o kimberly 200 gr, tamaño 22x28 cm con nombres individuales o espacio para el mismo, refilados._x000D_
</t>
  </si>
  <si>
    <t>Guerra Editores_Varios</t>
  </si>
  <si>
    <t>JEGAR PUBLICIDAD MISIONES.pdf</t>
  </si>
  <si>
    <t>Cinta enmascarar 48 mm x40 mt</t>
  </si>
  <si>
    <t>Cinta de enmascarar de alta adherencia de 48 mm (2") x 20 m</t>
  </si>
  <si>
    <t>Circuito cerrado</t>
  </si>
  <si>
    <t xml:space="preserve">ALQUILER CIRCUITO CERRADO A 3 CÁMARAS
INTERCOM, SWITCHER, DISPOSITIVO DE GRABACIÓN FULL HD, MONITOR DE PREVIEW Y UN CONTROLADOR DE VIDEO; SERVIDOR PARA TRANSMISIÓN STREAMING CON TARJETA DE VIDEO DE 6 GIGAS O SUPERIOR, 2.6 HERCIOS DE VELOCIDAD DE PROCESADOR, 1 RAM MÍNIMO DE 12 GIGAS, DISCO DURO DE MÍNIMO 256 GIGAS, TARJETAS CAPTURADORAS DE VIDEO EXTERNA HD; 2 COMPUTADORES PARA EL ENVÍO DE APOYOS VISUALES; CABLEADO DIGITAL NECESARIO PARA EL CORRECTO FUNCIONAMIENTO DE LOS EQUIPOS.  INCLUYE TRANSPORTE, INSTALACIÓN Y OPERARIOS
(JORNADA 8 HORAS) </t>
  </si>
  <si>
    <t>Circuito cerrado de TV</t>
  </si>
  <si>
    <t>CIRCUITO CERRADO DE TELEVISIÓN
(1) CIRCUITO CERRADO DE TELEVISIÓN (2) CON TRES (3) CÁMARAS PARA TRANSMISIÓN EN STREAMING CON SWITCHER, ALTA DEFINICIÓN (3) COMPUTADOR CON LOS PROGRAMAS CORRESPONDIENTES, TARJETA GRÁFICA, MEMORIA MÍNIMA DE 16 GB (4) INCLUYE TRANSPORTE, INSTALACIÓN, OPERARIO (5) SERVICIO 8 HORAS</t>
  </si>
  <si>
    <t>Colores  Caja x 12 doble punta</t>
  </si>
  <si>
    <t>Caja de lápices de colores x 12 unidades, doble punta, de minas suaves, resistentes y fácil de afilar</t>
  </si>
  <si>
    <t>Papelería el mayorista_Colores x12 bicolor Zeppelin</t>
  </si>
  <si>
    <t>Renovacion libreria y papeleria</t>
  </si>
  <si>
    <t>Colores  Caja x 12 punta sencilla</t>
  </si>
  <si>
    <t>Caja de lápices de colores x 12 unidades, única punta, de minas suaves, resistentes y fácil de afilar</t>
  </si>
  <si>
    <t>INVER Y DISTRIBUIDORES DIAMOND_Varios</t>
  </si>
  <si>
    <t>INVER Y DISTRIBUIDORES DIAMOND</t>
  </si>
  <si>
    <t>Papelería Jonan_Colores x 12 + 3 Lápices - FABER-CASTELL</t>
  </si>
  <si>
    <t>80141607-90101602</t>
  </si>
  <si>
    <t>Compra Carpa 3 x 3</t>
  </si>
  <si>
    <t>Compra Carpa 3X3 con laterales. Incluye transporte, y entrega en el lugar requerido.</t>
  </si>
  <si>
    <t>Mundial de carpas y alquileres S.A.S 27-04-2026.pdf</t>
  </si>
  <si>
    <t>Mundial de carpas y alquileres S.A.S</t>
  </si>
  <si>
    <t>CARPAS EVOLUTION SAS.pdf</t>
  </si>
  <si>
    <t>CARPAS EVOLUTIONS</t>
  </si>
  <si>
    <t>Compra Carpa 4 x 4</t>
  </si>
  <si>
    <t>Compra Carpa 4X4 con laterales. Incluye transporte, instalación y entrega en el lugar requerido, montaje y desmontaje, alquiler por día.</t>
  </si>
  <si>
    <t>Carpas 4x4 - CALISOMBRAS _ CaliSombras.pdf</t>
  </si>
  <si>
    <t>Cali Sombra</t>
  </si>
  <si>
    <t>CARPAS EVOLUTION SAS</t>
  </si>
  <si>
    <t>TOLDOS Y PERGOLAS-Carpas 4x4 .pdf</t>
  </si>
  <si>
    <t>TOLDOS Y PERGOLAS</t>
  </si>
  <si>
    <t>Crayones extra gruesos caja x 18</t>
  </si>
  <si>
    <t>Caja de 18 crayones de cera extragruesos (tipo jumbo), diseñados para un agarre ergonómico y alta resistencia a la ruptura. Colores intensos de trazo suave, no tóxicos.</t>
  </si>
  <si>
    <t>Exito_Cuaderno Cuadriculado 100 hojas Argollado</t>
  </si>
  <si>
    <t xml:space="preserve">Sandra Vargas </t>
  </si>
  <si>
    <t>Multiexpress_Cuaderno argollado grande</t>
  </si>
  <si>
    <t>Multiexpress</t>
  </si>
  <si>
    <t>Cuaderno 5 materias</t>
  </si>
  <si>
    <t>Cuaderno argollado de 5 materias con hojas cuadriculadas de alto gramaje. Carátula en cartón rígido plastificado.</t>
  </si>
  <si>
    <t>Panafargo_cuaderno pasta dura grande cuadriculado argollado 5 o 7 materias</t>
  </si>
  <si>
    <t>Panafargo</t>
  </si>
  <si>
    <t>Desayuno</t>
  </si>
  <si>
    <t>BEBIDA: caliente: café, chocolate, té en agua o en leche; mínimo 6 onzas; y yogurt o jugo natural de frutas, mínimo 10 onzas.
CARBOHIDRATO: galletas, pasteles o panes en harina común o integral; mínimo 150 gr.
PROTEÍNA: Huevos revueltos o salchichas o jamón; mínimo 150 gr en crudo.
FRUTA: tres porciones de diferentes frutas de temporada; mínimo 50 gr. cada porción.
Servido a la mesa o tipo buffet o empacado para llevar</t>
  </si>
  <si>
    <t>Dúo interpretes lenguaje de señas</t>
  </si>
  <si>
    <t xml:space="preserve">DUO DE INTÉRPRETES DE LENGUAJE DE SEÑAS O SIGNOS: MÍNIMO DE SEIS (6) MESES DE EXPERIENCIA CERTIFICADA. TURNOS DE 25 MINUTOS CADA UNO DURANTE LA DURACIÓN DEL EVENTO (SERVICIO POR EVENTO DE 3 A 4 HORAS) </t>
  </si>
  <si>
    <t>Dúo interpretes personas sordociegas</t>
  </si>
  <si>
    <t xml:space="preserve">SERVICIO INTEGRAL DE DÚO DE GUÍAS DE INTERPRETACIÓN PARA PERSONAS SORDOCIEGAS: MÍNIMO DE SEIS (6) MESES DE EXPERIENCIA CERTIFICADA.  TURNOS DE 25 MINUTOS CADA UNO DURANTE LA DURACIÓN DEL EVENTO (SERVICIO POR EVENTO DE 3 A 4 HORAS) </t>
  </si>
  <si>
    <t>Equipo para streaming</t>
  </si>
  <si>
    <t>EQUIPO PARA STREAMING PARA TRANSMISONES ON LINE
ALQUILER EQUIPO PARA STREAMING COMPUESTO POR  1. EQUIPO DE GRABACIÓN DE VIDEO: ALQUILER DE CÁMARA DE VIDEO Ó  DISPOSITIVO INTELIGENTE SUFICIENTE PARA ENLAZAR TRANSMISIÓN. GRABACIÓN QUE GENERE CONTENIDO PROFESIONAL E IMAGEN DE CALIDAD.  2. MICRÓFONOS INALÁMBRICOS. 3. SWITCHER DE VIDEO QUE PERMITA SUMAR CÁMARAS ADEMÁS DE ALGÚN  OTRO INPUT DE VIDEO, COMO GRÁFICAS, PRESENTACIONES O INCLUSIVE VIDEOS MP4. 4. DISPOSITIVO DE TRANSMISIÓN Y GRABACIÓN QUE PERMITA TRANSMITIR  EL EVENTO EN DIRECTO MIENTRAS SIMULTÁNEAMENTE SE GRABA UNA VERSIÓN MAESTRA DE MAYOR CALIDAD PARA LA EDICIÓN O EL ARCHIVADO POSTERIOR. 5. COMPUTADORA PARA GESTIONAR EL CONTENIDO DEL STREAMING. - TIEMPO DE ALQUILER 1 DÍA. INSTALACIÓN, TRANSPORTE Y DESINSTALACIÓN</t>
  </si>
  <si>
    <t>Escarapela  10 unidades</t>
  </si>
  <si>
    <t>Escarapela a color, impresión 4x4 tintas full color policromía en propalcote de 200 gr, tamaño 10.5x11.5 cm. Con bolsillo portaescarapela y cordón</t>
  </si>
  <si>
    <t>Decena</t>
  </si>
  <si>
    <t>ANGIE PACHÓN _VARIOS 19-02-2026</t>
  </si>
  <si>
    <t>El valor referenciado en estas cotizaciones es unitario para comprar la cantidad de escarapelas total, no se puede tomar como valor unitario dentro del estudio</t>
  </si>
  <si>
    <t>Escarapela 100 unidades</t>
  </si>
  <si>
    <t>Cotizacion Publikraft 06-03-2026 varios.pdf</t>
  </si>
  <si>
    <t>Publikraft s</t>
  </si>
  <si>
    <t>Escarapela 50 unidades</t>
  </si>
  <si>
    <t>Maria Conflicto -Vario 19-02-2026</t>
  </si>
  <si>
    <t>Maria Conflicto</t>
  </si>
  <si>
    <t>Guerra Editores_ Varios</t>
  </si>
  <si>
    <t>LIBRERIA Y PAPELERIA TIENDA ESTUDIANTIL LTDA</t>
  </si>
  <si>
    <t>ENTRERPRISE SSR_Varios</t>
  </si>
  <si>
    <t>ENTREPRISE</t>
  </si>
  <si>
    <t>Estación de café tipo 1</t>
  </si>
  <si>
    <t>Servicio de cafetería para 50 personas (tinto, aromática y agua): Operario + presentación mesa + vasos de cartón bebida caliente 4 oz. + mezclador + azúcar + crema para café. Duración del evento aprox. 6 horas. Transporte incluido</t>
  </si>
  <si>
    <t>Estación de café tipo 2</t>
  </si>
  <si>
    <t>Servicio de cafetería para 100 personas (tinto, aromática y agua): Operarios + presentación de mesas + vasos de cartón bebida caliente 4 oz. + mezclador + azúcar + crema para café. Incluye galletas tipo avena o integrales. Duración del evento aprox. 6 horas. Transporte incluido.</t>
  </si>
  <si>
    <t>OPERADOR LOGÍSTICO - JUAN CAMILO</t>
  </si>
  <si>
    <t>IMAGROUP COLOMBIA S.A.S</t>
  </si>
  <si>
    <t>Se dejan solo dos cotizaciones en el calculo del elemento</t>
  </si>
  <si>
    <t>Estación de café tipo 3</t>
  </si>
  <si>
    <t>Servicio de cafetería para 50 personas (tinto, aromática y agua): Operario + presentación mesa + vasos de cartón bebida caliente 4 oz. + mezclador + azúcar + crema para café). Incluye galletas tipo avena o integrales. Duración del evento aprox. 6 horas. Transporte incluido.</t>
  </si>
  <si>
    <t>D&amp;R PRODUCCIONES_LOGISTICA_VARIOS_13-03-2026</t>
  </si>
  <si>
    <t>Ipoconsumo Incluido</t>
  </si>
  <si>
    <t>Globos de colores paquetes x 50 unidades</t>
  </si>
  <si>
    <t>Paquete de globos fabricados en látex natural de alta calidad, biodegradables y de gran elasticidad, tamaño R12 x 50 unidades</t>
  </si>
  <si>
    <t>Gorra tela</t>
  </si>
  <si>
    <t xml:space="preserve">Gorra de seis (6) paneles en dril con cierre de velcro, botón forrado, en dril liviano y víscera rígida, en plástico de polietileno. cierre en plástico o velcro. </t>
  </si>
  <si>
    <t>Gorra tela bordada con logo</t>
  </si>
  <si>
    <t>Gorra de seis (6) paneles en dril con cierre de velcro, botón forrado, en dril liviano y víscera rígida, en plástico de polietileno. cierre en plástico o velcro. bordado 1 uno al frente. Logo impreso aprobado por Oficina de Prensa del FDLS.</t>
  </si>
  <si>
    <t>Gorra tela bordada institucional FDLS</t>
  </si>
  <si>
    <t>Gorra de seis paneles, visera doblada en tela antifluido, 100% poliéster,Color por definir_x000D_
- Logo marca Gestor Bogotá, Alcaldía Local de Suba, de 10 cm x 5 cm, en la parte frontal._x000D_
- Logo escudo de Bogotá, Alcaldía Local de Suba, de 3 cm x 3,4 cm, en la parte trasera._x000D_
- Los logos deben ir bordados en hilo color blanco._x000D_
Visera precurveada, pespunte de hilo de seis filas. Parte trasera ajustable, banda del mismo material con hebilla metálica (inoxidable) graduable,Color bronce._x000D_
Botón superior plástico forrado con la tela de la gorra. Talla única adulto unisex</t>
  </si>
  <si>
    <t>sandra vargas</t>
  </si>
  <si>
    <t>Kit de Pinceles Mixtos (Set x 10 unidades)</t>
  </si>
  <si>
    <t>Set de 10 pinceles de diferentes formas (redondos, planos y de detalle) y tamaños variados. Diseñados con cerdas sintéticas suaves y resistentes, mangos de mader,a para el uso de témperas, acrílicos y vinilos.</t>
  </si>
  <si>
    <t>Panamericana_Kit Set de pinceles x 10 piezas</t>
  </si>
  <si>
    <t>Panafargo_Set Pinceles Para Pintar Estuche Surtido</t>
  </si>
  <si>
    <t>Kit de Pinceles Profesionales Mixtos (Set x 10 unidades)</t>
  </si>
  <si>
    <t>Set profesional de 10 pinceles con una variedad de formas y tamaños (planos, redondos, angulares y de abanico). Fabricados con cerdas sintéticas de alta calidad (taklon) o naturales, mangos ergonómicos y virolas de aluminio que evitan el desprendimiento de pelo.</t>
  </si>
  <si>
    <t>Panamericana_Set de pinceles azules x 10 piezas</t>
  </si>
  <si>
    <t>Lana de colores 3.5 mm para aguja crochet</t>
  </si>
  <si>
    <t>Lana 3.5 mm antialérgica 100% algodón (200g) Madeja de fibra natural 100% algodón antialérgico de 6 mm de grosor y un peso de 100 gramos. Hebra de textura suave y composición transpirable, disponible en gama de colores variados, para Crochet.</t>
  </si>
  <si>
    <t>Lana Copito Acrílica_Lana Copito color 0260</t>
  </si>
  <si>
    <t>LANA COPITO ACRILICA</t>
  </si>
  <si>
    <t>LANA CISNE PREFERIDO _ Lana 3.5</t>
  </si>
  <si>
    <t>LANA CISNE PREFERIDO</t>
  </si>
  <si>
    <t>Entrelanas Sala de Tejido_Lana Papatya Ecological Cotton # 503 Magenta</t>
  </si>
  <si>
    <t xml:space="preserve">ENTRELANAS </t>
  </si>
  <si>
    <t>Lana de colores 4.5 mm para palitos crochet</t>
  </si>
  <si>
    <t>Lana 4.5 mm antialérgica 100% algodón.  Madeja de fibra natural 100% algodón antialérgico de 6 mm de grosor y un peso de 100 gramos. Hebra de textura suave y composición transpirable, disponible en gama de colores variados, para tejer con palitos.</t>
  </si>
  <si>
    <t>Rox Silvia – Mi Laneria 4.5</t>
  </si>
  <si>
    <t>ROX SILVIA</t>
  </si>
  <si>
    <t>DECKORAR LTDA_Lana Silvia Rox 100gr 4.5</t>
  </si>
  <si>
    <t>DECKORAR LTDA</t>
  </si>
  <si>
    <t>Lana Silvia Clásica 4.5</t>
  </si>
  <si>
    <t>Lana Silvia</t>
  </si>
  <si>
    <t>Lana de colores 6 mm</t>
  </si>
  <si>
    <t>Lana 6mm antialérgica 100% algodón. Madeja de fibra natural 100% algodón antialérgico de 6 mm de grosor y un peso de 100 gramos. Hebra de textura suave y composición transpirable, disponible en gama de colores variados.</t>
  </si>
  <si>
    <t>Lana Cielo_Lana de colores</t>
  </si>
  <si>
    <t>Lana Cielo</t>
  </si>
  <si>
    <t>Lápiz caja x 12</t>
  </si>
  <si>
    <t>Caja de 12 lápices de grafito graduación HB (No. 2), mina de alta resistencia y trazo suave. Cuerpo de madera de alta calidad para un tajado fácil y uniforme, ideal para escritura general, dibujo básico y uso escolar.</t>
  </si>
  <si>
    <t>Panamericana_Lápiz caja x 12.pdf</t>
  </si>
  <si>
    <t>Marcela Gonzalez</t>
  </si>
  <si>
    <t>Exito_Lápiz caja x 12.pdf</t>
  </si>
  <si>
    <t>Norma_Lápiz caja x 12.pdf</t>
  </si>
  <si>
    <t>Norma</t>
  </si>
  <si>
    <t>Lápiz Carboncillo Charcoal con pita</t>
  </si>
  <si>
    <t>Lápices de carboncillo fabricados en madera con mina de carboncillo comprimido. Disponibles en colores negro y mate, con un surtido de durezas que incluye graduaciones suave, media y dura.</t>
  </si>
  <si>
    <t>La Gran Papelería_Lápiz Carboncillo Charcoal con pita.pdf</t>
  </si>
  <si>
    <t>La Gran Papelería</t>
  </si>
  <si>
    <t>Tienda Gioto_Lápiz Carboncillo Charcoal con pita.pdf</t>
  </si>
  <si>
    <t>Tienda Gioto</t>
  </si>
  <si>
    <t>Comercial Papelera_Lápiz Carboncillo Charcoal con pita.pdf</t>
  </si>
  <si>
    <t>Lápiz triangular MAE Caja x 12</t>
  </si>
  <si>
    <t>Caja de 12 lápices con cuerpo de forma triangular ergonómica, mina de grafito graduación HB</t>
  </si>
  <si>
    <t>Comercial Papeleria_Lápiz triangular MAE Caja x 12.pdf</t>
  </si>
  <si>
    <t>Comercial Papeleria</t>
  </si>
  <si>
    <t>La Gran Papeleria</t>
  </si>
  <si>
    <t>Lienzo con Bastidor (30 x 20 cm)</t>
  </si>
  <si>
    <t>Bastidor de madera con tela de 100% algodón de 163 g/m². Superficie con imprimación universal apta para técnicas de óleo y acrílico. Dimensiones: 30 x 20 cm.</t>
  </si>
  <si>
    <t>LAVITELA_Lienzos con bastidor para artistas Chivalry</t>
  </si>
  <si>
    <t>Panamaricana_Lienzo con bastidor de 30 x 20 cm.pdf</t>
  </si>
  <si>
    <t>Papeleria Grancentral San Victorino_Lienzo 20x30 Centimetros Con Bastidor.pdf</t>
  </si>
  <si>
    <t>Lienzo Panel Blanco (20 x 20 cm)</t>
  </si>
  <si>
    <t>Panel de lienzo marca Basic Langer fabricado en 100% algodón. Diseño ultra delgado con medidas de 20 x 20 x 0.5 cm, ideal para bocetos y estudios en diversas técnicas pictóricas</t>
  </si>
  <si>
    <t>Papeleria Grancentral San Victorino_Lienzo 20x20 Centimetros Con Bastidor .pdf</t>
  </si>
  <si>
    <t>Panamericana_Lienzo panel Basic Langer blanco de 20 x 20 cm.pdf</t>
  </si>
  <si>
    <t>Linea de Whatsapp</t>
  </si>
  <si>
    <t xml:space="preserve">LINEA DE WHATSAPP
EL OPERADOR DEBE GESTIONAR UNA LÍNEA TELEFÓNICA CON SOLO WHATSAPP Y CONVOCAR POR ESTE MEDIO A LA BASE DE DATOS QUE SUMINISTRARÁ LA ALCALDÍA DE SUBA DEL PERSONAL INSCRITO A LOS ENCUENTROS. Y ARTICULAR LAS SOLICITUDES QUE SE GENEREN POR ESTE MEDIO CON LA OFICINA DE PARTICIPACIÓN DE LA ENTIDAD. </t>
  </si>
  <si>
    <t>Libreriatroya.com_Marcadores k-marker borrable kores x10.pdf</t>
  </si>
  <si>
    <t>LibreriaTroya.com</t>
  </si>
  <si>
    <t>Papeleria Paraiso.pdf</t>
  </si>
  <si>
    <t>Papeleria Paraiso</t>
  </si>
  <si>
    <t xml:space="preserve">Marcador permanente caja x 10 </t>
  </si>
  <si>
    <t>Caja de 10 marcadores permanentes de colores variados con tinta de secado rápido, resistente al agua y a la decoloración. Punta de fibra de alta resistencia (redonda o biselada) capaz de marcar sobre múltiples superficies como papel, cartón, metal, plástico y vidrio</t>
  </si>
  <si>
    <t>Fallabella_Marcadores Alcohol Doble Punta Fina Biselada Profesionales 80 Colores</t>
  </si>
  <si>
    <t>Fallabella</t>
  </si>
  <si>
    <t>Homcenter_Set X80 Unidades Marcadores Doble Punta Base de Alcohol</t>
  </si>
  <si>
    <t>Homme Center</t>
  </si>
  <si>
    <t>SUESCUN_Marcadores Touch doble punta x80 - Mejor precio en Colombia</t>
  </si>
  <si>
    <t>SUESCUN</t>
  </si>
  <si>
    <t>Médico eventos masivos</t>
  </si>
  <si>
    <t>MEDICO CON EXPERIENCIA PARA UTILIZACIÓN DE MEC (MÓDULO DE ESTABILIZACIÓN Y CLASIFICACIÓN), EN LOS EVENTOS MASIVOS SIEMPRE SE TIENE POR SOLICITUD DE LOS ENTES REGULADORES, ES EL ELEMENTO CENTRAL PARA LA ATENCIÓN A POSIBLES VÍCTIMAS DE LA CADENA DE SOCORRO DONDE INICIA LA ATENCIÓN MÉDICA Y SE CLASIFICA EL TIPO DE EMERGENCIA Y LA NECESIDAD DE TRASLADAR O NO UN POSIBLE AFECTADO A UN CENTRO DE ATENCIÓN O SE LE PRESTAN LOS PRIMEROS AUXILIOS BÁSICOS QUE REQUIERA.
(JORNADA ENTRE 5 Y HASTA 10 HORAS DÍA).</t>
  </si>
  <si>
    <t>Memoria USB 16 GB</t>
  </si>
  <si>
    <t>Dispositivo de almacenamiento flash con interfaz 2.0 y cuerpo de plástico resistente o metal. Posee tapa protectora o sistema retráctil y chip de memoria de alta velocidad para transferencia de archivos. Memoria USB 16 GB</t>
  </si>
  <si>
    <t>Homecenter_MEMORIA USB FLIX 16 GB 2.0.pdf</t>
  </si>
  <si>
    <t>Hommecenter</t>
  </si>
  <si>
    <t>Tecnonacho_Memoria USB Maxell 16GB USB 2.0.pdf</t>
  </si>
  <si>
    <t>Tecnonacho</t>
  </si>
  <si>
    <t>Memoria USB 8 GB</t>
  </si>
  <si>
    <t>Dispositivo de almacenamiento flash con interfaz 2.0 y cuerpo de plástico resistente o metal. Posee tapa protectora o sistema retráctil y chip de memoria de alta velocidad para transferencia de archivos. Memoria USB 8 GB</t>
  </si>
  <si>
    <t>Papeleria Alvarez_MEMORIA USB 8GB.pdf</t>
  </si>
  <si>
    <t>Papeleria Alvarez</t>
  </si>
  <si>
    <t>Inver y Disrtibuciones Diamond</t>
  </si>
  <si>
    <t>80141607-90101601</t>
  </si>
  <si>
    <t>Mesas portafolio</t>
  </si>
  <si>
    <t>Alquiler de Mesa Portafolio Plegable 180cm  x 75 cm. Incluye transporte, instalación y entrega en el lugar requerido.</t>
  </si>
  <si>
    <t>Mesero</t>
  </si>
  <si>
    <t>Servicio por evento de 4 horas</t>
  </si>
  <si>
    <t>Mobiliario para +C24+C25</t>
  </si>
  <si>
    <t>ALQUILER MOBILIARIO PARA EVENTOS
(1) JUEGO DE TRES (3) POLTRONAS
(2) COLOR BLANCO
(3) MATERIAL SINTÉTICO
(4) DOS (2) MESAS DE CENTRO EN VIDRIO, CUADRADA O REDONDA, BASE METÁLICA,
(5) INCLUYE INSTALACIÓN, TRANSPORTE, MONTAJE Y DESMONTAJE
(5) SERVICIO POR EVENTO O DÍA</t>
  </si>
  <si>
    <t>Notas Adhesivas (Post-it) - Tamaño Mini 3 x 5 cm</t>
  </si>
  <si>
    <t>Paquete de 100 hojas de notas adhesivas en colores surtidos. Dimensiones mínimas de 3 x 5 cm</t>
  </si>
  <si>
    <t>La Cali_Notas Adhesivas (Post-it) - Tamaño Mini 3 x 5 cm.pdf</t>
  </si>
  <si>
    <t>La Cali</t>
  </si>
  <si>
    <t>La gran papeleria_NOTAS ADHESIVAS REMOVIBLES X100 HOJAS</t>
  </si>
  <si>
    <t>Ofix_Notas Adhesivas (Post-it) cuadradas 5x 5 cm.pdf</t>
  </si>
  <si>
    <t>Ofix</t>
  </si>
  <si>
    <t>La Garza_Notas Adhesivas (Post-it) cuadradas 5x 5 cm.pdf</t>
  </si>
  <si>
    <t>La Garza</t>
  </si>
  <si>
    <t>DINGLI – DetalShop_NOTAS ADHESIVAS COLORES NEON 76 X 76 X 100 HJS</t>
  </si>
  <si>
    <t>DINGLI - DETALSHOP</t>
  </si>
  <si>
    <t>Octavos cartulina paquete  x 50 unidades</t>
  </si>
  <si>
    <t>Paquete que contiene 50 unidades de cartulina de colores surtidos, o blanca cortadas en tamaño de octavo de pliego (aprox. 25 x 35 cm).</t>
  </si>
  <si>
    <t xml:space="preserve"> LOGÍSTICO: OPERARIO CON EXPERIENCIA CERTIFICADA EN EVENTOS MÁSIVOS QUE INCLUYA DOTACIÓN DE UNIFORME Y ELEMENTOS DE BIOSEGURIDAD
(JORNADA ENTRE 6 Y HASTA 10 HORAS DÍA) </t>
  </si>
  <si>
    <t>Ovillos de lana matizada 100 gr</t>
  </si>
  <si>
    <t>Ovillo de lana de 100 gramos con acabado matizado, colores variados</t>
  </si>
  <si>
    <t>La Mina Colombia_Lana Copito 100Gr _ Color 0001 BLANCO</t>
  </si>
  <si>
    <t>La Mina Colombia</t>
  </si>
  <si>
    <t>Entrelanas _Ovillos de lana matizada 100gr.pdf</t>
  </si>
  <si>
    <t>Entre lanas</t>
  </si>
  <si>
    <t>Paletas para pintar</t>
  </si>
  <si>
    <t>Paleta plástica para pintar. Plástico resistente, lavable y ligero. Redonda o rectangular con cavidades para mezclar. Aprox. 20 a 25 cm de diámetro/largo.</t>
  </si>
  <si>
    <t>Franco Arte Colombia_Paleta para pintar .pdf</t>
  </si>
  <si>
    <t>Franco Quimica</t>
  </si>
  <si>
    <t>La cali_Paleta para pintar.pdf</t>
  </si>
  <si>
    <t>Palos de paleta paquetes x100 unidades</t>
  </si>
  <si>
    <t>Paquete de 100 unidades de palos de madera natural pulida de tamaño mediano. Dimensiones  11,5 cm de largo por 1 cm de ancho, diseñadas con bordes redondeados y una superficie lisa libre de astillas. Material seguro y biodegradable</t>
  </si>
  <si>
    <t>Dispropan Caribe SAS_Palos de Paleta x100und .pdf</t>
  </si>
  <si>
    <t>Dispropan Caribe sas</t>
  </si>
  <si>
    <t>Papeleria la estacion de suba</t>
  </si>
  <si>
    <t>Palos de pincho paquete x 100 unidades</t>
  </si>
  <si>
    <t>Palos de pincho 25 cm paquete x 100 unidades</t>
  </si>
  <si>
    <t>Papel bifaz textil rollo</t>
  </si>
  <si>
    <t>Rollo de papel termoadhesivo bifaz para aplicaciones textiles, disponible en calibre 10 o 12. Dimensiones de 48 cm de ancho por 10 metros de largo.</t>
  </si>
  <si>
    <t>Insublitex_PAPEL BIFAZ O DOBLE PROPÓSITO PARA APLIQUES POR METRO</t>
  </si>
  <si>
    <t>INSUBLITEX</t>
  </si>
  <si>
    <t>AO Importaciones_Papel Bifaz.pdf</t>
  </si>
  <si>
    <t>AO Importaciones</t>
  </si>
  <si>
    <t>Tienda Transfer_Papel Bifaz Multiproposito .pdf</t>
  </si>
  <si>
    <t>Tienda Transfer</t>
  </si>
  <si>
    <t>Papel Crepe pliego</t>
  </si>
  <si>
    <t>Lámina de papel crepé de 50 x 70 cm (medida estándar de pliego).</t>
  </si>
  <si>
    <t>La gran Papeleria_Papel crepe .pdf</t>
  </si>
  <si>
    <t>La Garza_Papel Crepe</t>
  </si>
  <si>
    <t>Rollo de papel kraft con un ancho de 24 pulgadas (aprox. 61 cm) y una longitud de 150 metros. Con un gramaje de 60 g/m²</t>
  </si>
  <si>
    <t>DetalShop_KRAFT 60 GRS. PLIEGO 70 X 100</t>
  </si>
  <si>
    <t>Marion Express_PAPEL KRAFT 70X100 X60GR</t>
  </si>
  <si>
    <t>Papeleria la mayor_PAPEL KRAFT MANO X25 PLIEGOS.pdf</t>
  </si>
  <si>
    <t>Papeleria La Mayor</t>
  </si>
  <si>
    <t>Papel Kraft Pliego</t>
  </si>
  <si>
    <t>Pliego de papel kraft de alta resistencia y gramaje uniforme, medidas 100 cm x 70 cm cada uno</t>
  </si>
  <si>
    <t>Papel periódico x pliego</t>
  </si>
  <si>
    <t>Papel Periódico 48 Gr Pliego De 70x100cm Acabado Mate *25</t>
  </si>
  <si>
    <t>Papelería Jonan_Papel periódico Pliego 70x100.pdf</t>
  </si>
  <si>
    <t>Papeleria Johan</t>
  </si>
  <si>
    <t>Suescun_Papel periodico pliego 70 x 100 cm.pdf</t>
  </si>
  <si>
    <t>Suescun</t>
  </si>
  <si>
    <t>Pegante  en barra 40 gr.</t>
  </si>
  <si>
    <t>Adhesivo sólido en barra de 40 gramos, formulado para un secado rápido y limpio. Producto no tóxico, lavable y libre de solventes</t>
  </si>
  <si>
    <t>Suescun_Pegante en Barra Sipega 40gr 🧴!.pdf</t>
  </si>
  <si>
    <t>DetalShop_PEGANTE EN BARRA 40 GRS.pdf</t>
  </si>
  <si>
    <t>Detal shop</t>
  </si>
  <si>
    <t>papeleriaeditorialzapata_PEGANTE RAPID KILO.pdf</t>
  </si>
  <si>
    <t>Editorial Zapata</t>
  </si>
  <si>
    <t>Pegante liquido por 225 cc</t>
  </si>
  <si>
    <t>Colbon-Pegante-Liquido-UniversalVolumen de la unidad 225 cc Con Tapa dosificadora - esparcidora con  cierre anti secado, no deja arrugas, lavable e inofensivo a la piel.  Coloreable en cualquier pigmento</t>
  </si>
  <si>
    <t>Tauro_Pegante Liquido Escolar Blanco X 225 grs.pdf</t>
  </si>
  <si>
    <t>Tauro</t>
  </si>
  <si>
    <t>Adal_Pegante Líquido Tesa 240ml.pdf</t>
  </si>
  <si>
    <t>Adal</t>
  </si>
  <si>
    <t>Pendón Araña</t>
  </si>
  <si>
    <t>Gráfica impresa en gran formato 4x0 en lona o PVC con medidas de 1mt x 2 mts, con estructura en aluminio.</t>
  </si>
  <si>
    <t>SE REVISAN LOS LINK Y LOS PRECIOS 05-05-2026</t>
  </si>
  <si>
    <t>Pendón con tubos</t>
  </si>
  <si>
    <t>Gráfica impresa en gran formato 4x0 en lona o PVC con medidas de 1mt x 2 mts, con tubo superior e inferior</t>
  </si>
  <si>
    <t>Pendón Enrollable o Roll -Up</t>
  </si>
  <si>
    <t>Gráfica impresa en gran formato 4x0 en lona o PVC con medidas de 1mt x 2 mts con base de aluminio y estuche que permite almacenarlo y transportarlo</t>
  </si>
  <si>
    <t>Pin cuadrado</t>
  </si>
  <si>
    <t xml:space="preserve">Pin cuadrado 2cm x cm_x000D_
Material aluminio o acero inoxidable_x000D_
Cierre mariposa en el mismo material del pin_x000D_
Diseño personalizado 4x0 </t>
  </si>
  <si>
    <t xml:space="preserve">ALOT STUDIO SAS	
</t>
  </si>
  <si>
    <t>Pin rectangular</t>
  </si>
  <si>
    <t xml:space="preserve">Pin rectangular 24mm x 18 mm
Material aluminio o acero inoxidable
Cierre mariposa en el mismo material del pin
Diseño personalizado 4x0 </t>
  </si>
  <si>
    <t>Pin redondo</t>
  </si>
  <si>
    <t xml:space="preserve">Pin redondo diámetro 20 mm_x000D_
Material aluminio o acero inoxidable_x000D_
Cierre mariposa en el mismo material del pin_x000D_
Diseño personalizado 4x0 </t>
  </si>
  <si>
    <t>Pinceles finger max</t>
  </si>
  <si>
    <t>Elemento de motricidad fina diseñado para incentivar la pinza y facilitar el proceso de dibujo y trazos.  Ideal para estimulación temprana y expresión artística inicial. Elaborado en caucho PVC resistente.Tallas: Small y Medium.</t>
  </si>
  <si>
    <t>Jugando y Educando_Pinza 1 Unidad Motricidad Fina Jumbo Morado</t>
  </si>
  <si>
    <t>JUGANDO Y EDUCANDO</t>
  </si>
  <si>
    <t>Falabella.com_Pinzas motricidad fina 3 dientes LEARNING RESOURCES</t>
  </si>
  <si>
    <t>Panafargo_Pintura Acrílica Al Frio - Franco Arte De 1 Litro</t>
  </si>
  <si>
    <t>Panagrafo</t>
  </si>
  <si>
    <t>Lavitela_Pintura Acrílica Blanco Franco Arte _ 60cc, 250cc, 1000cc</t>
  </si>
  <si>
    <t>OfficeArte Papelería_Pintura Acrílica Franco Arte 1000ml</t>
  </si>
  <si>
    <t>Pintura acrílica  de colores variados por  500 ml</t>
  </si>
  <si>
    <t>Pintura acrílica 500 ml: Presentación en frasco mediano con tapa de rosca, consistencia espesa y alta concentración de pigmento, colores variados</t>
  </si>
  <si>
    <t>Panamericana_Pintura acrílica blanca Produart x 500 cm3</t>
  </si>
  <si>
    <t>COMERCIALIZADORA TJ</t>
  </si>
  <si>
    <t>LA GRAN PAPELERA</t>
  </si>
  <si>
    <t>Plataforma virtual</t>
  </si>
  <si>
    <t xml:space="preserve">PLATAFORMA VIRTUAL
PLATAFORMA PARA LA COMUNICACIÓN VIRTUAL PARA CONFERENCIAS EXISTENTES, PROCESOS DE FORMACIÓN, REUNIONES, ACTIVIDADES DE LA LOCALIDAD DE SUBA CON CAPACIDAD DE DESARROLLAR SESIONES DE MÁS DE 3 HORAS, QUE CONTENGA APLICACIONES PARA GUARDAR INFORMACIÓN EN LA NUBE- DOCUMENTOS DE TRABAJO, VIDEOS, CON CAPACIDAD PARA EL TRABAJO REMOTO, CON CAPACIDAD DE VERSIÓN WEB Y MÓVIL. CON PROTECCIÓN CONTRA CIBERAMENAZAS Y ADMINISTRACIÓN DE DISPOSITIVOS, PARA 750 PERSONAS PRO . MÍNIMO 6 ACCESOS COMO ADMINISTRADORES. </t>
  </si>
  <si>
    <t xml:space="preserve"> Precio sin Iva </t>
  </si>
  <si>
    <t xml:space="preserve"> $                  -   </t>
  </si>
  <si>
    <t xml:space="preserve"> Si tiene IVA </t>
  </si>
  <si>
    <t>Publikraft no coincide con el precio de la tula, quedan dos cotizaciones</t>
  </si>
  <si>
    <t>Publikraft no coincide con el precio de la tula</t>
  </si>
  <si>
    <t>SPA</t>
  </si>
  <si>
    <t>Plumones colores variados  x 12</t>
  </si>
  <si>
    <t>Plumones: Estuche de 12 unidades en colores surtidos con tapa ventilada antiasfixia. Tinta lavable a base de agua de larga duración y cuerpo redondo ergonómico</t>
  </si>
  <si>
    <t>Papeleria El paraiso</t>
  </si>
  <si>
    <t>Papelería el mayorista._Plumones Offi-Esco x12 Lavables.pdf</t>
  </si>
  <si>
    <t>Papeleria el Mayorista</t>
  </si>
  <si>
    <t>Grafiti colores_Plumones de Colores Grafi Colors x 12 Unidades</t>
  </si>
  <si>
    <t>GRAFITI COLORES</t>
  </si>
  <si>
    <t>Porcelanicrón por 500 gr</t>
  </si>
  <si>
    <t>Masa de modelado 500 g: Paquete sellado al vacío con textura suave, flexible y color blanco translúcido. Composición homogénea de secado al aire sin necesidad de horneado</t>
  </si>
  <si>
    <t>Presentador evento</t>
  </si>
  <si>
    <t>PRESENTADOR PARA EVENTO DIURNO O NOCTURNO CON EXPERIENCIA EN MANEJO DE PÚBLICO
(POR EVENTO O MAXIMO 8 HORAS).</t>
  </si>
  <si>
    <t>Punto fijo</t>
  </si>
  <si>
    <t>PUNTO FIJO VIDEO CON PANTALLAS, COMPUTADORES Y CONSOLA PARA EVENTOS DE FORMATO MEDIANO Y GRANDE CUANDO SE REQUIERE) (VALOR POR DÍA)</t>
  </si>
  <si>
    <t>BEBIDA: Jugo natural  de fruta en agua o  néctares,  o refrescos de fruta,  con opción sin azúcar, o bajo en azúcar, o gaseosas ligth o normal; contenido mínimo 200 ml, en empaque comercial  duro ( no en bolsa, no de icopor o plástico), o servido en vaso de vidrio
ALIMENTO PRINCIPAL: Sánduche de jamón y/o queso o atún o pollo o espinaca y queso en pan común o integral  para sánduche,  ponqués o galletas o palito de queso o arepas  con queso o pasteles gloria, de pollo, de carne,  de queso, de harina  integral o comunes; porción entre  60 a 100 gr.
ACOMPAÑAMIENTO: Papas fritas de pollo o natural, o fruta deshidratada, paq de 30gr.
FRUTA: De temporada 150 gr.
EMPAQUE:  En bolsa plástica bio-degradable (si se requiere), preferiblemente que los productos se encuentren en empaques reciclables y/o biodegradables.
OPCIONAL: servicio de entrega al usuario final.</t>
  </si>
  <si>
    <t>ESFERA DE EVENTOS_ Varios.pdf</t>
  </si>
  <si>
    <t>Esfera de Eventos</t>
  </si>
  <si>
    <t>Distribuidora Catering y Café S.A.S 27-04-2026.pdf</t>
  </si>
  <si>
    <t>DISTRIBUIDORA CATERING Y CAFÉ SAS</t>
  </si>
  <si>
    <t>Compuesto por:  _x000D_
1. Bebida: Deberá contener al menos 200 mililitros. Jugo de frutas y/o yogurt y/o kumis y/o avena, naturales no procesados, no se permitirá el suministro de bebidas empacadas en bolsa plástica, la Alcaldía Local de Suba requiere que las mismas sean entregadas a los asistentes en empaque tetra pack.  _x000D_
2. Un producto cereal   o producto de panadería tipo: Deberán tener un peso mínimo de 100 gramos. Podrá ser  Pastel de pollo o carne, ponqué, arepa, empanada, mantecada,  arepa con queso, pastel gloria, croissant de jamón y queso, brownie, buñuelo o similares. Los gramajes corresponden a los productos ya elaborados.    _x000D_
3. Una fruta de temporada: Porción de fruta no menor de 100 gramos. Mandarina, naranja,  manzana, pera, durazno o similares.  _x000D_
4. Dulce: Deberá tener mínimo entre 12 y 15 gramos. Chocolatina, Arequipe,  bocadillo o similares.</t>
  </si>
  <si>
    <t>ENTERPRISE INVESTMENT 10-04-2026_Varios.pdf</t>
  </si>
  <si>
    <t>ENTERPRISE INVESTMENT DEVELOPMENT S.A.S.</t>
  </si>
  <si>
    <t>JUAN CAMILO</t>
  </si>
  <si>
    <t>Para la última cotización se toma como precio de referencia el esudio de mercado del año 2025</t>
  </si>
  <si>
    <t>Resma hoja blanca tamaño carta</t>
  </si>
  <si>
    <t>Resma de papel bond tamaño carta: Paquete de 500 hojas de 75 gr</t>
  </si>
  <si>
    <t>PAPELERIA PARAISO</t>
  </si>
  <si>
    <t>Resma hoja blanca tamaño oficio </t>
  </si>
  <si>
    <t>Resma de papel bond tamaño oficio: Paquete de 500 hojas de 75 g</t>
  </si>
  <si>
    <t>Distribuidora Paraiso</t>
  </si>
  <si>
    <t xml:space="preserve">Sacapuntas caja x 12u </t>
  </si>
  <si>
    <t>Caja de 12 sacapuntas metálicos de alta resistencia con cuerpo de aleación de magnesio y cuchilla de acero al carbono.</t>
  </si>
  <si>
    <t>Don Bodegon Mayorista_CAJA DE SACAPUNTA METALICO X24 .pdf</t>
  </si>
  <si>
    <t>Don Bodegon mayoristas</t>
  </si>
  <si>
    <t>Salón - Espacio Apto para 100 personas   (jornada completa más equipos audiovisuales)</t>
  </si>
  <si>
    <t>Espacio físico para 100 personas con baño, sillas y mesas, ubicado en la localidad de Suba, con disponibilidad de espacio exterior para desarrollo de actividades_x000D_
Dotado con equipo de computo, video beam y sonido_x000D_
Jornada de 8 horas</t>
  </si>
  <si>
    <t>JAC_PRADO_PINZON_19_03.pdf</t>
  </si>
  <si>
    <t xml:space="preserve">JAC PRADO PINZON </t>
  </si>
  <si>
    <t>Salón - Espacio Apto para 100 personas (jornada completa)</t>
  </si>
  <si>
    <t>Espacio físico para 100 personas con baño, sillas y mesas, ubicado en la localidad de Suba, con disponibilidad de espacio exterior para desarrollo de actividades_x000D_
Jornada de 8 horas</t>
  </si>
  <si>
    <t>JAC URBANIZACION EL LAGUITO DE SUBA.pdf</t>
  </si>
  <si>
    <t>Salón - Espacio Apto para 100 personas (media jornada)</t>
  </si>
  <si>
    <t>Espacio físico para 100 personas con baño, sillas y mesas, ubicado en la localidad de Suba, con disponibilidad de espacio exterior para desarrollo de actividades_x000D_
Jornada de 4 horas</t>
  </si>
  <si>
    <t>Espacio físico para 50 personas con baño, sillas y mesas, ubicado en la localidad de Suba, con disponibilidad de espacio exterior para desarrollo de actividades_x000D_
Dotado con equipo de computo, video beam y sonido_x000D_
Jornada de 4 horas</t>
  </si>
  <si>
    <t>Salón - Espacio Apto para 50 personas (jornada completa más equipos audiovisuales)</t>
  </si>
  <si>
    <t>Espacio físico para 50 personas con baño, sillas y mesas, ubicado en la localidad de Suba, con disponibilidad de espacio exterior para desarrollo de actividades
Dotado con equipo de computo, video beam y sonido
Jornada de 8 horas</t>
  </si>
  <si>
    <t>Salón - Espacio Apto para 50 personas (jornada completa)</t>
  </si>
  <si>
    <t>Espacio físico para 50 personas con baño, sillas y mesas, ubicado en la localidad de Suba, con disponibilidad de espacio exterior para desarrollo de actividades_x000D_
Jornada de 8 horas</t>
  </si>
  <si>
    <t>Salón -Espacio Apto para 50 personas (media jornada)</t>
  </si>
  <si>
    <t>Espacio físico para 50 personas con baño, sillas y mesas, ubicado en la localidad de Suba, con disponibilidad de espacio exterior para desarrollo de actividades_x000D_
Jornada de 4 horas</t>
  </si>
  <si>
    <t>SAYCO</t>
  </si>
  <si>
    <t>Pago por concepto de derechos de emisión de contenido fonográfico, calculado para un aforo aproximado de 300 personas, con el fin de garantizar el cumplimiento de las obligaciones relacionadas con derechos de autor de compositores y autores musicales.</t>
  </si>
  <si>
    <t>Servicio de internet</t>
  </si>
  <si>
    <t>SERVICIO DE INTERNET DE 200 MEGAS PARA REALIZAR TRANSMISIÓN POR PLATAFORMAS USTREAM PARA REDES SOCIALES. JORNADA 6 A 8 HORAS</t>
  </si>
  <si>
    <t>Servicio de lechona para evento</t>
  </si>
  <si>
    <t>Plato de lechona (arroz, carne de cerdo desmechada, arveja y especias tradicionales) para 100 personas con una porción individual de 400gr con acompañamiento de arepa blanca y jugo néctar o natural de 300 ml envasado individual, en botella PET o cartón con tapa sellada (No debe contener colorantes artificiales).
Especificaciones adicionales: La lechona debe venir sin cabeza y debe estar adecuadamente empacada para preservar la temperatura, higiene y frescura.
Servir en platos biodegradables resistentes al calor: 100 unidades (preferiblemente de bagazo de caña o cartón prensado).
Cucharas resistentes: 100 unidades (preferiblemente biodegradables o compostables). Servilletas de papel: 100 unidades.
El proveedor deberá contar con personal capacitado para el servido individual de las porciones, con al menos 2 personas encargadas de la atención.
Deberán presentarse al sitio del evento con al menos 30 minutos de antelación para el montaje.
El contratista debe garantizar condiciones higiénico-sanitarias del personal (uso de guantes, tapabocas, gorro, uniforme limpio).
El montaje del servicio deberá incluir recipientes térmicos (samovares, calentadores o similares) que mantengan la temperatura adecuada del alimento.</t>
  </si>
  <si>
    <t>Servicio de olla comunitaria</t>
  </si>
  <si>
    <t>Suministro de alimentos frescos, elementos de preparación y utensilios necesarios para la realización de una olla comunitaria con capacidad para atender a 100 personas, garantizando calidad, inocuidad, cantidad y condiciones adecuadas de almacenamiento y transporte.
Alimentos requeridos:
1. Proteína – Pechuga de pollo
Cantidad: mínimo 25 kg
Pechuga de pollo deshuesada, sin piel, empacada al vacío o refrigerada, en óptimas condiciones de frescura.
Producto con registro Invima o certificado de calidad sanitaria.
2. Papa criolla o sabanera
Cantidad: mínimo 25 kg
Papa lavada, en buen estado, sin golpes, ni brotes visibles.
3. Cebolla cabezona y larga
4. Cebolla cabezona blanca o roja: 5 kg
5. Cebolla larga: 3 kg
Frescas, limpias, sin daños ni hongos visibles.
6. Mazorca
Cantidad: mínimo 50 unidades
Mazorca tierna, fresca, pelada o con cáscara, preferiblemente blanca o amarilla.
7. Verduras surtidas (zanahoria, habichuela, arveja u otras de temporada)
Cantidad total: 10 kg
Verduras frescas, sin daños, limpias y en condiciones óptimas para cocción directa.
8. Hierbas y condimentos frescos y naturales
Incluye mínimo: cilantro, cebolla larga, ajo, comino, laurel u otros ingredientes que permitan saborizar adecuadamente la preparación.
9. Carbón vegetal Cantidad: mínimo 20 kg De buena calidad, seco, listo para uso en cocina tradicional (fogón, parrilla o leña).
10. Utensilios desechables para consumo individual
11. Platos resistentes (plástico o cartón ecológico): 100 unidades
12. Cucharas resistentes (plástico o biodegradables): 100 unidades
13. Servilletas: 100 unidades
Condiciones de entrega y calidad del servicio:
Todos los productos deben ser entregados lavados (en el caso de frutas, verduras y tubérculos) o listos para su preparación.
El proveedor deberá hacer la entrega en el sitio designado por la entidad contratante, con al menos 2 horas de antelación al inicio de la preparación del alimento.
El transporte debe realizarse en vehículos adecuados, con condiciones de higiene y conservación (refrigeración si aplica).
No se aceptarán productos vencidos, en mal estado o con signos de descomposición.
Requisitos del proveedor:
Registro sanitario y cumplimiento de normas de inocuidad alimentaria.
Certificación de manipulación de alimentos vigente para el personal involucrado.</t>
  </si>
  <si>
    <t>Servicio de torta para evento</t>
  </si>
  <si>
    <t>Plato de torta tradicional (vainilla, chocolate, zanahoria o mixta), con cobertura decorativa (crema de mantequilla, arequipe, fondant o similar) para 100 personas con una porción individual de 130gr con  jugo néctar o natural de 300 ml envasado individual, en botella PET o cartón con tapa sellada (No debe contener colorantes artificiales).
Especificaciones adicionales:
Platos desechables: 100 unidades, resistentes al calor y a alimentos húmedos. Preferiblemente biodegradables o compostables.
Cucharas desechables: 100 unidades, resistentes, preferiblemente biodegradables o compostables.
Servilletas de papel: 100 unidades, de una o dos hojas.
Decoración: debe tener presentación estética y cuidada, con diseño alusivo al evento (si aplica).
Requisitos dietarios: en caso de requerirse una o más porciones sin gluten o sin azúcar, el proveedor deberá prever la posibilidad de adaptación.
Servicio de repartición en sitio:
El proveedor deberá contar con mínimo 2 personas encargadas de repartir la torta de manera ordenada, higiénica y eficiente.
El personal deberá presentarse al lugar del evento con 30 minutos de anticipación para alistamiento y coordinación con el equipo logístico del evento.
Se exigirá que el personal use gorros, guantes, tapabocas y uniforme limpio, cumpliendo con normas de manipulación de alimentos.</t>
  </si>
  <si>
    <t>Servicio de transporte zona Rural de la localidad de Suba para  10 personas por jornada</t>
  </si>
  <si>
    <t>Servicio de transporte cómodo para 10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t>
  </si>
  <si>
    <t>RUTRASCOL Transporte_Varios</t>
  </si>
  <si>
    <t>RUTRASCOL</t>
  </si>
  <si>
    <t>Destinos Express_ Varios</t>
  </si>
  <si>
    <t>DESTINOS EXPRESS</t>
  </si>
  <si>
    <t>RENETUR.S.A</t>
  </si>
  <si>
    <t>RENETUR</t>
  </si>
  <si>
    <t>Servicio de transporte zona Rural de la localidad de Suba para  10 personas por trayecto</t>
  </si>
  <si>
    <t>Destinos Express_ Varios.pdf</t>
  </si>
  <si>
    <t>Destino Express</t>
  </si>
  <si>
    <t>Servicio de transporte zona Rural de la localidad de Suba para  16 a 30 personas por jornada</t>
  </si>
  <si>
    <t>Servicio de transporte cómodo para 16 a 30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t>
  </si>
  <si>
    <t>Servicio de transporte zona Rural de la localidad de Suba para  16 a 30 personas por trayecto</t>
  </si>
  <si>
    <t>SE DEJAN DOS COTIZACIONES</t>
  </si>
  <si>
    <t>Servicio de transporte zona Rural de la localidad de Suba para  40 personas por jornada</t>
  </si>
  <si>
    <t>Servicio de transporte cómodo para 30 a 40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t>
  </si>
  <si>
    <t>Servicio de transporte zona Rural de la localidad de Suba para  40 personas por trayecto</t>
  </si>
  <si>
    <t>Servicio de transporte cómodo para 30 a  40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t>
  </si>
  <si>
    <t>GEstión</t>
  </si>
  <si>
    <t>RENETURS</t>
  </si>
  <si>
    <t>Servicio de transporte zona Urbana de la localidad de Suba para  10 personas por jornada</t>
  </si>
  <si>
    <t>GESTION</t>
  </si>
  <si>
    <t>Servicio de transporte zona Urbana de la localidad de Suba para  10 personas por trayecto</t>
  </si>
  <si>
    <t>Servicio de transporte zona Urbana de la localidad de Suba para  16  a 30 personas por trayecto</t>
  </si>
  <si>
    <t>Servicio de transporte zona Urbana de la localidad de Suba para  16 a 30 personas por jornada</t>
  </si>
  <si>
    <t>Servicio de transporte zona Urbana de la localidad de Suba para  40 personas por jornada</t>
  </si>
  <si>
    <t>MICHAEL</t>
  </si>
  <si>
    <t>RENETUR.S.A.pdf</t>
  </si>
  <si>
    <t>RENETUR S.A</t>
  </si>
  <si>
    <t>Servicio de transporte zona Urbana de la localidad de Suba para  40 personas por trayecto</t>
  </si>
  <si>
    <t>DOS COTIZACIONES</t>
  </si>
  <si>
    <t>Silicona en Barra Delgada (7 mm) paquete   x 12 unidades</t>
  </si>
  <si>
    <t>Paquete de barras de silicona de diámetro delgado (7 mm) y 20 cm de largo. Elaborada con resina de alta transparencia y adherencia rápida, diseñada para pistolas de calor estándar x 12 unidades</t>
  </si>
  <si>
    <t>Grafitos_Silicona En Barra Delgada.pdf</t>
  </si>
  <si>
    <t>Grafitos</t>
  </si>
  <si>
    <t>Silicona en Barra Gruesa  (12 mm) paquete x 12 unidades</t>
  </si>
  <si>
    <t>Paquete de barras de silicona de diámetro delgado (12 mm) y 20 cm de largo. Elaborada con resina de alta transparencia y adherencia rápida, diseñada para pistolas de calor estándar x 12 unidades</t>
  </si>
  <si>
    <t>Papeleria Estacion de suba</t>
  </si>
  <si>
    <t>SMS texto masivo</t>
  </si>
  <si>
    <t>SMS DE TEXTO MASIVO
SHORT MESSAGE SERVICE) CONFIRMACIÓN DE ENTREGA CON DÍA Y HORA CAPACIDAD DE 160 CARACTERES APRÓX CLARO-MOVISTAR-TIGO</t>
  </si>
  <si>
    <t>Sobres para carta</t>
  </si>
  <si>
    <t>Sobres para carta DL (110 x 220 mm) paquete x 100</t>
  </si>
  <si>
    <t>La gran papeleria_SOBRE BLANCO RECTANGULAR PQ X 100</t>
  </si>
  <si>
    <t>LA GRAN PAPELERIA</t>
  </si>
  <si>
    <t>SUGA BAJA COMPLEJIDAD</t>
  </si>
  <si>
    <t>TRÁMITE SUGA DE BAJA COMPLEJIDAD</t>
  </si>
  <si>
    <t>SUGA MEDIANA COMPLEJIDAD</t>
  </si>
  <si>
    <t>TRÁMITE SUGA DE MEDIANA COMPLEJIDAD</t>
  </si>
  <si>
    <t>SUGA ALTA COMPLEJIDAD</t>
  </si>
  <si>
    <t>TRÁMITE SUGA DE ALTA COMPLEJIDAD</t>
  </si>
  <si>
    <t>Tabla de Apoyo o Portapapeles (Tamaño Oficio)</t>
  </si>
  <si>
    <t>Papyser_TABLA LEGAJADORA OFICIO MADEFLEX.pdf</t>
  </si>
  <si>
    <t>Pappyser</t>
  </si>
  <si>
    <t>Falabella.com_Tablero Acrilico Cuadricula 80x120 + tripode MAOS.pdf</t>
  </si>
  <si>
    <t>Falabella</t>
  </si>
  <si>
    <t>Homecenter_Tablero Acrilico Blanco 80x120 + Tripod.pdf</t>
  </si>
  <si>
    <t>Témperas x 50 ml</t>
  </si>
  <si>
    <t>Pintura témpera 50 ml: Frasco individual en colores surtidos con tapa rosca y sello de seguridad. Fórmula a base de agua, diferentes colores</t>
  </si>
  <si>
    <t>Homecenter - Temperas Escolar x 1 Und.pdf.pdf</t>
  </si>
  <si>
    <t>Homeceter</t>
  </si>
  <si>
    <t>Mercado Zapatoca-Tempera escolarX80g.pdf</t>
  </si>
  <si>
    <t>Mercado Zapatioca</t>
  </si>
  <si>
    <t>Punto Uniko_Tempera 80g.pdf</t>
  </si>
  <si>
    <t>Punto Uniko</t>
  </si>
  <si>
    <t>Témperas x 50 ml en caja x 6</t>
  </si>
  <si>
    <t>Caja x 6 unidades de pintura témpera 50 ml : Estuche de frascos individuales en colores surtidos con tapa rosca. Fórmula a base de agua con pigmentos.</t>
  </si>
  <si>
    <t>Papeleria la gran 12_TEMPERA PAYASITO X 6 UND</t>
  </si>
  <si>
    <t>PAPELERIA LA GRAN 12</t>
  </si>
  <si>
    <t>Papelería el mayorista_Témperas Rapid x6</t>
  </si>
  <si>
    <t>Tijera Doble Matu</t>
  </si>
  <si>
    <t>Tijera doble mango (Matu): Herramienta pedagógica. Longitud total de 17 cm a 18 cm (aprox. 7 pulgadas), con hojas metálicas de 5 cm a 6 cm de largo.</t>
  </si>
  <si>
    <t>Mundo Amable_Tijeras doble control</t>
  </si>
  <si>
    <t>MUNDO AMABLE</t>
  </si>
  <si>
    <t>Soluciones Didacticas_Set tijeras doble control</t>
  </si>
  <si>
    <t>Soluciones didacticas</t>
  </si>
  <si>
    <t>Para este elemento se consiguieron solamente dos cotizaciones, se adjuntan las pruebas de los proveedores donde confirman que no se consiguenComercializadora TJ indica que este producto es de baja rotacion en colombia. https://gobiernobogota-my.sharepoint.com/:b:/g/personal/planeacion_suba_gobiernobogota_gov_co/IQBLJ1tp1fdzSL9E0QwjjNUSAS7hmaX-o2ET4sUI1GqHxqY?e=QkiaZO</t>
  </si>
  <si>
    <t>Tijera para cortar tela (tipo modista)</t>
  </si>
  <si>
    <t>Tijera de modistería 7.5": Herramienta de corte con hojas de acero forjado de alta resistencia y filo rectificado. Cuenta con mango ergonómico recubierto en silicona o polímero de alto impacto.</t>
  </si>
  <si>
    <t>Homecenter_Tijera para cortar tela (tipo modista).pdf</t>
  </si>
  <si>
    <t>Novacol_Tijera metalica 8 genérica</t>
  </si>
  <si>
    <t>IMPORTADORA NOVACOL</t>
  </si>
  <si>
    <t>Papyser_TIJERA MODISTERIA 6 METALICA</t>
  </si>
  <si>
    <t>PAPYSER</t>
  </si>
  <si>
    <t>Mil Herrajes Colombia_Tijera Punta Roma Sencilla.pdf</t>
  </si>
  <si>
    <t>Mil Herrajes</t>
  </si>
  <si>
    <t>Exito.com_tijeras-punta-roma-eterna</t>
  </si>
  <si>
    <t>Papelerialagran12_TIJERA PUNTA DE ROMA MILIMETRADA</t>
  </si>
  <si>
    <t>Tinta para sellos (azul, roja y negra) 30ml</t>
  </si>
  <si>
    <t>Tinta para sellos 30 ml: Frasco plástico con boquilla aplicadora, disponible en colores básicos (azul, rojo y negro). Fórmula base agua de secado rápido y alta capilaridad para un entintado uniforme de almohadillas.</t>
  </si>
  <si>
    <t>Papyser_TINTA PARA SELLO CAUCHO X 30 CC AZUL SPEKTRA</t>
  </si>
  <si>
    <t>Ofix_Tinta Para Sellos Verde Spektra X30Cc</t>
  </si>
  <si>
    <t>OFIX</t>
  </si>
  <si>
    <t>Tizas para marcar tela</t>
  </si>
  <si>
    <t>Marcador sólido de forma triangular o rectangular con bordes afilados para trazos finos. Textura compacta de alta transferencia, fácil de remover sin dejar residuos ni manchar las fibras textiles.</t>
  </si>
  <si>
    <t>Zapatero del Valle_TIZA DE MODISTERIA DE COLORES .pdf</t>
  </si>
  <si>
    <t>Zapatero del Valle</t>
  </si>
  <si>
    <t>Mil Herrajes Colombia_Tiza Marca Tela</t>
  </si>
  <si>
    <t>MIL HERRAJES COLOMBIA</t>
  </si>
  <si>
    <t>HilArte Insumos_Tiza triangular para modisteria.pdf</t>
  </si>
  <si>
    <t>Hilarte Insumo</t>
  </si>
  <si>
    <t xml:space="preserve">Color: unisex, Poliester 210d, con cordón para ajustar y cargar, con bolsillo delantero y cremallera, con refuerzo en las esquinas_x000D_
Características:_x000D_
Alto: 45 cm _x000D_
Ancho: 35 cm_x000D_
Profundidad: 20 garantía: 12 Meses </t>
  </si>
  <si>
    <t>Volantes media carta 100 Unidades</t>
  </si>
  <si>
    <t>Tamaño: media carta, tintas: 4 x 4, full color policromía en propalcote 115 gr, refilados y/o materiales similares, con diseño aprobado por la oficina de prensa del FDLS</t>
  </si>
  <si>
    <t>100 unidades</t>
  </si>
  <si>
    <t>Volantes publicitarios full color una cara 100 unidades</t>
  </si>
  <si>
    <t>FULL COLOR</t>
  </si>
  <si>
    <t>Se corrigen los link y se cambia una cotizacion se anexan las 3 cotizaciones</t>
  </si>
  <si>
    <t>Volantes media carta 1000 unidades</t>
  </si>
  <si>
    <t xml:space="preserve">Sandra vargas </t>
  </si>
  <si>
    <t>JOES 05-05-2026 VARIOS.pdf</t>
  </si>
  <si>
    <t>Unitario</t>
  </si>
  <si>
    <t>Validada por (solo nombre y fecha si aplica)</t>
  </si>
  <si>
    <t>Validación final de las 3 cotizaciones</t>
  </si>
  <si>
    <t>Tipo Gestión Consolidada</t>
  </si>
  <si>
    <t>Validación Coeficiente Variación</t>
  </si>
  <si>
    <t xml:space="preserve"> precio referencia 2025 </t>
  </si>
  <si>
    <t xml:space="preserve"> Precio proyectado </t>
  </si>
  <si>
    <t>Validación Precio</t>
  </si>
  <si>
    <t>OBSERVACIONES REVISIÓN</t>
  </si>
  <si>
    <t>ACCIÓN</t>
  </si>
  <si>
    <t>PROYECTOS</t>
  </si>
  <si>
    <t>jardines</t>
  </si>
  <si>
    <t xml:space="preserve">validación final </t>
  </si>
  <si>
    <t xml:space="preserve"> 1. Sarita Salud Mental </t>
  </si>
  <si>
    <t xml:space="preserve"> Transcripción </t>
  </si>
  <si>
    <t xml:space="preserve"> Salud Mental </t>
  </si>
  <si>
    <t xml:space="preserve"> MICHAEL BAUTISTA  </t>
  </si>
  <si>
    <t>COMTEC.pdf</t>
  </si>
  <si>
    <t>HYN PUBLICIDAD COTIZACIÓN ALCALDIA SUBA (1).pdf</t>
  </si>
  <si>
    <t xml:space="preserve"> HYN PUBLICIDAD </t>
  </si>
  <si>
    <t xml:space="preserve"> Luz Jimenez </t>
  </si>
  <si>
    <t>GUERRA EDITORES.pdf</t>
  </si>
  <si>
    <t xml:space="preserve"> GUERRA EDITORES </t>
  </si>
  <si>
    <t xml:space="preserve">Se reciben 3 cotizaciones y se  transcriben las dos cotizaciones recibidas por politica social con los valores mas semejantes  Michael Bautista </t>
  </si>
  <si>
    <t>OK/</t>
  </si>
  <si>
    <t>TranscripciónTranscripciónTranscripción</t>
  </si>
  <si>
    <t>Cumple desviación</t>
  </si>
  <si>
    <t>NO TIENE LA CANTIDAD DE COTIZACIONES REQUERIDA (TIENE MENOS DE 2)</t>
  </si>
  <si>
    <t xml:space="preserve"> MICHAEL BAUTISTA </t>
  </si>
  <si>
    <t xml:space="preserve">Se reciben 4 cotizaciones y se transcriben las dos cotizaciones recibidas por politica social con los valores mas semejantes  Michael Bautista </t>
  </si>
  <si>
    <t>COTIZACION ENTERPRISE.pdf</t>
  </si>
  <si>
    <t xml:space="preserve"> ENTERPRISE </t>
  </si>
  <si>
    <t>No cumple desviación</t>
  </si>
  <si>
    <t xml:space="preserve"> HYN PUBLICIDAD  </t>
  </si>
  <si>
    <t>COTIZACION ENTERPRISE</t>
  </si>
  <si>
    <t>ULTRABELLA SAS.pdf</t>
  </si>
  <si>
    <t xml:space="preserve"> ULTRABELLA </t>
  </si>
  <si>
    <t>Se reciben 3 cotizaciones y se  transcriben las dos cotizaciones recibidas por politica social con los valores mas semejantes  Michael Bautista / SE COMPLETAN TRES COTIZACIONES LUZ JIMENEZ</t>
  </si>
  <si>
    <t>ESFERA DE EVENTOS SAS.pdf</t>
  </si>
  <si>
    <t xml:space="preserve"> ESFERA DE EVENTOS SAS </t>
  </si>
  <si>
    <t>GRUPO EMPRESARIAL SOLUCIONES 360 S.A.S.pdf</t>
  </si>
  <si>
    <t xml:space="preserve"> GRUPO EMPRESARIAL SOLUCIONES 360 S.A.S. </t>
  </si>
  <si>
    <t>PROYECTARTE C&amp;CJ S.A.S.pdf</t>
  </si>
  <si>
    <t xml:space="preserve"> PROYECTARTE </t>
  </si>
  <si>
    <t xml:space="preserve">Se reciben 3 cotizaciones y se  transcriben las dos cotizaciones recibidas por politica social con los valores mas semejantes Aclarando que en el proyecto de manzada de cuidado ya hay tres cotizaciones del mismo item con una variacion de medidas muy minima que cumple con la desviación  Michael Bautista </t>
  </si>
  <si>
    <t>lA TERCERA COTIZACION ESTA MUY ELEVADA DE PRECIO LUZ JIMENEZ, se dejan solo 2 proveedores MG</t>
  </si>
  <si>
    <t>TranscripciónTranscripción</t>
  </si>
  <si>
    <t>"Matera plástica, Entre alto 5.5 pulgadas, ancho 6,5 pulgadas, y/o  12 alto y ancho, color negro o variados. Maceta de resina de estilo cónico. Resistente y ligera. Orificios de drenaje. Pigmentos de color de alta calidad y aditivos UV.
Las plántulas, las semillas y las materas serán entregadas a los beneficaries al inicio de las sesiones con el fin de iniciar y realizar el seguimiento a la huerta emocional. "</t>
  </si>
  <si>
    <t>MATERA PLASTICA FALABELLA.pdf</t>
  </si>
  <si>
    <t xml:space="preserve"> TRANSCIPCION  </t>
  </si>
  <si>
    <t xml:space="preserve"> FALABELLA </t>
  </si>
  <si>
    <t xml:space="preserve"> IVA incluido </t>
  </si>
  <si>
    <t>MATERA PLASTICA HOMECENTER.pdf</t>
  </si>
  <si>
    <t xml:space="preserve"> HOMECENTER </t>
  </si>
  <si>
    <t>MATERA PLASTICA TU MATERA.pdf</t>
  </si>
  <si>
    <t xml:space="preserve"> TU MATERA </t>
  </si>
  <si>
    <t xml:space="preserve">TRANSCIPCION TRANSCIPCION TRANSCIPCION </t>
  </si>
  <si>
    <t>Incluye cartulinas, marcadores gruesos, post-it, cinta, papel bond, impresiones de casos prácticos, formatos de role-play, pliegos para mapas de red, insumos para dinámicas experienciales y construcción colectiva del kit. </t>
  </si>
  <si>
    <t xml:space="preserve"> TRANSCRIPCION </t>
  </si>
  <si>
    <t>TranscripciónTranscripciónTRANSCRIPCION</t>
  </si>
  <si>
    <t>PLANTULAS VARIADAS JARDINEROS.pdf</t>
  </si>
  <si>
    <t xml:space="preserve"> JARDINEROS </t>
  </si>
  <si>
    <t>PLANTULAS VARIADAS SEMBRAMOS.pdf</t>
  </si>
  <si>
    <t xml:space="preserve"> SEMBRAMOS </t>
  </si>
  <si>
    <t>PLANTULAS VARIADAS VIVEROS DE COLOMBIA.pdf</t>
  </si>
  <si>
    <t xml:space="preserve"> VIVEROS DE COLOMBIA </t>
  </si>
  <si>
    <t xml:space="preserve">MICHAEL BAUTISTA </t>
  </si>
  <si>
    <t xml:space="preserve"> ESFERA DE EVENTO  </t>
  </si>
  <si>
    <t>TRANSCIPCION</t>
  </si>
  <si>
    <t>SOLUCIONES 360</t>
  </si>
  <si>
    <t>TranscripciónTranscripciónTRANSCIPCION</t>
  </si>
  <si>
    <t xml:space="preserve"> SOLUCIONES 360 </t>
  </si>
  <si>
    <t xml:space="preserve"> PROYECTARTE C&amp;CJ </t>
  </si>
  <si>
    <t>SEMILLA VARIADAS EL SEMILLERO.pdf</t>
  </si>
  <si>
    <t>TRANSCRIPCION</t>
  </si>
  <si>
    <t>SEMILLAS VARIADAS
EL SEMILLERO</t>
  </si>
  <si>
    <t>SEMILLA VARIADAS IMPULSEMILLAS.pdf</t>
  </si>
  <si>
    <t>SEMILLAS VARIADAS
IMPULSEMILLAS</t>
  </si>
  <si>
    <t>SEMILLA VARIADAS SEMBRAMOS.pdf</t>
  </si>
  <si>
    <t>SEMILLAS VARIADAS
SEMBRAMOS</t>
  </si>
  <si>
    <t>se corrgien las cotizaciones /LUZ JIMENEZ</t>
  </si>
  <si>
    <t>TRANSCRIPCIONTRANSCRIPCIONTRANSCRIPCION</t>
  </si>
  <si>
    <t>COMTEC SOLUTIONS</t>
  </si>
  <si>
    <t>Se reciben 4 cotizaciones y se transcriben las dos cotizaciones recibidas por politica social con los valores mas semejantes  Michael Bautista 
Se corrgen las cotizaciones/LUZ JIMENEZ</t>
  </si>
  <si>
    <t>TRANSCRIPCIONTRANSCRIPCIONTranscripción</t>
  </si>
  <si>
    <t>ALCALDÍA LOCAL DE SUBA - FORMATO DE VALORES UNITARIOS</t>
  </si>
  <si>
    <t>VALOR TOTAL (sumatoria ítems)</t>
  </si>
  <si>
    <t>FDLS</t>
  </si>
  <si>
    <t>OFERENTE</t>
  </si>
  <si>
    <t>ÍTEM</t>
  </si>
  <si>
    <t>ÍTEMS O SERVICIOS</t>
  </si>
  <si>
    <t>DESCRIPCIÓN</t>
  </si>
  <si>
    <t xml:space="preserve">CANTIDAD </t>
  </si>
  <si>
    <t>PRECIOS DE REFERENCIA TECHO RESULTANTE EN EL ESTUDIO DE MERCADO QUE NO PODRAN SUPERAR LOS PROPONENTES</t>
  </si>
  <si>
    <t>OFERTA:
RAZON SOCIAL:</t>
  </si>
  <si>
    <t>VALOR UNITARIO INCLUIDO IVA</t>
  </si>
  <si>
    <t>VALOR TOTAL INCLUIDO IVA</t>
  </si>
  <si>
    <t>VALOR TOTAL</t>
  </si>
  <si>
    <t>DIFERENCIA VALOR UNITARIO INCLUIDO IVA</t>
  </si>
  <si>
    <t>DIFERENCIA VALOR TOTAL</t>
  </si>
  <si>
    <t>TOTAL ÍTEMS</t>
  </si>
  <si>
    <t>NOMBRE DEL REPRESENTANTE LEGAL</t>
  </si>
  <si>
    <t>NOMBRE DE LA EMPRESA</t>
  </si>
  <si>
    <t>DIRECCION</t>
  </si>
  <si>
    <t>TELEFONOS DE CONTACTO</t>
  </si>
  <si>
    <t>FECHA DE DILIGENCIAMIENTO DEL ESTUDIO DE MERCADO</t>
  </si>
  <si>
    <t>Procesos en Otras Entidades</t>
  </si>
  <si>
    <t>Media Geométrica</t>
  </si>
  <si>
    <t>Nombre Entidad</t>
  </si>
  <si>
    <t>Límite menor</t>
  </si>
  <si>
    <t>Límite mayor</t>
  </si>
  <si>
    <t>Valor Unitario Techo (IVA incluído)</t>
  </si>
  <si>
    <t>Valor Total Techo (IVA incluído)</t>
  </si>
  <si>
    <t>Cantidad</t>
  </si>
  <si>
    <t>Cargo</t>
  </si>
  <si>
    <t>Perfil</t>
  </si>
  <si>
    <t>Tabla Honorarios
o 
Cotización</t>
  </si>
  <si>
    <t>% de dedicación</t>
  </si>
  <si>
    <t>Tiempo (meses)</t>
  </si>
  <si>
    <t>VALOR MENSUAL 
(Tabla de honorarios Resolución 0001 Secretaría Distrial de Gobierno) que el proponente no podrá modificar en su oferta  O cotización 1</t>
  </si>
  <si>
    <t>Valor total que el proponente no podrá modificar en su oferta</t>
  </si>
  <si>
    <t>Valor Final / Promedio para cotizaciones Personal</t>
  </si>
  <si>
    <t>Valor total Recurso Humano</t>
  </si>
  <si>
    <t>FORMULADOR</t>
  </si>
  <si>
    <t>COMPRA</t>
  </si>
  <si>
    <t>PROVEEDOR</t>
  </si>
  <si>
    <t>ALQUILER</t>
  </si>
  <si>
    <t>CATEGORÍA</t>
  </si>
  <si>
    <t>MEDIO POR EL CUAL SE REALIZA LA COTIZACIÓN</t>
  </si>
  <si>
    <t>TIPO DE PROVEEDOR</t>
  </si>
  <si>
    <t>ESTADO DE LA COTIZACIÓN</t>
  </si>
  <si>
    <t>UBICACIÓN DEL PROVEEDOR (LOCALIDAD)</t>
  </si>
  <si>
    <t>FORMULADORES</t>
  </si>
  <si>
    <t>RESPONSABLE COTIZACIÓN</t>
  </si>
  <si>
    <t>OBSERVACIÓN DEVOLUCIÓN COTIZACIÓN</t>
  </si>
  <si>
    <t>COMPONENTE</t>
  </si>
  <si>
    <t>UNIDAD DE MEDIDA</t>
  </si>
  <si>
    <t>MODALIDAD DE CONTRATACIÓN</t>
  </si>
  <si>
    <t>JUEGOS</t>
  </si>
  <si>
    <t>CORREO ELECTRÓNICO</t>
  </si>
  <si>
    <t>MÚLTIPLE</t>
  </si>
  <si>
    <t>POR ENVIAR</t>
  </si>
  <si>
    <t>ANTONIO NARIÑO</t>
  </si>
  <si>
    <t xml:space="preserve">ANDREA CAROLINA SANCHEZ </t>
  </si>
  <si>
    <t>LUISA ROSADA</t>
  </si>
  <si>
    <t>No tenía las Características Técnicas específicas</t>
  </si>
  <si>
    <t>Recurso Humano</t>
  </si>
  <si>
    <t>Servicio unitario por persona</t>
  </si>
  <si>
    <t>Concurso de méritos</t>
  </si>
  <si>
    <t>LOGÍSTICA</t>
  </si>
  <si>
    <t>LLAMADA</t>
  </si>
  <si>
    <t>ÚNICO</t>
  </si>
  <si>
    <t>EN BUSQUEDA DE OTRO PROVEEDOR</t>
  </si>
  <si>
    <t>BARRIOS UNIDOS</t>
  </si>
  <si>
    <t>CARLOS ALBERTO VARGAS</t>
  </si>
  <si>
    <t>DAYANA PATIÑO</t>
  </si>
  <si>
    <t xml:space="preserve">El proveedor no actualizó la cotización, se proyectó con IPC </t>
  </si>
  <si>
    <t>Servicios</t>
  </si>
  <si>
    <t xml:space="preserve">Servicio unitario por establecimiento comercial </t>
  </si>
  <si>
    <t>Contratación Directa</t>
  </si>
  <si>
    <t>PUBLICIDAD</t>
  </si>
  <si>
    <t>VISITA FÍSICA</t>
  </si>
  <si>
    <t>ENVIADA 1a VEZ</t>
  </si>
  <si>
    <t>BOSA</t>
  </si>
  <si>
    <t>CATALINA  BURGOS</t>
  </si>
  <si>
    <t>LUZ JIMENEZ</t>
  </si>
  <si>
    <t>Otro</t>
  </si>
  <si>
    <t xml:space="preserve"> Elementos</t>
  </si>
  <si>
    <t xml:space="preserve">Servicio unitario por cartilla (diseño e impresión de cartilla)  </t>
  </si>
  <si>
    <t>PAPELERÍA</t>
  </si>
  <si>
    <t>WHATSAPP</t>
  </si>
  <si>
    <t>ENVIADA 2a VEZ</t>
  </si>
  <si>
    <t>CANDELARIA</t>
  </si>
  <si>
    <t>CESAR MAURICIO RUIZ</t>
  </si>
  <si>
    <t>Servicio unitario</t>
  </si>
  <si>
    <t>Mínima Cuantía</t>
  </si>
  <si>
    <t>PENDIENTE 1a VEZ</t>
  </si>
  <si>
    <t>CHAPINERO</t>
  </si>
  <si>
    <t>LUIS EDUARDO BRAVO</t>
  </si>
  <si>
    <t xml:space="preserve">Servicio Global </t>
  </si>
  <si>
    <t>Selección Abreviada Acuerdo Marco de Precio</t>
  </si>
  <si>
    <t>PENDIENTE 2a VEZ</t>
  </si>
  <si>
    <t>CIUDAD BOLÍVAR</t>
  </si>
  <si>
    <t>DIANA MARCELA AGUILAR</t>
  </si>
  <si>
    <t>Servicio Global evento</t>
  </si>
  <si>
    <t>Selección Abreviada Menor Cuantía</t>
  </si>
  <si>
    <t>RECIBIDA 1a VEZ</t>
  </si>
  <si>
    <t>ENGATIVÁ</t>
  </si>
  <si>
    <t>JOSHUA DAYANA ARDILA</t>
  </si>
  <si>
    <t>Diseño de programa de capacitación</t>
  </si>
  <si>
    <t>Selección Abreviada Subasta Inversa</t>
  </si>
  <si>
    <t>RECIBIDA 2a VEZ</t>
  </si>
  <si>
    <t>FONTIBÓN</t>
  </si>
  <si>
    <t>ANGELA MARIA PEREZ MAHECHA</t>
  </si>
  <si>
    <t>Capacitación por persona</t>
  </si>
  <si>
    <t>CLASIFICACIÓN DEL PROVEEDOR</t>
  </si>
  <si>
    <t>KENNEDY</t>
  </si>
  <si>
    <t>JOSE DARWIN SANGUINO</t>
  </si>
  <si>
    <t>Unidades</t>
  </si>
  <si>
    <t>VIGENTE</t>
  </si>
  <si>
    <t>LOS MÁRTIRES</t>
  </si>
  <si>
    <t xml:space="preserve">SANTIAGO ALEJANDRO CÁRDENAS </t>
  </si>
  <si>
    <t>Personas</t>
  </si>
  <si>
    <t>NO INTERESADO EN COTIZAR</t>
  </si>
  <si>
    <t>PUENTE ARANDA</t>
  </si>
  <si>
    <t>SEBASTIÁN RAMÍREZ</t>
  </si>
  <si>
    <t>Paquetes</t>
  </si>
  <si>
    <t>RAFAEL URIBE URIBE</t>
  </si>
  <si>
    <t xml:space="preserve">SERGIO MEJIA </t>
  </si>
  <si>
    <t>SAN CRISTÓBAL</t>
  </si>
  <si>
    <t>ANDRES FELIPE CURREA</t>
  </si>
  <si>
    <t>SANTA FE</t>
  </si>
  <si>
    <t>SUBA</t>
  </si>
  <si>
    <t>SUMAPAZ</t>
  </si>
  <si>
    <t>TEUSAQUILLO</t>
  </si>
  <si>
    <t>TEXTO DEL CORREO</t>
  </si>
  <si>
    <t>TUNJUELITO</t>
  </si>
  <si>
    <t>USAQUÉN</t>
  </si>
  <si>
    <t>USME</t>
  </si>
  <si>
    <t>PRESTAR SERVICIOS PARA EJECUTAR ACCIONES QUE CONTRIBUYAN A LA PROMOCIÓN Y CUIDADO DE LA SALUD MENTAL EN LA LOCALIDAD DE SUBA</t>
  </si>
  <si>
    <t xml:space="preserve">*Valores no modificables </t>
  </si>
  <si>
    <t xml:space="preserve">Serán de exclusiva responsabilidad del proponente los errores u omisiones en que incurra al indicar el valor de su propuesta, debiendo asumir los mayores costos y/o pérdidas que se deriven de dichos errores u omisiones, sin que por esta razón haya lugar a alegar ruptura del equilibrio contractual. 
Para efectos del señalamiento del precio ofrecido, el proponente debe tener en cuenta todos los costos, gastos, impuestos, seguros, pago de salarios, prestaciones sociales y demás emolumentos que considere necesarios para la fijación de la propuesta económica. 
Cuando se trate de errores simplemente aritméticos (sumas o multiplicaciones) la Alcaldía podrá hacer uso de la facultad de corrección aritmética.
 El Fondo de Desarrollo Local de Suba informa que conforme a las directrices de la Secretaría Distrital de Hacienda, los responsables del Recaudo por concepto de tasas y estampillas, son Alcaldía Mayor, Secretarías y Departamentos Administrativos como entidades que conforman la administración central; los establecimientos públicos. Es decir, aquellos con personería jurídica, autonomía administrativa y financiera y patrimonio independiente y la Universidad Distrital Francisco José de Caldas. Es por ello que la Alcaldía Local de Suba es una Entidad NO responsable de la declaración y pago del valor Retenido por concepto de estampillas, por tal motivo no fueron incluidos en el proceso.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</si>
</sst>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6" formatCode="&quot;$&quot;\ #,##0;[Red]\-&quot;$&quot;\ #,##0"/>
    <numFmt numFmtId="8" formatCode="&quot;$&quot;\ #,##0.00;[Red]\-&quot;$&quot;\ #,##0.00"/>
    <numFmt numFmtId="42" formatCode="_-&quot;$&quot;\ * #,##0_-;\-&quot;$&quot;\ * #,##0_-;_-&quot;$&quot;\ * &quot;-&quot;_-;_-@_-"/>
    <numFmt numFmtId="44" formatCode="_-&quot;$&quot;\ * #,##0.00_-;\-&quot;$&quot;\ * #,##0.00_-;_-&quot;$&quot;\ * &quot;-&quot;??_-;_-@_-"/>
    <numFmt numFmtId="43" formatCode="_-* #,##0.00_-;\-* #,##0.00_-;_-* &quot;-&quot;??_-;_-@_-"/>
    <numFmt numFmtId="164" formatCode="_-&quot;$&quot;\ * #,##0_-;\-&quot;$&quot;\ * #,##0_-;_-&quot;$&quot;\ * &quot;-&quot;??_-;_-@_-"/>
    <numFmt numFmtId="165" formatCode="_-[$$-240A]\ * #,##0_-;\-[$$-240A]\ * #,##0_-;_-[$$-240A]\ * &quot;-&quot;??_-;_-@_-"/>
    <numFmt numFmtId="167" formatCode="_-&quot;$&quot;\ * #,##0.00_-;\-&quot;$&quot;\ * #,##0.00_-;_-&quot;$&quot;\ * &quot;-&quot;_-;_-@_-"/>
    <numFmt numFmtId="168" formatCode="_-[$$-240A]\ * #,##0_-;\-[$$-240A]\ * #,##0_-;_-[$$-240A]\ * &quot;-&quot;_-;_-@_-"/>
    <numFmt numFmtId="169" formatCode="_-&quot;$&quot;\ * #,##0.000000_-;\-&quot;$&quot;\ * #,##0.000000_-;_-&quot;$&quot;\ * &quot;-&quot;??_-;_-@_-"/>
    <numFmt numFmtId="170" formatCode="_-[$$-409]* #,##0_ ;_-[$$-409]* \-#,##0\ ;_-[$$-409]* &quot;-&quot;??_ ;_-@_ "/>
    <numFmt numFmtId="175" formatCode="&quot;$&quot;\ #,##0"/>
  </numFmts>
  <fonts count="53" x14ac:knownFonts="1">
    <font>
      <sz val="11"/>
      <color theme="1"/>
      <name val="Aptos Narrow"/>
      <family val="2"/>
      <scheme val="minor"/>
    </font>
    <font>
      <sz val="11"/>
      <color theme="1"/>
      <name val="Aptos Narrow"/>
      <family val="2"/>
      <scheme val="minor"/>
    </font>
    <font>
      <b/>
      <sz val="11"/>
      <color theme="0"/>
      <name val="Aptos Narrow"/>
      <family val="2"/>
      <scheme val="minor"/>
    </font>
    <font>
      <sz val="11"/>
      <color theme="0"/>
      <name val="Aptos Narrow"/>
      <family val="2"/>
      <scheme val="minor"/>
    </font>
    <font>
      <b/>
      <sz val="25"/>
      <color theme="1"/>
      <name val="Aptos Narrow"/>
      <family val="2"/>
      <scheme val="minor"/>
    </font>
    <font>
      <b/>
      <sz val="18"/>
      <color theme="1"/>
      <name val="Aptos Narrow"/>
      <family val="2"/>
      <scheme val="minor"/>
    </font>
    <font>
      <b/>
      <sz val="16"/>
      <color theme="1"/>
      <name val="Aptos Narrow"/>
      <family val="2"/>
      <scheme val="minor"/>
    </font>
    <font>
      <b/>
      <sz val="18"/>
      <color rgb="FF000000"/>
      <name val="Aptos Narrow"/>
      <family val="2"/>
      <scheme val="minor"/>
    </font>
    <font>
      <b/>
      <sz val="16"/>
      <color rgb="FF000000"/>
      <name val="Aptos Narrow"/>
      <family val="2"/>
      <scheme val="minor"/>
    </font>
    <font>
      <sz val="10"/>
      <color theme="1"/>
      <name val="Aptos Narrow"/>
      <family val="2"/>
      <scheme val="minor"/>
    </font>
    <font>
      <sz val="14"/>
      <color theme="0"/>
      <name val="Aptos Narrow"/>
      <family val="2"/>
      <scheme val="minor"/>
    </font>
    <font>
      <sz val="10"/>
      <name val="Aptos Narrow"/>
      <family val="2"/>
      <scheme val="minor"/>
    </font>
    <font>
      <sz val="12"/>
      <color theme="0"/>
      <name val="Aptos Narrow"/>
      <family val="2"/>
      <scheme val="minor"/>
    </font>
    <font>
      <sz val="11"/>
      <color rgb="FF000000"/>
      <name val="Aptos Narrow"/>
      <family val="2"/>
      <scheme val="minor"/>
    </font>
    <font>
      <b/>
      <sz val="14"/>
      <color theme="0"/>
      <name val="Aptos Narrow"/>
      <family val="2"/>
      <scheme val="minor"/>
    </font>
    <font>
      <b/>
      <sz val="14"/>
      <color theme="1"/>
      <name val="Aptos Narrow"/>
      <family val="2"/>
      <scheme val="minor"/>
    </font>
    <font>
      <sz val="11"/>
      <name val="Garamond"/>
      <family val="1"/>
    </font>
    <font>
      <sz val="11"/>
      <color theme="1"/>
      <name val="Garamond"/>
      <family val="1"/>
    </font>
    <font>
      <sz val="12"/>
      <color theme="1"/>
      <name val="Aptos Narrow"/>
      <family val="2"/>
      <scheme val="minor"/>
    </font>
    <font>
      <b/>
      <sz val="72"/>
      <color theme="1"/>
      <name val="Aptos Narrow"/>
      <family val="2"/>
      <scheme val="minor"/>
    </font>
    <font>
      <b/>
      <sz val="36"/>
      <color theme="1"/>
      <name val="Aptos Narrow"/>
      <family val="2"/>
      <scheme val="minor"/>
    </font>
    <font>
      <b/>
      <sz val="48"/>
      <color theme="1"/>
      <name val="Aptos Narrow"/>
      <family val="2"/>
      <scheme val="minor"/>
    </font>
    <font>
      <b/>
      <sz val="11"/>
      <color rgb="FFFFFFFF"/>
      <name val="Aptos Narrow"/>
      <family val="2"/>
      <scheme val="minor"/>
    </font>
    <font>
      <sz val="18"/>
      <color theme="0"/>
      <name val="Aptos Narrow"/>
      <family val="2"/>
      <scheme val="minor"/>
    </font>
    <font>
      <b/>
      <sz val="10"/>
      <color theme="0"/>
      <name val="Aptos Narrow"/>
      <family val="2"/>
      <scheme val="minor"/>
    </font>
    <font>
      <b/>
      <sz val="20"/>
      <color theme="1"/>
      <name val="Aptos Narrow"/>
      <family val="2"/>
      <scheme val="minor"/>
    </font>
    <font>
      <sz val="16"/>
      <color theme="1"/>
      <name val="Aptos Narrow"/>
      <family val="2"/>
      <scheme val="minor"/>
    </font>
    <font>
      <sz val="16"/>
      <name val="Garamond"/>
      <family val="1"/>
    </font>
    <font>
      <sz val="16"/>
      <color theme="1"/>
      <name val="Garamond"/>
      <family val="1"/>
    </font>
    <font>
      <b/>
      <sz val="18"/>
      <color theme="0"/>
      <name val="Aptos Narrow"/>
      <family val="2"/>
      <scheme val="minor"/>
    </font>
    <font>
      <b/>
      <sz val="28"/>
      <color theme="1"/>
      <name val="Aptos Narrow"/>
      <family val="2"/>
      <scheme val="minor"/>
    </font>
    <font>
      <b/>
      <sz val="18"/>
      <color theme="1"/>
      <name val="Garamond"/>
      <family val="1"/>
    </font>
    <font>
      <b/>
      <sz val="14"/>
      <color theme="1"/>
      <name val="Garamond"/>
      <family val="1"/>
    </font>
    <font>
      <sz val="10"/>
      <color theme="1"/>
      <name val="Garamond"/>
      <family val="1"/>
    </font>
    <font>
      <b/>
      <sz val="12"/>
      <color theme="1"/>
      <name val="Arial"/>
      <family val="2"/>
    </font>
    <font>
      <sz val="12"/>
      <color theme="1"/>
      <name val="Arial"/>
      <family val="2"/>
    </font>
    <font>
      <sz val="11"/>
      <color theme="0"/>
      <name val="Garamond"/>
      <family val="1"/>
    </font>
    <font>
      <sz val="16"/>
      <color rgb="FF000000"/>
      <name val="Aptos Narrow"/>
      <family val="2"/>
      <scheme val="minor"/>
    </font>
    <font>
      <sz val="16"/>
      <color rgb="FF156082"/>
      <name val="Aptos Narrow"/>
      <family val="2"/>
      <scheme val="minor"/>
    </font>
    <font>
      <sz val="16"/>
      <name val="Aptos Narrow"/>
      <family val="2"/>
      <scheme val="minor"/>
    </font>
    <font>
      <sz val="16"/>
      <color rgb="FF000000"/>
      <name val="Aptos Narrow"/>
      <family val="2"/>
    </font>
    <font>
      <sz val="12"/>
      <color rgb="FF000000"/>
      <name val="Aptos Narrow"/>
      <family val="2"/>
    </font>
    <font>
      <sz val="16"/>
      <name val="Aptos Narrow"/>
      <family val="2"/>
    </font>
    <font>
      <sz val="11"/>
      <color rgb="FFFF0000"/>
      <name val="Aptos Narrow"/>
      <family val="2"/>
      <scheme val="minor"/>
    </font>
    <font>
      <u/>
      <sz val="11"/>
      <color theme="10"/>
      <name val="Aptos Narrow"/>
      <family val="2"/>
      <scheme val="minor"/>
    </font>
    <font>
      <b/>
      <sz val="16"/>
      <color theme="0"/>
      <name val="Aptos Narrow"/>
      <family val="2"/>
      <scheme val="minor"/>
    </font>
    <font>
      <b/>
      <sz val="12"/>
      <color theme="0"/>
      <name val="Aptos Narrow"/>
      <family val="2"/>
      <scheme val="minor"/>
    </font>
    <font>
      <sz val="11"/>
      <color rgb="FF000000"/>
      <name val="Aptos Narrow"/>
      <family val="2"/>
    </font>
    <font>
      <sz val="16"/>
      <color theme="4"/>
      <name val="Aptos Narrow"/>
      <family val="2"/>
      <scheme val="minor"/>
    </font>
    <font>
      <sz val="12"/>
      <color rgb="FF000000"/>
      <name val="Aptos Narrow"/>
      <family val="2"/>
      <scheme val="minor"/>
    </font>
    <font>
      <sz val="20"/>
      <color theme="1"/>
      <name val="Aptos Narrow"/>
      <family val="2"/>
      <scheme val="minor"/>
    </font>
    <font>
      <sz val="18"/>
      <color theme="1"/>
      <name val="Aptos Narrow"/>
      <family val="2"/>
      <scheme val="minor"/>
    </font>
    <font>
      <sz val="18"/>
      <color rgb="FF000000"/>
      <name val="Aptos Narrow"/>
      <family val="2"/>
      <scheme val="minor"/>
    </font>
  </fonts>
  <fills count="36">
    <fill>
      <patternFill patternType="none"/>
    </fill>
    <fill>
      <patternFill patternType="gray125"/>
    </fill>
    <fill>
      <patternFill patternType="solid">
        <fgColor theme="6" tint="0.79998168889431442"/>
        <bgColor indexed="64"/>
      </patternFill>
    </fill>
    <fill>
      <patternFill patternType="solid">
        <fgColor rgb="FF356BA1"/>
        <bgColor indexed="64"/>
      </patternFill>
    </fill>
    <fill>
      <patternFill patternType="solid">
        <fgColor theme="7"/>
        <bgColor indexed="64"/>
      </patternFill>
    </fill>
    <fill>
      <patternFill patternType="solid">
        <fgColor theme="4"/>
        <bgColor indexed="64"/>
      </patternFill>
    </fill>
    <fill>
      <patternFill patternType="solid">
        <fgColor theme="9" tint="0.79998168889431442"/>
        <bgColor indexed="64"/>
      </patternFill>
    </fill>
    <fill>
      <patternFill patternType="solid">
        <fgColor theme="0"/>
        <bgColor indexed="64"/>
      </patternFill>
    </fill>
    <fill>
      <patternFill patternType="solid">
        <fgColor theme="1" tint="0.34998626667073579"/>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3" tint="0.89999084444715716"/>
        <bgColor indexed="64"/>
      </patternFill>
    </fill>
    <fill>
      <patternFill patternType="solid">
        <fgColor theme="3" tint="0.749992370372631"/>
        <bgColor indexed="64"/>
      </patternFill>
    </fill>
    <fill>
      <patternFill patternType="solid">
        <fgColor theme="9" tint="-0.249977111117893"/>
        <bgColor indexed="64"/>
      </patternFill>
    </fill>
    <fill>
      <patternFill patternType="solid">
        <fgColor theme="9" tint="0.59999389629810485"/>
        <bgColor indexed="64"/>
      </patternFill>
    </fill>
    <fill>
      <patternFill patternType="solid">
        <fgColor theme="2"/>
        <bgColor indexed="64"/>
      </patternFill>
    </fill>
    <fill>
      <patternFill patternType="solid">
        <fgColor rgb="FF156082"/>
        <bgColor rgb="FF000000"/>
      </patternFill>
    </fill>
    <fill>
      <patternFill patternType="solid">
        <fgColor theme="2" tint="-9.9978637043366805E-2"/>
        <bgColor indexed="64"/>
      </patternFill>
    </fill>
    <fill>
      <patternFill patternType="solid">
        <fgColor theme="1" tint="0.14999847407452621"/>
        <bgColor indexed="64"/>
      </patternFill>
    </fill>
    <fill>
      <patternFill patternType="solid">
        <fgColor theme="7" tint="0.79998168889431442"/>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theme="5" tint="0.59999389629810485"/>
        <bgColor indexed="64"/>
      </patternFill>
    </fill>
    <fill>
      <patternFill patternType="solid">
        <fgColor theme="3" tint="0.249977111117893"/>
        <bgColor indexed="64"/>
      </patternFill>
    </fill>
    <fill>
      <patternFill patternType="solid">
        <fgColor rgb="FFDAF2D0"/>
        <bgColor rgb="FF000000"/>
      </patternFill>
    </fill>
    <fill>
      <patternFill patternType="solid">
        <fgColor rgb="FFFFFFFF"/>
        <bgColor rgb="FF000000"/>
      </patternFill>
    </fill>
    <fill>
      <patternFill patternType="solid">
        <fgColor theme="0" tint="-0.34998626667073579"/>
        <bgColor indexed="64"/>
      </patternFill>
    </fill>
    <fill>
      <patternFill patternType="solid">
        <fgColor theme="2" tint="-0.249977111117893"/>
        <bgColor indexed="64"/>
      </patternFill>
    </fill>
    <fill>
      <patternFill patternType="solid">
        <fgColor theme="9" tint="0.39997558519241921"/>
        <bgColor indexed="64"/>
      </patternFill>
    </fill>
    <fill>
      <patternFill patternType="solid">
        <fgColor rgb="FFFFFF00"/>
        <bgColor rgb="FF000000"/>
      </patternFill>
    </fill>
    <fill>
      <patternFill patternType="solid">
        <fgColor rgb="FFDAE9F8"/>
        <bgColor rgb="FF000000"/>
      </patternFill>
    </fill>
    <fill>
      <patternFill patternType="solid">
        <fgColor rgb="FFA6C9EC"/>
        <bgColor rgb="FF000000"/>
      </patternFill>
    </fill>
    <fill>
      <patternFill patternType="solid">
        <fgColor rgb="FFD9D9D9"/>
        <bgColor rgb="FF000000"/>
      </patternFill>
    </fill>
    <fill>
      <patternFill patternType="solid">
        <fgColor theme="8" tint="0.79998168889431442"/>
        <bgColor indexed="64"/>
      </patternFill>
    </fill>
    <fill>
      <patternFill patternType="solid">
        <fgColor rgb="FFFFFF00"/>
        <bgColor indexed="64"/>
      </patternFill>
    </fill>
    <fill>
      <patternFill patternType="solid">
        <fgColor rgb="FF8ED973"/>
        <bgColor rgb="FF000000"/>
      </patternFill>
    </fill>
  </fills>
  <borders count="4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bottom style="medium">
        <color indexed="64"/>
      </bottom>
      <diagonal/>
    </border>
    <border>
      <left/>
      <right style="thin">
        <color rgb="FF104861"/>
      </right>
      <top style="thin">
        <color rgb="FF104861"/>
      </top>
      <bottom style="thin">
        <color rgb="FF104861"/>
      </bottom>
      <diagonal/>
    </border>
    <border>
      <left style="thin">
        <color rgb="FF999999"/>
      </left>
      <right/>
      <top style="thin">
        <color rgb="FF999999"/>
      </top>
      <bottom/>
      <diagonal/>
    </border>
    <border>
      <left style="thin">
        <color indexed="65"/>
      </left>
      <right/>
      <top style="thin">
        <color rgb="FF999999"/>
      </top>
      <bottom/>
      <diagonal/>
    </border>
    <border>
      <left style="thin">
        <color indexed="65"/>
      </left>
      <right style="thin">
        <color rgb="FF999999"/>
      </right>
      <top style="thin">
        <color rgb="FF999999"/>
      </top>
      <bottom/>
      <diagonal/>
    </border>
    <border>
      <left style="thin">
        <color rgb="FF999999"/>
      </left>
      <right/>
      <top style="thin">
        <color indexed="65"/>
      </top>
      <bottom/>
      <diagonal/>
    </border>
    <border>
      <left style="thin">
        <color indexed="65"/>
      </left>
      <right/>
      <top style="thin">
        <color indexed="65"/>
      </top>
      <bottom/>
      <diagonal/>
    </border>
    <border>
      <left style="thin">
        <color indexed="65"/>
      </left>
      <right style="thin">
        <color rgb="FF999999"/>
      </right>
      <top style="thin">
        <color indexed="65"/>
      </top>
      <bottom/>
      <diagonal/>
    </border>
    <border>
      <left style="thin">
        <color rgb="FF999999"/>
      </left>
      <right/>
      <top style="thin">
        <color indexed="65"/>
      </top>
      <bottom style="thin">
        <color rgb="FF999999"/>
      </bottom>
      <diagonal/>
    </border>
    <border>
      <left style="thin">
        <color indexed="65"/>
      </left>
      <right/>
      <top style="thin">
        <color indexed="65"/>
      </top>
      <bottom style="thin">
        <color rgb="FF999999"/>
      </bottom>
      <diagonal/>
    </border>
    <border>
      <left style="thin">
        <color indexed="65"/>
      </left>
      <right style="thin">
        <color rgb="FF999999"/>
      </right>
      <top style="thin">
        <color indexed="65"/>
      </top>
      <bottom style="thin">
        <color rgb="FF999999"/>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right style="medium">
        <color indexed="64"/>
      </right>
      <top style="medium">
        <color indexed="64"/>
      </top>
      <bottom style="medium">
        <color indexed="64"/>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style="thin">
        <color rgb="FF000000"/>
      </left>
      <right/>
      <top style="thin">
        <color rgb="FF000000"/>
      </top>
      <bottom/>
      <diagonal/>
    </border>
    <border>
      <left/>
      <right style="thin">
        <color rgb="FF000000"/>
      </right>
      <top/>
      <bottom style="thin">
        <color rgb="FF000000"/>
      </bottom>
      <diagonal/>
    </border>
  </borders>
  <cellStyleXfs count="8">
    <xf numFmtId="0" fontId="0" fillId="0" borderId="0"/>
    <xf numFmtId="44" fontId="1" fillId="0" borderId="0" applyFont="0" applyFill="0" applyBorder="0" applyAlignment="0" applyProtection="0"/>
    <xf numFmtId="9" fontId="1" fillId="0" borderId="0" applyFont="0" applyFill="0" applyBorder="0" applyAlignment="0" applyProtection="0"/>
    <xf numFmtId="0" fontId="1" fillId="0" borderId="0"/>
    <xf numFmtId="0" fontId="18" fillId="0" borderId="0"/>
    <xf numFmtId="44" fontId="1" fillId="0" borderId="0" applyFon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cellStyleXfs>
  <cellXfs count="588">
    <xf numFmtId="0" fontId="0" fillId="0" borderId="0" xfId="0"/>
    <xf numFmtId="0" fontId="4" fillId="0" borderId="0" xfId="3" applyFont="1" applyAlignment="1">
      <alignment horizontal="center" vertical="center" wrapText="1"/>
    </xf>
    <xf numFmtId="0" fontId="6" fillId="0" borderId="0" xfId="3" applyFont="1" applyAlignment="1">
      <alignment horizontal="center" vertical="center" wrapText="1"/>
    </xf>
    <xf numFmtId="0" fontId="0" fillId="0" borderId="0" xfId="0" applyAlignment="1">
      <alignment wrapText="1"/>
    </xf>
    <xf numFmtId="0" fontId="0" fillId="2" borderId="0" xfId="0" applyFill="1" applyAlignment="1">
      <alignment wrapText="1"/>
    </xf>
    <xf numFmtId="0" fontId="0" fillId="0" borderId="1" xfId="0" applyBorder="1" applyAlignment="1">
      <alignment vertical="center" wrapText="1"/>
    </xf>
    <xf numFmtId="0" fontId="0" fillId="0" borderId="1" xfId="0" applyBorder="1" applyAlignment="1" applyProtection="1">
      <alignment vertical="center" wrapText="1"/>
      <protection locked="0"/>
    </xf>
    <xf numFmtId="0" fontId="0" fillId="0" borderId="0" xfId="0" applyAlignment="1">
      <alignment vertical="center" wrapText="1"/>
    </xf>
    <xf numFmtId="44" fontId="0" fillId="0" borderId="0" xfId="0" applyNumberFormat="1" applyAlignment="1">
      <alignment vertical="center" wrapText="1"/>
    </xf>
    <xf numFmtId="0" fontId="0" fillId="0" borderId="0" xfId="0" applyAlignment="1">
      <alignment horizontal="right" vertical="center" wrapText="1"/>
    </xf>
    <xf numFmtId="0" fontId="9" fillId="0" borderId="0" xfId="0" applyFont="1" applyAlignment="1">
      <alignment vertical="center" wrapText="1"/>
    </xf>
    <xf numFmtId="0" fontId="2" fillId="5" borderId="1" xfId="0" applyFont="1" applyFill="1" applyBorder="1" applyAlignment="1">
      <alignment horizontal="center" vertical="center" wrapText="1"/>
    </xf>
    <xf numFmtId="0" fontId="13" fillId="0" borderId="0" xfId="0" applyFont="1" applyAlignment="1">
      <alignment horizontal="center" vertical="center"/>
    </xf>
    <xf numFmtId="0" fontId="13" fillId="0" borderId="0" xfId="0" applyFont="1" applyAlignment="1">
      <alignment vertical="center" wrapText="1"/>
    </xf>
    <xf numFmtId="0" fontId="13" fillId="0" borderId="0" xfId="0" applyFont="1"/>
    <xf numFmtId="0" fontId="0" fillId="0" borderId="0" xfId="0" applyAlignment="1">
      <alignment vertical="center"/>
    </xf>
    <xf numFmtId="0" fontId="0" fillId="6" borderId="0" xfId="0" applyFill="1" applyAlignment="1">
      <alignment wrapText="1"/>
    </xf>
    <xf numFmtId="0" fontId="7" fillId="0" borderId="1" xfId="0" applyFont="1" applyBorder="1" applyAlignment="1">
      <alignment horizontal="center" vertical="center" wrapText="1"/>
    </xf>
    <xf numFmtId="0" fontId="15" fillId="0" borderId="0" xfId="0" applyFont="1" applyAlignment="1">
      <alignment wrapText="1"/>
    </xf>
    <xf numFmtId="0" fontId="14" fillId="3" borderId="1" xfId="0" applyFont="1" applyFill="1" applyBorder="1" applyAlignment="1">
      <alignment horizontal="center" vertical="center" wrapText="1"/>
    </xf>
    <xf numFmtId="0" fontId="5" fillId="0" borderId="1" xfId="3" applyFont="1" applyBorder="1" applyAlignment="1">
      <alignment vertical="center" wrapText="1"/>
    </xf>
    <xf numFmtId="0" fontId="14" fillId="8" borderId="1" xfId="0" applyFont="1" applyFill="1" applyBorder="1" applyAlignment="1">
      <alignment horizontal="center" vertical="center" wrapText="1"/>
    </xf>
    <xf numFmtId="0" fontId="0" fillId="9" borderId="1" xfId="0" applyFill="1" applyBorder="1" applyAlignment="1" applyProtection="1">
      <alignment vertical="center" wrapText="1"/>
      <protection locked="0"/>
    </xf>
    <xf numFmtId="44" fontId="1" fillId="9" borderId="1" xfId="1" applyFont="1" applyFill="1" applyBorder="1" applyAlignment="1" applyProtection="1">
      <alignment vertical="center" wrapText="1"/>
      <protection locked="0"/>
    </xf>
    <xf numFmtId="0" fontId="0" fillId="11" borderId="1" xfId="0" applyFill="1" applyBorder="1" applyAlignment="1" applyProtection="1">
      <alignment vertical="center" wrapText="1"/>
      <protection locked="0"/>
    </xf>
    <xf numFmtId="44" fontId="1" fillId="11" borderId="1" xfId="1" applyFont="1" applyFill="1" applyBorder="1" applyAlignment="1" applyProtection="1">
      <alignment vertical="center" wrapText="1"/>
      <protection locked="0"/>
    </xf>
    <xf numFmtId="44" fontId="1" fillId="11" borderId="1" xfId="1" applyFont="1" applyFill="1" applyBorder="1" applyAlignment="1">
      <alignment vertical="center" wrapText="1"/>
    </xf>
    <xf numFmtId="44" fontId="1" fillId="12" borderId="1" xfId="1" applyFont="1" applyFill="1" applyBorder="1" applyAlignment="1">
      <alignment vertical="center" wrapText="1"/>
    </xf>
    <xf numFmtId="0" fontId="14" fillId="13" borderId="1" xfId="0" applyFont="1" applyFill="1" applyBorder="1" applyAlignment="1">
      <alignment horizontal="center" vertical="center" wrapText="1"/>
    </xf>
    <xf numFmtId="0" fontId="0" fillId="6" borderId="1" xfId="0" applyFill="1" applyBorder="1" applyAlignment="1" applyProtection="1">
      <alignment vertical="center" wrapText="1"/>
      <protection locked="0"/>
    </xf>
    <xf numFmtId="44" fontId="1" fillId="6" borderId="1" xfId="1" applyFont="1" applyFill="1" applyBorder="1" applyAlignment="1" applyProtection="1">
      <alignment vertical="center" wrapText="1"/>
      <protection locked="0"/>
    </xf>
    <xf numFmtId="44" fontId="1" fillId="6" borderId="1" xfId="1" applyFont="1" applyFill="1" applyBorder="1" applyAlignment="1">
      <alignment vertical="center" wrapText="1"/>
    </xf>
    <xf numFmtId="44" fontId="1" fillId="14" borderId="1" xfId="1" applyFont="1" applyFill="1" applyBorder="1" applyAlignment="1">
      <alignment vertical="center" wrapText="1"/>
    </xf>
    <xf numFmtId="0" fontId="19" fillId="0" borderId="3" xfId="3" applyFont="1" applyBorder="1" applyAlignment="1">
      <alignment vertical="center" wrapText="1"/>
    </xf>
    <xf numFmtId="0" fontId="19" fillId="0" borderId="4" xfId="3" applyFont="1" applyBorder="1" applyAlignment="1">
      <alignment vertical="center" wrapText="1"/>
    </xf>
    <xf numFmtId="0" fontId="19" fillId="0" borderId="8" xfId="3" applyFont="1" applyBorder="1" applyAlignment="1">
      <alignment vertical="center" wrapText="1"/>
    </xf>
    <xf numFmtId="0" fontId="19" fillId="0" borderId="11" xfId="3" applyFont="1" applyBorder="1" applyAlignment="1">
      <alignment vertical="center" wrapText="1"/>
    </xf>
    <xf numFmtId="0" fontId="19" fillId="0" borderId="12" xfId="3" applyFont="1" applyBorder="1" applyAlignment="1">
      <alignment vertical="center" wrapText="1"/>
    </xf>
    <xf numFmtId="0" fontId="19" fillId="0" borderId="0" xfId="3" applyFont="1" applyAlignment="1">
      <alignment vertical="center" wrapText="1"/>
    </xf>
    <xf numFmtId="44" fontId="1" fillId="15" borderId="1" xfId="1" applyFont="1" applyFill="1" applyBorder="1" applyAlignment="1">
      <alignment vertical="center" wrapText="1"/>
    </xf>
    <xf numFmtId="44" fontId="9" fillId="15" borderId="1" xfId="1" applyFont="1" applyFill="1" applyBorder="1" applyAlignment="1">
      <alignment vertical="center" wrapText="1"/>
    </xf>
    <xf numFmtId="9" fontId="9" fillId="15" borderId="1" xfId="2" applyFont="1" applyFill="1" applyBorder="1" applyAlignment="1">
      <alignment horizontal="center" vertical="center" wrapText="1"/>
    </xf>
    <xf numFmtId="164" fontId="9" fillId="15" borderId="1" xfId="0" applyNumberFormat="1" applyFont="1" applyFill="1" applyBorder="1" applyAlignment="1">
      <alignment vertical="center" wrapText="1"/>
    </xf>
    <xf numFmtId="0" fontId="16" fillId="7" borderId="1" xfId="0" applyFont="1" applyFill="1" applyBorder="1" applyAlignment="1" applyProtection="1">
      <alignment horizontal="center" vertical="center" wrapText="1"/>
      <protection locked="0"/>
    </xf>
    <xf numFmtId="0" fontId="17" fillId="0" borderId="1" xfId="0" applyFont="1" applyBorder="1" applyAlignment="1" applyProtection="1">
      <alignment horizontal="center" vertical="center" wrapText="1"/>
      <protection locked="0"/>
    </xf>
    <xf numFmtId="0" fontId="8" fillId="0" borderId="1" xfId="0" applyFont="1" applyBorder="1" applyAlignment="1">
      <alignment vertical="center" wrapText="1"/>
    </xf>
    <xf numFmtId="0" fontId="7" fillId="0" borderId="5" xfId="0" applyFont="1" applyBorder="1" applyAlignment="1">
      <alignment vertical="center" wrapText="1"/>
    </xf>
    <xf numFmtId="165" fontId="1" fillId="9" borderId="1" xfId="1" applyNumberFormat="1" applyFont="1" applyFill="1" applyBorder="1" applyAlignment="1">
      <alignment vertical="center" wrapText="1"/>
    </xf>
    <xf numFmtId="0" fontId="22" fillId="16" borderId="14" xfId="0" applyFont="1" applyFill="1" applyBorder="1" applyAlignment="1">
      <alignment vertical="center" wrapText="1"/>
    </xf>
    <xf numFmtId="0" fontId="0" fillId="0" borderId="15" xfId="0" applyBorder="1"/>
    <xf numFmtId="0" fontId="0" fillId="0" borderId="16" xfId="0" applyBorder="1"/>
    <xf numFmtId="0" fontId="0" fillId="0" borderId="17" xfId="0" applyBorder="1"/>
    <xf numFmtId="0" fontId="0" fillId="0" borderId="18" xfId="0" applyBorder="1"/>
    <xf numFmtId="0" fontId="0" fillId="0" borderId="19" xfId="0" applyBorder="1"/>
    <xf numFmtId="0" fontId="0" fillId="0" borderId="20" xfId="0" applyBorder="1"/>
    <xf numFmtId="0" fontId="0" fillId="0" borderId="21" xfId="0" applyBorder="1"/>
    <xf numFmtId="0" fontId="0" fillId="0" borderId="22" xfId="0" applyBorder="1"/>
    <xf numFmtId="0" fontId="0" fillId="0" borderId="23" xfId="0" applyBorder="1"/>
    <xf numFmtId="165" fontId="1" fillId="10" borderId="1" xfId="1" applyNumberFormat="1" applyFont="1" applyFill="1" applyBorder="1" applyAlignment="1">
      <alignment vertical="center" wrapText="1"/>
    </xf>
    <xf numFmtId="0" fontId="0" fillId="18" borderId="0" xfId="0" applyFill="1" applyAlignment="1">
      <alignment vertical="center" wrapText="1"/>
    </xf>
    <xf numFmtId="44" fontId="0" fillId="19" borderId="0" xfId="0" applyNumberFormat="1" applyFill="1" applyAlignment="1">
      <alignment vertical="center" wrapText="1"/>
    </xf>
    <xf numFmtId="0" fontId="0" fillId="0" borderId="0" xfId="0" pivotButton="1"/>
    <xf numFmtId="0" fontId="0" fillId="0" borderId="0" xfId="0" applyAlignment="1">
      <alignment horizontal="left"/>
    </xf>
    <xf numFmtId="0" fontId="0" fillId="0" borderId="1" xfId="0" applyBorder="1" applyAlignment="1">
      <alignment horizontal="center" vertical="center" wrapText="1"/>
    </xf>
    <xf numFmtId="9" fontId="0" fillId="0" borderId="1" xfId="0" applyNumberFormat="1" applyBorder="1" applyAlignment="1">
      <alignment horizontal="center" vertical="center" wrapText="1"/>
    </xf>
    <xf numFmtId="0" fontId="1" fillId="0" borderId="1" xfId="1" applyNumberFormat="1" applyFont="1" applyFill="1" applyBorder="1" applyAlignment="1">
      <alignment horizontal="center" vertical="center" wrapText="1"/>
    </xf>
    <xf numFmtId="164" fontId="1" fillId="0" borderId="1" xfId="1" applyNumberFormat="1" applyFont="1" applyFill="1" applyBorder="1" applyAlignment="1">
      <alignment vertical="center" wrapText="1"/>
    </xf>
    <xf numFmtId="164" fontId="0" fillId="0" borderId="1" xfId="0" applyNumberFormat="1" applyBorder="1" applyAlignment="1">
      <alignment vertical="center" wrapText="1"/>
    </xf>
    <xf numFmtId="44" fontId="3" fillId="0" borderId="13" xfId="1" applyFont="1" applyFill="1" applyBorder="1" applyAlignment="1">
      <alignment vertical="center" wrapText="1"/>
    </xf>
    <xf numFmtId="0" fontId="10" fillId="0" borderId="0" xfId="0" applyFont="1" applyAlignment="1">
      <alignment vertical="center" wrapText="1"/>
    </xf>
    <xf numFmtId="0" fontId="11" fillId="0" borderId="0" xfId="0" applyFont="1" applyAlignment="1">
      <alignment vertical="center" wrapText="1"/>
    </xf>
    <xf numFmtId="0" fontId="14" fillId="18" borderId="1" xfId="0" applyFont="1" applyFill="1" applyBorder="1" applyAlignment="1">
      <alignment horizontal="center" vertical="center" wrapText="1"/>
    </xf>
    <xf numFmtId="0" fontId="18" fillId="0" borderId="0" xfId="0" applyFont="1" applyAlignment="1">
      <alignment vertical="center" wrapText="1"/>
    </xf>
    <xf numFmtId="44" fontId="6" fillId="0" borderId="0" xfId="3" applyNumberFormat="1" applyFont="1" applyAlignment="1">
      <alignment horizontal="center" vertical="center" wrapText="1"/>
    </xf>
    <xf numFmtId="43" fontId="6" fillId="11" borderId="0" xfId="3" applyNumberFormat="1" applyFont="1" applyFill="1" applyAlignment="1">
      <alignment horizontal="center" vertical="center" wrapText="1"/>
    </xf>
    <xf numFmtId="0" fontId="27" fillId="7" borderId="1" xfId="0" applyFont="1" applyFill="1" applyBorder="1" applyAlignment="1" applyProtection="1">
      <alignment horizontal="center" vertical="center" wrapText="1"/>
      <protection locked="0"/>
    </xf>
    <xf numFmtId="0" fontId="28" fillId="0" borderId="1" xfId="0" applyFont="1" applyBorder="1" applyAlignment="1" applyProtection="1">
      <alignment horizontal="center" vertical="center" wrapText="1"/>
      <protection locked="0"/>
    </xf>
    <xf numFmtId="0" fontId="26" fillId="9" borderId="1" xfId="0" applyFont="1" applyFill="1" applyBorder="1" applyAlignment="1" applyProtection="1">
      <alignment vertical="center" wrapText="1"/>
      <protection locked="0"/>
    </xf>
    <xf numFmtId="44" fontId="26" fillId="9" borderId="1" xfId="1" applyFont="1" applyFill="1" applyBorder="1" applyAlignment="1" applyProtection="1">
      <alignment vertical="center" wrapText="1"/>
      <protection locked="0"/>
    </xf>
    <xf numFmtId="165" fontId="26" fillId="9" borderId="1" xfId="1" applyNumberFormat="1" applyFont="1" applyFill="1" applyBorder="1" applyAlignment="1">
      <alignment vertical="center" wrapText="1"/>
    </xf>
    <xf numFmtId="165" fontId="26" fillId="10" borderId="1" xfId="1" applyNumberFormat="1" applyFont="1" applyFill="1" applyBorder="1" applyAlignment="1">
      <alignment vertical="center" wrapText="1"/>
    </xf>
    <xf numFmtId="0" fontId="26" fillId="11" borderId="1" xfId="0" applyFont="1" applyFill="1" applyBorder="1" applyAlignment="1" applyProtection="1">
      <alignment vertical="center" wrapText="1"/>
      <protection locked="0"/>
    </xf>
    <xf numFmtId="44" fontId="26" fillId="11" borderId="1" xfId="1" applyFont="1" applyFill="1" applyBorder="1" applyAlignment="1" applyProtection="1">
      <alignment vertical="center" wrapText="1"/>
      <protection locked="0"/>
    </xf>
    <xf numFmtId="44" fontId="26" fillId="11" borderId="1" xfId="1" applyFont="1" applyFill="1" applyBorder="1" applyAlignment="1">
      <alignment vertical="center" wrapText="1"/>
    </xf>
    <xf numFmtId="44" fontId="26" fillId="12" borderId="1" xfId="1" applyFont="1" applyFill="1" applyBorder="1" applyAlignment="1">
      <alignment vertical="center" wrapText="1"/>
    </xf>
    <xf numFmtId="0" fontId="26" fillId="6" borderId="1" xfId="0" applyFont="1" applyFill="1" applyBorder="1" applyAlignment="1" applyProtection="1">
      <alignment vertical="center" wrapText="1"/>
      <protection locked="0"/>
    </xf>
    <xf numFmtId="44" fontId="26" fillId="6" borderId="1" xfId="1" applyFont="1" applyFill="1" applyBorder="1" applyAlignment="1" applyProtection="1">
      <alignment vertical="center" wrapText="1"/>
      <protection locked="0"/>
    </xf>
    <xf numFmtId="44" fontId="26" fillId="6" borderId="1" xfId="1" applyFont="1" applyFill="1" applyBorder="1" applyAlignment="1">
      <alignment vertical="center" wrapText="1"/>
    </xf>
    <xf numFmtId="44" fontId="26" fillId="14" borderId="1" xfId="1" applyFont="1" applyFill="1" applyBorder="1" applyAlignment="1">
      <alignment vertical="center" wrapText="1"/>
    </xf>
    <xf numFmtId="44" fontId="26" fillId="15" borderId="1" xfId="1" applyFont="1" applyFill="1" applyBorder="1" applyAlignment="1">
      <alignment vertical="center" wrapText="1"/>
    </xf>
    <xf numFmtId="9" fontId="26" fillId="15" borderId="1" xfId="2" applyFont="1" applyFill="1" applyBorder="1" applyAlignment="1">
      <alignment horizontal="center" vertical="center" wrapText="1"/>
    </xf>
    <xf numFmtId="44" fontId="26" fillId="19" borderId="0" xfId="0" applyNumberFormat="1" applyFont="1" applyFill="1" applyAlignment="1">
      <alignment vertical="center" wrapText="1"/>
    </xf>
    <xf numFmtId="0" fontId="29" fillId="3" borderId="1" xfId="0" applyFont="1" applyFill="1" applyBorder="1" applyAlignment="1">
      <alignment horizontal="center" vertical="center" wrapText="1"/>
    </xf>
    <xf numFmtId="0" fontId="29" fillId="8" borderId="1" xfId="0" applyFont="1" applyFill="1" applyBorder="1" applyAlignment="1">
      <alignment horizontal="center" vertical="center" wrapText="1"/>
    </xf>
    <xf numFmtId="0" fontId="29" fillId="13" borderId="1" xfId="0" applyFont="1" applyFill="1" applyBorder="1" applyAlignment="1">
      <alignment horizontal="center" vertical="center" wrapText="1"/>
    </xf>
    <xf numFmtId="0" fontId="29" fillId="18" borderId="1" xfId="0" applyFont="1" applyFill="1" applyBorder="1" applyAlignment="1">
      <alignment horizontal="center" vertical="center" wrapText="1"/>
    </xf>
    <xf numFmtId="0" fontId="20" fillId="0" borderId="0" xfId="3" applyFont="1" applyAlignment="1">
      <alignment horizontal="center" vertical="center" wrapText="1"/>
    </xf>
    <xf numFmtId="44" fontId="0" fillId="0" borderId="1" xfId="0" applyNumberFormat="1" applyBorder="1" applyAlignment="1">
      <alignment vertical="center" wrapText="1"/>
    </xf>
    <xf numFmtId="165" fontId="0" fillId="0" borderId="1" xfId="0" applyNumberFormat="1" applyBorder="1" applyAlignment="1">
      <alignment vertical="center" wrapText="1"/>
    </xf>
    <xf numFmtId="0" fontId="5" fillId="0" borderId="6" xfId="3" applyFont="1" applyBorder="1" applyAlignment="1">
      <alignment horizontal="center" vertical="center" wrapText="1"/>
    </xf>
    <xf numFmtId="0" fontId="26" fillId="0" borderId="1" xfId="0" applyFont="1" applyBorder="1" applyAlignment="1" applyProtection="1">
      <alignment horizontal="justify" vertical="center" wrapText="1"/>
      <protection locked="0"/>
    </xf>
    <xf numFmtId="8" fontId="26" fillId="9" borderId="1" xfId="1" applyNumberFormat="1" applyFont="1" applyFill="1" applyBorder="1" applyAlignment="1" applyProtection="1">
      <alignment vertical="center" wrapText="1"/>
      <protection locked="0"/>
    </xf>
    <xf numFmtId="8" fontId="26" fillId="11" borderId="1" xfId="1" applyNumberFormat="1" applyFont="1" applyFill="1" applyBorder="1" applyAlignment="1" applyProtection="1">
      <alignment vertical="center" wrapText="1"/>
      <protection locked="0"/>
    </xf>
    <xf numFmtId="8" fontId="26" fillId="6" borderId="1" xfId="1" applyNumberFormat="1" applyFont="1" applyFill="1" applyBorder="1" applyAlignment="1" applyProtection="1">
      <alignment vertical="center" wrapText="1"/>
      <protection locked="0"/>
    </xf>
    <xf numFmtId="8" fontId="37" fillId="24" borderId="1" xfId="0" applyNumberFormat="1" applyFont="1" applyFill="1" applyBorder="1" applyAlignment="1">
      <alignment vertical="center" wrapText="1"/>
    </xf>
    <xf numFmtId="8" fontId="38" fillId="24" borderId="1" xfId="0" applyNumberFormat="1" applyFont="1" applyFill="1" applyBorder="1" applyAlignment="1">
      <alignment vertical="center" wrapText="1"/>
    </xf>
    <xf numFmtId="3" fontId="28" fillId="0" borderId="1" xfId="0" applyNumberFormat="1" applyFont="1" applyBorder="1" applyAlignment="1" applyProtection="1">
      <alignment horizontal="center" vertical="center" wrapText="1"/>
      <protection locked="0"/>
    </xf>
    <xf numFmtId="0" fontId="39" fillId="0" borderId="1" xfId="0" applyFont="1" applyBorder="1" applyAlignment="1" applyProtection="1">
      <alignment horizontal="justify" vertical="center" wrapText="1"/>
      <protection locked="0"/>
    </xf>
    <xf numFmtId="0" fontId="39" fillId="0" borderId="25" xfId="0" applyFont="1" applyBorder="1" applyAlignment="1" applyProtection="1">
      <alignment horizontal="justify" vertical="center" wrapText="1"/>
      <protection locked="0"/>
    </xf>
    <xf numFmtId="0" fontId="39" fillId="7" borderId="1" xfId="0" applyFont="1" applyFill="1" applyBorder="1" applyAlignment="1" applyProtection="1">
      <alignment horizontal="justify" vertical="center" wrapText="1"/>
      <protection locked="0"/>
    </xf>
    <xf numFmtId="0" fontId="28" fillId="0" borderId="0" xfId="0" applyFont="1" applyAlignment="1" applyProtection="1">
      <alignment horizontal="center" vertical="center" wrapText="1"/>
      <protection locked="0"/>
    </xf>
    <xf numFmtId="0" fontId="39" fillId="0" borderId="4" xfId="0" applyFont="1" applyBorder="1" applyAlignment="1" applyProtection="1">
      <alignment horizontal="justify" vertical="center" wrapText="1"/>
      <protection locked="0"/>
    </xf>
    <xf numFmtId="0" fontId="39" fillId="0" borderId="6" xfId="0" applyFont="1" applyBorder="1" applyAlignment="1" applyProtection="1">
      <alignment horizontal="justify" vertical="center" wrapText="1"/>
      <protection locked="0"/>
    </xf>
    <xf numFmtId="0" fontId="26" fillId="9" borderId="30" xfId="0" applyFont="1" applyFill="1" applyBorder="1" applyAlignment="1" applyProtection="1">
      <alignment vertical="center" wrapText="1"/>
      <protection locked="0"/>
    </xf>
    <xf numFmtId="44" fontId="26" fillId="9" borderId="30" xfId="1" applyFont="1" applyFill="1" applyBorder="1" applyAlignment="1" applyProtection="1">
      <alignment vertical="center" wrapText="1"/>
      <protection locked="0"/>
    </xf>
    <xf numFmtId="165" fontId="26" fillId="9" borderId="30" xfId="1" applyNumberFormat="1" applyFont="1" applyFill="1" applyBorder="1" applyAlignment="1">
      <alignment vertical="center" wrapText="1"/>
    </xf>
    <xf numFmtId="165" fontId="26" fillId="10" borderId="30" xfId="1" applyNumberFormat="1" applyFont="1" applyFill="1" applyBorder="1" applyAlignment="1">
      <alignment vertical="center" wrapText="1"/>
    </xf>
    <xf numFmtId="0" fontId="26" fillId="11" borderId="30" xfId="0" applyFont="1" applyFill="1" applyBorder="1" applyAlignment="1" applyProtection="1">
      <alignment vertical="center" wrapText="1"/>
      <protection locked="0"/>
    </xf>
    <xf numFmtId="44" fontId="26" fillId="11" borderId="30" xfId="1" applyFont="1" applyFill="1" applyBorder="1" applyAlignment="1" applyProtection="1">
      <alignment vertical="center" wrapText="1"/>
      <protection locked="0"/>
    </xf>
    <xf numFmtId="44" fontId="26" fillId="11" borderId="30" xfId="1" applyFont="1" applyFill="1" applyBorder="1" applyAlignment="1">
      <alignment vertical="center" wrapText="1"/>
    </xf>
    <xf numFmtId="44" fontId="26" fillId="12" borderId="30" xfId="1" applyFont="1" applyFill="1" applyBorder="1" applyAlignment="1">
      <alignment vertical="center" wrapText="1"/>
    </xf>
    <xf numFmtId="0" fontId="26" fillId="6" borderId="30" xfId="0" applyFont="1" applyFill="1" applyBorder="1" applyAlignment="1" applyProtection="1">
      <alignment vertical="center" wrapText="1"/>
      <protection locked="0"/>
    </xf>
    <xf numFmtId="44" fontId="26" fillId="6" borderId="30" xfId="1" applyFont="1" applyFill="1" applyBorder="1" applyAlignment="1" applyProtection="1">
      <alignment vertical="center" wrapText="1"/>
      <protection locked="0"/>
    </xf>
    <xf numFmtId="44" fontId="26" fillId="6" borderId="30" xfId="1" applyFont="1" applyFill="1" applyBorder="1" applyAlignment="1">
      <alignment vertical="center" wrapText="1"/>
    </xf>
    <xf numFmtId="44" fontId="26" fillId="14" borderId="30" xfId="1" applyFont="1" applyFill="1" applyBorder="1" applyAlignment="1">
      <alignment vertical="center" wrapText="1"/>
    </xf>
    <xf numFmtId="44" fontId="26" fillId="15" borderId="30" xfId="1" applyFont="1" applyFill="1" applyBorder="1" applyAlignment="1">
      <alignment vertical="center" wrapText="1"/>
    </xf>
    <xf numFmtId="9" fontId="26" fillId="15" borderId="30" xfId="2" applyFont="1" applyFill="1" applyBorder="1" applyAlignment="1">
      <alignment horizontal="center" vertical="center" wrapText="1"/>
    </xf>
    <xf numFmtId="165" fontId="26" fillId="9" borderId="25" xfId="1" applyNumberFormat="1" applyFont="1" applyFill="1" applyBorder="1" applyAlignment="1">
      <alignment vertical="center" wrapText="1"/>
    </xf>
    <xf numFmtId="165" fontId="26" fillId="10" borderId="25" xfId="1" applyNumberFormat="1" applyFont="1" applyFill="1" applyBorder="1" applyAlignment="1">
      <alignment vertical="center" wrapText="1"/>
    </xf>
    <xf numFmtId="44" fontId="26" fillId="11" borderId="25" xfId="1" applyFont="1" applyFill="1" applyBorder="1" applyAlignment="1">
      <alignment vertical="center" wrapText="1"/>
    </xf>
    <xf numFmtId="44" fontId="26" fillId="12" borderId="25" xfId="1" applyFont="1" applyFill="1" applyBorder="1" applyAlignment="1">
      <alignment vertical="center" wrapText="1"/>
    </xf>
    <xf numFmtId="44" fontId="26" fillId="6" borderId="25" xfId="1" applyFont="1" applyFill="1" applyBorder="1" applyAlignment="1" applyProtection="1">
      <alignment vertical="center" wrapText="1"/>
      <protection locked="0"/>
    </xf>
    <xf numFmtId="44" fontId="26" fillId="6" borderId="25" xfId="1" applyFont="1" applyFill="1" applyBorder="1" applyAlignment="1">
      <alignment vertical="center" wrapText="1"/>
    </xf>
    <xf numFmtId="44" fontId="26" fillId="14" borderId="25" xfId="1" applyFont="1" applyFill="1" applyBorder="1" applyAlignment="1">
      <alignment vertical="center" wrapText="1"/>
    </xf>
    <xf numFmtId="44" fontId="26" fillId="15" borderId="25" xfId="1" applyFont="1" applyFill="1" applyBorder="1" applyAlignment="1">
      <alignment vertical="center" wrapText="1"/>
    </xf>
    <xf numFmtId="0" fontId="40" fillId="25" borderId="1" xfId="0" applyFont="1" applyFill="1" applyBorder="1" applyAlignment="1">
      <alignment wrapText="1"/>
    </xf>
    <xf numFmtId="0" fontId="26" fillId="14" borderId="3" xfId="0" applyFont="1" applyFill="1" applyBorder="1" applyAlignment="1" applyProtection="1">
      <alignment vertical="center" wrapText="1"/>
      <protection locked="0"/>
    </xf>
    <xf numFmtId="0" fontId="40" fillId="0" borderId="1" xfId="0" applyFont="1" applyBorder="1" applyAlignment="1">
      <alignment wrapText="1"/>
    </xf>
    <xf numFmtId="0" fontId="26" fillId="14" borderId="1" xfId="0" applyFont="1" applyFill="1" applyBorder="1" applyAlignment="1" applyProtection="1">
      <alignment horizontal="justify" vertical="center" wrapText="1"/>
      <protection locked="0"/>
    </xf>
    <xf numFmtId="0" fontId="41" fillId="0" borderId="1" xfId="0" applyFont="1" applyBorder="1" applyAlignment="1">
      <alignment wrapText="1"/>
    </xf>
    <xf numFmtId="0" fontId="26" fillId="14" borderId="1" xfId="0" applyFont="1" applyFill="1" applyBorder="1" applyAlignment="1" applyProtection="1">
      <alignment vertical="center" wrapText="1"/>
      <protection locked="0"/>
    </xf>
    <xf numFmtId="0" fontId="0" fillId="0" borderId="30" xfId="0" applyBorder="1" applyAlignment="1">
      <alignment vertical="center" wrapText="1"/>
    </xf>
    <xf numFmtId="9" fontId="26" fillId="15" borderId="2" xfId="2" applyFont="1" applyFill="1" applyBorder="1" applyAlignment="1">
      <alignment horizontal="center" vertical="center" wrapText="1"/>
    </xf>
    <xf numFmtId="0" fontId="0" fillId="0" borderId="25" xfId="0" applyBorder="1" applyAlignment="1">
      <alignment vertical="center" wrapText="1"/>
    </xf>
    <xf numFmtId="0" fontId="26" fillId="14" borderId="30" xfId="0" applyFont="1" applyFill="1" applyBorder="1" applyAlignment="1" applyProtection="1">
      <alignment vertical="center" wrapText="1"/>
      <protection locked="0"/>
    </xf>
    <xf numFmtId="0" fontId="40" fillId="25" borderId="30" xfId="0" applyFont="1" applyFill="1" applyBorder="1" applyAlignment="1">
      <alignment wrapText="1"/>
    </xf>
    <xf numFmtId="0" fontId="40" fillId="25" borderId="25" xfId="0" applyFont="1" applyFill="1" applyBorder="1" applyAlignment="1">
      <alignment wrapText="1"/>
    </xf>
    <xf numFmtId="0" fontId="26" fillId="9" borderId="32" xfId="0" applyFont="1" applyFill="1" applyBorder="1" applyAlignment="1" applyProtection="1">
      <alignment vertical="center" wrapText="1"/>
      <protection locked="0"/>
    </xf>
    <xf numFmtId="44" fontId="26" fillId="9" borderId="32" xfId="1" applyFont="1" applyFill="1" applyBorder="1" applyAlignment="1" applyProtection="1">
      <alignment vertical="center" wrapText="1"/>
      <protection locked="0"/>
    </xf>
    <xf numFmtId="0" fontId="26" fillId="11" borderId="32" xfId="0" applyFont="1" applyFill="1" applyBorder="1" applyAlignment="1" applyProtection="1">
      <alignment vertical="center" wrapText="1"/>
      <protection locked="0"/>
    </xf>
    <xf numFmtId="44" fontId="26" fillId="11" borderId="32" xfId="1" applyFont="1" applyFill="1" applyBorder="1" applyAlignment="1" applyProtection="1">
      <alignment vertical="center" wrapText="1"/>
      <protection locked="0"/>
    </xf>
    <xf numFmtId="0" fontId="26" fillId="6" borderId="32" xfId="0" applyFont="1" applyFill="1" applyBorder="1" applyAlignment="1" applyProtection="1">
      <alignment vertical="center" wrapText="1"/>
      <protection locked="0"/>
    </xf>
    <xf numFmtId="44" fontId="26" fillId="6" borderId="32" xfId="1" applyFont="1" applyFill="1" applyBorder="1" applyAlignment="1" applyProtection="1">
      <alignment vertical="center" wrapText="1"/>
      <protection locked="0"/>
    </xf>
    <xf numFmtId="0" fontId="0" fillId="0" borderId="32" xfId="0" applyBorder="1" applyAlignment="1">
      <alignment vertical="center" wrapText="1"/>
    </xf>
    <xf numFmtId="0" fontId="26" fillId="0" borderId="0" xfId="0" applyFont="1" applyAlignment="1" applyProtection="1">
      <alignment vertical="center" wrapText="1"/>
      <protection locked="0"/>
    </xf>
    <xf numFmtId="0" fontId="27" fillId="7" borderId="0" xfId="0" applyFont="1" applyFill="1" applyAlignment="1" applyProtection="1">
      <alignment horizontal="center" vertical="center" wrapText="1"/>
      <protection locked="0"/>
    </xf>
    <xf numFmtId="0" fontId="28" fillId="0" borderId="33" xfId="0" applyFont="1" applyBorder="1" applyAlignment="1" applyProtection="1">
      <alignment horizontal="center" vertical="center" wrapText="1"/>
      <protection locked="0"/>
    </xf>
    <xf numFmtId="0" fontId="26" fillId="9" borderId="33" xfId="0" applyFont="1" applyFill="1" applyBorder="1" applyAlignment="1" applyProtection="1">
      <alignment vertical="center" wrapText="1"/>
      <protection locked="0"/>
    </xf>
    <xf numFmtId="44" fontId="26" fillId="9" borderId="33" xfId="1" applyFont="1" applyFill="1" applyBorder="1" applyAlignment="1" applyProtection="1">
      <alignment vertical="center" wrapText="1"/>
      <protection locked="0"/>
    </xf>
    <xf numFmtId="165" fontId="26" fillId="9" borderId="33" xfId="1" applyNumberFormat="1" applyFont="1" applyFill="1" applyBorder="1" applyAlignment="1">
      <alignment vertical="center" wrapText="1"/>
    </xf>
    <xf numFmtId="165" fontId="26" fillId="10" borderId="33" xfId="1" applyNumberFormat="1" applyFont="1" applyFill="1" applyBorder="1" applyAlignment="1">
      <alignment vertical="center" wrapText="1"/>
    </xf>
    <xf numFmtId="0" fontId="26" fillId="11" borderId="33" xfId="0" applyFont="1" applyFill="1" applyBorder="1" applyAlignment="1" applyProtection="1">
      <alignment vertical="center" wrapText="1"/>
      <protection locked="0"/>
    </xf>
    <xf numFmtId="44" fontId="26" fillId="11" borderId="33" xfId="1" applyFont="1" applyFill="1" applyBorder="1" applyAlignment="1" applyProtection="1">
      <alignment vertical="center" wrapText="1"/>
      <protection locked="0"/>
    </xf>
    <xf numFmtId="44" fontId="26" fillId="11" borderId="33" xfId="1" applyFont="1" applyFill="1" applyBorder="1" applyAlignment="1">
      <alignment vertical="center" wrapText="1"/>
    </xf>
    <xf numFmtId="44" fontId="26" fillId="12" borderId="33" xfId="1" applyFont="1" applyFill="1" applyBorder="1" applyAlignment="1">
      <alignment vertical="center" wrapText="1"/>
    </xf>
    <xf numFmtId="0" fontId="26" fillId="6" borderId="33" xfId="0" applyFont="1" applyFill="1" applyBorder="1" applyAlignment="1" applyProtection="1">
      <alignment vertical="center" wrapText="1"/>
      <protection locked="0"/>
    </xf>
    <xf numFmtId="44" fontId="26" fillId="6" borderId="33" xfId="1" applyFont="1" applyFill="1" applyBorder="1" applyAlignment="1" applyProtection="1">
      <alignment vertical="center" wrapText="1"/>
      <protection locked="0"/>
    </xf>
    <xf numFmtId="44" fontId="26" fillId="6" borderId="33" xfId="1" applyFont="1" applyFill="1" applyBorder="1" applyAlignment="1">
      <alignment vertical="center" wrapText="1"/>
    </xf>
    <xf numFmtId="44" fontId="26" fillId="14" borderId="33" xfId="1" applyFont="1" applyFill="1" applyBorder="1" applyAlignment="1">
      <alignment vertical="center" wrapText="1"/>
    </xf>
    <xf numFmtId="44" fontId="26" fillId="15" borderId="33" xfId="1" applyFont="1" applyFill="1" applyBorder="1" applyAlignment="1">
      <alignment vertical="center" wrapText="1"/>
    </xf>
    <xf numFmtId="9" fontId="26" fillId="15" borderId="33" xfId="2" applyFont="1" applyFill="1" applyBorder="1" applyAlignment="1">
      <alignment horizontal="center" vertical="center" wrapText="1"/>
    </xf>
    <xf numFmtId="44" fontId="26" fillId="6" borderId="34" xfId="1" applyFont="1" applyFill="1" applyBorder="1" applyAlignment="1">
      <alignment vertical="center" wrapText="1"/>
    </xf>
    <xf numFmtId="0" fontId="0" fillId="0" borderId="36" xfId="0" applyBorder="1" applyAlignment="1">
      <alignment vertical="center" wrapText="1"/>
    </xf>
    <xf numFmtId="44" fontId="26" fillId="15" borderId="8" xfId="1" applyFont="1" applyFill="1" applyBorder="1" applyAlignment="1">
      <alignment vertical="center" wrapText="1"/>
    </xf>
    <xf numFmtId="0" fontId="42" fillId="25" borderId="1" xfId="0" applyFont="1" applyFill="1" applyBorder="1" applyAlignment="1">
      <alignment horizontal="center" vertical="center" wrapText="1"/>
    </xf>
    <xf numFmtId="0" fontId="0" fillId="0" borderId="0" xfId="0" applyAlignment="1">
      <alignment horizontal="center" vertical="center" wrapText="1"/>
    </xf>
    <xf numFmtId="0" fontId="23" fillId="20" borderId="0" xfId="0" applyFont="1" applyFill="1" applyAlignment="1">
      <alignment horizontal="center" vertical="center" wrapText="1"/>
    </xf>
    <xf numFmtId="44" fontId="12" fillId="4" borderId="0" xfId="0" applyNumberFormat="1" applyFont="1" applyFill="1" applyAlignment="1">
      <alignment horizontal="center" vertical="center" wrapText="1"/>
    </xf>
    <xf numFmtId="0" fontId="26" fillId="0" borderId="1" xfId="0" applyFont="1" applyBorder="1" applyAlignment="1" applyProtection="1">
      <alignment horizontal="center" vertical="center" wrapText="1"/>
      <protection locked="0"/>
    </xf>
    <xf numFmtId="0" fontId="40" fillId="0" borderId="25" xfId="0" applyFont="1" applyBorder="1" applyAlignment="1">
      <alignment horizontal="center" vertical="center" wrapText="1"/>
    </xf>
    <xf numFmtId="0" fontId="40" fillId="0" borderId="1" xfId="0" applyFont="1" applyBorder="1" applyAlignment="1">
      <alignment horizontal="center" vertical="center" wrapText="1"/>
    </xf>
    <xf numFmtId="0" fontId="40" fillId="0" borderId="27" xfId="0" applyFont="1" applyBorder="1" applyAlignment="1">
      <alignment horizontal="center" vertical="center" wrapText="1"/>
    </xf>
    <xf numFmtId="0" fontId="40" fillId="0" borderId="26" xfId="0" applyFont="1" applyBorder="1" applyAlignment="1">
      <alignment horizontal="center" vertical="center" wrapText="1"/>
    </xf>
    <xf numFmtId="0" fontId="29" fillId="7" borderId="37" xfId="0" applyFont="1" applyFill="1" applyBorder="1" applyAlignment="1">
      <alignment horizontal="center" vertical="center" wrapText="1"/>
    </xf>
    <xf numFmtId="0" fontId="40" fillId="7" borderId="37" xfId="0" applyFont="1" applyFill="1" applyBorder="1" applyAlignment="1">
      <alignment horizontal="center" vertical="center" wrapText="1"/>
    </xf>
    <xf numFmtId="44" fontId="26" fillId="17" borderId="1" xfId="1" applyFont="1" applyFill="1" applyBorder="1" applyAlignment="1" applyProtection="1">
      <alignment vertical="center" wrapText="1"/>
      <protection locked="0"/>
    </xf>
    <xf numFmtId="0" fontId="11" fillId="0" borderId="5" xfId="0" applyFont="1" applyBorder="1" applyAlignment="1">
      <alignment horizontal="center" vertical="center" wrapText="1"/>
    </xf>
    <xf numFmtId="0" fontId="11" fillId="0" borderId="9" xfId="0" applyFont="1" applyBorder="1" applyAlignment="1">
      <alignment horizontal="center" vertical="center" wrapText="1"/>
    </xf>
    <xf numFmtId="0" fontId="26" fillId="14" borderId="0" xfId="0" applyFont="1" applyFill="1" applyAlignment="1" applyProtection="1">
      <alignment vertical="center" wrapText="1"/>
      <protection locked="0"/>
    </xf>
    <xf numFmtId="165" fontId="26" fillId="9" borderId="36" xfId="1" applyNumberFormat="1" applyFont="1" applyFill="1" applyBorder="1" applyAlignment="1">
      <alignment vertical="center" wrapText="1"/>
    </xf>
    <xf numFmtId="0" fontId="40" fillId="25" borderId="32" xfId="0" applyFont="1" applyFill="1" applyBorder="1" applyAlignment="1">
      <alignment wrapText="1"/>
    </xf>
    <xf numFmtId="165" fontId="26" fillId="9" borderId="32" xfId="1" applyNumberFormat="1" applyFont="1" applyFill="1" applyBorder="1" applyAlignment="1">
      <alignment vertical="center" wrapText="1"/>
    </xf>
    <xf numFmtId="44" fontId="26" fillId="14" borderId="35" xfId="1" applyFont="1" applyFill="1" applyBorder="1" applyAlignment="1">
      <alignment vertical="center" wrapText="1"/>
    </xf>
    <xf numFmtId="44" fontId="26" fillId="15" borderId="39" xfId="1" applyFont="1" applyFill="1" applyBorder="1" applyAlignment="1">
      <alignment vertical="center" wrapText="1"/>
    </xf>
    <xf numFmtId="44" fontId="26" fillId="15" borderId="32" xfId="1" applyFont="1" applyFill="1" applyBorder="1" applyAlignment="1">
      <alignment vertical="center" wrapText="1"/>
    </xf>
    <xf numFmtId="0" fontId="20" fillId="0" borderId="0" xfId="3" applyFont="1" applyAlignment="1">
      <alignment vertical="center" wrapText="1"/>
    </xf>
    <xf numFmtId="0" fontId="1" fillId="0" borderId="0" xfId="0" applyFont="1" applyAlignment="1">
      <alignment wrapText="1"/>
    </xf>
    <xf numFmtId="0" fontId="45" fillId="3" borderId="1" xfId="0" applyFont="1" applyFill="1" applyBorder="1" applyAlignment="1">
      <alignment horizontal="center" vertical="center" wrapText="1"/>
    </xf>
    <xf numFmtId="0" fontId="45" fillId="8" borderId="1" xfId="0" applyFont="1" applyFill="1" applyBorder="1" applyAlignment="1">
      <alignment horizontal="center" vertical="center" wrapText="1"/>
    </xf>
    <xf numFmtId="0" fontId="46" fillId="8" borderId="30" xfId="0" applyFont="1" applyFill="1" applyBorder="1" applyAlignment="1">
      <alignment horizontal="center" vertical="center" wrapText="1"/>
    </xf>
    <xf numFmtId="0" fontId="45" fillId="13" borderId="1" xfId="0" applyFont="1" applyFill="1" applyBorder="1" applyAlignment="1">
      <alignment horizontal="center" vertical="center" wrapText="1"/>
    </xf>
    <xf numFmtId="0" fontId="6" fillId="6" borderId="1" xfId="0" applyFont="1" applyFill="1" applyBorder="1" applyAlignment="1">
      <alignment horizontal="center" vertical="center" wrapText="1"/>
    </xf>
    <xf numFmtId="0" fontId="45" fillId="18" borderId="1" xfId="0" applyFont="1" applyFill="1" applyBorder="1" applyAlignment="1">
      <alignment horizontal="center" vertical="center" wrapText="1"/>
    </xf>
    <xf numFmtId="0" fontId="45" fillId="18" borderId="0" xfId="0" applyFont="1" applyFill="1" applyAlignment="1">
      <alignment horizontal="center" vertical="center" wrapText="1"/>
    </xf>
    <xf numFmtId="0" fontId="6" fillId="0" borderId="0" xfId="0" applyFont="1" applyAlignment="1">
      <alignment wrapText="1"/>
    </xf>
    <xf numFmtId="0" fontId="26" fillId="0" borderId="1" xfId="0" applyFont="1" applyBorder="1" applyAlignment="1" applyProtection="1">
      <alignment vertical="center" wrapText="1"/>
      <protection locked="0"/>
    </xf>
    <xf numFmtId="0" fontId="18" fillId="0" borderId="1" xfId="0" applyFont="1" applyBorder="1" applyAlignment="1">
      <alignment horizontal="left" vertical="center" wrapText="1"/>
    </xf>
    <xf numFmtId="14" fontId="26" fillId="27" borderId="1" xfId="1" applyNumberFormat="1" applyFont="1" applyFill="1" applyBorder="1" applyAlignment="1" applyProtection="1">
      <alignment vertical="center" wrapText="1"/>
      <protection locked="0"/>
    </xf>
    <xf numFmtId="0" fontId="0" fillId="27" borderId="30" xfId="0" applyFill="1" applyBorder="1" applyAlignment="1" applyProtection="1">
      <alignment horizontal="center" vertical="center" wrapText="1"/>
      <protection locked="0"/>
    </xf>
    <xf numFmtId="0" fontId="1" fillId="27" borderId="1" xfId="0" applyFont="1" applyFill="1" applyBorder="1" applyAlignment="1" applyProtection="1">
      <alignment horizontal="center" vertical="center" wrapText="1"/>
      <protection locked="0"/>
    </xf>
    <xf numFmtId="44" fontId="26" fillId="27" borderId="1" xfId="1" applyFont="1" applyFill="1" applyBorder="1" applyAlignment="1" applyProtection="1">
      <alignment vertical="center" wrapText="1"/>
      <protection locked="0"/>
    </xf>
    <xf numFmtId="44" fontId="26" fillId="10" borderId="1" xfId="1" applyFont="1" applyFill="1" applyBorder="1" applyAlignment="1" applyProtection="1">
      <alignment vertical="center" wrapText="1"/>
    </xf>
    <xf numFmtId="165" fontId="26" fillId="10" borderId="1" xfId="1" applyNumberFormat="1" applyFont="1" applyFill="1" applyBorder="1" applyAlignment="1" applyProtection="1">
      <alignment vertical="center" wrapText="1"/>
    </xf>
    <xf numFmtId="14" fontId="26" fillId="12" borderId="1" xfId="1" applyNumberFormat="1" applyFont="1" applyFill="1" applyBorder="1" applyAlignment="1" applyProtection="1">
      <alignment vertical="center" wrapText="1"/>
      <protection locked="0"/>
    </xf>
    <xf numFmtId="0" fontId="44" fillId="12" borderId="30" xfId="7" applyFill="1" applyBorder="1"/>
    <xf numFmtId="0" fontId="1" fillId="12" borderId="1" xfId="0" applyFont="1" applyFill="1" applyBorder="1" applyAlignment="1" applyProtection="1">
      <alignment horizontal="center" vertical="center" wrapText="1"/>
      <protection locked="0"/>
    </xf>
    <xf numFmtId="0" fontId="26" fillId="12" borderId="30" xfId="0" applyFont="1" applyFill="1" applyBorder="1" applyAlignment="1" applyProtection="1">
      <alignment vertical="center" wrapText="1"/>
      <protection locked="0"/>
    </xf>
    <xf numFmtId="44" fontId="26" fillId="12" borderId="1" xfId="1" applyFont="1" applyFill="1" applyBorder="1" applyAlignment="1" applyProtection="1">
      <alignment vertical="center" wrapText="1"/>
      <protection locked="0"/>
    </xf>
    <xf numFmtId="44" fontId="26" fillId="21" borderId="1" xfId="1" applyFont="1" applyFill="1" applyBorder="1" applyAlignment="1" applyProtection="1">
      <alignment vertical="center" wrapText="1"/>
    </xf>
    <xf numFmtId="165" fontId="26" fillId="21" borderId="1" xfId="1" applyNumberFormat="1" applyFont="1" applyFill="1" applyBorder="1" applyAlignment="1" applyProtection="1">
      <alignment vertical="center" wrapText="1"/>
    </xf>
    <xf numFmtId="14" fontId="26" fillId="28" borderId="1" xfId="1" applyNumberFormat="1" applyFont="1" applyFill="1" applyBorder="1" applyAlignment="1" applyProtection="1">
      <alignment vertical="center" wrapText="1"/>
      <protection locked="0"/>
    </xf>
    <xf numFmtId="44" fontId="18" fillId="28" borderId="26" xfId="1" applyFont="1" applyFill="1" applyBorder="1" applyAlignment="1" applyProtection="1">
      <alignment horizontal="justify" vertical="center" wrapText="1"/>
      <protection locked="0"/>
    </xf>
    <xf numFmtId="0" fontId="1" fillId="28" borderId="1" xfId="0" applyFont="1" applyFill="1" applyBorder="1" applyAlignment="1" applyProtection="1">
      <alignment horizontal="center" vertical="center" wrapText="1"/>
      <protection locked="0"/>
    </xf>
    <xf numFmtId="44" fontId="18" fillId="28" borderId="1" xfId="1" applyFont="1" applyFill="1" applyBorder="1" applyAlignment="1" applyProtection="1">
      <alignment horizontal="justify" vertical="center" wrapText="1"/>
      <protection locked="0"/>
    </xf>
    <xf numFmtId="44" fontId="26" fillId="28" borderId="1" xfId="1" applyFont="1" applyFill="1" applyBorder="1" applyAlignment="1" applyProtection="1">
      <alignment vertical="center" wrapText="1"/>
      <protection locked="0"/>
    </xf>
    <xf numFmtId="44" fontId="26" fillId="28" borderId="30" xfId="1" applyFont="1" applyFill="1" applyBorder="1" applyAlignment="1" applyProtection="1">
      <alignment vertical="center" wrapText="1"/>
      <protection locked="0"/>
    </xf>
    <xf numFmtId="44" fontId="26" fillId="6" borderId="1" xfId="1" applyFont="1" applyFill="1" applyBorder="1" applyAlignment="1" applyProtection="1">
      <alignment vertical="center" wrapText="1"/>
    </xf>
    <xf numFmtId="165" fontId="26" fillId="6" borderId="1" xfId="1" applyNumberFormat="1" applyFont="1" applyFill="1" applyBorder="1" applyAlignment="1" applyProtection="1">
      <alignment vertical="center" wrapText="1"/>
    </xf>
    <xf numFmtId="44" fontId="26" fillId="15" borderId="1" xfId="1" applyFont="1" applyFill="1" applyBorder="1" applyAlignment="1" applyProtection="1">
      <alignment vertical="center" wrapText="1"/>
    </xf>
    <xf numFmtId="10" fontId="26" fillId="15" borderId="1" xfId="2" applyNumberFormat="1" applyFont="1" applyFill="1" applyBorder="1" applyAlignment="1" applyProtection="1">
      <alignment horizontal="center" vertical="center" wrapText="1"/>
    </xf>
    <xf numFmtId="0" fontId="1" fillId="0" borderId="1" xfId="0" applyFont="1" applyBorder="1" applyAlignment="1">
      <alignment vertical="center" wrapText="1"/>
    </xf>
    <xf numFmtId="0" fontId="1" fillId="0" borderId="0" xfId="0" applyFont="1" applyAlignment="1">
      <alignment vertical="center" wrapText="1"/>
    </xf>
    <xf numFmtId="0" fontId="43" fillId="0" borderId="0" xfId="0" applyFont="1" applyAlignment="1">
      <alignment vertical="center" wrapText="1"/>
    </xf>
    <xf numFmtId="0" fontId="1" fillId="0" borderId="0" xfId="0" applyFont="1" applyAlignment="1">
      <alignment vertical="top" wrapText="1"/>
    </xf>
    <xf numFmtId="14" fontId="47" fillId="30" borderId="1" xfId="1" applyNumberFormat="1" applyFont="1" applyFill="1" applyBorder="1" applyAlignment="1" applyProtection="1">
      <alignment vertical="center" wrapText="1"/>
      <protection locked="0"/>
    </xf>
    <xf numFmtId="44" fontId="47" fillId="31" borderId="6" xfId="1" applyFont="1" applyFill="1" applyBorder="1" applyAlignment="1" applyProtection="1">
      <alignment vertical="center" wrapText="1"/>
      <protection locked="0"/>
    </xf>
    <xf numFmtId="0" fontId="47" fillId="24" borderId="1" xfId="0" applyFont="1" applyFill="1" applyBorder="1" applyAlignment="1" applyProtection="1">
      <alignment vertical="center" wrapText="1"/>
      <protection locked="0"/>
    </xf>
    <xf numFmtId="44" fontId="47" fillId="24" borderId="6" xfId="1" applyFont="1" applyFill="1" applyBorder="1" applyAlignment="1" applyProtection="1">
      <alignment vertical="center" wrapText="1"/>
      <protection locked="0"/>
    </xf>
    <xf numFmtId="14" fontId="26" fillId="27" borderId="30" xfId="1" applyNumberFormat="1" applyFont="1" applyFill="1" applyBorder="1" applyAlignment="1" applyProtection="1">
      <alignment vertical="center" wrapText="1"/>
      <protection locked="0"/>
    </xf>
    <xf numFmtId="14" fontId="26" fillId="27" borderId="27" xfId="1" applyNumberFormat="1" applyFont="1" applyFill="1" applyBorder="1" applyAlignment="1" applyProtection="1">
      <alignment vertical="center" wrapText="1"/>
      <protection locked="0"/>
    </xf>
    <xf numFmtId="44" fontId="48" fillId="27" borderId="30" xfId="1" applyFont="1" applyFill="1" applyBorder="1" applyAlignment="1" applyProtection="1">
      <alignment vertical="center" wrapText="1"/>
      <protection locked="0"/>
    </xf>
    <xf numFmtId="44" fontId="48" fillId="10" borderId="1" xfId="1" applyFont="1" applyFill="1" applyBorder="1" applyAlignment="1">
      <alignment vertical="center" wrapText="1"/>
    </xf>
    <xf numFmtId="165" fontId="48" fillId="10" borderId="1" xfId="1" applyNumberFormat="1" applyFont="1" applyFill="1" applyBorder="1" applyAlignment="1">
      <alignment vertical="center" wrapText="1"/>
    </xf>
    <xf numFmtId="14" fontId="26" fillId="12" borderId="30" xfId="1" applyNumberFormat="1" applyFont="1" applyFill="1" applyBorder="1" applyAlignment="1" applyProtection="1">
      <alignment vertical="center" wrapText="1"/>
      <protection locked="0"/>
    </xf>
    <xf numFmtId="0" fontId="44" fillId="12" borderId="30" xfId="6" applyFill="1" applyBorder="1" applyProtection="1">
      <protection locked="0"/>
    </xf>
    <xf numFmtId="0" fontId="1" fillId="12" borderId="30" xfId="0" applyFont="1" applyFill="1" applyBorder="1" applyAlignment="1" applyProtection="1">
      <alignment horizontal="center" vertical="center" wrapText="1"/>
      <protection locked="0"/>
    </xf>
    <xf numFmtId="0" fontId="0" fillId="12" borderId="30" xfId="0" applyFill="1" applyBorder="1" applyAlignment="1" applyProtection="1">
      <alignment horizontal="center" vertical="center" wrapText="1"/>
      <protection locked="0"/>
    </xf>
    <xf numFmtId="44" fontId="26" fillId="12" borderId="30" xfId="1" applyFont="1" applyFill="1" applyBorder="1" applyAlignment="1" applyProtection="1">
      <alignment vertical="center" wrapText="1"/>
      <protection locked="0"/>
    </xf>
    <xf numFmtId="165" fontId="26" fillId="19" borderId="1" xfId="1" applyNumberFormat="1" applyFont="1" applyFill="1" applyBorder="1" applyAlignment="1" applyProtection="1">
      <alignment vertical="center" wrapText="1"/>
    </xf>
    <xf numFmtId="14" fontId="26" fillId="28" borderId="30" xfId="1" applyNumberFormat="1" applyFont="1" applyFill="1" applyBorder="1" applyAlignment="1" applyProtection="1">
      <alignment vertical="center" wrapText="1"/>
      <protection locked="0"/>
    </xf>
    <xf numFmtId="14" fontId="26" fillId="28" borderId="0" xfId="1" applyNumberFormat="1" applyFont="1" applyFill="1" applyBorder="1" applyAlignment="1" applyProtection="1">
      <alignment vertical="center" wrapText="1"/>
      <protection locked="0"/>
    </xf>
    <xf numFmtId="0" fontId="1" fillId="28" borderId="26" xfId="0" applyFont="1" applyFill="1" applyBorder="1" applyAlignment="1" applyProtection="1">
      <alignment horizontal="center" vertical="center" wrapText="1"/>
      <protection locked="0"/>
    </xf>
    <xf numFmtId="14" fontId="26" fillId="28" borderId="26" xfId="1" applyNumberFormat="1" applyFont="1" applyFill="1" applyBorder="1" applyAlignment="1" applyProtection="1">
      <alignment vertical="center" wrapText="1"/>
      <protection locked="0"/>
    </xf>
    <xf numFmtId="168" fontId="1" fillId="0" borderId="0" xfId="0" applyNumberFormat="1" applyFont="1" applyAlignment="1">
      <alignment vertical="center" wrapText="1"/>
    </xf>
    <xf numFmtId="0" fontId="1" fillId="0" borderId="0" xfId="0" applyFont="1" applyAlignment="1" applyProtection="1">
      <alignment wrapText="1"/>
      <protection locked="0"/>
    </xf>
    <xf numFmtId="8" fontId="26" fillId="12" borderId="30" xfId="1" applyNumberFormat="1" applyFont="1" applyFill="1" applyBorder="1" applyAlignment="1" applyProtection="1">
      <alignment vertical="center" wrapText="1"/>
      <protection locked="0"/>
    </xf>
    <xf numFmtId="8" fontId="26" fillId="19" borderId="1" xfId="1" applyNumberFormat="1" applyFont="1" applyFill="1" applyBorder="1" applyAlignment="1" applyProtection="1">
      <alignment vertical="center" wrapText="1"/>
    </xf>
    <xf numFmtId="8" fontId="26" fillId="28" borderId="7" xfId="1" applyNumberFormat="1" applyFont="1" applyFill="1" applyBorder="1" applyAlignment="1" applyProtection="1">
      <alignment vertical="center" wrapText="1"/>
      <protection locked="0"/>
    </xf>
    <xf numFmtId="8" fontId="26" fillId="6" borderId="1" xfId="1" applyNumberFormat="1" applyFont="1" applyFill="1" applyBorder="1" applyAlignment="1" applyProtection="1">
      <alignment vertical="center" wrapText="1"/>
    </xf>
    <xf numFmtId="8" fontId="26" fillId="15" borderId="1" xfId="1" applyNumberFormat="1" applyFont="1" applyFill="1" applyBorder="1" applyAlignment="1" applyProtection="1">
      <alignment vertical="center" wrapText="1"/>
    </xf>
    <xf numFmtId="14" fontId="1" fillId="0" borderId="0" xfId="0" applyNumberFormat="1" applyFont="1" applyAlignment="1" applyProtection="1">
      <alignment wrapText="1"/>
      <protection locked="0"/>
    </xf>
    <xf numFmtId="4" fontId="1" fillId="0" borderId="0" xfId="0" applyNumberFormat="1" applyFont="1" applyAlignment="1" applyProtection="1">
      <alignment wrapText="1"/>
      <protection locked="0"/>
    </xf>
    <xf numFmtId="6" fontId="1" fillId="0" borderId="0" xfId="0" applyNumberFormat="1" applyFont="1" applyAlignment="1">
      <alignment wrapText="1"/>
    </xf>
    <xf numFmtId="8" fontId="1" fillId="0" borderId="0" xfId="0" applyNumberFormat="1" applyFont="1" applyAlignment="1">
      <alignment wrapText="1"/>
    </xf>
    <xf numFmtId="10" fontId="1" fillId="0" borderId="0" xfId="0" applyNumberFormat="1" applyFont="1" applyAlignment="1">
      <alignment wrapText="1"/>
    </xf>
    <xf numFmtId="44" fontId="50" fillId="15" borderId="1" xfId="1" applyFont="1" applyFill="1" applyBorder="1" applyAlignment="1" applyProtection="1">
      <alignment vertical="center" wrapText="1"/>
    </xf>
    <xf numFmtId="44" fontId="50" fillId="0" borderId="0" xfId="1" applyFont="1" applyAlignment="1">
      <alignment wrapText="1"/>
    </xf>
    <xf numFmtId="9" fontId="26" fillId="0" borderId="0" xfId="2" applyFont="1" applyAlignment="1">
      <alignment wrapText="1"/>
    </xf>
    <xf numFmtId="10" fontId="4" fillId="0" borderId="0" xfId="2" applyNumberFormat="1" applyFont="1" applyAlignment="1" applyProtection="1">
      <alignment horizontal="center" vertical="center" wrapText="1"/>
    </xf>
    <xf numFmtId="10" fontId="6" fillId="0" borderId="0" xfId="2" applyNumberFormat="1" applyFont="1" applyAlignment="1" applyProtection="1">
      <alignment horizontal="center" vertical="center" wrapText="1"/>
    </xf>
    <xf numFmtId="43" fontId="6" fillId="0" borderId="0" xfId="3" applyNumberFormat="1" applyFont="1" applyAlignment="1">
      <alignment horizontal="center" vertical="center" wrapText="1"/>
    </xf>
    <xf numFmtId="3" fontId="6" fillId="0" borderId="0" xfId="3" applyNumberFormat="1" applyFont="1" applyAlignment="1">
      <alignment horizontal="center" vertical="center" wrapText="1"/>
    </xf>
    <xf numFmtId="44" fontId="26" fillId="0" borderId="0" xfId="1" applyFont="1" applyAlignment="1" applyProtection="1">
      <alignment wrapText="1"/>
    </xf>
    <xf numFmtId="10" fontId="0" fillId="0" borderId="0" xfId="2" applyNumberFormat="1" applyFont="1" applyAlignment="1" applyProtection="1">
      <alignment wrapText="1"/>
    </xf>
    <xf numFmtId="44" fontId="26" fillId="6" borderId="0" xfId="1" applyFont="1" applyFill="1" applyAlignment="1" applyProtection="1">
      <alignment wrapText="1"/>
    </xf>
    <xf numFmtId="10" fontId="15" fillId="0" borderId="0" xfId="2" applyNumberFormat="1" applyFont="1" applyAlignment="1" applyProtection="1">
      <alignment wrapText="1"/>
    </xf>
    <xf numFmtId="0" fontId="26" fillId="14" borderId="1" xfId="0" applyFont="1" applyFill="1" applyBorder="1" applyAlignment="1">
      <alignment horizontal="justify" vertical="center" wrapText="1"/>
    </xf>
    <xf numFmtId="0" fontId="26" fillId="0" borderId="1" xfId="0" applyFont="1" applyBorder="1" applyAlignment="1">
      <alignment horizontal="justify" vertical="center" wrapText="1"/>
    </xf>
    <xf numFmtId="0" fontId="26" fillId="9" borderId="1" xfId="0" applyFont="1" applyFill="1" applyBorder="1" applyAlignment="1">
      <alignment vertical="center" wrapText="1"/>
    </xf>
    <xf numFmtId="164" fontId="37" fillId="32" borderId="1" xfId="0" applyNumberFormat="1" applyFont="1" applyFill="1" applyBorder="1" applyAlignment="1">
      <alignment vertical="center" wrapText="1"/>
    </xf>
    <xf numFmtId="164" fontId="26" fillId="9" borderId="1" xfId="1" applyNumberFormat="1" applyFont="1" applyFill="1" applyBorder="1" applyAlignment="1" applyProtection="1">
      <alignment vertical="center" wrapText="1"/>
    </xf>
    <xf numFmtId="164" fontId="26" fillId="10" borderId="1" xfId="1" applyNumberFormat="1" applyFont="1" applyFill="1" applyBorder="1" applyAlignment="1" applyProtection="1">
      <alignment vertical="center" wrapText="1"/>
    </xf>
    <xf numFmtId="0" fontId="26" fillId="11" borderId="1" xfId="0" applyFont="1" applyFill="1" applyBorder="1" applyAlignment="1">
      <alignment vertical="center" wrapText="1"/>
    </xf>
    <xf numFmtId="164" fontId="26" fillId="11" borderId="1" xfId="1" applyNumberFormat="1" applyFont="1" applyFill="1" applyBorder="1" applyAlignment="1" applyProtection="1">
      <alignment vertical="center" wrapText="1"/>
    </xf>
    <xf numFmtId="164" fontId="26" fillId="12" borderId="1" xfId="1" applyNumberFormat="1" applyFont="1" applyFill="1" applyBorder="1" applyAlignment="1" applyProtection="1">
      <alignment vertical="center" wrapText="1"/>
    </xf>
    <xf numFmtId="0" fontId="26" fillId="6" borderId="1" xfId="0" applyFont="1" applyFill="1" applyBorder="1" applyAlignment="1">
      <alignment vertical="center" wrapText="1"/>
    </xf>
    <xf numFmtId="164" fontId="26" fillId="6" borderId="1" xfId="1" applyNumberFormat="1" applyFont="1" applyFill="1" applyBorder="1" applyAlignment="1" applyProtection="1">
      <alignment vertical="center" wrapText="1"/>
    </xf>
    <xf numFmtId="164" fontId="26" fillId="14" borderId="1" xfId="1" applyNumberFormat="1" applyFont="1" applyFill="1" applyBorder="1" applyAlignment="1" applyProtection="1">
      <alignment vertical="center" wrapText="1"/>
    </xf>
    <xf numFmtId="164" fontId="26" fillId="15" borderId="1" xfId="1" applyNumberFormat="1" applyFont="1" applyFill="1" applyBorder="1" applyAlignment="1" applyProtection="1">
      <alignment vertical="center" wrapText="1"/>
    </xf>
    <xf numFmtId="169" fontId="0" fillId="0" borderId="1" xfId="0" applyNumberFormat="1" applyBorder="1" applyAlignment="1">
      <alignment vertical="center" wrapText="1"/>
    </xf>
    <xf numFmtId="169" fontId="0" fillId="21" borderId="0" xfId="0" applyNumberFormat="1" applyFill="1" applyAlignment="1">
      <alignment vertical="center" wrapText="1"/>
    </xf>
    <xf numFmtId="169" fontId="0" fillId="0" borderId="0" xfId="0" applyNumberFormat="1" applyAlignment="1">
      <alignment vertical="center" wrapText="1"/>
    </xf>
    <xf numFmtId="10" fontId="0" fillId="0" borderId="0" xfId="2" applyNumberFormat="1" applyFont="1" applyAlignment="1" applyProtection="1">
      <alignment vertical="center" wrapText="1"/>
    </xf>
    <xf numFmtId="169" fontId="26" fillId="15" borderId="1" xfId="1" applyNumberFormat="1" applyFont="1" applyFill="1" applyBorder="1" applyAlignment="1" applyProtection="1">
      <alignment vertical="center" wrapText="1"/>
    </xf>
    <xf numFmtId="0" fontId="39" fillId="0" borderId="1" xfId="0" applyFont="1" applyBorder="1" applyAlignment="1">
      <alignment horizontal="justify" vertical="center" wrapText="1"/>
    </xf>
    <xf numFmtId="164" fontId="37" fillId="24" borderId="1" xfId="0" applyNumberFormat="1" applyFont="1" applyFill="1" applyBorder="1" applyAlignment="1">
      <alignment vertical="center" wrapText="1"/>
    </xf>
    <xf numFmtId="0" fontId="39" fillId="0" borderId="25" xfId="0" applyFont="1" applyBorder="1" applyAlignment="1">
      <alignment horizontal="justify" vertical="center" wrapText="1"/>
    </xf>
    <xf numFmtId="0" fontId="39" fillId="0" borderId="4" xfId="0" applyFont="1" applyBorder="1" applyAlignment="1">
      <alignment horizontal="justify" vertical="center" wrapText="1"/>
    </xf>
    <xf numFmtId="8" fontId="26" fillId="11" borderId="1" xfId="1" applyNumberFormat="1" applyFont="1" applyFill="1" applyBorder="1" applyAlignment="1" applyProtection="1">
      <alignment vertical="center" wrapText="1"/>
    </xf>
    <xf numFmtId="164" fontId="38" fillId="24" borderId="1" xfId="0" applyNumberFormat="1" applyFont="1" applyFill="1" applyBorder="1" applyAlignment="1">
      <alignment vertical="center" wrapText="1"/>
    </xf>
    <xf numFmtId="0" fontId="37" fillId="0" borderId="25" xfId="0" applyFont="1" applyBorder="1" applyAlignment="1">
      <alignment vertical="center" wrapText="1"/>
    </xf>
    <xf numFmtId="0" fontId="49" fillId="0" borderId="25" xfId="0" applyFont="1" applyBorder="1" applyAlignment="1">
      <alignment horizontal="left" vertical="center" wrapText="1"/>
    </xf>
    <xf numFmtId="0" fontId="39" fillId="0" borderId="6" xfId="0" applyFont="1" applyBorder="1" applyAlignment="1">
      <alignment horizontal="justify" vertical="center" wrapText="1"/>
    </xf>
    <xf numFmtId="0" fontId="37" fillId="0" borderId="26" xfId="0" applyFont="1" applyBorder="1" applyAlignment="1">
      <alignment vertical="center" wrapText="1"/>
    </xf>
    <xf numFmtId="0" fontId="0" fillId="0" borderId="26" xfId="0" applyBorder="1" applyAlignment="1">
      <alignment horizontal="left" vertical="center" wrapText="1"/>
    </xf>
    <xf numFmtId="0" fontId="49" fillId="0" borderId="26" xfId="0" applyFont="1" applyBorder="1" applyAlignment="1">
      <alignment horizontal="left" vertical="center" wrapText="1"/>
    </xf>
    <xf numFmtId="0" fontId="37" fillId="0" borderId="27" xfId="0" applyFont="1" applyBorder="1" applyAlignment="1">
      <alignment vertical="center" wrapText="1"/>
    </xf>
    <xf numFmtId="0" fontId="49" fillId="0" borderId="27" xfId="0" applyFont="1" applyBorder="1" applyAlignment="1">
      <alignment horizontal="left" vertical="center" wrapText="1"/>
    </xf>
    <xf numFmtId="0" fontId="26" fillId="0" borderId="1" xfId="0" applyFont="1" applyBorder="1" applyAlignment="1">
      <alignment vertical="center" wrapText="1"/>
    </xf>
    <xf numFmtId="0" fontId="39" fillId="7" borderId="1" xfId="0" applyFont="1" applyFill="1" applyBorder="1" applyAlignment="1">
      <alignment horizontal="justify" vertical="center" wrapText="1"/>
    </xf>
    <xf numFmtId="164" fontId="26" fillId="9" borderId="25" xfId="1" applyNumberFormat="1" applyFont="1" applyFill="1" applyBorder="1" applyAlignment="1" applyProtection="1">
      <alignment vertical="center" wrapText="1"/>
    </xf>
    <xf numFmtId="164" fontId="26" fillId="11" borderId="25" xfId="1" applyNumberFormat="1" applyFont="1" applyFill="1" applyBorder="1" applyAlignment="1" applyProtection="1">
      <alignment vertical="center" wrapText="1"/>
    </xf>
    <xf numFmtId="164" fontId="26" fillId="6" borderId="25" xfId="1" applyNumberFormat="1" applyFont="1" applyFill="1" applyBorder="1" applyAlignment="1" applyProtection="1">
      <alignment vertical="center" wrapText="1"/>
    </xf>
    <xf numFmtId="0" fontId="26" fillId="6" borderId="30" xfId="0" applyFont="1" applyFill="1" applyBorder="1" applyAlignment="1">
      <alignment vertical="center" wrapText="1"/>
    </xf>
    <xf numFmtId="164" fontId="26" fillId="6" borderId="30" xfId="1" applyNumberFormat="1" applyFont="1" applyFill="1" applyBorder="1" applyAlignment="1" applyProtection="1">
      <alignment vertical="center" wrapText="1"/>
    </xf>
    <xf numFmtId="0" fontId="51" fillId="33" borderId="1" xfId="0" applyFont="1" applyFill="1" applyBorder="1" applyAlignment="1">
      <alignment horizontal="justify" vertical="center" wrapText="1"/>
    </xf>
    <xf numFmtId="0" fontId="51" fillId="33" borderId="1" xfId="0" applyFont="1" applyFill="1" applyBorder="1" applyAlignment="1">
      <alignment vertical="center" wrapText="1"/>
    </xf>
    <xf numFmtId="0" fontId="51" fillId="33" borderId="1" xfId="0" applyFont="1" applyFill="1" applyBorder="1" applyAlignment="1">
      <alignment horizontal="left" vertical="center" wrapText="1"/>
    </xf>
    <xf numFmtId="0" fontId="51" fillId="33" borderId="26" xfId="0" applyFont="1" applyFill="1" applyBorder="1" applyAlignment="1">
      <alignment horizontal="justify" vertical="center" wrapText="1"/>
    </xf>
    <xf numFmtId="0" fontId="51" fillId="33" borderId="5" xfId="0" applyFont="1" applyFill="1" applyBorder="1" applyAlignment="1">
      <alignment horizontal="justify" vertical="center" wrapText="1"/>
    </xf>
    <xf numFmtId="0" fontId="51" fillId="33" borderId="0" xfId="0" applyFont="1" applyFill="1" applyAlignment="1">
      <alignment vertical="center" wrapText="1"/>
    </xf>
    <xf numFmtId="164" fontId="51" fillId="33" borderId="0" xfId="1" applyNumberFormat="1" applyFont="1" applyFill="1" applyBorder="1" applyAlignment="1" applyProtection="1">
      <alignment vertical="center" wrapText="1"/>
    </xf>
    <xf numFmtId="164" fontId="51" fillId="33" borderId="25" xfId="1" applyNumberFormat="1" applyFont="1" applyFill="1" applyBorder="1" applyAlignment="1" applyProtection="1">
      <alignment vertical="center" wrapText="1"/>
    </xf>
    <xf numFmtId="164" fontId="51" fillId="33" borderId="0" xfId="0" applyNumberFormat="1" applyFont="1" applyFill="1" applyAlignment="1">
      <alignment vertical="center" wrapText="1"/>
    </xf>
    <xf numFmtId="0" fontId="51" fillId="34" borderId="1" xfId="0" applyFont="1" applyFill="1" applyBorder="1" applyAlignment="1">
      <alignment horizontal="justify" vertical="center" wrapText="1"/>
    </xf>
    <xf numFmtId="0" fontId="51" fillId="34" borderId="26" xfId="0" applyFont="1" applyFill="1" applyBorder="1" applyAlignment="1">
      <alignment horizontal="justify" vertical="center" wrapText="1"/>
    </xf>
    <xf numFmtId="0" fontId="51" fillId="34" borderId="5" xfId="0" applyFont="1" applyFill="1" applyBorder="1" applyAlignment="1">
      <alignment horizontal="justify" vertical="center" wrapText="1"/>
    </xf>
    <xf numFmtId="0" fontId="13" fillId="29" borderId="30" xfId="0" applyFont="1" applyFill="1" applyBorder="1" applyAlignment="1">
      <alignment wrapText="1"/>
    </xf>
    <xf numFmtId="164" fontId="51" fillId="34" borderId="0" xfId="1" applyNumberFormat="1" applyFont="1" applyFill="1" applyBorder="1" applyAlignment="1" applyProtection="1">
      <alignment vertical="center" wrapText="1"/>
    </xf>
    <xf numFmtId="164" fontId="51" fillId="34" borderId="25" xfId="1" applyNumberFormat="1" applyFont="1" applyFill="1" applyBorder="1" applyAlignment="1" applyProtection="1">
      <alignment vertical="center" wrapText="1"/>
    </xf>
    <xf numFmtId="164" fontId="51" fillId="34" borderId="0" xfId="0" applyNumberFormat="1" applyFont="1" applyFill="1" applyAlignment="1">
      <alignment vertical="center" wrapText="1"/>
    </xf>
    <xf numFmtId="0" fontId="26" fillId="33" borderId="1" xfId="0" applyFont="1" applyFill="1" applyBorder="1" applyAlignment="1">
      <alignment vertical="center" wrapText="1"/>
    </xf>
    <xf numFmtId="0" fontId="18" fillId="33" borderId="1" xfId="0" applyFont="1" applyFill="1" applyBorder="1" applyAlignment="1">
      <alignment horizontal="left" vertical="center" wrapText="1"/>
    </xf>
    <xf numFmtId="0" fontId="26" fillId="9" borderId="30" xfId="0" applyFont="1" applyFill="1" applyBorder="1" applyAlignment="1">
      <alignment vertical="center" wrapText="1"/>
    </xf>
    <xf numFmtId="164" fontId="26" fillId="9" borderId="30" xfId="1" applyNumberFormat="1" applyFont="1" applyFill="1" applyBorder="1" applyAlignment="1" applyProtection="1">
      <alignment vertical="center" wrapText="1"/>
    </xf>
    <xf numFmtId="0" fontId="26" fillId="11" borderId="30" xfId="0" applyFont="1" applyFill="1" applyBorder="1" applyAlignment="1">
      <alignment vertical="center" wrapText="1"/>
    </xf>
    <xf numFmtId="164" fontId="26" fillId="11" borderId="30" xfId="1" applyNumberFormat="1" applyFont="1" applyFill="1" applyBorder="1" applyAlignment="1" applyProtection="1">
      <alignment vertical="center" wrapText="1"/>
    </xf>
    <xf numFmtId="0" fontId="49" fillId="0" borderId="1" xfId="0" applyFont="1" applyBorder="1" applyAlignment="1">
      <alignment horizontal="left" vertical="center" wrapText="1"/>
    </xf>
    <xf numFmtId="0" fontId="40" fillId="29" borderId="1" xfId="0" applyFont="1" applyFill="1" applyBorder="1" applyAlignment="1">
      <alignment wrapText="1"/>
    </xf>
    <xf numFmtId="0" fontId="26" fillId="34" borderId="30" xfId="0" applyFont="1" applyFill="1" applyBorder="1" applyAlignment="1">
      <alignment vertical="center" wrapText="1"/>
    </xf>
    <xf numFmtId="164" fontId="26" fillId="34" borderId="30" xfId="1" applyNumberFormat="1" applyFont="1" applyFill="1" applyBorder="1" applyAlignment="1" applyProtection="1">
      <alignment vertical="center" wrapText="1"/>
    </xf>
    <xf numFmtId="164" fontId="26" fillId="34" borderId="25" xfId="1" applyNumberFormat="1" applyFont="1" applyFill="1" applyBorder="1" applyAlignment="1" applyProtection="1">
      <alignment vertical="center" wrapText="1"/>
    </xf>
    <xf numFmtId="44" fontId="18" fillId="34" borderId="1" xfId="1" applyFont="1" applyFill="1" applyBorder="1" applyAlignment="1" applyProtection="1">
      <alignment horizontal="justify" vertical="center" wrapText="1"/>
    </xf>
    <xf numFmtId="0" fontId="26" fillId="7" borderId="1" xfId="0" applyFont="1" applyFill="1" applyBorder="1" applyAlignment="1">
      <alignment horizontal="justify" vertical="center" wrapText="1"/>
    </xf>
    <xf numFmtId="0" fontId="37" fillId="31" borderId="30" xfId="0" applyFont="1" applyFill="1" applyBorder="1" applyAlignment="1">
      <alignment vertical="center" wrapText="1"/>
    </xf>
    <xf numFmtId="0" fontId="49" fillId="35"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6" fillId="9" borderId="32" xfId="0" applyFont="1" applyFill="1" applyBorder="1" applyAlignment="1">
      <alignment vertical="center" wrapText="1"/>
    </xf>
    <xf numFmtId="164" fontId="26" fillId="9" borderId="32" xfId="1" applyNumberFormat="1" applyFont="1" applyFill="1" applyBorder="1" applyAlignment="1" applyProtection="1">
      <alignment vertical="center" wrapText="1"/>
    </xf>
    <xf numFmtId="0" fontId="26" fillId="11" borderId="32" xfId="0" applyFont="1" applyFill="1" applyBorder="1" applyAlignment="1">
      <alignment vertical="center" wrapText="1"/>
    </xf>
    <xf numFmtId="164" fontId="26" fillId="11" borderId="32" xfId="1" applyNumberFormat="1" applyFont="1" applyFill="1" applyBorder="1" applyAlignment="1" applyProtection="1">
      <alignment vertical="center" wrapText="1"/>
    </xf>
    <xf numFmtId="0" fontId="26" fillId="6" borderId="32" xfId="0" applyFont="1" applyFill="1" applyBorder="1" applyAlignment="1">
      <alignment vertical="center" wrapText="1"/>
    </xf>
    <xf numFmtId="164" fontId="26" fillId="6" borderId="32" xfId="1" applyNumberFormat="1" applyFont="1" applyFill="1" applyBorder="1" applyAlignment="1" applyProtection="1">
      <alignment vertical="center" wrapText="1"/>
    </xf>
    <xf numFmtId="44" fontId="26" fillId="9" borderId="32" xfId="1" applyFont="1" applyFill="1" applyBorder="1" applyAlignment="1" applyProtection="1">
      <alignment vertical="center" wrapText="1"/>
    </xf>
    <xf numFmtId="165" fontId="26" fillId="9" borderId="32" xfId="1" applyNumberFormat="1" applyFont="1" applyFill="1" applyBorder="1" applyAlignment="1" applyProtection="1">
      <alignment vertical="center" wrapText="1"/>
    </xf>
    <xf numFmtId="165" fontId="26" fillId="9" borderId="1" xfId="1" applyNumberFormat="1" applyFont="1" applyFill="1" applyBorder="1" applyAlignment="1" applyProtection="1">
      <alignment vertical="center" wrapText="1"/>
    </xf>
    <xf numFmtId="44" fontId="26" fillId="15" borderId="32" xfId="1" applyFont="1" applyFill="1" applyBorder="1" applyAlignment="1" applyProtection="1">
      <alignment vertical="center" wrapText="1"/>
    </xf>
    <xf numFmtId="44" fontId="26" fillId="15" borderId="30" xfId="1" applyFont="1" applyFill="1" applyBorder="1" applyAlignment="1" applyProtection="1">
      <alignment vertical="center" wrapText="1"/>
    </xf>
    <xf numFmtId="9" fontId="26" fillId="15" borderId="30" xfId="2" applyFont="1" applyFill="1" applyBorder="1" applyAlignment="1" applyProtection="1">
      <alignment horizontal="center" vertical="center" wrapText="1"/>
    </xf>
    <xf numFmtId="44" fontId="26" fillId="9" borderId="30" xfId="1" applyFont="1" applyFill="1" applyBorder="1" applyAlignment="1" applyProtection="1">
      <alignment vertical="center" wrapText="1"/>
    </xf>
    <xf numFmtId="165" fontId="26" fillId="9" borderId="30" xfId="1" applyNumberFormat="1" applyFont="1" applyFill="1" applyBorder="1" applyAlignment="1" applyProtection="1">
      <alignment vertical="center" wrapText="1"/>
    </xf>
    <xf numFmtId="165" fontId="26" fillId="9" borderId="36" xfId="1" applyNumberFormat="1" applyFont="1" applyFill="1" applyBorder="1" applyAlignment="1" applyProtection="1">
      <alignment vertical="center" wrapText="1"/>
    </xf>
    <xf numFmtId="165" fontId="26" fillId="10" borderId="30" xfId="1" applyNumberFormat="1" applyFont="1" applyFill="1" applyBorder="1" applyAlignment="1" applyProtection="1">
      <alignment vertical="center" wrapText="1"/>
    </xf>
    <xf numFmtId="0" fontId="26" fillId="11" borderId="33" xfId="0" applyFont="1" applyFill="1" applyBorder="1" applyAlignment="1">
      <alignment vertical="center" wrapText="1"/>
    </xf>
    <xf numFmtId="164" fontId="26" fillId="11" borderId="33" xfId="1" applyNumberFormat="1" applyFont="1" applyFill="1" applyBorder="1" applyAlignment="1" applyProtection="1">
      <alignment vertical="center" wrapText="1"/>
    </xf>
    <xf numFmtId="0" fontId="26" fillId="6" borderId="33" xfId="0" applyFont="1" applyFill="1" applyBorder="1" applyAlignment="1">
      <alignment vertical="center" wrapText="1"/>
    </xf>
    <xf numFmtId="164" fontId="26" fillId="6" borderId="33" xfId="1" applyNumberFormat="1" applyFont="1" applyFill="1" applyBorder="1" applyAlignment="1" applyProtection="1">
      <alignment vertical="center" wrapText="1"/>
    </xf>
    <xf numFmtId="44" fontId="26" fillId="15" borderId="39" xfId="1" applyFont="1" applyFill="1" applyBorder="1" applyAlignment="1" applyProtection="1">
      <alignment vertical="center" wrapText="1"/>
    </xf>
    <xf numFmtId="44" fontId="26" fillId="15" borderId="33" xfId="1" applyFont="1" applyFill="1" applyBorder="1" applyAlignment="1" applyProtection="1">
      <alignment vertical="center" wrapText="1"/>
    </xf>
    <xf numFmtId="9" fontId="26" fillId="15" borderId="33" xfId="2" applyFont="1" applyFill="1" applyBorder="1" applyAlignment="1" applyProtection="1">
      <alignment horizontal="center" vertical="center" wrapText="1"/>
    </xf>
    <xf numFmtId="0" fontId="26" fillId="0" borderId="0" xfId="0" applyFont="1" applyAlignment="1">
      <alignment vertical="center" wrapText="1"/>
    </xf>
    <xf numFmtId="0" fontId="27" fillId="7" borderId="0" xfId="0" applyFont="1" applyFill="1" applyAlignment="1">
      <alignment horizontal="center" vertical="center" wrapText="1"/>
    </xf>
    <xf numFmtId="0" fontId="28" fillId="0" borderId="33" xfId="0" applyFont="1" applyBorder="1" applyAlignment="1">
      <alignment horizontal="center" vertical="center" wrapText="1"/>
    </xf>
    <xf numFmtId="0" fontId="28" fillId="0" borderId="0" xfId="0" applyFont="1" applyAlignment="1">
      <alignment horizontal="center" vertical="center" wrapText="1"/>
    </xf>
    <xf numFmtId="0" fontId="26" fillId="9" borderId="33" xfId="0" applyFont="1" applyFill="1" applyBorder="1" applyAlignment="1">
      <alignment vertical="center" wrapText="1"/>
    </xf>
    <xf numFmtId="44" fontId="26" fillId="9" borderId="33" xfId="1" applyFont="1" applyFill="1" applyBorder="1" applyAlignment="1" applyProtection="1">
      <alignment vertical="center" wrapText="1"/>
    </xf>
    <xf numFmtId="165" fontId="26" fillId="9" borderId="33" xfId="1" applyNumberFormat="1" applyFont="1" applyFill="1" applyBorder="1" applyAlignment="1" applyProtection="1">
      <alignment vertical="center" wrapText="1"/>
    </xf>
    <xf numFmtId="165" fontId="26" fillId="10" borderId="33" xfId="1" applyNumberFormat="1" applyFont="1" applyFill="1" applyBorder="1" applyAlignment="1" applyProtection="1">
      <alignment vertical="center" wrapText="1"/>
    </xf>
    <xf numFmtId="44" fontId="26" fillId="11" borderId="33" xfId="1" applyFont="1" applyFill="1" applyBorder="1" applyAlignment="1" applyProtection="1">
      <alignment vertical="center" wrapText="1"/>
    </xf>
    <xf numFmtId="44" fontId="26" fillId="12" borderId="33" xfId="1" applyFont="1" applyFill="1" applyBorder="1" applyAlignment="1" applyProtection="1">
      <alignment vertical="center" wrapText="1"/>
    </xf>
    <xf numFmtId="44" fontId="26" fillId="6" borderId="33" xfId="1" applyFont="1" applyFill="1" applyBorder="1" applyAlignment="1" applyProtection="1">
      <alignment vertical="center" wrapText="1"/>
    </xf>
    <xf numFmtId="44" fontId="26" fillId="6" borderId="34" xfId="1" applyFont="1" applyFill="1" applyBorder="1" applyAlignment="1" applyProtection="1">
      <alignment vertical="center" wrapText="1"/>
    </xf>
    <xf numFmtId="44" fontId="26" fillId="14" borderId="33" xfId="1" applyFont="1" applyFill="1" applyBorder="1" applyAlignment="1" applyProtection="1">
      <alignment vertical="center" wrapText="1"/>
    </xf>
    <xf numFmtId="44" fontId="26" fillId="15" borderId="8" xfId="1" applyFont="1" applyFill="1" applyBorder="1" applyAlignment="1" applyProtection="1">
      <alignment vertical="center" wrapText="1"/>
    </xf>
    <xf numFmtId="0" fontId="27" fillId="7" borderId="1" xfId="0" applyFont="1" applyFill="1" applyBorder="1" applyAlignment="1">
      <alignment horizontal="center" vertical="center" wrapText="1"/>
    </xf>
    <xf numFmtId="0" fontId="28" fillId="0" borderId="1" xfId="0" applyFont="1" applyBorder="1" applyAlignment="1">
      <alignment horizontal="center" vertical="center" wrapText="1"/>
    </xf>
    <xf numFmtId="44" fontId="26" fillId="9" borderId="1" xfId="1" applyFont="1" applyFill="1" applyBorder="1" applyAlignment="1" applyProtection="1">
      <alignment vertical="center" wrapText="1"/>
    </xf>
    <xf numFmtId="3" fontId="28" fillId="0" borderId="1" xfId="0" applyNumberFormat="1" applyFont="1" applyBorder="1" applyAlignment="1">
      <alignment horizontal="center" vertical="center" wrapText="1"/>
    </xf>
    <xf numFmtId="44" fontId="26" fillId="17" borderId="1" xfId="1" applyFont="1" applyFill="1" applyBorder="1" applyAlignment="1" applyProtection="1">
      <alignment vertical="center" wrapText="1"/>
    </xf>
    <xf numFmtId="10" fontId="9" fillId="0" borderId="0" xfId="2" applyNumberFormat="1" applyFont="1" applyAlignment="1" applyProtection="1">
      <alignment vertical="center" wrapText="1"/>
    </xf>
    <xf numFmtId="0" fontId="37" fillId="0" borderId="1" xfId="0" applyFont="1" applyBorder="1" applyAlignment="1" applyProtection="1">
      <alignment horizontal="center" vertical="center" wrapText="1"/>
      <protection locked="0"/>
    </xf>
    <xf numFmtId="0" fontId="37" fillId="0" borderId="27" xfId="0" applyFont="1" applyBorder="1" applyAlignment="1" applyProtection="1">
      <alignment horizontal="center" vertical="center" wrapText="1"/>
      <protection locked="0"/>
    </xf>
    <xf numFmtId="3" fontId="26" fillId="0" borderId="1" xfId="0" applyNumberFormat="1" applyFont="1" applyBorder="1" applyAlignment="1" applyProtection="1">
      <alignment horizontal="center" vertical="center" wrapText="1"/>
      <protection locked="0"/>
    </xf>
    <xf numFmtId="0" fontId="25" fillId="0" borderId="0" xfId="3" applyFont="1" applyAlignment="1">
      <alignment horizontal="left" vertical="center" wrapText="1"/>
    </xf>
    <xf numFmtId="44" fontId="25" fillId="0" borderId="0" xfId="3" applyNumberFormat="1" applyFont="1" applyAlignment="1">
      <alignment horizontal="left" vertical="center" wrapText="1"/>
    </xf>
    <xf numFmtId="43" fontId="25" fillId="11" borderId="0" xfId="3" applyNumberFormat="1" applyFont="1" applyFill="1" applyAlignment="1">
      <alignment horizontal="left" vertical="center" wrapText="1"/>
    </xf>
    <xf numFmtId="0" fontId="37" fillId="0" borderId="1" xfId="0" applyFont="1" applyBorder="1" applyAlignment="1">
      <alignment wrapText="1"/>
    </xf>
    <xf numFmtId="164" fontId="52" fillId="32" borderId="1" xfId="0" applyNumberFormat="1" applyFont="1" applyFill="1" applyBorder="1" applyAlignment="1">
      <alignment vertical="center" wrapText="1"/>
    </xf>
    <xf numFmtId="169" fontId="26" fillId="0" borderId="1" xfId="0" applyNumberFormat="1" applyFont="1" applyBorder="1" applyAlignment="1">
      <alignment vertical="center" wrapText="1"/>
    </xf>
    <xf numFmtId="0" fontId="37" fillId="0" borderId="25" xfId="0" applyFont="1" applyBorder="1" applyAlignment="1">
      <alignment horizontal="center" vertical="center" wrapText="1"/>
    </xf>
    <xf numFmtId="0" fontId="37" fillId="0" borderId="1" xfId="0" applyFont="1" applyBorder="1" applyAlignment="1">
      <alignment horizontal="center" vertical="center" wrapText="1"/>
    </xf>
    <xf numFmtId="0" fontId="37" fillId="0" borderId="27" xfId="0" applyFont="1" applyBorder="1" applyAlignment="1">
      <alignment horizontal="center" vertical="center" wrapText="1"/>
    </xf>
    <xf numFmtId="0" fontId="37" fillId="0" borderId="26" xfId="0" applyFont="1" applyBorder="1" applyAlignment="1">
      <alignment horizontal="center" vertical="center" wrapText="1"/>
    </xf>
    <xf numFmtId="44" fontId="50" fillId="19" borderId="0" xfId="0" applyNumberFormat="1" applyFont="1" applyFill="1" applyAlignment="1">
      <alignment vertical="center" wrapText="1"/>
    </xf>
    <xf numFmtId="43" fontId="25" fillId="0" borderId="0" xfId="3" applyNumberFormat="1" applyFont="1" applyAlignment="1">
      <alignment horizontal="left" vertical="center" wrapText="1"/>
    </xf>
    <xf numFmtId="0" fontId="25" fillId="0" borderId="11" xfId="3" applyFont="1" applyBorder="1" applyAlignment="1">
      <alignment horizontal="left" vertical="center" wrapText="1"/>
    </xf>
    <xf numFmtId="3" fontId="25" fillId="0" borderId="0" xfId="3" applyNumberFormat="1" applyFont="1" applyAlignment="1">
      <alignment horizontal="left" vertical="center" wrapText="1"/>
    </xf>
    <xf numFmtId="14" fontId="7" fillId="0" borderId="1" xfId="0" applyNumberFormat="1" applyFont="1" applyBorder="1" applyAlignment="1">
      <alignment horizontal="center" vertical="center" wrapText="1"/>
    </xf>
    <xf numFmtId="0" fontId="26" fillId="0" borderId="28" xfId="0" applyFont="1" applyBorder="1" applyAlignment="1">
      <alignment horizontal="justify" vertical="center" wrapText="1"/>
    </xf>
    <xf numFmtId="0" fontId="26" fillId="0" borderId="25" xfId="0" applyFont="1" applyBorder="1" applyAlignment="1" applyProtection="1">
      <alignment horizontal="justify" vertical="center" wrapText="1"/>
      <protection locked="0"/>
    </xf>
    <xf numFmtId="0" fontId="40" fillId="24" borderId="1" xfId="0" applyFont="1" applyFill="1" applyBorder="1" applyAlignment="1">
      <alignment horizontal="center" vertical="center" wrapText="1"/>
    </xf>
    <xf numFmtId="0" fontId="26" fillId="0" borderId="5" xfId="0" applyFont="1" applyBorder="1" applyAlignment="1" applyProtection="1">
      <alignment horizontal="justify" vertical="center" wrapText="1"/>
      <protection locked="0"/>
    </xf>
    <xf numFmtId="0" fontId="37" fillId="0" borderId="31" xfId="0" applyFont="1" applyBorder="1" applyAlignment="1">
      <alignment horizontal="justify" vertical="center" wrapText="1"/>
    </xf>
    <xf numFmtId="0" fontId="26" fillId="7" borderId="1" xfId="0" applyFont="1" applyFill="1" applyBorder="1" applyAlignment="1" applyProtection="1">
      <alignment horizontal="justify" vertical="center" wrapText="1"/>
      <protection locked="0"/>
    </xf>
    <xf numFmtId="0" fontId="26" fillId="7" borderId="13" xfId="0" applyFont="1" applyFill="1" applyBorder="1" applyAlignment="1">
      <alignment horizontal="justify" vertical="center" wrapText="1"/>
    </xf>
    <xf numFmtId="0" fontId="26" fillId="7" borderId="25" xfId="0" applyFont="1" applyFill="1" applyBorder="1" applyAlignment="1" applyProtection="1">
      <alignment horizontal="justify" vertical="center" wrapText="1"/>
      <protection locked="0"/>
    </xf>
    <xf numFmtId="0" fontId="26" fillId="7" borderId="5" xfId="0" applyFont="1" applyFill="1" applyBorder="1" applyAlignment="1" applyProtection="1">
      <alignment horizontal="justify" vertical="center" wrapText="1"/>
      <protection locked="0"/>
    </xf>
    <xf numFmtId="0" fontId="26" fillId="33" borderId="1" xfId="0" applyFont="1" applyFill="1" applyBorder="1" applyAlignment="1" applyProtection="1">
      <alignment horizontal="justify" vertical="center" wrapText="1"/>
      <protection locked="0"/>
    </xf>
    <xf numFmtId="0" fontId="26" fillId="7" borderId="26" xfId="0" applyFont="1" applyFill="1" applyBorder="1" applyAlignment="1" applyProtection="1">
      <alignment horizontal="justify" vertical="center" wrapText="1"/>
      <protection locked="0"/>
    </xf>
    <xf numFmtId="0" fontId="26" fillId="0" borderId="27" xfId="0" applyFont="1" applyBorder="1" applyAlignment="1" applyProtection="1">
      <alignment horizontal="justify" vertical="center" wrapText="1"/>
      <protection locked="0"/>
    </xf>
    <xf numFmtId="0" fontId="26" fillId="0" borderId="29" xfId="0" applyFont="1" applyBorder="1" applyAlignment="1">
      <alignment horizontal="justify" vertical="center" wrapText="1"/>
    </xf>
    <xf numFmtId="0" fontId="26" fillId="7" borderId="2" xfId="0" applyFont="1" applyFill="1" applyBorder="1" applyAlignment="1" applyProtection="1">
      <alignment horizontal="justify" vertical="center" wrapText="1"/>
      <protection locked="0"/>
    </xf>
    <xf numFmtId="0" fontId="26" fillId="7" borderId="32" xfId="0" applyFont="1" applyFill="1" applyBorder="1" applyAlignment="1" applyProtection="1">
      <alignment horizontal="justify" vertical="center" wrapText="1"/>
      <protection locked="0"/>
    </xf>
    <xf numFmtId="0" fontId="26" fillId="7" borderId="38" xfId="0" applyFont="1" applyFill="1" applyBorder="1" applyAlignment="1" applyProtection="1">
      <alignment horizontal="justify" vertical="center" wrapText="1"/>
      <protection locked="0"/>
    </xf>
    <xf numFmtId="0" fontId="26" fillId="7" borderId="30" xfId="0" applyFont="1" applyFill="1" applyBorder="1" applyAlignment="1" applyProtection="1">
      <alignment horizontal="justify" vertical="center" wrapText="1"/>
      <protection locked="0"/>
    </xf>
    <xf numFmtId="0" fontId="26" fillId="0" borderId="25" xfId="0" applyFont="1" applyBorder="1" applyAlignment="1">
      <alignment horizontal="justify" vertical="center" wrapText="1"/>
    </xf>
    <xf numFmtId="164" fontId="40" fillId="24" borderId="1" xfId="0" applyNumberFormat="1" applyFont="1" applyFill="1" applyBorder="1" applyAlignment="1">
      <alignment horizontal="center" vertical="center" wrapText="1"/>
    </xf>
    <xf numFmtId="0" fontId="26" fillId="0" borderId="5" xfId="0" applyFont="1" applyBorder="1" applyAlignment="1">
      <alignment horizontal="justify" vertical="center" wrapText="1"/>
    </xf>
    <xf numFmtId="0" fontId="41" fillId="25" borderId="1" xfId="0" applyFont="1" applyFill="1" applyBorder="1" applyAlignment="1">
      <alignment wrapText="1"/>
    </xf>
    <xf numFmtId="0" fontId="26" fillId="7" borderId="25" xfId="0" applyFont="1" applyFill="1" applyBorder="1" applyAlignment="1">
      <alignment horizontal="justify" vertical="center" wrapText="1"/>
    </xf>
    <xf numFmtId="0" fontId="26" fillId="7" borderId="5" xfId="0" applyFont="1" applyFill="1" applyBorder="1" applyAlignment="1">
      <alignment horizontal="justify" vertical="center" wrapText="1"/>
    </xf>
    <xf numFmtId="0" fontId="37" fillId="34" borderId="0" xfId="0" applyFont="1" applyFill="1"/>
    <xf numFmtId="0" fontId="37" fillId="29" borderId="30" xfId="0" applyFont="1" applyFill="1" applyBorder="1" applyAlignment="1">
      <alignment wrapText="1"/>
    </xf>
    <xf numFmtId="0" fontId="26" fillId="34" borderId="1" xfId="0" applyFont="1" applyFill="1" applyBorder="1" applyAlignment="1">
      <alignment horizontal="justify" vertical="center" wrapText="1"/>
    </xf>
    <xf numFmtId="0" fontId="26" fillId="34" borderId="5" xfId="0" applyFont="1" applyFill="1" applyBorder="1" applyAlignment="1">
      <alignment horizontal="justify" vertical="center" wrapText="1"/>
    </xf>
    <xf numFmtId="0" fontId="26" fillId="0" borderId="27" xfId="0" applyFont="1" applyBorder="1" applyAlignment="1">
      <alignment horizontal="justify" vertical="center" wrapText="1"/>
    </xf>
    <xf numFmtId="0" fontId="39" fillId="7" borderId="1" xfId="0" applyFont="1" applyFill="1" applyBorder="1" applyAlignment="1">
      <alignment horizontal="center" vertical="center" wrapText="1"/>
    </xf>
    <xf numFmtId="0" fontId="26" fillId="7" borderId="2" xfId="0" applyFont="1" applyFill="1" applyBorder="1" applyAlignment="1">
      <alignment horizontal="justify" vertical="center" wrapText="1"/>
    </xf>
    <xf numFmtId="0" fontId="26" fillId="7" borderId="32" xfId="0" applyFont="1" applyFill="1" applyBorder="1" applyAlignment="1">
      <alignment horizontal="justify" vertical="center" wrapText="1"/>
    </xf>
    <xf numFmtId="0" fontId="26" fillId="7" borderId="38" xfId="0" applyFont="1" applyFill="1" applyBorder="1" applyAlignment="1">
      <alignment horizontal="justify" vertical="center" wrapText="1"/>
    </xf>
    <xf numFmtId="0" fontId="26" fillId="7" borderId="30" xfId="0" applyFont="1" applyFill="1" applyBorder="1" applyAlignment="1">
      <alignment horizontal="justify" vertical="center" wrapText="1"/>
    </xf>
    <xf numFmtId="0" fontId="51" fillId="9" borderId="1" xfId="0" applyFont="1" applyFill="1" applyBorder="1" applyAlignment="1">
      <alignment vertical="center" wrapText="1"/>
    </xf>
    <xf numFmtId="164" fontId="51" fillId="9" borderId="1" xfId="1" applyNumberFormat="1" applyFont="1" applyFill="1" applyBorder="1" applyAlignment="1" applyProtection="1">
      <alignment vertical="center" wrapText="1"/>
    </xf>
    <xf numFmtId="164" fontId="51" fillId="10" borderId="1" xfId="1" applyNumberFormat="1" applyFont="1" applyFill="1" applyBorder="1" applyAlignment="1" applyProtection="1">
      <alignment vertical="center" wrapText="1"/>
    </xf>
    <xf numFmtId="0" fontId="51" fillId="11" borderId="1" xfId="0" applyFont="1" applyFill="1" applyBorder="1" applyAlignment="1">
      <alignment vertical="center" wrapText="1"/>
    </xf>
    <xf numFmtId="164" fontId="51" fillId="11" borderId="1" xfId="1" applyNumberFormat="1" applyFont="1" applyFill="1" applyBorder="1" applyAlignment="1" applyProtection="1">
      <alignment vertical="center" wrapText="1"/>
    </xf>
    <xf numFmtId="164" fontId="51" fillId="12" borderId="1" xfId="1" applyNumberFormat="1" applyFont="1" applyFill="1" applyBorder="1" applyAlignment="1" applyProtection="1">
      <alignment vertical="center" wrapText="1"/>
    </xf>
    <xf numFmtId="0" fontId="51" fillId="6" borderId="1" xfId="0" applyFont="1" applyFill="1" applyBorder="1" applyAlignment="1">
      <alignment vertical="center" wrapText="1"/>
    </xf>
    <xf numFmtId="164" fontId="51" fillId="6" borderId="1" xfId="1" applyNumberFormat="1" applyFont="1" applyFill="1" applyBorder="1" applyAlignment="1" applyProtection="1">
      <alignment vertical="center" wrapText="1"/>
    </xf>
    <xf numFmtId="164" fontId="51" fillId="14" borderId="1" xfId="1" applyNumberFormat="1" applyFont="1" applyFill="1" applyBorder="1" applyAlignment="1" applyProtection="1">
      <alignment vertical="center" wrapText="1"/>
    </xf>
    <xf numFmtId="164" fontId="51" fillId="15" borderId="1" xfId="1" applyNumberFormat="1" applyFont="1" applyFill="1" applyBorder="1" applyAlignment="1" applyProtection="1">
      <alignment vertical="center" wrapText="1"/>
    </xf>
    <xf numFmtId="10" fontId="51" fillId="15" borderId="1" xfId="2" applyNumberFormat="1" applyFont="1" applyFill="1" applyBorder="1" applyAlignment="1" applyProtection="1">
      <alignment horizontal="center" vertical="center" wrapText="1"/>
    </xf>
    <xf numFmtId="0" fontId="39" fillId="25" borderId="1" xfId="0" applyFont="1" applyFill="1" applyBorder="1" applyAlignment="1">
      <alignment horizontal="center" vertical="center" wrapText="1"/>
    </xf>
    <xf numFmtId="44" fontId="51" fillId="9" borderId="1" xfId="1" applyFont="1" applyFill="1" applyBorder="1" applyAlignment="1" applyProtection="1">
      <alignment vertical="center" wrapText="1"/>
      <protection locked="0"/>
    </xf>
    <xf numFmtId="165" fontId="51" fillId="10" borderId="1" xfId="1" applyNumberFormat="1" applyFont="1" applyFill="1" applyBorder="1" applyAlignment="1" applyProtection="1">
      <alignment vertical="center" wrapText="1"/>
      <protection locked="0"/>
    </xf>
    <xf numFmtId="44" fontId="51" fillId="0" borderId="1" xfId="0" applyNumberFormat="1" applyFont="1" applyBorder="1" applyAlignment="1">
      <alignment vertical="center" wrapText="1"/>
    </xf>
    <xf numFmtId="165" fontId="51" fillId="0" borderId="1" xfId="0" applyNumberFormat="1" applyFont="1" applyBorder="1" applyAlignment="1">
      <alignment vertical="center" wrapText="1"/>
    </xf>
    <xf numFmtId="44" fontId="51" fillId="17" borderId="1" xfId="1" applyFont="1" applyFill="1" applyBorder="1" applyAlignment="1" applyProtection="1">
      <alignment vertical="center" wrapText="1"/>
      <protection locked="0"/>
    </xf>
    <xf numFmtId="0" fontId="39" fillId="7" borderId="1" xfId="0" applyFont="1" applyFill="1" applyBorder="1" applyAlignment="1" applyProtection="1">
      <alignment horizontal="center" vertical="center" wrapText="1"/>
      <protection locked="0"/>
    </xf>
    <xf numFmtId="0" fontId="39" fillId="26" borderId="1" xfId="0" applyFont="1" applyFill="1" applyBorder="1" applyAlignment="1" applyProtection="1">
      <alignment horizontal="center" vertical="center" wrapText="1"/>
      <protection locked="0"/>
    </xf>
    <xf numFmtId="0" fontId="39" fillId="12" borderId="1" xfId="0" applyFont="1" applyFill="1" applyBorder="1" applyAlignment="1" applyProtection="1">
      <alignment horizontal="center" vertical="center" wrapText="1"/>
      <protection locked="0"/>
    </xf>
    <xf numFmtId="0" fontId="39" fillId="28" borderId="1" xfId="0" applyFont="1" applyFill="1" applyBorder="1" applyAlignment="1" applyProtection="1">
      <alignment horizontal="center" vertical="center" wrapText="1"/>
      <protection locked="0"/>
    </xf>
    <xf numFmtId="0" fontId="39" fillId="26" borderId="30" xfId="0" applyFont="1" applyFill="1" applyBorder="1" applyAlignment="1" applyProtection="1">
      <alignment horizontal="center" vertical="center" wrapText="1"/>
      <protection locked="0"/>
    </xf>
    <xf numFmtId="0" fontId="39" fillId="12" borderId="30" xfId="0" applyFont="1" applyFill="1" applyBorder="1" applyAlignment="1" applyProtection="1">
      <alignment horizontal="center" vertical="center" wrapText="1"/>
      <protection locked="0"/>
    </xf>
    <xf numFmtId="0" fontId="39" fillId="28" borderId="26" xfId="0" applyFont="1" applyFill="1" applyBorder="1" applyAlignment="1" applyProtection="1">
      <alignment horizontal="center" vertical="center" wrapText="1"/>
      <protection locked="0"/>
    </xf>
    <xf numFmtId="0" fontId="13" fillId="0" borderId="3" xfId="0" applyFont="1" applyBorder="1" applyAlignment="1">
      <alignment horizontal="center" vertical="center" wrapText="1"/>
    </xf>
    <xf numFmtId="0" fontId="7" fillId="0" borderId="1" xfId="0" applyFont="1" applyBorder="1" applyAlignment="1">
      <alignment horizontal="center" vertical="center" wrapText="1"/>
    </xf>
    <xf numFmtId="0" fontId="26" fillId="20" borderId="3" xfId="0" applyFont="1" applyFill="1" applyBorder="1" applyAlignment="1">
      <alignment horizontal="center" vertical="center" wrapText="1"/>
    </xf>
    <xf numFmtId="0" fontId="0" fillId="0" borderId="1" xfId="0" applyBorder="1" applyAlignment="1">
      <alignment horizontal="center" vertical="center" wrapText="1"/>
    </xf>
    <xf numFmtId="0" fontId="11" fillId="0" borderId="5" xfId="0" applyFont="1" applyBorder="1" applyAlignment="1">
      <alignment horizontal="center" vertical="center" wrapText="1"/>
    </xf>
    <xf numFmtId="0" fontId="11" fillId="0" borderId="9" xfId="0" applyFont="1" applyBorder="1" applyAlignment="1">
      <alignment horizontal="center" vertical="center" wrapText="1"/>
    </xf>
    <xf numFmtId="0" fontId="0" fillId="9" borderId="5" xfId="0" applyFill="1" applyBorder="1" applyAlignment="1">
      <alignment horizontal="center" vertical="center" wrapText="1"/>
    </xf>
    <xf numFmtId="0" fontId="0" fillId="9" borderId="9" xfId="0" applyFill="1" applyBorder="1" applyAlignment="1">
      <alignment horizontal="center" vertical="center" wrapText="1"/>
    </xf>
    <xf numFmtId="0" fontId="0" fillId="9" borderId="6" xfId="0" applyFill="1" applyBorder="1" applyAlignment="1">
      <alignment horizontal="center" vertical="center" wrapText="1"/>
    </xf>
    <xf numFmtId="0" fontId="23" fillId="20" borderId="1" xfId="0" applyFont="1" applyFill="1" applyBorder="1" applyAlignment="1">
      <alignment horizontal="center" vertical="center" wrapText="1"/>
    </xf>
    <xf numFmtId="44" fontId="12" fillId="4" borderId="1" xfId="0" applyNumberFormat="1" applyFont="1" applyFill="1" applyBorder="1" applyAlignment="1">
      <alignment horizontal="center" vertical="center" wrapText="1"/>
    </xf>
    <xf numFmtId="44" fontId="12" fillId="4" borderId="2" xfId="0" applyNumberFormat="1" applyFont="1" applyFill="1" applyBorder="1" applyAlignment="1">
      <alignment horizontal="center" vertical="center" wrapText="1"/>
    </xf>
    <xf numFmtId="44" fontId="12" fillId="4" borderId="4" xfId="0" applyNumberFormat="1" applyFont="1" applyFill="1" applyBorder="1" applyAlignment="1">
      <alignment horizontal="center" vertical="center" wrapText="1"/>
    </xf>
    <xf numFmtId="44" fontId="12" fillId="4" borderId="7" xfId="0" applyNumberFormat="1" applyFont="1" applyFill="1" applyBorder="1" applyAlignment="1">
      <alignment horizontal="center" vertical="center" wrapText="1"/>
    </xf>
    <xf numFmtId="44" fontId="12" fillId="4" borderId="8" xfId="0" applyNumberFormat="1" applyFont="1" applyFill="1" applyBorder="1" applyAlignment="1">
      <alignment horizontal="center" vertical="center" wrapText="1"/>
    </xf>
    <xf numFmtId="44" fontId="12" fillId="4" borderId="10" xfId="0" applyNumberFormat="1" applyFont="1" applyFill="1" applyBorder="1" applyAlignment="1">
      <alignment horizontal="center" vertical="center" wrapText="1"/>
    </xf>
    <xf numFmtId="44" fontId="12" fillId="4" borderId="12" xfId="0" applyNumberFormat="1" applyFont="1" applyFill="1" applyBorder="1" applyAlignment="1">
      <alignment horizontal="center" vertical="center" wrapText="1"/>
    </xf>
    <xf numFmtId="0" fontId="18" fillId="0" borderId="1" xfId="0" applyFont="1" applyBorder="1" applyAlignment="1">
      <alignment horizontal="center" vertical="center" wrapText="1"/>
    </xf>
    <xf numFmtId="0" fontId="23" fillId="20" borderId="25" xfId="0" applyFont="1" applyFill="1" applyBorder="1" applyAlignment="1">
      <alignment horizontal="center" vertical="center" wrapText="1"/>
    </xf>
    <xf numFmtId="0" fontId="23" fillId="20" borderId="26" xfId="0" applyFont="1" applyFill="1" applyBorder="1" applyAlignment="1">
      <alignment horizontal="center" vertical="center" wrapText="1"/>
    </xf>
    <xf numFmtId="0" fontId="23" fillId="20" borderId="27" xfId="0" applyFont="1" applyFill="1" applyBorder="1" applyAlignment="1">
      <alignment horizontal="center" vertical="center" wrapText="1"/>
    </xf>
    <xf numFmtId="0" fontId="26" fillId="20" borderId="3" xfId="0" applyFont="1" applyFill="1" applyBorder="1" applyAlignment="1">
      <alignment horizontal="right" vertical="center" wrapText="1"/>
    </xf>
    <xf numFmtId="0" fontId="26" fillId="20" borderId="0" xfId="0" applyFont="1" applyFill="1" applyAlignment="1">
      <alignment horizontal="right" vertical="center" wrapText="1"/>
    </xf>
    <xf numFmtId="0" fontId="3" fillId="23" borderId="0" xfId="0" applyFont="1" applyFill="1" applyAlignment="1">
      <alignment horizontal="center" vertical="center" wrapText="1"/>
    </xf>
    <xf numFmtId="0" fontId="29" fillId="18" borderId="5" xfId="0" applyFont="1" applyFill="1" applyBorder="1" applyAlignment="1">
      <alignment horizontal="center" vertical="center" wrapText="1"/>
    </xf>
    <xf numFmtId="0" fontId="29" fillId="18" borderId="9" xfId="0" applyFont="1" applyFill="1" applyBorder="1" applyAlignment="1">
      <alignment horizontal="center" vertical="center" wrapText="1"/>
    </xf>
    <xf numFmtId="0" fontId="25" fillId="0" borderId="0" xfId="3" applyFont="1" applyAlignment="1">
      <alignment horizontal="center" vertical="center" wrapText="1"/>
    </xf>
    <xf numFmtId="0" fontId="29" fillId="8" borderId="10" xfId="0" applyFont="1" applyFill="1" applyBorder="1" applyAlignment="1">
      <alignment horizontal="center" wrapText="1"/>
    </xf>
    <xf numFmtId="0" fontId="29" fillId="8" borderId="11" xfId="0" applyFont="1" applyFill="1" applyBorder="1" applyAlignment="1">
      <alignment horizontal="center" wrapText="1"/>
    </xf>
    <xf numFmtId="0" fontId="29" fillId="8" borderId="12" xfId="0" applyFont="1" applyFill="1" applyBorder="1" applyAlignment="1">
      <alignment horizontal="center" wrapText="1"/>
    </xf>
    <xf numFmtId="0" fontId="29" fillId="3" borderId="10" xfId="0" applyFont="1" applyFill="1" applyBorder="1" applyAlignment="1">
      <alignment horizontal="center" wrapText="1"/>
    </xf>
    <xf numFmtId="0" fontId="29" fillId="3" borderId="11" xfId="0" applyFont="1" applyFill="1" applyBorder="1" applyAlignment="1">
      <alignment horizontal="center" wrapText="1"/>
    </xf>
    <xf numFmtId="0" fontId="29" fillId="3" borderId="12" xfId="0" applyFont="1" applyFill="1" applyBorder="1" applyAlignment="1">
      <alignment horizontal="center" wrapText="1"/>
    </xf>
    <xf numFmtId="0" fontId="29" fillId="13" borderId="10" xfId="0" applyFont="1" applyFill="1" applyBorder="1" applyAlignment="1">
      <alignment horizontal="center" wrapText="1"/>
    </xf>
    <xf numFmtId="0" fontId="29" fillId="13" borderId="11" xfId="0" applyFont="1" applyFill="1" applyBorder="1" applyAlignment="1">
      <alignment horizontal="center" wrapText="1"/>
    </xf>
    <xf numFmtId="0" fontId="29" fillId="13" borderId="12" xfId="0" applyFont="1" applyFill="1" applyBorder="1" applyAlignment="1">
      <alignment horizontal="center" wrapText="1"/>
    </xf>
    <xf numFmtId="0" fontId="5" fillId="17" borderId="10" xfId="0" applyFont="1" applyFill="1" applyBorder="1" applyAlignment="1">
      <alignment horizontal="center" wrapText="1"/>
    </xf>
    <xf numFmtId="0" fontId="5" fillId="17" borderId="11" xfId="0" applyFont="1" applyFill="1" applyBorder="1" applyAlignment="1">
      <alignment horizontal="center" wrapText="1"/>
    </xf>
    <xf numFmtId="0" fontId="20" fillId="0" borderId="1" xfId="3" applyFont="1" applyBorder="1" applyAlignment="1">
      <alignment horizontal="center" vertical="center" wrapText="1"/>
    </xf>
    <xf numFmtId="0" fontId="21" fillId="0" borderId="1" xfId="3" applyFont="1" applyBorder="1" applyAlignment="1">
      <alignment horizontal="center" vertical="center" wrapText="1"/>
    </xf>
    <xf numFmtId="0" fontId="5" fillId="0" borderId="1" xfId="3" applyFont="1" applyBorder="1" applyAlignment="1">
      <alignment horizontal="center" vertical="center" wrapText="1"/>
    </xf>
    <xf numFmtId="0" fontId="6" fillId="0" borderId="1" xfId="3" applyFont="1" applyBorder="1" applyAlignment="1">
      <alignment horizontal="center" vertical="center" wrapText="1"/>
    </xf>
    <xf numFmtId="0" fontId="5" fillId="0" borderId="5" xfId="3" applyFont="1" applyBorder="1" applyAlignment="1">
      <alignment horizontal="center" vertical="center" wrapText="1"/>
    </xf>
    <xf numFmtId="0" fontId="5" fillId="0" borderId="9" xfId="3" applyFont="1" applyBorder="1" applyAlignment="1">
      <alignment horizontal="center" vertical="center" wrapText="1"/>
    </xf>
    <xf numFmtId="0" fontId="5" fillId="0" borderId="6" xfId="3" applyFont="1" applyBorder="1" applyAlignment="1">
      <alignment horizontal="center" vertical="center" wrapText="1"/>
    </xf>
    <xf numFmtId="0" fontId="25" fillId="0" borderId="0" xfId="3" applyFont="1" applyAlignment="1">
      <alignment horizontal="left" vertical="center" wrapText="1"/>
    </xf>
    <xf numFmtId="0" fontId="5" fillId="0" borderId="7" xfId="3" applyFont="1" applyBorder="1" applyAlignment="1">
      <alignment horizontal="center" vertical="center" wrapText="1"/>
    </xf>
    <xf numFmtId="0" fontId="5" fillId="0" borderId="0" xfId="3" applyFont="1" applyAlignment="1">
      <alignment horizontal="center" vertical="center" wrapText="1"/>
    </xf>
    <xf numFmtId="0" fontId="0" fillId="20" borderId="3" xfId="0" applyFill="1" applyBorder="1" applyAlignment="1">
      <alignment horizontal="right" vertical="center" wrapText="1"/>
    </xf>
    <xf numFmtId="0" fontId="20" fillId="0" borderId="0" xfId="3" applyFont="1" applyAlignment="1">
      <alignment horizontal="center" vertical="center" wrapText="1"/>
    </xf>
    <xf numFmtId="0" fontId="24" fillId="8" borderId="3" xfId="0" applyFont="1" applyFill="1" applyBorder="1" applyAlignment="1">
      <alignment horizontal="center" vertical="center" wrapText="1"/>
    </xf>
    <xf numFmtId="0" fontId="24" fillId="8" borderId="24" xfId="0" applyFont="1" applyFill="1" applyBorder="1" applyAlignment="1">
      <alignment horizontal="center" vertical="center" wrapText="1"/>
    </xf>
    <xf numFmtId="0" fontId="15" fillId="9" borderId="11" xfId="0" applyFont="1" applyFill="1" applyBorder="1" applyAlignment="1">
      <alignment horizontal="center" wrapText="1"/>
    </xf>
    <xf numFmtId="0" fontId="15" fillId="17" borderId="10" xfId="0" applyFont="1" applyFill="1" applyBorder="1" applyAlignment="1">
      <alignment horizontal="center" wrapText="1"/>
    </xf>
    <xf numFmtId="0" fontId="15" fillId="17" borderId="11" xfId="0" applyFont="1" applyFill="1" applyBorder="1" applyAlignment="1">
      <alignment horizontal="center" wrapText="1"/>
    </xf>
    <xf numFmtId="0" fontId="10" fillId="0" borderId="0" xfId="0" applyFont="1" applyAlignment="1">
      <alignment horizontal="right" vertical="center" wrapText="1"/>
    </xf>
    <xf numFmtId="0" fontId="14" fillId="8" borderId="10" xfId="0" applyFont="1" applyFill="1" applyBorder="1" applyAlignment="1">
      <alignment horizontal="center" wrapText="1"/>
    </xf>
    <xf numFmtId="0" fontId="14" fillId="8" borderId="11" xfId="0" applyFont="1" applyFill="1" applyBorder="1" applyAlignment="1">
      <alignment horizontal="center" wrapText="1"/>
    </xf>
    <xf numFmtId="0" fontId="14" fillId="8" borderId="12" xfId="0" applyFont="1" applyFill="1" applyBorder="1" applyAlignment="1">
      <alignment horizontal="center" wrapText="1"/>
    </xf>
    <xf numFmtId="0" fontId="14" fillId="3" borderId="10" xfId="0" applyFont="1" applyFill="1" applyBorder="1" applyAlignment="1">
      <alignment horizontal="center" wrapText="1"/>
    </xf>
    <xf numFmtId="0" fontId="14" fillId="3" borderId="11" xfId="0" applyFont="1" applyFill="1" applyBorder="1" applyAlignment="1">
      <alignment horizontal="center" wrapText="1"/>
    </xf>
    <xf numFmtId="0" fontId="14" fillId="3" borderId="12" xfId="0" applyFont="1" applyFill="1" applyBorder="1" applyAlignment="1">
      <alignment horizontal="center" wrapText="1"/>
    </xf>
    <xf numFmtId="0" fontId="14" fillId="13" borderId="10" xfId="0" applyFont="1" applyFill="1" applyBorder="1" applyAlignment="1">
      <alignment horizontal="center" wrapText="1"/>
    </xf>
    <xf numFmtId="0" fontId="14" fillId="13" borderId="11" xfId="0" applyFont="1" applyFill="1" applyBorder="1" applyAlignment="1">
      <alignment horizontal="center" wrapText="1"/>
    </xf>
    <xf numFmtId="0" fontId="14" fillId="13" borderId="12" xfId="0" applyFont="1" applyFill="1" applyBorder="1" applyAlignment="1">
      <alignment horizontal="center" wrapText="1"/>
    </xf>
    <xf numFmtId="0" fontId="21" fillId="0" borderId="2" xfId="3" applyFont="1" applyBorder="1" applyAlignment="1">
      <alignment horizontal="center" vertical="center" wrapText="1"/>
    </xf>
    <xf numFmtId="0" fontId="21" fillId="0" borderId="3" xfId="3" applyFont="1" applyBorder="1" applyAlignment="1">
      <alignment horizontal="center" vertical="center" wrapText="1"/>
    </xf>
    <xf numFmtId="0" fontId="21" fillId="0" borderId="7" xfId="3" applyFont="1" applyBorder="1" applyAlignment="1">
      <alignment horizontal="center" vertical="center" wrapText="1"/>
    </xf>
    <xf numFmtId="0" fontId="21" fillId="0" borderId="0" xfId="3" applyFont="1" applyAlignment="1">
      <alignment horizontal="center" vertical="center" wrapText="1"/>
    </xf>
    <xf numFmtId="0" fontId="21" fillId="0" borderId="10" xfId="3" applyFont="1" applyBorder="1" applyAlignment="1">
      <alignment horizontal="center" vertical="center" wrapText="1"/>
    </xf>
    <xf numFmtId="0" fontId="21" fillId="0" borderId="11" xfId="3" applyFont="1" applyBorder="1" applyAlignment="1">
      <alignment horizontal="center" vertical="center" wrapText="1"/>
    </xf>
    <xf numFmtId="0" fontId="4" fillId="0" borderId="1" xfId="3" applyFont="1" applyBorder="1" applyAlignment="1" applyProtection="1">
      <alignment horizontal="center" vertical="center" wrapText="1"/>
      <protection hidden="1"/>
    </xf>
    <xf numFmtId="0" fontId="30" fillId="0" borderId="5" xfId="3" applyFont="1" applyBorder="1" applyAlignment="1" applyProtection="1">
      <alignment horizontal="center" vertical="center" wrapText="1"/>
      <protection hidden="1"/>
    </xf>
    <xf numFmtId="0" fontId="30" fillId="0" borderId="9" xfId="3" applyFont="1" applyBorder="1" applyAlignment="1" applyProtection="1">
      <alignment horizontal="center" vertical="center" wrapText="1"/>
      <protection hidden="1"/>
    </xf>
    <xf numFmtId="0" fontId="30" fillId="0" borderId="6" xfId="3" applyFont="1" applyBorder="1" applyAlignment="1" applyProtection="1">
      <alignment horizontal="center" vertical="center" wrapText="1"/>
      <protection hidden="1"/>
    </xf>
    <xf numFmtId="0" fontId="7" fillId="0" borderId="1" xfId="0" applyFont="1" applyBorder="1" applyAlignment="1" applyProtection="1">
      <alignment horizontal="center" vertical="center" wrapText="1"/>
      <protection hidden="1"/>
    </xf>
    <xf numFmtId="0" fontId="7" fillId="0" borderId="1" xfId="0" applyFont="1" applyBorder="1" applyAlignment="1" applyProtection="1">
      <alignment horizontal="center" vertical="center" wrapText="1"/>
      <protection hidden="1"/>
    </xf>
    <xf numFmtId="0" fontId="31" fillId="0" borderId="25" xfId="0" applyFont="1" applyBorder="1" applyAlignment="1" applyProtection="1">
      <alignment horizontal="center" vertical="center" wrapText="1"/>
      <protection hidden="1"/>
    </xf>
    <xf numFmtId="0" fontId="31" fillId="0" borderId="25" xfId="0" applyFont="1" applyBorder="1" applyAlignment="1" applyProtection="1">
      <alignment horizontal="center" vertical="center" wrapText="1"/>
      <protection hidden="1"/>
    </xf>
    <xf numFmtId="170" fontId="32" fillId="0" borderId="25" xfId="0" applyNumberFormat="1" applyFont="1" applyBorder="1" applyAlignment="1" applyProtection="1">
      <alignment horizontal="center" vertical="center" wrapText="1"/>
      <protection hidden="1"/>
    </xf>
    <xf numFmtId="0" fontId="32" fillId="2" borderId="1" xfId="0" applyFont="1" applyFill="1" applyBorder="1" applyAlignment="1" applyProtection="1">
      <alignment horizontal="center" vertical="center" wrapText="1"/>
      <protection hidden="1"/>
    </xf>
    <xf numFmtId="0" fontId="32" fillId="21" borderId="1" xfId="0" applyFont="1" applyFill="1" applyBorder="1" applyAlignment="1" applyProtection="1">
      <alignment horizontal="center" vertical="center" wrapText="1"/>
      <protection hidden="1"/>
    </xf>
    <xf numFmtId="0" fontId="32" fillId="6" borderId="1" xfId="0" applyFont="1" applyFill="1" applyBorder="1" applyAlignment="1" applyProtection="1">
      <alignment horizontal="center" vertical="center" wrapText="1"/>
      <protection hidden="1"/>
    </xf>
    <xf numFmtId="0" fontId="32" fillId="21" borderId="1" xfId="0" applyFont="1" applyFill="1" applyBorder="1" applyAlignment="1" applyProtection="1">
      <alignment horizontal="center" vertical="center" wrapText="1"/>
      <protection hidden="1"/>
    </xf>
    <xf numFmtId="0" fontId="32" fillId="6" borderId="1" xfId="0" applyFont="1" applyFill="1" applyBorder="1" applyAlignment="1" applyProtection="1">
      <alignment horizontal="center" vertical="center" wrapText="1"/>
      <protection hidden="1"/>
    </xf>
    <xf numFmtId="0" fontId="17" fillId="0" borderId="1" xfId="0" applyFont="1" applyBorder="1" applyAlignment="1" applyProtection="1">
      <alignment horizontal="center" vertical="center" wrapText="1"/>
      <protection hidden="1"/>
    </xf>
    <xf numFmtId="164" fontId="33" fillId="0" borderId="1" xfId="1" applyNumberFormat="1" applyFont="1" applyBorder="1" applyAlignment="1" applyProtection="1">
      <alignment vertical="center" wrapText="1"/>
      <protection hidden="1"/>
    </xf>
    <xf numFmtId="0" fontId="17" fillId="20" borderId="9" xfId="0" applyFont="1" applyFill="1" applyBorder="1" applyAlignment="1" applyProtection="1">
      <alignment horizontal="center" wrapText="1"/>
      <protection hidden="1"/>
    </xf>
    <xf numFmtId="167" fontId="17" fillId="20" borderId="9" xfId="0" applyNumberFormat="1" applyFont="1" applyFill="1" applyBorder="1" applyAlignment="1" applyProtection="1">
      <alignment wrapText="1"/>
      <protection hidden="1"/>
    </xf>
    <xf numFmtId="175" fontId="17" fillId="20" borderId="6" xfId="0" applyNumberFormat="1" applyFont="1" applyFill="1" applyBorder="1" applyAlignment="1" applyProtection="1">
      <alignment wrapText="1"/>
      <protection hidden="1"/>
    </xf>
    <xf numFmtId="0" fontId="36" fillId="23" borderId="2" xfId="0" applyFont="1" applyFill="1" applyBorder="1" applyAlignment="1" applyProtection="1">
      <alignment horizontal="center" vertical="center" wrapText="1"/>
      <protection hidden="1"/>
    </xf>
    <xf numFmtId="0" fontId="36" fillId="23" borderId="3" xfId="0" applyFont="1" applyFill="1" applyBorder="1" applyAlignment="1" applyProtection="1">
      <alignment horizontal="center" vertical="center" wrapText="1"/>
      <protection hidden="1"/>
    </xf>
    <xf numFmtId="0" fontId="36" fillId="23" borderId="10" xfId="0" applyFont="1" applyFill="1" applyBorder="1" applyAlignment="1" applyProtection="1">
      <alignment horizontal="center" vertical="center" wrapText="1"/>
      <protection hidden="1"/>
    </xf>
    <xf numFmtId="0" fontId="36" fillId="23" borderId="11" xfId="0" applyFont="1" applyFill="1" applyBorder="1" applyAlignment="1" applyProtection="1">
      <alignment horizontal="center" vertical="center" wrapText="1"/>
      <protection hidden="1"/>
    </xf>
    <xf numFmtId="0" fontId="35" fillId="7" borderId="1" xfId="0" applyFont="1" applyFill="1" applyBorder="1" applyAlignment="1" applyProtection="1">
      <alignment horizontal="center" vertical="center" wrapText="1"/>
      <protection locked="0" hidden="1"/>
    </xf>
    <xf numFmtId="164" fontId="33" fillId="6" borderId="1" xfId="1" applyNumberFormat="1" applyFont="1" applyFill="1" applyBorder="1" applyAlignment="1" applyProtection="1">
      <alignment vertical="center" wrapText="1"/>
      <protection locked="0" hidden="1"/>
    </xf>
    <xf numFmtId="167" fontId="17" fillId="6" borderId="1" xfId="0" applyNumberFormat="1" applyFont="1" applyFill="1" applyBorder="1" applyAlignment="1" applyProtection="1">
      <alignment horizontal="center" vertical="center" wrapText="1"/>
      <protection locked="0" hidden="1"/>
    </xf>
    <xf numFmtId="0" fontId="4" fillId="0" borderId="0" xfId="3" applyFont="1" applyAlignment="1" applyProtection="1">
      <alignment horizontal="center" vertical="center" wrapText="1"/>
    </xf>
    <xf numFmtId="0" fontId="6" fillId="0" borderId="0" xfId="3" applyFont="1" applyAlignment="1" applyProtection="1">
      <alignment horizontal="center" vertical="center" wrapText="1"/>
    </xf>
    <xf numFmtId="0" fontId="31" fillId="0" borderId="0" xfId="0" applyFont="1" applyAlignment="1" applyProtection="1">
      <alignment horizontal="center" vertical="center" wrapText="1"/>
    </xf>
    <xf numFmtId="0" fontId="32" fillId="22" borderId="1" xfId="0" applyFont="1" applyFill="1" applyBorder="1" applyAlignment="1" applyProtection="1">
      <alignment horizontal="center" vertical="center" wrapText="1"/>
    </xf>
    <xf numFmtId="0" fontId="17" fillId="0" borderId="0" xfId="0" applyFont="1" applyAlignment="1" applyProtection="1">
      <alignment wrapText="1"/>
    </xf>
    <xf numFmtId="0" fontId="32" fillId="22" borderId="1" xfId="0" applyFont="1" applyFill="1" applyBorder="1" applyAlignment="1" applyProtection="1">
      <alignment horizontal="center" vertical="center" wrapText="1"/>
    </xf>
    <xf numFmtId="0" fontId="17" fillId="0" borderId="1" xfId="0" applyFont="1" applyBorder="1" applyAlignment="1" applyProtection="1">
      <alignment horizontal="left" vertical="center" wrapText="1"/>
      <protection hidden="1"/>
    </xf>
    <xf numFmtId="0" fontId="17" fillId="0" borderId="1" xfId="0" applyFont="1" applyBorder="1" applyAlignment="1" applyProtection="1">
      <alignment vertical="center" wrapText="1"/>
      <protection hidden="1"/>
    </xf>
    <xf numFmtId="175" fontId="17" fillId="0" borderId="1" xfId="0" applyNumberFormat="1" applyFont="1" applyBorder="1" applyAlignment="1" applyProtection="1">
      <alignment wrapText="1"/>
      <protection hidden="1"/>
    </xf>
    <xf numFmtId="0" fontId="17" fillId="0" borderId="1" xfId="0" applyFont="1" applyBorder="1" applyAlignment="1" applyProtection="1">
      <alignment wrapText="1"/>
    </xf>
    <xf numFmtId="170" fontId="17" fillId="0" borderId="1" xfId="0" applyNumberFormat="1" applyFont="1" applyBorder="1" applyAlignment="1" applyProtection="1">
      <alignment wrapText="1"/>
    </xf>
    <xf numFmtId="42" fontId="17" fillId="20" borderId="9" xfId="0" applyNumberFormat="1" applyFont="1" applyFill="1" applyBorder="1" applyAlignment="1" applyProtection="1">
      <alignment horizontal="center" wrapText="1"/>
    </xf>
    <xf numFmtId="42" fontId="17" fillId="20" borderId="6" xfId="0" applyNumberFormat="1" applyFont="1" applyFill="1" applyBorder="1" applyAlignment="1" applyProtection="1">
      <alignment horizontal="center" wrapText="1"/>
    </xf>
    <xf numFmtId="0" fontId="36" fillId="23" borderId="3" xfId="0" applyFont="1" applyFill="1" applyBorder="1" applyAlignment="1" applyProtection="1">
      <alignment horizontal="center" vertical="center" wrapText="1"/>
    </xf>
    <xf numFmtId="0" fontId="36" fillId="23" borderId="4" xfId="0" applyFont="1" applyFill="1" applyBorder="1" applyAlignment="1" applyProtection="1">
      <alignment horizontal="center" vertical="center" wrapText="1"/>
    </xf>
    <xf numFmtId="0" fontId="36" fillId="23" borderId="11" xfId="0" applyFont="1" applyFill="1" applyBorder="1" applyAlignment="1" applyProtection="1">
      <alignment horizontal="center" vertical="center" wrapText="1"/>
    </xf>
    <xf numFmtId="0" fontId="36" fillId="23" borderId="12" xfId="0" applyFont="1" applyFill="1" applyBorder="1" applyAlignment="1" applyProtection="1">
      <alignment horizontal="center" vertical="center" wrapText="1"/>
    </xf>
    <xf numFmtId="0" fontId="0" fillId="0" borderId="0" xfId="0" applyAlignment="1" applyProtection="1">
      <alignment vertical="center" wrapText="1"/>
    </xf>
    <xf numFmtId="0" fontId="34" fillId="7" borderId="1" xfId="0" applyFont="1" applyFill="1" applyBorder="1" applyAlignment="1" applyProtection="1">
      <alignment horizontal="right" vertical="center" wrapText="1"/>
      <protection locked="0" hidden="1"/>
    </xf>
    <xf numFmtId="0" fontId="17" fillId="17" borderId="1" xfId="0" applyFont="1" applyFill="1" applyBorder="1" applyAlignment="1" applyProtection="1">
      <alignment horizontal="center" vertical="center" wrapText="1"/>
      <protection hidden="1"/>
    </xf>
    <xf numFmtId="0" fontId="17" fillId="17" borderId="1" xfId="0" applyFont="1" applyFill="1" applyBorder="1" applyAlignment="1" applyProtection="1">
      <alignment horizontal="left" vertical="center" wrapText="1"/>
      <protection hidden="1"/>
    </xf>
    <xf numFmtId="0" fontId="17" fillId="17" borderId="1" xfId="0" applyFont="1" applyFill="1" applyBorder="1" applyAlignment="1" applyProtection="1">
      <alignment vertical="center" wrapText="1"/>
      <protection hidden="1"/>
    </xf>
    <xf numFmtId="164" fontId="33" fillId="17" borderId="1" xfId="1" applyNumberFormat="1" applyFont="1" applyFill="1" applyBorder="1" applyAlignment="1" applyProtection="1">
      <alignment vertical="center" wrapText="1"/>
      <protection hidden="1"/>
    </xf>
    <xf numFmtId="167" fontId="17" fillId="17" borderId="1" xfId="0" applyNumberFormat="1" applyFont="1" applyFill="1" applyBorder="1" applyAlignment="1" applyProtection="1">
      <alignment horizontal="center" vertical="center" wrapText="1"/>
      <protection hidden="1"/>
    </xf>
    <xf numFmtId="175" fontId="17" fillId="17" borderId="1" xfId="0" applyNumberFormat="1" applyFont="1" applyFill="1" applyBorder="1" applyAlignment="1" applyProtection="1">
      <alignment wrapText="1"/>
      <protection hidden="1"/>
    </xf>
    <xf numFmtId="0" fontId="17" fillId="17" borderId="0" xfId="0" applyFont="1" applyFill="1" applyAlignment="1" applyProtection="1">
      <alignment wrapText="1"/>
    </xf>
  </cellXfs>
  <cellStyles count="8">
    <cellStyle name="Hipervínculo" xfId="6" builtinId="8"/>
    <cellStyle name="Hyperlink" xfId="7" xr:uid="{767F5C64-89E4-4C33-B663-7AB5255E0FAD}"/>
    <cellStyle name="Moneda" xfId="1" builtinId="4"/>
    <cellStyle name="Moneda 2" xfId="5" xr:uid="{75B0981C-A423-4011-BD18-749DF74A1E4B}"/>
    <cellStyle name="Normal" xfId="0" builtinId="0"/>
    <cellStyle name="Normal 2" xfId="3" xr:uid="{50A8AE18-0683-449E-B367-B3A5C42370F7}"/>
    <cellStyle name="Normal 3" xfId="4" xr:uid="{B0D1AD6D-97F1-4745-9651-5FE98B42D34C}"/>
    <cellStyle name="Porcentaje" xfId="2" builtinId="5"/>
  </cellStyles>
  <dxfs count="83">
    <dxf>
      <font>
        <color theme="5" tint="-0.24994659260841701"/>
      </font>
      <fill>
        <patternFill>
          <bgColor rgb="FFFFFF99"/>
        </patternFill>
      </fill>
    </dxf>
    <dxf>
      <font>
        <color theme="5" tint="-0.24994659260841701"/>
      </font>
      <fill>
        <patternFill>
          <bgColor rgb="FFFFFF99"/>
        </patternFill>
      </fill>
    </dxf>
    <dxf>
      <font>
        <color rgb="FF006100"/>
      </font>
      <fill>
        <patternFill>
          <bgColor rgb="FFC6EFCE"/>
        </patternFill>
      </fill>
    </dxf>
    <dxf>
      <font>
        <color theme="5" tint="-0.24994659260841701"/>
      </font>
      <fill>
        <patternFill>
          <bgColor rgb="FFFFFF99"/>
        </patternFill>
      </fill>
    </dxf>
    <dxf>
      <font>
        <color rgb="FF006100"/>
      </font>
      <fill>
        <patternFill>
          <bgColor rgb="FFC6EFCE"/>
        </patternFill>
      </fill>
    </dxf>
    <dxf>
      <font>
        <color theme="5" tint="-0.24994659260841701"/>
      </font>
      <fill>
        <patternFill>
          <bgColor rgb="FFFFFF99"/>
        </patternFill>
      </fill>
    </dxf>
    <dxf>
      <font>
        <color theme="5" tint="-0.24994659260841701"/>
      </font>
      <fill>
        <patternFill>
          <bgColor rgb="FFFFFF99"/>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theme="5" tint="-0.24994659260841701"/>
      </font>
      <fill>
        <patternFill>
          <bgColor rgb="FFFFFF99"/>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theme="5" tint="-0.24994659260841701"/>
      </font>
      <fill>
        <patternFill>
          <bgColor rgb="FFFFFF99"/>
        </patternFill>
      </fill>
    </dxf>
    <dxf>
      <font>
        <color rgb="FF006100"/>
      </font>
      <fill>
        <patternFill>
          <bgColor rgb="FFC6EFCE"/>
        </patternFill>
      </fill>
    </dxf>
    <dxf>
      <font>
        <color theme="5" tint="-0.24994659260841701"/>
      </font>
      <fill>
        <patternFill>
          <bgColor rgb="FFFFFF99"/>
        </patternFill>
      </fill>
    </dxf>
    <dxf>
      <font>
        <color rgb="FF006100"/>
      </font>
      <fill>
        <patternFill>
          <bgColor rgb="FFC6EFCE"/>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rgb="FF9C0006"/>
      </font>
    </dxf>
    <dxf>
      <font>
        <color rgb="FF9C0006"/>
      </font>
      <fill>
        <patternFill>
          <bgColor rgb="FFFFC7CE"/>
        </patternFill>
      </fill>
    </dxf>
    <dxf>
      <font>
        <color rgb="FF9C0006"/>
      </font>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pivotCacheDefinition" Target="pivotCache/pivotCacheDefinition3.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pivotCacheDefinition" Target="pivotCache/pivotCacheDefinition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pivotCacheDefinition" Target="pivotCache/pivotCacheDefinition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2.tmp"/></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669737</xdr:colOff>
      <xdr:row>3</xdr:row>
      <xdr:rowOff>548176</xdr:rowOff>
    </xdr:from>
    <xdr:to>
      <xdr:col>1</xdr:col>
      <xdr:colOff>1187630</xdr:colOff>
      <xdr:row>5</xdr:row>
      <xdr:rowOff>747623</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FC31D71C-8D11-4DC6-94F1-B745B1AE4ABA}"/>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669737" y="1338751"/>
          <a:ext cx="1822818" cy="18853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669737</xdr:colOff>
      <xdr:row>3</xdr:row>
      <xdr:rowOff>548176</xdr:rowOff>
    </xdr:from>
    <xdr:to>
      <xdr:col>1</xdr:col>
      <xdr:colOff>1187630</xdr:colOff>
      <xdr:row>5</xdr:row>
      <xdr:rowOff>747623</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284259C4-B0D0-4151-BF64-288A69C74F67}"/>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669737" y="1338931"/>
          <a:ext cx="1696836" cy="1895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669737</xdr:colOff>
      <xdr:row>3</xdr:row>
      <xdr:rowOff>548176</xdr:rowOff>
    </xdr:from>
    <xdr:to>
      <xdr:col>1</xdr:col>
      <xdr:colOff>1187630</xdr:colOff>
      <xdr:row>5</xdr:row>
      <xdr:rowOff>747623</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BCDCF52F-B83D-44A9-838F-A1F13E73FD10}"/>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669737" y="1340656"/>
          <a:ext cx="1691373" cy="18301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51</xdr:col>
      <xdr:colOff>0</xdr:colOff>
      <xdr:row>2</xdr:row>
      <xdr:rowOff>0</xdr:rowOff>
    </xdr:from>
    <xdr:to>
      <xdr:col>51</xdr:col>
      <xdr:colOff>9525</xdr:colOff>
      <xdr:row>2</xdr:row>
      <xdr:rowOff>0</xdr:rowOff>
    </xdr:to>
    <xdr:pic>
      <xdr:nvPicPr>
        <xdr:cNvPr id="2" name="Imagen 2">
          <a:extLst>
            <a:ext uri="{FF2B5EF4-FFF2-40B4-BE49-F238E27FC236}">
              <a16:creationId xmlns:a16="http://schemas.microsoft.com/office/drawing/2014/main" id="{F430C54E-3CFC-41C6-942C-BF903C588EC9}"/>
            </a:ext>
            <a:ext uri="{147F2762-F138-4A5C-976F-8EAC2B608ADB}">
              <a16:predDERef xmlns:a16="http://schemas.microsoft.com/office/drawing/2014/main" pred="{D23D02AB-0CB8-4C11-B348-55919C51A7B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 name="Imagen 3">
          <a:extLst>
            <a:ext uri="{FF2B5EF4-FFF2-40B4-BE49-F238E27FC236}">
              <a16:creationId xmlns:a16="http://schemas.microsoft.com/office/drawing/2014/main" id="{A845D5F9-EB1F-4179-BF0A-F87345294B12}"/>
            </a:ext>
            <a:ext uri="{147F2762-F138-4A5C-976F-8EAC2B608ADB}">
              <a16:predDERef xmlns:a16="http://schemas.microsoft.com/office/drawing/2014/main" pred="{571950A8-2F01-4A53-B0CF-89F45631C49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 name="Imagen 4">
          <a:extLst>
            <a:ext uri="{FF2B5EF4-FFF2-40B4-BE49-F238E27FC236}">
              <a16:creationId xmlns:a16="http://schemas.microsoft.com/office/drawing/2014/main" id="{C504725C-2A0F-4676-A539-1BE6D3B830F2}"/>
            </a:ext>
            <a:ext uri="{147F2762-F138-4A5C-976F-8EAC2B608ADB}">
              <a16:predDERef xmlns:a16="http://schemas.microsoft.com/office/drawing/2014/main" pred="{2E9BD4C1-891C-4A75-9F09-911BBFCF686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 name="Imagen 5">
          <a:extLst>
            <a:ext uri="{FF2B5EF4-FFF2-40B4-BE49-F238E27FC236}">
              <a16:creationId xmlns:a16="http://schemas.microsoft.com/office/drawing/2014/main" id="{EDBEE89C-451D-4043-95F1-7B7C36E5C4EF}"/>
            </a:ext>
            <a:ext uri="{147F2762-F138-4A5C-976F-8EAC2B608ADB}">
              <a16:predDERef xmlns:a16="http://schemas.microsoft.com/office/drawing/2014/main" pred="{724F737E-F44B-4226-A76D-E80E4167E30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 name="Imagen 6">
          <a:extLst>
            <a:ext uri="{FF2B5EF4-FFF2-40B4-BE49-F238E27FC236}">
              <a16:creationId xmlns:a16="http://schemas.microsoft.com/office/drawing/2014/main" id="{8FCF5199-E0F3-4924-BDFB-F9B9318B9B1A}"/>
            </a:ext>
            <a:ext uri="{147F2762-F138-4A5C-976F-8EAC2B608ADB}">
              <a16:predDERef xmlns:a16="http://schemas.microsoft.com/office/drawing/2014/main" pred="{FFF85360-1DB2-40ED-A878-A6B91B6DE4A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 name="Imagen 7">
          <a:extLst>
            <a:ext uri="{FF2B5EF4-FFF2-40B4-BE49-F238E27FC236}">
              <a16:creationId xmlns:a16="http://schemas.microsoft.com/office/drawing/2014/main" id="{00AE9773-4B44-41BD-869F-72E194281EBB}"/>
            </a:ext>
            <a:ext uri="{147F2762-F138-4A5C-976F-8EAC2B608ADB}">
              <a16:predDERef xmlns:a16="http://schemas.microsoft.com/office/drawing/2014/main" pred="{FA102BED-2242-4DB7-B2BF-A17AC047366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 name="Imagen 8">
          <a:extLst>
            <a:ext uri="{FF2B5EF4-FFF2-40B4-BE49-F238E27FC236}">
              <a16:creationId xmlns:a16="http://schemas.microsoft.com/office/drawing/2014/main" id="{1F6E2048-64C1-4168-BBEE-CD7D759A1485}"/>
            </a:ext>
            <a:ext uri="{147F2762-F138-4A5C-976F-8EAC2B608ADB}">
              <a16:predDERef xmlns:a16="http://schemas.microsoft.com/office/drawing/2014/main" pred="{F129CCC6-95DE-441E-B27F-A80614AF60B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 name="Imagen 9">
          <a:extLst>
            <a:ext uri="{FF2B5EF4-FFF2-40B4-BE49-F238E27FC236}">
              <a16:creationId xmlns:a16="http://schemas.microsoft.com/office/drawing/2014/main" id="{F92090C8-D7CB-48F7-96A4-159CCF8F1188}"/>
            </a:ext>
            <a:ext uri="{147F2762-F138-4A5C-976F-8EAC2B608ADB}">
              <a16:predDERef xmlns:a16="http://schemas.microsoft.com/office/drawing/2014/main" pred="{FAB7C63B-B6A3-4492-80C9-77F208E4565B}"/>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 name="Imagen 10">
          <a:extLst>
            <a:ext uri="{FF2B5EF4-FFF2-40B4-BE49-F238E27FC236}">
              <a16:creationId xmlns:a16="http://schemas.microsoft.com/office/drawing/2014/main" id="{CD467B17-A5CF-4B33-A611-2D3C1D4293ED}"/>
            </a:ext>
            <a:ext uri="{147F2762-F138-4A5C-976F-8EAC2B608ADB}">
              <a16:predDERef xmlns:a16="http://schemas.microsoft.com/office/drawing/2014/main" pred="{4CD9FECA-437E-4163-839C-F7CBE2F4935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 name="Imagen 11">
          <a:extLst>
            <a:ext uri="{FF2B5EF4-FFF2-40B4-BE49-F238E27FC236}">
              <a16:creationId xmlns:a16="http://schemas.microsoft.com/office/drawing/2014/main" id="{E39ACEE8-7311-4945-98F7-829D7D3AEF76}"/>
            </a:ext>
            <a:ext uri="{147F2762-F138-4A5C-976F-8EAC2B608ADB}">
              <a16:predDERef xmlns:a16="http://schemas.microsoft.com/office/drawing/2014/main" pred="{BEAF35AF-5510-47CF-8F67-36EE9A6BAAA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 name="Imagen 12">
          <a:extLst>
            <a:ext uri="{FF2B5EF4-FFF2-40B4-BE49-F238E27FC236}">
              <a16:creationId xmlns:a16="http://schemas.microsoft.com/office/drawing/2014/main" id="{96907FB3-C45E-4B15-A31E-28BF10856F70}"/>
            </a:ext>
            <a:ext uri="{147F2762-F138-4A5C-976F-8EAC2B608ADB}">
              <a16:predDERef xmlns:a16="http://schemas.microsoft.com/office/drawing/2014/main" pred="{EE0C87D6-31DA-45F2-AC54-7EA1BC671AC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 name="Imagen 2">
          <a:extLst>
            <a:ext uri="{FF2B5EF4-FFF2-40B4-BE49-F238E27FC236}">
              <a16:creationId xmlns:a16="http://schemas.microsoft.com/office/drawing/2014/main" id="{FC15AF11-8663-44DA-A934-6838FB8BD450}"/>
            </a:ext>
            <a:ext uri="{147F2762-F138-4A5C-976F-8EAC2B608ADB}">
              <a16:predDERef xmlns:a16="http://schemas.microsoft.com/office/drawing/2014/main" pred="{F61A8F0D-344F-4694-ABF9-FCB6F120513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 name="Imagen 3">
          <a:extLst>
            <a:ext uri="{FF2B5EF4-FFF2-40B4-BE49-F238E27FC236}">
              <a16:creationId xmlns:a16="http://schemas.microsoft.com/office/drawing/2014/main" id="{BA12D8AA-3939-4A15-BEE2-AC8A8DDFFFD9}"/>
            </a:ext>
            <a:ext uri="{147F2762-F138-4A5C-976F-8EAC2B608ADB}">
              <a16:predDERef xmlns:a16="http://schemas.microsoft.com/office/drawing/2014/main" pred="{5AD64205-ECD5-4FB8-A2CE-54F05F7B789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 name="Imagen 4">
          <a:extLst>
            <a:ext uri="{FF2B5EF4-FFF2-40B4-BE49-F238E27FC236}">
              <a16:creationId xmlns:a16="http://schemas.microsoft.com/office/drawing/2014/main" id="{7A359BCC-7ADE-4101-8F5B-DF0959EF1224}"/>
            </a:ext>
            <a:ext uri="{147F2762-F138-4A5C-976F-8EAC2B608ADB}">
              <a16:predDERef xmlns:a16="http://schemas.microsoft.com/office/drawing/2014/main" pred="{B7FCE20A-21C3-4890-AABC-2D7FEA99E97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 name="Imagen 5">
          <a:extLst>
            <a:ext uri="{FF2B5EF4-FFF2-40B4-BE49-F238E27FC236}">
              <a16:creationId xmlns:a16="http://schemas.microsoft.com/office/drawing/2014/main" id="{3C59ACBA-0421-41CE-88D4-C1B6C859B6A0}"/>
            </a:ext>
            <a:ext uri="{147F2762-F138-4A5C-976F-8EAC2B608ADB}">
              <a16:predDERef xmlns:a16="http://schemas.microsoft.com/office/drawing/2014/main" pred="{4F924105-191D-41DF-8663-5B33D408DC3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 name="Imagen 6">
          <a:extLst>
            <a:ext uri="{FF2B5EF4-FFF2-40B4-BE49-F238E27FC236}">
              <a16:creationId xmlns:a16="http://schemas.microsoft.com/office/drawing/2014/main" id="{39A35CDA-BDDE-41D5-ACCB-8DA8E666B481}"/>
            </a:ext>
            <a:ext uri="{147F2762-F138-4A5C-976F-8EAC2B608ADB}">
              <a16:predDERef xmlns:a16="http://schemas.microsoft.com/office/drawing/2014/main" pred="{C6631118-D9F2-4F91-8023-0922F86C09D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 name="Imagen 7">
          <a:extLst>
            <a:ext uri="{FF2B5EF4-FFF2-40B4-BE49-F238E27FC236}">
              <a16:creationId xmlns:a16="http://schemas.microsoft.com/office/drawing/2014/main" id="{62CF7001-E668-4D5A-922B-A038B1916F3F}"/>
            </a:ext>
            <a:ext uri="{147F2762-F138-4A5C-976F-8EAC2B608ADB}">
              <a16:predDERef xmlns:a16="http://schemas.microsoft.com/office/drawing/2014/main" pred="{144B797B-5A11-4DE2-9134-E3E511548BA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 name="Imagen 8">
          <a:extLst>
            <a:ext uri="{FF2B5EF4-FFF2-40B4-BE49-F238E27FC236}">
              <a16:creationId xmlns:a16="http://schemas.microsoft.com/office/drawing/2014/main" id="{7EB205EA-B731-4A4C-A8EA-9411C841F3A5}"/>
            </a:ext>
            <a:ext uri="{147F2762-F138-4A5C-976F-8EAC2B608ADB}">
              <a16:predDERef xmlns:a16="http://schemas.microsoft.com/office/drawing/2014/main" pred="{5D84D5B3-A482-4D30-ABE2-0EB1BBA83A5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 name="Imagen 9">
          <a:extLst>
            <a:ext uri="{FF2B5EF4-FFF2-40B4-BE49-F238E27FC236}">
              <a16:creationId xmlns:a16="http://schemas.microsoft.com/office/drawing/2014/main" id="{27CD48F8-8152-4468-BF3C-D0A44A5B6C31}"/>
            </a:ext>
            <a:ext uri="{147F2762-F138-4A5C-976F-8EAC2B608ADB}">
              <a16:predDERef xmlns:a16="http://schemas.microsoft.com/office/drawing/2014/main" pred="{7F1C497C-ED2F-424D-8FFC-56104B0C779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 name="Imagen 10">
          <a:extLst>
            <a:ext uri="{FF2B5EF4-FFF2-40B4-BE49-F238E27FC236}">
              <a16:creationId xmlns:a16="http://schemas.microsoft.com/office/drawing/2014/main" id="{B241D84C-997F-4E28-A7FF-81B45F62D06B}"/>
            </a:ext>
            <a:ext uri="{147F2762-F138-4A5C-976F-8EAC2B608ADB}">
              <a16:predDERef xmlns:a16="http://schemas.microsoft.com/office/drawing/2014/main" pred="{602DF73C-C344-4034-B3B9-E68F90A907A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 name="Imagen 11">
          <a:extLst>
            <a:ext uri="{FF2B5EF4-FFF2-40B4-BE49-F238E27FC236}">
              <a16:creationId xmlns:a16="http://schemas.microsoft.com/office/drawing/2014/main" id="{363D01E1-A7AF-4129-9604-74B5A7F04BD1}"/>
            </a:ext>
            <a:ext uri="{147F2762-F138-4A5C-976F-8EAC2B608ADB}">
              <a16:predDERef xmlns:a16="http://schemas.microsoft.com/office/drawing/2014/main" pred="{8CFC1C79-D59F-449F-8107-81EFB297E82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 name="Imagen 12">
          <a:extLst>
            <a:ext uri="{FF2B5EF4-FFF2-40B4-BE49-F238E27FC236}">
              <a16:creationId xmlns:a16="http://schemas.microsoft.com/office/drawing/2014/main" id="{05423759-C95E-4DA6-A6E9-CF492E28ADCC}"/>
            </a:ext>
            <a:ext uri="{147F2762-F138-4A5C-976F-8EAC2B608ADB}">
              <a16:predDERef xmlns:a16="http://schemas.microsoft.com/office/drawing/2014/main" pred="{CBB2321D-D57F-4DF5-9A3F-492CA6D1FBB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 name="Imagen 2">
          <a:extLst>
            <a:ext uri="{FF2B5EF4-FFF2-40B4-BE49-F238E27FC236}">
              <a16:creationId xmlns:a16="http://schemas.microsoft.com/office/drawing/2014/main" id="{46AA7034-263C-45F2-914C-868C65209F7E}"/>
            </a:ext>
            <a:ext uri="{147F2762-F138-4A5C-976F-8EAC2B608ADB}">
              <a16:predDERef xmlns:a16="http://schemas.microsoft.com/office/drawing/2014/main" pred="{F7409A44-AD64-4622-AED2-A414F022DDC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 name="Imagen 3">
          <a:extLst>
            <a:ext uri="{FF2B5EF4-FFF2-40B4-BE49-F238E27FC236}">
              <a16:creationId xmlns:a16="http://schemas.microsoft.com/office/drawing/2014/main" id="{E1353359-09F7-4232-AA4B-566A6E3962CB}"/>
            </a:ext>
            <a:ext uri="{147F2762-F138-4A5C-976F-8EAC2B608ADB}">
              <a16:predDERef xmlns:a16="http://schemas.microsoft.com/office/drawing/2014/main" pred="{4AE37FD2-B693-45D1-8EA8-CD85535017C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 name="Imagen 4">
          <a:extLst>
            <a:ext uri="{FF2B5EF4-FFF2-40B4-BE49-F238E27FC236}">
              <a16:creationId xmlns:a16="http://schemas.microsoft.com/office/drawing/2014/main" id="{60043CDA-FE1A-4838-831D-1CDDE5544E18}"/>
            </a:ext>
            <a:ext uri="{147F2762-F138-4A5C-976F-8EAC2B608ADB}">
              <a16:predDERef xmlns:a16="http://schemas.microsoft.com/office/drawing/2014/main" pred="{97BA2725-29EC-4D3D-B259-A00ABADE1B6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 name="Imagen 5">
          <a:extLst>
            <a:ext uri="{FF2B5EF4-FFF2-40B4-BE49-F238E27FC236}">
              <a16:creationId xmlns:a16="http://schemas.microsoft.com/office/drawing/2014/main" id="{6DCE5551-9B86-4727-BAB9-E0B2FD2F213A}"/>
            </a:ext>
            <a:ext uri="{147F2762-F138-4A5C-976F-8EAC2B608ADB}">
              <a16:predDERef xmlns:a16="http://schemas.microsoft.com/office/drawing/2014/main" pred="{37661525-5F64-43C7-A299-9B11CAFF7CF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 name="Imagen 6">
          <a:extLst>
            <a:ext uri="{FF2B5EF4-FFF2-40B4-BE49-F238E27FC236}">
              <a16:creationId xmlns:a16="http://schemas.microsoft.com/office/drawing/2014/main" id="{6B816A8B-BDFC-4306-8E3D-02BEA4ED9782}"/>
            </a:ext>
            <a:ext uri="{147F2762-F138-4A5C-976F-8EAC2B608ADB}">
              <a16:predDERef xmlns:a16="http://schemas.microsoft.com/office/drawing/2014/main" pred="{508E259A-558D-4926-9A41-0F24F12EDAF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 name="Imagen 7">
          <a:extLst>
            <a:ext uri="{FF2B5EF4-FFF2-40B4-BE49-F238E27FC236}">
              <a16:creationId xmlns:a16="http://schemas.microsoft.com/office/drawing/2014/main" id="{7CCA01B7-EBE2-4F5D-869E-4DC59D8DA754}"/>
            </a:ext>
            <a:ext uri="{147F2762-F138-4A5C-976F-8EAC2B608ADB}">
              <a16:predDERef xmlns:a16="http://schemas.microsoft.com/office/drawing/2014/main" pred="{D0317295-7904-4134-B5E9-108637BAC55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 name="Imagen 8">
          <a:extLst>
            <a:ext uri="{FF2B5EF4-FFF2-40B4-BE49-F238E27FC236}">
              <a16:creationId xmlns:a16="http://schemas.microsoft.com/office/drawing/2014/main" id="{8AEA75C6-8B63-43FC-92E8-1BB47B040061}"/>
            </a:ext>
            <a:ext uri="{147F2762-F138-4A5C-976F-8EAC2B608ADB}">
              <a16:predDERef xmlns:a16="http://schemas.microsoft.com/office/drawing/2014/main" pred="{06DD73AE-EB16-4F7E-B497-10680A18DE7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 name="Imagen 9">
          <a:extLst>
            <a:ext uri="{FF2B5EF4-FFF2-40B4-BE49-F238E27FC236}">
              <a16:creationId xmlns:a16="http://schemas.microsoft.com/office/drawing/2014/main" id="{7EA7EFFB-D6FD-4BF6-AEEE-453CCC548CFD}"/>
            </a:ext>
            <a:ext uri="{147F2762-F138-4A5C-976F-8EAC2B608ADB}">
              <a16:predDERef xmlns:a16="http://schemas.microsoft.com/office/drawing/2014/main" pred="{0D134F1D-096B-4159-B11A-F38665327E4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 name="Imagen 10">
          <a:extLst>
            <a:ext uri="{FF2B5EF4-FFF2-40B4-BE49-F238E27FC236}">
              <a16:creationId xmlns:a16="http://schemas.microsoft.com/office/drawing/2014/main" id="{FA5491F0-9C5A-4F1B-A60F-72D5DB6F7D8F}"/>
            </a:ext>
            <a:ext uri="{147F2762-F138-4A5C-976F-8EAC2B608ADB}">
              <a16:predDERef xmlns:a16="http://schemas.microsoft.com/office/drawing/2014/main" pred="{0085D9DC-96DB-41C6-8A18-DDDE8E25C14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 name="Imagen 11">
          <a:extLst>
            <a:ext uri="{FF2B5EF4-FFF2-40B4-BE49-F238E27FC236}">
              <a16:creationId xmlns:a16="http://schemas.microsoft.com/office/drawing/2014/main" id="{4872D056-3B6A-4FC0-A04B-0A8422E61087}"/>
            </a:ext>
            <a:ext uri="{147F2762-F138-4A5C-976F-8EAC2B608ADB}">
              <a16:predDERef xmlns:a16="http://schemas.microsoft.com/office/drawing/2014/main" pred="{7E18D330-74A5-46A4-B263-4B8DD5B39DA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 name="Imagen 12">
          <a:extLst>
            <a:ext uri="{FF2B5EF4-FFF2-40B4-BE49-F238E27FC236}">
              <a16:creationId xmlns:a16="http://schemas.microsoft.com/office/drawing/2014/main" id="{2184F890-E02A-48CD-97CF-0BF1E9E97357}"/>
            </a:ext>
            <a:ext uri="{147F2762-F138-4A5C-976F-8EAC2B608ADB}">
              <a16:predDERef xmlns:a16="http://schemas.microsoft.com/office/drawing/2014/main" pred="{F893A197-BDF0-4A2E-AB36-0079E83DC7E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 name="Imagen 2">
          <a:extLst>
            <a:ext uri="{FF2B5EF4-FFF2-40B4-BE49-F238E27FC236}">
              <a16:creationId xmlns:a16="http://schemas.microsoft.com/office/drawing/2014/main" id="{76803A35-D714-4E99-B3BA-BFF195415803}"/>
            </a:ext>
            <a:ext uri="{147F2762-F138-4A5C-976F-8EAC2B608ADB}">
              <a16:predDERef xmlns:a16="http://schemas.microsoft.com/office/drawing/2014/main" pred="{43143496-1C32-44DC-8F9D-B1E713E4E6C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 name="Imagen 3">
          <a:extLst>
            <a:ext uri="{FF2B5EF4-FFF2-40B4-BE49-F238E27FC236}">
              <a16:creationId xmlns:a16="http://schemas.microsoft.com/office/drawing/2014/main" id="{0CE76F3E-E45F-472D-A578-54FBBAA469BC}"/>
            </a:ext>
            <a:ext uri="{147F2762-F138-4A5C-976F-8EAC2B608ADB}">
              <a16:predDERef xmlns:a16="http://schemas.microsoft.com/office/drawing/2014/main" pred="{BD821609-7956-4D26-9300-DADAAC6468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 name="Imagen 4">
          <a:extLst>
            <a:ext uri="{FF2B5EF4-FFF2-40B4-BE49-F238E27FC236}">
              <a16:creationId xmlns:a16="http://schemas.microsoft.com/office/drawing/2014/main" id="{7F5614CC-A53B-4C7B-82E3-7BC0F0581F8C}"/>
            </a:ext>
            <a:ext uri="{147F2762-F138-4A5C-976F-8EAC2B608ADB}">
              <a16:predDERef xmlns:a16="http://schemas.microsoft.com/office/drawing/2014/main" pred="{156EA174-46CC-4597-BD75-4BE2BE2784EB}"/>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 name="Imagen 5">
          <a:extLst>
            <a:ext uri="{FF2B5EF4-FFF2-40B4-BE49-F238E27FC236}">
              <a16:creationId xmlns:a16="http://schemas.microsoft.com/office/drawing/2014/main" id="{F30259E4-6947-4584-AEF6-D4334EB950F0}"/>
            </a:ext>
            <a:ext uri="{147F2762-F138-4A5C-976F-8EAC2B608ADB}">
              <a16:predDERef xmlns:a16="http://schemas.microsoft.com/office/drawing/2014/main" pred="{7638A722-6BED-49EE-AF24-4C6458BA6C0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 name="Imagen 6">
          <a:extLst>
            <a:ext uri="{FF2B5EF4-FFF2-40B4-BE49-F238E27FC236}">
              <a16:creationId xmlns:a16="http://schemas.microsoft.com/office/drawing/2014/main" id="{0891B833-A317-4080-A2C5-E3781E1FACDB}"/>
            </a:ext>
            <a:ext uri="{147F2762-F138-4A5C-976F-8EAC2B608ADB}">
              <a16:predDERef xmlns:a16="http://schemas.microsoft.com/office/drawing/2014/main" pred="{B26DE775-3309-443D-8751-C203666191E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 name="Imagen 7">
          <a:extLst>
            <a:ext uri="{FF2B5EF4-FFF2-40B4-BE49-F238E27FC236}">
              <a16:creationId xmlns:a16="http://schemas.microsoft.com/office/drawing/2014/main" id="{AFE9D5DB-C4FF-49F4-BA41-CC96C420B214}"/>
            </a:ext>
            <a:ext uri="{147F2762-F138-4A5C-976F-8EAC2B608ADB}">
              <a16:predDERef xmlns:a16="http://schemas.microsoft.com/office/drawing/2014/main" pred="{BDBEB8CA-D929-4413-8F7F-6918C1BC1E7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 name="Imagen 8">
          <a:extLst>
            <a:ext uri="{FF2B5EF4-FFF2-40B4-BE49-F238E27FC236}">
              <a16:creationId xmlns:a16="http://schemas.microsoft.com/office/drawing/2014/main" id="{9C727299-6D1D-4D1A-A71E-28ED02A2E6E6}"/>
            </a:ext>
            <a:ext uri="{147F2762-F138-4A5C-976F-8EAC2B608ADB}">
              <a16:predDERef xmlns:a16="http://schemas.microsoft.com/office/drawing/2014/main" pred="{1EB8F4D9-99ED-4F2B-A78A-B201513D4D3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 name="Imagen 9">
          <a:extLst>
            <a:ext uri="{FF2B5EF4-FFF2-40B4-BE49-F238E27FC236}">
              <a16:creationId xmlns:a16="http://schemas.microsoft.com/office/drawing/2014/main" id="{46C3C58B-03F0-4367-A163-C65CB9BB6F51}"/>
            </a:ext>
            <a:ext uri="{147F2762-F138-4A5C-976F-8EAC2B608ADB}">
              <a16:predDERef xmlns:a16="http://schemas.microsoft.com/office/drawing/2014/main" pred="{0BA83C36-CB26-45F7-8555-E3FB020AA4D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 name="Imagen 10">
          <a:extLst>
            <a:ext uri="{FF2B5EF4-FFF2-40B4-BE49-F238E27FC236}">
              <a16:creationId xmlns:a16="http://schemas.microsoft.com/office/drawing/2014/main" id="{04BF363D-EC49-43EB-B015-873D6953CA95}"/>
            </a:ext>
            <a:ext uri="{147F2762-F138-4A5C-976F-8EAC2B608ADB}">
              <a16:predDERef xmlns:a16="http://schemas.microsoft.com/office/drawing/2014/main" pred="{71A72FC1-1777-43FD-8857-EB3A707F1B9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 name="Imagen 11">
          <a:extLst>
            <a:ext uri="{FF2B5EF4-FFF2-40B4-BE49-F238E27FC236}">
              <a16:creationId xmlns:a16="http://schemas.microsoft.com/office/drawing/2014/main" id="{57DC80B4-4BF2-4C28-AE5F-223AF3B2F796}"/>
            </a:ext>
            <a:ext uri="{147F2762-F138-4A5C-976F-8EAC2B608ADB}">
              <a16:predDERef xmlns:a16="http://schemas.microsoft.com/office/drawing/2014/main" pred="{13A093EA-6EB1-481F-AA2A-CF574D6F988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 name="Imagen 12">
          <a:extLst>
            <a:ext uri="{FF2B5EF4-FFF2-40B4-BE49-F238E27FC236}">
              <a16:creationId xmlns:a16="http://schemas.microsoft.com/office/drawing/2014/main" id="{BFB26AF6-774A-49A9-BE80-6F87FA490887}"/>
            </a:ext>
            <a:ext uri="{147F2762-F138-4A5C-976F-8EAC2B608ADB}">
              <a16:predDERef xmlns:a16="http://schemas.microsoft.com/office/drawing/2014/main" pred="{61D78D37-DE5F-4474-A567-213E8632AEC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 name="Imagen 2">
          <a:extLst>
            <a:ext uri="{FF2B5EF4-FFF2-40B4-BE49-F238E27FC236}">
              <a16:creationId xmlns:a16="http://schemas.microsoft.com/office/drawing/2014/main" id="{0CC62BCC-F3CF-449D-9F65-C1CA39C72EFF}"/>
            </a:ext>
            <a:ext uri="{147F2762-F138-4A5C-976F-8EAC2B608ADB}">
              <a16:predDERef xmlns:a16="http://schemas.microsoft.com/office/drawing/2014/main" pred="{3DFD12B3-4C73-44BA-BC93-4666D06D843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 name="Imagen 3">
          <a:extLst>
            <a:ext uri="{FF2B5EF4-FFF2-40B4-BE49-F238E27FC236}">
              <a16:creationId xmlns:a16="http://schemas.microsoft.com/office/drawing/2014/main" id="{CA712BE0-84C0-4E5C-B260-B7A2C3DA1B33}"/>
            </a:ext>
            <a:ext uri="{147F2762-F138-4A5C-976F-8EAC2B608ADB}">
              <a16:predDERef xmlns:a16="http://schemas.microsoft.com/office/drawing/2014/main" pred="{F3765775-130E-47EF-9364-8BCCD0ACF5B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 name="Imagen 4">
          <a:extLst>
            <a:ext uri="{FF2B5EF4-FFF2-40B4-BE49-F238E27FC236}">
              <a16:creationId xmlns:a16="http://schemas.microsoft.com/office/drawing/2014/main" id="{0882BC7A-07E9-425D-A455-406CD771DFD5}"/>
            </a:ext>
            <a:ext uri="{147F2762-F138-4A5C-976F-8EAC2B608ADB}">
              <a16:predDERef xmlns:a16="http://schemas.microsoft.com/office/drawing/2014/main" pred="{1DAA8E9B-850D-4AC1-A56E-6775533D3B8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 name="Imagen 5">
          <a:extLst>
            <a:ext uri="{FF2B5EF4-FFF2-40B4-BE49-F238E27FC236}">
              <a16:creationId xmlns:a16="http://schemas.microsoft.com/office/drawing/2014/main" id="{0306BC62-F33A-48E7-8A7E-1FE818480726}"/>
            </a:ext>
            <a:ext uri="{147F2762-F138-4A5C-976F-8EAC2B608ADB}">
              <a16:predDERef xmlns:a16="http://schemas.microsoft.com/office/drawing/2014/main" pred="{CEC0A982-92DE-4D6E-9FA9-A809E9A2360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 name="Imagen 6">
          <a:extLst>
            <a:ext uri="{FF2B5EF4-FFF2-40B4-BE49-F238E27FC236}">
              <a16:creationId xmlns:a16="http://schemas.microsoft.com/office/drawing/2014/main" id="{714BD1EC-C6F9-4A5E-9C30-C7D710F39834}"/>
            </a:ext>
            <a:ext uri="{147F2762-F138-4A5C-976F-8EAC2B608ADB}">
              <a16:predDERef xmlns:a16="http://schemas.microsoft.com/office/drawing/2014/main" pred="{90312437-71CB-4B65-A633-129DF1C781D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 name="Imagen 7">
          <a:extLst>
            <a:ext uri="{FF2B5EF4-FFF2-40B4-BE49-F238E27FC236}">
              <a16:creationId xmlns:a16="http://schemas.microsoft.com/office/drawing/2014/main" id="{7728521D-8D2B-4ACD-9682-6A834A318598}"/>
            </a:ext>
            <a:ext uri="{147F2762-F138-4A5C-976F-8EAC2B608ADB}">
              <a16:predDERef xmlns:a16="http://schemas.microsoft.com/office/drawing/2014/main" pred="{5429A1CA-524D-4C07-AF1B-3597F961779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 name="Imagen 8">
          <a:extLst>
            <a:ext uri="{FF2B5EF4-FFF2-40B4-BE49-F238E27FC236}">
              <a16:creationId xmlns:a16="http://schemas.microsoft.com/office/drawing/2014/main" id="{89EBAEE6-2F89-42F5-8A40-0B17F43FC686}"/>
            </a:ext>
            <a:ext uri="{147F2762-F138-4A5C-976F-8EAC2B608ADB}">
              <a16:predDERef xmlns:a16="http://schemas.microsoft.com/office/drawing/2014/main" pred="{AD2C408B-D160-4BDE-A785-AA6323DDC7A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 name="Imagen 9">
          <a:extLst>
            <a:ext uri="{FF2B5EF4-FFF2-40B4-BE49-F238E27FC236}">
              <a16:creationId xmlns:a16="http://schemas.microsoft.com/office/drawing/2014/main" id="{D3EEB3F5-56FB-40B8-971D-9F73E5181115}"/>
            </a:ext>
            <a:ext uri="{147F2762-F138-4A5C-976F-8EAC2B608ADB}">
              <a16:predDERef xmlns:a16="http://schemas.microsoft.com/office/drawing/2014/main" pred="{B5547390-290B-4D12-B585-C00022C5FED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 name="Imagen 10">
          <a:extLst>
            <a:ext uri="{FF2B5EF4-FFF2-40B4-BE49-F238E27FC236}">
              <a16:creationId xmlns:a16="http://schemas.microsoft.com/office/drawing/2014/main" id="{6645B2E7-D639-424D-A2ED-0263DBD10341}"/>
            </a:ext>
            <a:ext uri="{147F2762-F138-4A5C-976F-8EAC2B608ADB}">
              <a16:predDERef xmlns:a16="http://schemas.microsoft.com/office/drawing/2014/main" pred="{85131B67-656E-445F-AC5E-A7AE6146D8F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 name="Imagen 11">
          <a:extLst>
            <a:ext uri="{FF2B5EF4-FFF2-40B4-BE49-F238E27FC236}">
              <a16:creationId xmlns:a16="http://schemas.microsoft.com/office/drawing/2014/main" id="{6197CF03-7609-4486-A7AE-1763ADD9FD1B}"/>
            </a:ext>
            <a:ext uri="{147F2762-F138-4A5C-976F-8EAC2B608ADB}">
              <a16:predDERef xmlns:a16="http://schemas.microsoft.com/office/drawing/2014/main" pred="{3E43F1E7-8159-4432-AA8E-EF56EFB6692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 name="Imagen 12">
          <a:extLst>
            <a:ext uri="{FF2B5EF4-FFF2-40B4-BE49-F238E27FC236}">
              <a16:creationId xmlns:a16="http://schemas.microsoft.com/office/drawing/2014/main" id="{3A9AAF58-2866-4D4B-802D-67E3B908632E}"/>
            </a:ext>
            <a:ext uri="{147F2762-F138-4A5C-976F-8EAC2B608ADB}">
              <a16:predDERef xmlns:a16="http://schemas.microsoft.com/office/drawing/2014/main" pred="{AA5038EB-EB0E-47D1-A406-12CA89366CC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 name="Imagen 2">
          <a:extLst>
            <a:ext uri="{FF2B5EF4-FFF2-40B4-BE49-F238E27FC236}">
              <a16:creationId xmlns:a16="http://schemas.microsoft.com/office/drawing/2014/main" id="{4ECAA8DF-3083-412E-ADE1-3F548B8E71F8}"/>
            </a:ext>
            <a:ext uri="{147F2762-F138-4A5C-976F-8EAC2B608ADB}">
              <a16:predDERef xmlns:a16="http://schemas.microsoft.com/office/drawing/2014/main" pred="{17BFD987-879D-4F4F-8FD2-3BC2261F146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 name="Imagen 3">
          <a:extLst>
            <a:ext uri="{FF2B5EF4-FFF2-40B4-BE49-F238E27FC236}">
              <a16:creationId xmlns:a16="http://schemas.microsoft.com/office/drawing/2014/main" id="{FEAB6014-A23B-457B-8BAD-DB104AF41E3F}"/>
            </a:ext>
            <a:ext uri="{147F2762-F138-4A5C-976F-8EAC2B608ADB}">
              <a16:predDERef xmlns:a16="http://schemas.microsoft.com/office/drawing/2014/main" pred="{CC1C55A1-0812-4E1A-B3C7-3C5F869DBF0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 name="Imagen 4">
          <a:extLst>
            <a:ext uri="{FF2B5EF4-FFF2-40B4-BE49-F238E27FC236}">
              <a16:creationId xmlns:a16="http://schemas.microsoft.com/office/drawing/2014/main" id="{2B183EE3-EB57-463F-9295-C1CC0577A1E1}"/>
            </a:ext>
            <a:ext uri="{147F2762-F138-4A5C-976F-8EAC2B608ADB}">
              <a16:predDERef xmlns:a16="http://schemas.microsoft.com/office/drawing/2014/main" pred="{29E8E69B-47D9-42AB-A88E-DC86BA669F9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 name="Imagen 5">
          <a:extLst>
            <a:ext uri="{FF2B5EF4-FFF2-40B4-BE49-F238E27FC236}">
              <a16:creationId xmlns:a16="http://schemas.microsoft.com/office/drawing/2014/main" id="{425EA5FA-951B-4155-B959-06EFA0147D0F}"/>
            </a:ext>
            <a:ext uri="{147F2762-F138-4A5C-976F-8EAC2B608ADB}">
              <a16:predDERef xmlns:a16="http://schemas.microsoft.com/office/drawing/2014/main" pred="{056C7337-FA49-4BB9-9D14-7F4C5DE1226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 name="Imagen 6">
          <a:extLst>
            <a:ext uri="{FF2B5EF4-FFF2-40B4-BE49-F238E27FC236}">
              <a16:creationId xmlns:a16="http://schemas.microsoft.com/office/drawing/2014/main" id="{0DE83872-C2DA-4D34-8D8F-8EE0003D658E}"/>
            </a:ext>
            <a:ext uri="{147F2762-F138-4A5C-976F-8EAC2B608ADB}">
              <a16:predDERef xmlns:a16="http://schemas.microsoft.com/office/drawing/2014/main" pred="{F57FEAFD-EBBF-43AE-8EE4-ABBEA7EA668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 name="Imagen 7">
          <a:extLst>
            <a:ext uri="{FF2B5EF4-FFF2-40B4-BE49-F238E27FC236}">
              <a16:creationId xmlns:a16="http://schemas.microsoft.com/office/drawing/2014/main" id="{77DFF34B-CC29-4E06-9E11-348033346480}"/>
            </a:ext>
            <a:ext uri="{147F2762-F138-4A5C-976F-8EAC2B608ADB}">
              <a16:predDERef xmlns:a16="http://schemas.microsoft.com/office/drawing/2014/main" pred="{2AD5DF5F-731A-40CC-B03E-C98DA1BFF16B}"/>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 name="Imagen 8">
          <a:extLst>
            <a:ext uri="{FF2B5EF4-FFF2-40B4-BE49-F238E27FC236}">
              <a16:creationId xmlns:a16="http://schemas.microsoft.com/office/drawing/2014/main" id="{24B3D6FD-BBE1-4EDC-9EF0-F322D2700E23}"/>
            </a:ext>
            <a:ext uri="{147F2762-F138-4A5C-976F-8EAC2B608ADB}">
              <a16:predDERef xmlns:a16="http://schemas.microsoft.com/office/drawing/2014/main" pred="{2B81C424-83E5-4DBD-BB9E-DB3BB12355E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 name="Imagen 9">
          <a:extLst>
            <a:ext uri="{FF2B5EF4-FFF2-40B4-BE49-F238E27FC236}">
              <a16:creationId xmlns:a16="http://schemas.microsoft.com/office/drawing/2014/main" id="{5C82D52C-5401-47FB-9F11-25D41DF2CFB7}"/>
            </a:ext>
            <a:ext uri="{147F2762-F138-4A5C-976F-8EAC2B608ADB}">
              <a16:predDERef xmlns:a16="http://schemas.microsoft.com/office/drawing/2014/main" pred="{B4F6D719-2ADE-45E7-83B4-CBE52DC205B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 name="Imagen 10">
          <a:extLst>
            <a:ext uri="{FF2B5EF4-FFF2-40B4-BE49-F238E27FC236}">
              <a16:creationId xmlns:a16="http://schemas.microsoft.com/office/drawing/2014/main" id="{0CF05BE3-B777-4CD1-A46B-0FA79909E452}"/>
            </a:ext>
            <a:ext uri="{147F2762-F138-4A5C-976F-8EAC2B608ADB}">
              <a16:predDERef xmlns:a16="http://schemas.microsoft.com/office/drawing/2014/main" pred="{A031E22A-6D4E-4987-A431-AE9C57D5ACF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 name="Imagen 11">
          <a:extLst>
            <a:ext uri="{FF2B5EF4-FFF2-40B4-BE49-F238E27FC236}">
              <a16:creationId xmlns:a16="http://schemas.microsoft.com/office/drawing/2014/main" id="{03111877-F98D-4F85-8FC2-C5C1141E9810}"/>
            </a:ext>
            <a:ext uri="{147F2762-F138-4A5C-976F-8EAC2B608ADB}">
              <a16:predDERef xmlns:a16="http://schemas.microsoft.com/office/drawing/2014/main" pred="{80CF8DFC-044B-4FCD-953C-C69A258D382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 name="Imagen 12">
          <a:extLst>
            <a:ext uri="{FF2B5EF4-FFF2-40B4-BE49-F238E27FC236}">
              <a16:creationId xmlns:a16="http://schemas.microsoft.com/office/drawing/2014/main" id="{8F6A55C8-CE7C-4BED-8727-ED21CD5622DD}"/>
            </a:ext>
            <a:ext uri="{147F2762-F138-4A5C-976F-8EAC2B608ADB}">
              <a16:predDERef xmlns:a16="http://schemas.microsoft.com/office/drawing/2014/main" pred="{C428C3C9-FCFC-4DF3-8E63-5119E9AE281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 name="Imagen 2">
          <a:extLst>
            <a:ext uri="{FF2B5EF4-FFF2-40B4-BE49-F238E27FC236}">
              <a16:creationId xmlns:a16="http://schemas.microsoft.com/office/drawing/2014/main" id="{657725EB-63C7-427C-8B7A-C86752A39EF1}"/>
            </a:ext>
            <a:ext uri="{147F2762-F138-4A5C-976F-8EAC2B608ADB}">
              <a16:predDERef xmlns:a16="http://schemas.microsoft.com/office/drawing/2014/main" pred="{3301D787-D7BD-48C9-8948-90443806617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 name="Imagen 3">
          <a:extLst>
            <a:ext uri="{FF2B5EF4-FFF2-40B4-BE49-F238E27FC236}">
              <a16:creationId xmlns:a16="http://schemas.microsoft.com/office/drawing/2014/main" id="{6716B2CD-23B0-4310-83F6-04FCA32E8AF8}"/>
            </a:ext>
            <a:ext uri="{147F2762-F138-4A5C-976F-8EAC2B608ADB}">
              <a16:predDERef xmlns:a16="http://schemas.microsoft.com/office/drawing/2014/main" pred="{A08DB645-01DB-4717-A462-0349AE1843E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0" name="Imagen 4">
          <a:extLst>
            <a:ext uri="{FF2B5EF4-FFF2-40B4-BE49-F238E27FC236}">
              <a16:creationId xmlns:a16="http://schemas.microsoft.com/office/drawing/2014/main" id="{FAC93472-C24A-4483-80D8-C4E2CFDAD05D}"/>
            </a:ext>
            <a:ext uri="{147F2762-F138-4A5C-976F-8EAC2B608ADB}">
              <a16:predDERef xmlns:a16="http://schemas.microsoft.com/office/drawing/2014/main" pred="{087AF77A-200E-43AA-AECA-3DC9FF11E43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1" name="Imagen 5">
          <a:extLst>
            <a:ext uri="{FF2B5EF4-FFF2-40B4-BE49-F238E27FC236}">
              <a16:creationId xmlns:a16="http://schemas.microsoft.com/office/drawing/2014/main" id="{66C14D68-3DC6-4A1D-829B-0FCA2E18EDE0}"/>
            </a:ext>
            <a:ext uri="{147F2762-F138-4A5C-976F-8EAC2B608ADB}">
              <a16:predDERef xmlns:a16="http://schemas.microsoft.com/office/drawing/2014/main" pred="{A56125DD-99E6-4C68-931B-34D0275F08C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2" name="Imagen 6">
          <a:extLst>
            <a:ext uri="{FF2B5EF4-FFF2-40B4-BE49-F238E27FC236}">
              <a16:creationId xmlns:a16="http://schemas.microsoft.com/office/drawing/2014/main" id="{8E2A3DA6-C8DA-4ED2-8710-133172FCEE32}"/>
            </a:ext>
            <a:ext uri="{147F2762-F138-4A5C-976F-8EAC2B608ADB}">
              <a16:predDERef xmlns:a16="http://schemas.microsoft.com/office/drawing/2014/main" pred="{6C44FEDB-A546-4732-904B-AFD26205488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3" name="Imagen 7">
          <a:extLst>
            <a:ext uri="{FF2B5EF4-FFF2-40B4-BE49-F238E27FC236}">
              <a16:creationId xmlns:a16="http://schemas.microsoft.com/office/drawing/2014/main" id="{6966C59E-0485-42CC-B7DB-340AC4DBF70F}"/>
            </a:ext>
            <a:ext uri="{147F2762-F138-4A5C-976F-8EAC2B608ADB}">
              <a16:predDERef xmlns:a16="http://schemas.microsoft.com/office/drawing/2014/main" pred="{FFD59E8A-FA3E-44AE-A248-AD7C118E6B8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4" name="Imagen 8">
          <a:extLst>
            <a:ext uri="{FF2B5EF4-FFF2-40B4-BE49-F238E27FC236}">
              <a16:creationId xmlns:a16="http://schemas.microsoft.com/office/drawing/2014/main" id="{FBFC5DDA-FB6B-4165-8D30-B230E888B698}"/>
            </a:ext>
            <a:ext uri="{147F2762-F138-4A5C-976F-8EAC2B608ADB}">
              <a16:predDERef xmlns:a16="http://schemas.microsoft.com/office/drawing/2014/main" pred="{A7D9E89A-E923-41BF-B19B-687AD5078E4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5" name="Imagen 9">
          <a:extLst>
            <a:ext uri="{FF2B5EF4-FFF2-40B4-BE49-F238E27FC236}">
              <a16:creationId xmlns:a16="http://schemas.microsoft.com/office/drawing/2014/main" id="{93F173D4-B0CE-4214-9597-2A2E26EF19B9}"/>
            </a:ext>
            <a:ext uri="{147F2762-F138-4A5C-976F-8EAC2B608ADB}">
              <a16:predDERef xmlns:a16="http://schemas.microsoft.com/office/drawing/2014/main" pred="{5385E3AA-E4CF-4DED-B04D-6142BADBC8F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6" name="Imagen 10">
          <a:extLst>
            <a:ext uri="{FF2B5EF4-FFF2-40B4-BE49-F238E27FC236}">
              <a16:creationId xmlns:a16="http://schemas.microsoft.com/office/drawing/2014/main" id="{AB39CAB6-A2D9-47AC-A05B-8052D5558A55}"/>
            </a:ext>
            <a:ext uri="{147F2762-F138-4A5C-976F-8EAC2B608ADB}">
              <a16:predDERef xmlns:a16="http://schemas.microsoft.com/office/drawing/2014/main" pred="{4C094FD3-58AA-43EC-ADEC-ADF803246D1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7" name="Imagen 11">
          <a:extLst>
            <a:ext uri="{FF2B5EF4-FFF2-40B4-BE49-F238E27FC236}">
              <a16:creationId xmlns:a16="http://schemas.microsoft.com/office/drawing/2014/main" id="{41F633BD-B3D6-403E-89D0-0BB4CD661EA5}"/>
            </a:ext>
            <a:ext uri="{147F2762-F138-4A5C-976F-8EAC2B608ADB}">
              <a16:predDERef xmlns:a16="http://schemas.microsoft.com/office/drawing/2014/main" pred="{C2A208AE-4556-48F4-AD18-7E81EA7CEF4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8" name="Imagen 12">
          <a:extLst>
            <a:ext uri="{FF2B5EF4-FFF2-40B4-BE49-F238E27FC236}">
              <a16:creationId xmlns:a16="http://schemas.microsoft.com/office/drawing/2014/main" id="{B7FD98CB-5090-41FF-8EE9-1AACEE93BDE6}"/>
            </a:ext>
            <a:ext uri="{147F2762-F138-4A5C-976F-8EAC2B608ADB}">
              <a16:predDERef xmlns:a16="http://schemas.microsoft.com/office/drawing/2014/main" pred="{F5947EA7-D2E0-4D7A-93C4-86B50D875A3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9" name="Imagen 2">
          <a:extLst>
            <a:ext uri="{FF2B5EF4-FFF2-40B4-BE49-F238E27FC236}">
              <a16:creationId xmlns:a16="http://schemas.microsoft.com/office/drawing/2014/main" id="{553A01A4-1532-454C-8E40-3F0F17B17223}"/>
            </a:ext>
            <a:ext uri="{147F2762-F138-4A5C-976F-8EAC2B608ADB}">
              <a16:predDERef xmlns:a16="http://schemas.microsoft.com/office/drawing/2014/main" pred="{1335F8E2-BB23-4837-9967-4CF0EB3B9B1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0" name="Imagen 3">
          <a:extLst>
            <a:ext uri="{FF2B5EF4-FFF2-40B4-BE49-F238E27FC236}">
              <a16:creationId xmlns:a16="http://schemas.microsoft.com/office/drawing/2014/main" id="{428B9500-830B-497E-9B38-C966F7DE13EF}"/>
            </a:ext>
            <a:ext uri="{147F2762-F138-4A5C-976F-8EAC2B608ADB}">
              <a16:predDERef xmlns:a16="http://schemas.microsoft.com/office/drawing/2014/main" pred="{81417F71-CFC1-4E6C-AD58-E0365C303B9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1" name="Imagen 4">
          <a:extLst>
            <a:ext uri="{FF2B5EF4-FFF2-40B4-BE49-F238E27FC236}">
              <a16:creationId xmlns:a16="http://schemas.microsoft.com/office/drawing/2014/main" id="{5B6DFA79-03D4-4AB9-BB0D-39EB17E2196F}"/>
            </a:ext>
            <a:ext uri="{147F2762-F138-4A5C-976F-8EAC2B608ADB}">
              <a16:predDERef xmlns:a16="http://schemas.microsoft.com/office/drawing/2014/main" pred="{8A699036-1474-4E09-B24F-94B40576D22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2" name="Imagen 5">
          <a:extLst>
            <a:ext uri="{FF2B5EF4-FFF2-40B4-BE49-F238E27FC236}">
              <a16:creationId xmlns:a16="http://schemas.microsoft.com/office/drawing/2014/main" id="{57ECBB1C-082A-47B2-91E1-F7503C8EE85E}"/>
            </a:ext>
            <a:ext uri="{147F2762-F138-4A5C-976F-8EAC2B608ADB}">
              <a16:predDERef xmlns:a16="http://schemas.microsoft.com/office/drawing/2014/main" pred="{EC8F2013-8986-4B41-9F89-1BFB2D2CDCC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3" name="Imagen 6">
          <a:extLst>
            <a:ext uri="{FF2B5EF4-FFF2-40B4-BE49-F238E27FC236}">
              <a16:creationId xmlns:a16="http://schemas.microsoft.com/office/drawing/2014/main" id="{B1734696-B7C7-4AA3-B482-F92BD580B0B6}"/>
            </a:ext>
            <a:ext uri="{147F2762-F138-4A5C-976F-8EAC2B608ADB}">
              <a16:predDERef xmlns:a16="http://schemas.microsoft.com/office/drawing/2014/main" pred="{6AD5EE9B-8033-465A-AD59-0FF12F21810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4" name="Imagen 7">
          <a:extLst>
            <a:ext uri="{FF2B5EF4-FFF2-40B4-BE49-F238E27FC236}">
              <a16:creationId xmlns:a16="http://schemas.microsoft.com/office/drawing/2014/main" id="{4696C378-61FC-43CC-AE70-6F04A1041BFD}"/>
            </a:ext>
            <a:ext uri="{147F2762-F138-4A5C-976F-8EAC2B608ADB}">
              <a16:predDERef xmlns:a16="http://schemas.microsoft.com/office/drawing/2014/main" pred="{FA6F4607-5C36-4226-95C6-415FF03F02C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5" name="Imagen 8">
          <a:extLst>
            <a:ext uri="{FF2B5EF4-FFF2-40B4-BE49-F238E27FC236}">
              <a16:creationId xmlns:a16="http://schemas.microsoft.com/office/drawing/2014/main" id="{1E133DC9-2086-45BE-BAD1-4418B8C4863F}"/>
            </a:ext>
            <a:ext uri="{147F2762-F138-4A5C-976F-8EAC2B608ADB}">
              <a16:predDERef xmlns:a16="http://schemas.microsoft.com/office/drawing/2014/main" pred="{630DBA13-D2ED-4DD2-BAFE-D6EE091F09A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6" name="Imagen 9">
          <a:extLst>
            <a:ext uri="{FF2B5EF4-FFF2-40B4-BE49-F238E27FC236}">
              <a16:creationId xmlns:a16="http://schemas.microsoft.com/office/drawing/2014/main" id="{559D7027-B039-4E39-974C-4EB1B328C122}"/>
            </a:ext>
            <a:ext uri="{147F2762-F138-4A5C-976F-8EAC2B608ADB}">
              <a16:predDERef xmlns:a16="http://schemas.microsoft.com/office/drawing/2014/main" pred="{82748441-2EA9-429C-9C69-7DBC8AEABCC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7" name="Imagen 10">
          <a:extLst>
            <a:ext uri="{FF2B5EF4-FFF2-40B4-BE49-F238E27FC236}">
              <a16:creationId xmlns:a16="http://schemas.microsoft.com/office/drawing/2014/main" id="{60B7D833-28B0-43F5-8379-E8F40E62F7E1}"/>
            </a:ext>
            <a:ext uri="{147F2762-F138-4A5C-976F-8EAC2B608ADB}">
              <a16:predDERef xmlns:a16="http://schemas.microsoft.com/office/drawing/2014/main" pred="{DCE70413-78D0-4F39-AFE0-C5E163206A3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8" name="Imagen 11">
          <a:extLst>
            <a:ext uri="{FF2B5EF4-FFF2-40B4-BE49-F238E27FC236}">
              <a16:creationId xmlns:a16="http://schemas.microsoft.com/office/drawing/2014/main" id="{DB6C29B3-CB3E-40FB-989F-71C9F0B3DF43}"/>
            </a:ext>
            <a:ext uri="{147F2762-F138-4A5C-976F-8EAC2B608ADB}">
              <a16:predDERef xmlns:a16="http://schemas.microsoft.com/office/drawing/2014/main" pred="{E19DBA38-DF47-43FE-8FF8-CF71B9668C6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9" name="Imagen 12">
          <a:extLst>
            <a:ext uri="{FF2B5EF4-FFF2-40B4-BE49-F238E27FC236}">
              <a16:creationId xmlns:a16="http://schemas.microsoft.com/office/drawing/2014/main" id="{438352D3-560F-4C0E-B066-12477BB9A04D}"/>
            </a:ext>
            <a:ext uri="{147F2762-F138-4A5C-976F-8EAC2B608ADB}">
              <a16:predDERef xmlns:a16="http://schemas.microsoft.com/office/drawing/2014/main" pred="{0CCBCFBE-70DA-40E2-A8FE-D4E999AD711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0" name="Imagen 2">
          <a:extLst>
            <a:ext uri="{FF2B5EF4-FFF2-40B4-BE49-F238E27FC236}">
              <a16:creationId xmlns:a16="http://schemas.microsoft.com/office/drawing/2014/main" id="{8BEA26C8-3924-4C1A-9105-A8957049E2D8}"/>
            </a:ext>
            <a:ext uri="{147F2762-F138-4A5C-976F-8EAC2B608ADB}">
              <a16:predDERef xmlns:a16="http://schemas.microsoft.com/office/drawing/2014/main" pred="{4ED5A2F1-B2B3-4232-8E5E-48FBCF06CF8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1" name="Imagen 3">
          <a:extLst>
            <a:ext uri="{FF2B5EF4-FFF2-40B4-BE49-F238E27FC236}">
              <a16:creationId xmlns:a16="http://schemas.microsoft.com/office/drawing/2014/main" id="{CE3B07C9-7658-4A2C-8DF3-265EAB4DAF83}"/>
            </a:ext>
            <a:ext uri="{147F2762-F138-4A5C-976F-8EAC2B608ADB}">
              <a16:predDERef xmlns:a16="http://schemas.microsoft.com/office/drawing/2014/main" pred="{E2AC63E1-0862-4345-9261-35C612C8BC1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2" name="Imagen 4">
          <a:extLst>
            <a:ext uri="{FF2B5EF4-FFF2-40B4-BE49-F238E27FC236}">
              <a16:creationId xmlns:a16="http://schemas.microsoft.com/office/drawing/2014/main" id="{5BEEC5E4-3429-4479-8E12-C67D1640943B}"/>
            </a:ext>
            <a:ext uri="{147F2762-F138-4A5C-976F-8EAC2B608ADB}">
              <a16:predDERef xmlns:a16="http://schemas.microsoft.com/office/drawing/2014/main" pred="{EF2E98E4-0326-4CF4-BADA-30EAFC8AEEB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3" name="Imagen 5">
          <a:extLst>
            <a:ext uri="{FF2B5EF4-FFF2-40B4-BE49-F238E27FC236}">
              <a16:creationId xmlns:a16="http://schemas.microsoft.com/office/drawing/2014/main" id="{767D324C-5C2B-4A5F-8B50-D4C476A679A6}"/>
            </a:ext>
            <a:ext uri="{147F2762-F138-4A5C-976F-8EAC2B608ADB}">
              <a16:predDERef xmlns:a16="http://schemas.microsoft.com/office/drawing/2014/main" pred="{C0EF754E-2CA4-4CE9-98B4-2988DFF7F30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4" name="Imagen 6">
          <a:extLst>
            <a:ext uri="{FF2B5EF4-FFF2-40B4-BE49-F238E27FC236}">
              <a16:creationId xmlns:a16="http://schemas.microsoft.com/office/drawing/2014/main" id="{AD9F4548-43F8-40FE-9452-63F269AFA70D}"/>
            </a:ext>
            <a:ext uri="{147F2762-F138-4A5C-976F-8EAC2B608ADB}">
              <a16:predDERef xmlns:a16="http://schemas.microsoft.com/office/drawing/2014/main" pred="{BED49ACC-0798-427F-AE9D-91BC4EEF04C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5" name="Imagen 7">
          <a:extLst>
            <a:ext uri="{FF2B5EF4-FFF2-40B4-BE49-F238E27FC236}">
              <a16:creationId xmlns:a16="http://schemas.microsoft.com/office/drawing/2014/main" id="{F13D8F27-2A2F-48AA-B17A-D14447B26828}"/>
            </a:ext>
            <a:ext uri="{147F2762-F138-4A5C-976F-8EAC2B608ADB}">
              <a16:predDERef xmlns:a16="http://schemas.microsoft.com/office/drawing/2014/main" pred="{7FFFC689-CEDE-42A6-A89B-0F31A0DB661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6" name="Imagen 8">
          <a:extLst>
            <a:ext uri="{FF2B5EF4-FFF2-40B4-BE49-F238E27FC236}">
              <a16:creationId xmlns:a16="http://schemas.microsoft.com/office/drawing/2014/main" id="{DE976769-C649-4A3F-82EA-E1336F8AB96F}"/>
            </a:ext>
            <a:ext uri="{147F2762-F138-4A5C-976F-8EAC2B608ADB}">
              <a16:predDERef xmlns:a16="http://schemas.microsoft.com/office/drawing/2014/main" pred="{A793877E-F06D-45AF-BF8D-1B51D1C85D5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7" name="Imagen 9">
          <a:extLst>
            <a:ext uri="{FF2B5EF4-FFF2-40B4-BE49-F238E27FC236}">
              <a16:creationId xmlns:a16="http://schemas.microsoft.com/office/drawing/2014/main" id="{6ABD08F4-3633-4B47-A695-69BD5535D832}"/>
            </a:ext>
            <a:ext uri="{147F2762-F138-4A5C-976F-8EAC2B608ADB}">
              <a16:predDERef xmlns:a16="http://schemas.microsoft.com/office/drawing/2014/main" pred="{A795596F-1300-4175-B858-DAD37886DC8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8" name="Imagen 10">
          <a:extLst>
            <a:ext uri="{FF2B5EF4-FFF2-40B4-BE49-F238E27FC236}">
              <a16:creationId xmlns:a16="http://schemas.microsoft.com/office/drawing/2014/main" id="{37D4B595-8C5F-49B7-B55B-59310E1927AC}"/>
            </a:ext>
            <a:ext uri="{147F2762-F138-4A5C-976F-8EAC2B608ADB}">
              <a16:predDERef xmlns:a16="http://schemas.microsoft.com/office/drawing/2014/main" pred="{5F582A9D-1531-4749-AF55-B52F64781E5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9" name="Imagen 11">
          <a:extLst>
            <a:ext uri="{FF2B5EF4-FFF2-40B4-BE49-F238E27FC236}">
              <a16:creationId xmlns:a16="http://schemas.microsoft.com/office/drawing/2014/main" id="{7054CDBF-7EDD-4F9A-BD35-116FE68B834E}"/>
            </a:ext>
            <a:ext uri="{147F2762-F138-4A5C-976F-8EAC2B608ADB}">
              <a16:predDERef xmlns:a16="http://schemas.microsoft.com/office/drawing/2014/main" pred="{CF55E00F-F6B9-4B72-BD3A-6EA4BD59D53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0" name="Imagen 12">
          <a:extLst>
            <a:ext uri="{FF2B5EF4-FFF2-40B4-BE49-F238E27FC236}">
              <a16:creationId xmlns:a16="http://schemas.microsoft.com/office/drawing/2014/main" id="{B11B77FE-4887-46C0-B1C2-1FA2458DEE27}"/>
            </a:ext>
            <a:ext uri="{147F2762-F138-4A5C-976F-8EAC2B608ADB}">
              <a16:predDERef xmlns:a16="http://schemas.microsoft.com/office/drawing/2014/main" pred="{A021BE6D-BA27-44C5-985C-28DB0451D5B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1" name="Imagen 2">
          <a:extLst>
            <a:ext uri="{FF2B5EF4-FFF2-40B4-BE49-F238E27FC236}">
              <a16:creationId xmlns:a16="http://schemas.microsoft.com/office/drawing/2014/main" id="{7E85D956-F5DD-4E01-B12F-1131D6292E9C}"/>
            </a:ext>
            <a:ext uri="{147F2762-F138-4A5C-976F-8EAC2B608ADB}">
              <a16:predDERef xmlns:a16="http://schemas.microsoft.com/office/drawing/2014/main" pred="{F4FBE23D-9153-4A65-A92E-B51C4DFC889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2" name="Imagen 3">
          <a:extLst>
            <a:ext uri="{FF2B5EF4-FFF2-40B4-BE49-F238E27FC236}">
              <a16:creationId xmlns:a16="http://schemas.microsoft.com/office/drawing/2014/main" id="{F54F0488-63DF-4727-B8DB-8DB0516E447B}"/>
            </a:ext>
            <a:ext uri="{147F2762-F138-4A5C-976F-8EAC2B608ADB}">
              <a16:predDERef xmlns:a16="http://schemas.microsoft.com/office/drawing/2014/main" pred="{CC265FC7-F218-48CD-9987-375EC1C1931B}"/>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3" name="Imagen 4">
          <a:extLst>
            <a:ext uri="{FF2B5EF4-FFF2-40B4-BE49-F238E27FC236}">
              <a16:creationId xmlns:a16="http://schemas.microsoft.com/office/drawing/2014/main" id="{A5918729-28DE-4696-8D84-240AE343F56A}"/>
            </a:ext>
            <a:ext uri="{147F2762-F138-4A5C-976F-8EAC2B608ADB}">
              <a16:predDERef xmlns:a16="http://schemas.microsoft.com/office/drawing/2014/main" pred="{4059B6D5-00C7-46C3-BC00-B74BCF01C00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4" name="Imagen 5">
          <a:extLst>
            <a:ext uri="{FF2B5EF4-FFF2-40B4-BE49-F238E27FC236}">
              <a16:creationId xmlns:a16="http://schemas.microsoft.com/office/drawing/2014/main" id="{ABFF47E1-C4F2-48DC-BEF2-32523B823C2C}"/>
            </a:ext>
            <a:ext uri="{147F2762-F138-4A5C-976F-8EAC2B608ADB}">
              <a16:predDERef xmlns:a16="http://schemas.microsoft.com/office/drawing/2014/main" pred="{5986129D-7AE8-4FD7-AC30-0A6E4A0D062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5" name="Imagen 6">
          <a:extLst>
            <a:ext uri="{FF2B5EF4-FFF2-40B4-BE49-F238E27FC236}">
              <a16:creationId xmlns:a16="http://schemas.microsoft.com/office/drawing/2014/main" id="{73B4CEFC-AF64-44B0-A187-553FFA2E1304}"/>
            </a:ext>
            <a:ext uri="{147F2762-F138-4A5C-976F-8EAC2B608ADB}">
              <a16:predDERef xmlns:a16="http://schemas.microsoft.com/office/drawing/2014/main" pred="{81CA7618-4621-49F6-94A1-C9649B9DC5E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6" name="Imagen 7">
          <a:extLst>
            <a:ext uri="{FF2B5EF4-FFF2-40B4-BE49-F238E27FC236}">
              <a16:creationId xmlns:a16="http://schemas.microsoft.com/office/drawing/2014/main" id="{620E2DCD-B6F5-4EF1-BFF8-92725FA617EA}"/>
            </a:ext>
            <a:ext uri="{147F2762-F138-4A5C-976F-8EAC2B608ADB}">
              <a16:predDERef xmlns:a16="http://schemas.microsoft.com/office/drawing/2014/main" pred="{BEC5047B-F70A-4F9C-8C33-868723D7417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7" name="Imagen 8">
          <a:extLst>
            <a:ext uri="{FF2B5EF4-FFF2-40B4-BE49-F238E27FC236}">
              <a16:creationId xmlns:a16="http://schemas.microsoft.com/office/drawing/2014/main" id="{3D9FE625-AD4B-4B64-8468-8F51403B2CE6}"/>
            </a:ext>
            <a:ext uri="{147F2762-F138-4A5C-976F-8EAC2B608ADB}">
              <a16:predDERef xmlns:a16="http://schemas.microsoft.com/office/drawing/2014/main" pred="{C9999646-1FA4-4561-815A-BFD6367682F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8" name="Imagen 9">
          <a:extLst>
            <a:ext uri="{FF2B5EF4-FFF2-40B4-BE49-F238E27FC236}">
              <a16:creationId xmlns:a16="http://schemas.microsoft.com/office/drawing/2014/main" id="{1BD53397-24CE-47FF-9C77-538901434B56}"/>
            </a:ext>
            <a:ext uri="{147F2762-F138-4A5C-976F-8EAC2B608ADB}">
              <a16:predDERef xmlns:a16="http://schemas.microsoft.com/office/drawing/2014/main" pred="{D22CD572-CB54-4CBC-A64E-DBB50D1CF95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9" name="Imagen 10">
          <a:extLst>
            <a:ext uri="{FF2B5EF4-FFF2-40B4-BE49-F238E27FC236}">
              <a16:creationId xmlns:a16="http://schemas.microsoft.com/office/drawing/2014/main" id="{EA2466A2-1D24-40DC-82F9-11DC345C035E}"/>
            </a:ext>
            <a:ext uri="{147F2762-F138-4A5C-976F-8EAC2B608ADB}">
              <a16:predDERef xmlns:a16="http://schemas.microsoft.com/office/drawing/2014/main" pred="{86D96231-0F88-4870-9624-B2821D312DB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0" name="Imagen 11">
          <a:extLst>
            <a:ext uri="{FF2B5EF4-FFF2-40B4-BE49-F238E27FC236}">
              <a16:creationId xmlns:a16="http://schemas.microsoft.com/office/drawing/2014/main" id="{7C86997A-9724-42B5-ABC6-4E7E448F2902}"/>
            </a:ext>
            <a:ext uri="{147F2762-F138-4A5C-976F-8EAC2B608ADB}">
              <a16:predDERef xmlns:a16="http://schemas.microsoft.com/office/drawing/2014/main" pred="{0E95D2C0-9056-406C-8102-6491FE13AFD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1" name="Imagen 12">
          <a:extLst>
            <a:ext uri="{FF2B5EF4-FFF2-40B4-BE49-F238E27FC236}">
              <a16:creationId xmlns:a16="http://schemas.microsoft.com/office/drawing/2014/main" id="{FD666316-F0E1-4CC3-9A98-BDF52BC500F4}"/>
            </a:ext>
            <a:ext uri="{147F2762-F138-4A5C-976F-8EAC2B608ADB}">
              <a16:predDERef xmlns:a16="http://schemas.microsoft.com/office/drawing/2014/main" pred="{DF3CFF16-F60F-42CD-92B2-2F29DC5D9CB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2" name="Imagen 2">
          <a:extLst>
            <a:ext uri="{FF2B5EF4-FFF2-40B4-BE49-F238E27FC236}">
              <a16:creationId xmlns:a16="http://schemas.microsoft.com/office/drawing/2014/main" id="{0484DD28-44B3-4890-B084-6D25C3A85AD2}"/>
            </a:ext>
            <a:ext uri="{147F2762-F138-4A5C-976F-8EAC2B608ADB}">
              <a16:predDERef xmlns:a16="http://schemas.microsoft.com/office/drawing/2014/main" pred="{14EF40F9-B01D-41C1-B509-C37CF643B51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3" name="Imagen 3">
          <a:extLst>
            <a:ext uri="{FF2B5EF4-FFF2-40B4-BE49-F238E27FC236}">
              <a16:creationId xmlns:a16="http://schemas.microsoft.com/office/drawing/2014/main" id="{8ECF5065-0198-47D2-AFAF-EDD9DB4DC612}"/>
            </a:ext>
            <a:ext uri="{147F2762-F138-4A5C-976F-8EAC2B608ADB}">
              <a16:predDERef xmlns:a16="http://schemas.microsoft.com/office/drawing/2014/main" pred="{421C83F0-F0BF-4EE0-A16B-AE2B750F24D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4" name="Imagen 4">
          <a:extLst>
            <a:ext uri="{FF2B5EF4-FFF2-40B4-BE49-F238E27FC236}">
              <a16:creationId xmlns:a16="http://schemas.microsoft.com/office/drawing/2014/main" id="{0692F962-85C1-42BA-9C2B-AA79A674C578}"/>
            </a:ext>
            <a:ext uri="{147F2762-F138-4A5C-976F-8EAC2B608ADB}">
              <a16:predDERef xmlns:a16="http://schemas.microsoft.com/office/drawing/2014/main" pred="{2CDB05CE-AC4E-4DAD-962B-B11DEDE109F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5" name="Imagen 5">
          <a:extLst>
            <a:ext uri="{FF2B5EF4-FFF2-40B4-BE49-F238E27FC236}">
              <a16:creationId xmlns:a16="http://schemas.microsoft.com/office/drawing/2014/main" id="{2273EC3C-3B90-409E-A2DF-D08B6003B409}"/>
            </a:ext>
            <a:ext uri="{147F2762-F138-4A5C-976F-8EAC2B608ADB}">
              <a16:predDERef xmlns:a16="http://schemas.microsoft.com/office/drawing/2014/main" pred="{6C26D4DC-6DF2-4070-A75D-9D4C12FF928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6" name="Imagen 6">
          <a:extLst>
            <a:ext uri="{FF2B5EF4-FFF2-40B4-BE49-F238E27FC236}">
              <a16:creationId xmlns:a16="http://schemas.microsoft.com/office/drawing/2014/main" id="{24C3D851-2D2F-495F-940C-686CFF187DF2}"/>
            </a:ext>
            <a:ext uri="{147F2762-F138-4A5C-976F-8EAC2B608ADB}">
              <a16:predDERef xmlns:a16="http://schemas.microsoft.com/office/drawing/2014/main" pred="{A225F3DA-C212-4D76-AE40-1AA2E148ECC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7" name="Imagen 7">
          <a:extLst>
            <a:ext uri="{FF2B5EF4-FFF2-40B4-BE49-F238E27FC236}">
              <a16:creationId xmlns:a16="http://schemas.microsoft.com/office/drawing/2014/main" id="{1DAAC01F-7462-4C06-91FD-032BBDD6E335}"/>
            </a:ext>
            <a:ext uri="{147F2762-F138-4A5C-976F-8EAC2B608ADB}">
              <a16:predDERef xmlns:a16="http://schemas.microsoft.com/office/drawing/2014/main" pred="{E69F0984-2548-47FF-895F-6345ECCC81F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8" name="Imagen 8">
          <a:extLst>
            <a:ext uri="{FF2B5EF4-FFF2-40B4-BE49-F238E27FC236}">
              <a16:creationId xmlns:a16="http://schemas.microsoft.com/office/drawing/2014/main" id="{9CCC8A64-A117-46FA-A596-8A3C1BBE6B18}"/>
            </a:ext>
            <a:ext uri="{147F2762-F138-4A5C-976F-8EAC2B608ADB}">
              <a16:predDERef xmlns:a16="http://schemas.microsoft.com/office/drawing/2014/main" pred="{FEBC54A8-EC1C-43BE-8990-158E9A018D9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9" name="Imagen 9">
          <a:extLst>
            <a:ext uri="{FF2B5EF4-FFF2-40B4-BE49-F238E27FC236}">
              <a16:creationId xmlns:a16="http://schemas.microsoft.com/office/drawing/2014/main" id="{E21F6DD0-5225-49FA-A5C2-E55BB4E2F710}"/>
            </a:ext>
            <a:ext uri="{147F2762-F138-4A5C-976F-8EAC2B608ADB}">
              <a16:predDERef xmlns:a16="http://schemas.microsoft.com/office/drawing/2014/main" pred="{53E12AF5-6D4D-4ACA-B68F-DF00884705E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0" name="Imagen 10">
          <a:extLst>
            <a:ext uri="{FF2B5EF4-FFF2-40B4-BE49-F238E27FC236}">
              <a16:creationId xmlns:a16="http://schemas.microsoft.com/office/drawing/2014/main" id="{5B4051EC-4919-4218-B04F-F5CD6C8544CF}"/>
            </a:ext>
            <a:ext uri="{147F2762-F138-4A5C-976F-8EAC2B608ADB}">
              <a16:predDERef xmlns:a16="http://schemas.microsoft.com/office/drawing/2014/main" pred="{F800ABEF-A4FD-4CE8-B8B8-A0B3597462E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1" name="Imagen 11">
          <a:extLst>
            <a:ext uri="{FF2B5EF4-FFF2-40B4-BE49-F238E27FC236}">
              <a16:creationId xmlns:a16="http://schemas.microsoft.com/office/drawing/2014/main" id="{CFA02319-8A04-4086-BB13-15813FCB9487}"/>
            </a:ext>
            <a:ext uri="{147F2762-F138-4A5C-976F-8EAC2B608ADB}">
              <a16:predDERef xmlns:a16="http://schemas.microsoft.com/office/drawing/2014/main" pred="{AC84C772-7F3D-45EA-B470-89A44505703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2" name="Imagen 12">
          <a:extLst>
            <a:ext uri="{FF2B5EF4-FFF2-40B4-BE49-F238E27FC236}">
              <a16:creationId xmlns:a16="http://schemas.microsoft.com/office/drawing/2014/main" id="{05B8BA53-C9F1-4344-8B85-747C44F4E15D}"/>
            </a:ext>
            <a:ext uri="{147F2762-F138-4A5C-976F-8EAC2B608ADB}">
              <a16:predDERef xmlns:a16="http://schemas.microsoft.com/office/drawing/2014/main" pred="{FFAFB9C7-4102-41D8-B175-720D3FF80C2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3" name="Imagen 2">
          <a:extLst>
            <a:ext uri="{FF2B5EF4-FFF2-40B4-BE49-F238E27FC236}">
              <a16:creationId xmlns:a16="http://schemas.microsoft.com/office/drawing/2014/main" id="{3C936CFE-A5D2-4EA8-8C5E-9945CDE69CAF}"/>
            </a:ext>
            <a:ext uri="{147F2762-F138-4A5C-976F-8EAC2B608ADB}">
              <a16:predDERef xmlns:a16="http://schemas.microsoft.com/office/drawing/2014/main" pred="{E57EEDB6-1E12-40E2-9078-FD54C5659C6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4" name="Imagen 3">
          <a:extLst>
            <a:ext uri="{FF2B5EF4-FFF2-40B4-BE49-F238E27FC236}">
              <a16:creationId xmlns:a16="http://schemas.microsoft.com/office/drawing/2014/main" id="{E23C5C78-927C-4CDF-B8C1-CBBABC14E410}"/>
            </a:ext>
            <a:ext uri="{147F2762-F138-4A5C-976F-8EAC2B608ADB}">
              <a16:predDERef xmlns:a16="http://schemas.microsoft.com/office/drawing/2014/main" pred="{1A3BAF6F-902B-4771-85F2-B8A8FA6CFC3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5" name="Imagen 4">
          <a:extLst>
            <a:ext uri="{FF2B5EF4-FFF2-40B4-BE49-F238E27FC236}">
              <a16:creationId xmlns:a16="http://schemas.microsoft.com/office/drawing/2014/main" id="{AE66F589-6278-4CBF-BD2F-0C21EE589EC7}"/>
            </a:ext>
            <a:ext uri="{147F2762-F138-4A5C-976F-8EAC2B608ADB}">
              <a16:predDERef xmlns:a16="http://schemas.microsoft.com/office/drawing/2014/main" pred="{79DA88A7-1D90-4B79-B6F9-AF1C0570FB0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6" name="Imagen 5">
          <a:extLst>
            <a:ext uri="{FF2B5EF4-FFF2-40B4-BE49-F238E27FC236}">
              <a16:creationId xmlns:a16="http://schemas.microsoft.com/office/drawing/2014/main" id="{D69DC856-6BDA-4E1F-93FD-C2C75DE3593C}"/>
            </a:ext>
            <a:ext uri="{147F2762-F138-4A5C-976F-8EAC2B608ADB}">
              <a16:predDERef xmlns:a16="http://schemas.microsoft.com/office/drawing/2014/main" pred="{23EA1503-8F3A-4DBA-A2AF-28205AB08C5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7" name="Imagen 6">
          <a:extLst>
            <a:ext uri="{FF2B5EF4-FFF2-40B4-BE49-F238E27FC236}">
              <a16:creationId xmlns:a16="http://schemas.microsoft.com/office/drawing/2014/main" id="{F409065F-E707-4ABD-9019-455CB7164CD9}"/>
            </a:ext>
            <a:ext uri="{147F2762-F138-4A5C-976F-8EAC2B608ADB}">
              <a16:predDERef xmlns:a16="http://schemas.microsoft.com/office/drawing/2014/main" pred="{F4D4C6D9-B872-4B81-A5A1-42C7C23E9B4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8" name="Imagen 7">
          <a:extLst>
            <a:ext uri="{FF2B5EF4-FFF2-40B4-BE49-F238E27FC236}">
              <a16:creationId xmlns:a16="http://schemas.microsoft.com/office/drawing/2014/main" id="{B0AE8CD9-BF98-4D18-94A9-FD16D4328F2B}"/>
            </a:ext>
            <a:ext uri="{147F2762-F138-4A5C-976F-8EAC2B608ADB}">
              <a16:predDERef xmlns:a16="http://schemas.microsoft.com/office/drawing/2014/main" pred="{0700042C-5BCF-4208-827C-93AAD9DF9B6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9" name="Imagen 8">
          <a:extLst>
            <a:ext uri="{FF2B5EF4-FFF2-40B4-BE49-F238E27FC236}">
              <a16:creationId xmlns:a16="http://schemas.microsoft.com/office/drawing/2014/main" id="{07A5E402-7E80-4B34-AFDE-8C59D4B1E91A}"/>
            </a:ext>
            <a:ext uri="{147F2762-F138-4A5C-976F-8EAC2B608ADB}">
              <a16:predDERef xmlns:a16="http://schemas.microsoft.com/office/drawing/2014/main" pred="{AE53E94D-CD3A-4F80-9836-B531D959BE4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0" name="Imagen 9">
          <a:extLst>
            <a:ext uri="{FF2B5EF4-FFF2-40B4-BE49-F238E27FC236}">
              <a16:creationId xmlns:a16="http://schemas.microsoft.com/office/drawing/2014/main" id="{3EC6A832-FBD4-4EED-8A10-E23225A86C76}"/>
            </a:ext>
            <a:ext uri="{147F2762-F138-4A5C-976F-8EAC2B608ADB}">
              <a16:predDERef xmlns:a16="http://schemas.microsoft.com/office/drawing/2014/main" pred="{6D6B62C7-C58E-4780-B272-29AEA36F5BC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1" name="Imagen 10">
          <a:extLst>
            <a:ext uri="{FF2B5EF4-FFF2-40B4-BE49-F238E27FC236}">
              <a16:creationId xmlns:a16="http://schemas.microsoft.com/office/drawing/2014/main" id="{6D8F4359-C7C4-4677-AAF2-E2C418F038E1}"/>
            </a:ext>
            <a:ext uri="{147F2762-F138-4A5C-976F-8EAC2B608ADB}">
              <a16:predDERef xmlns:a16="http://schemas.microsoft.com/office/drawing/2014/main" pred="{F6059BD3-615D-4729-BC3E-3DC332D614B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2" name="Imagen 11">
          <a:extLst>
            <a:ext uri="{FF2B5EF4-FFF2-40B4-BE49-F238E27FC236}">
              <a16:creationId xmlns:a16="http://schemas.microsoft.com/office/drawing/2014/main" id="{8245A6B9-1CB5-4CA9-B126-D9E2DEAE76D9}"/>
            </a:ext>
            <a:ext uri="{147F2762-F138-4A5C-976F-8EAC2B608ADB}">
              <a16:predDERef xmlns:a16="http://schemas.microsoft.com/office/drawing/2014/main" pred="{736DAE8B-250C-4D3A-962B-88CFF1FC9A4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3" name="Imagen 12">
          <a:extLst>
            <a:ext uri="{FF2B5EF4-FFF2-40B4-BE49-F238E27FC236}">
              <a16:creationId xmlns:a16="http://schemas.microsoft.com/office/drawing/2014/main" id="{6983F8AA-C176-4453-A8FD-87D8A4D0B540}"/>
            </a:ext>
            <a:ext uri="{147F2762-F138-4A5C-976F-8EAC2B608ADB}">
              <a16:predDERef xmlns:a16="http://schemas.microsoft.com/office/drawing/2014/main" pred="{6DC45B77-B191-4F2D-8FBE-09A3F17CF1E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4" name="Imagen 2">
          <a:extLst>
            <a:ext uri="{FF2B5EF4-FFF2-40B4-BE49-F238E27FC236}">
              <a16:creationId xmlns:a16="http://schemas.microsoft.com/office/drawing/2014/main" id="{7D6ACC9E-56BF-4187-9347-E91D4CB24329}"/>
            </a:ext>
            <a:ext uri="{147F2762-F138-4A5C-976F-8EAC2B608ADB}">
              <a16:predDERef xmlns:a16="http://schemas.microsoft.com/office/drawing/2014/main" pred="{A15B0E97-A14D-4C78-B23E-55565118C67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5" name="Imagen 3">
          <a:extLst>
            <a:ext uri="{FF2B5EF4-FFF2-40B4-BE49-F238E27FC236}">
              <a16:creationId xmlns:a16="http://schemas.microsoft.com/office/drawing/2014/main" id="{455D131A-1B56-41BF-A570-BC610FA91C3F}"/>
            </a:ext>
            <a:ext uri="{147F2762-F138-4A5C-976F-8EAC2B608ADB}">
              <a16:predDERef xmlns:a16="http://schemas.microsoft.com/office/drawing/2014/main" pred="{B67338FB-6D50-46CC-A053-30E9DB2DE6C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6" name="Imagen 4">
          <a:extLst>
            <a:ext uri="{FF2B5EF4-FFF2-40B4-BE49-F238E27FC236}">
              <a16:creationId xmlns:a16="http://schemas.microsoft.com/office/drawing/2014/main" id="{C6D01A7B-B309-47ED-91B6-E187195C1857}"/>
            </a:ext>
            <a:ext uri="{147F2762-F138-4A5C-976F-8EAC2B608ADB}">
              <a16:predDERef xmlns:a16="http://schemas.microsoft.com/office/drawing/2014/main" pred="{7DAA8021-1796-46E6-BB3D-D168B879B8C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7" name="Imagen 5">
          <a:extLst>
            <a:ext uri="{FF2B5EF4-FFF2-40B4-BE49-F238E27FC236}">
              <a16:creationId xmlns:a16="http://schemas.microsoft.com/office/drawing/2014/main" id="{2DBDBE8B-1293-4B8C-BFDF-72DF505BF5C3}"/>
            </a:ext>
            <a:ext uri="{147F2762-F138-4A5C-976F-8EAC2B608ADB}">
              <a16:predDERef xmlns:a16="http://schemas.microsoft.com/office/drawing/2014/main" pred="{2BE628DF-3C27-4681-AFDA-4C378D7427D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8" name="Imagen 6">
          <a:extLst>
            <a:ext uri="{FF2B5EF4-FFF2-40B4-BE49-F238E27FC236}">
              <a16:creationId xmlns:a16="http://schemas.microsoft.com/office/drawing/2014/main" id="{62217552-8CD3-4BA9-8E69-C2C77F9C412E}"/>
            </a:ext>
            <a:ext uri="{147F2762-F138-4A5C-976F-8EAC2B608ADB}">
              <a16:predDERef xmlns:a16="http://schemas.microsoft.com/office/drawing/2014/main" pred="{A7C8DD98-9246-4EA3-811D-8E848729E4F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9" name="Imagen 7">
          <a:extLst>
            <a:ext uri="{FF2B5EF4-FFF2-40B4-BE49-F238E27FC236}">
              <a16:creationId xmlns:a16="http://schemas.microsoft.com/office/drawing/2014/main" id="{91C58044-CA27-47AD-98A5-DAC67CB10AC1}"/>
            </a:ext>
            <a:ext uri="{147F2762-F138-4A5C-976F-8EAC2B608ADB}">
              <a16:predDERef xmlns:a16="http://schemas.microsoft.com/office/drawing/2014/main" pred="{EC066882-7C00-401C-A8C9-45E77CA0218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0" name="Imagen 8">
          <a:extLst>
            <a:ext uri="{FF2B5EF4-FFF2-40B4-BE49-F238E27FC236}">
              <a16:creationId xmlns:a16="http://schemas.microsoft.com/office/drawing/2014/main" id="{8BEC1663-99AD-4223-AFDE-B4AC2E0152B9}"/>
            </a:ext>
            <a:ext uri="{147F2762-F138-4A5C-976F-8EAC2B608ADB}">
              <a16:predDERef xmlns:a16="http://schemas.microsoft.com/office/drawing/2014/main" pred="{A14F557F-9A57-4A48-A91E-7077A0CA3FA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1" name="Imagen 9">
          <a:extLst>
            <a:ext uri="{FF2B5EF4-FFF2-40B4-BE49-F238E27FC236}">
              <a16:creationId xmlns:a16="http://schemas.microsoft.com/office/drawing/2014/main" id="{4B319A6E-387E-4580-9E53-7A0C79D6A02B}"/>
            </a:ext>
            <a:ext uri="{147F2762-F138-4A5C-976F-8EAC2B608ADB}">
              <a16:predDERef xmlns:a16="http://schemas.microsoft.com/office/drawing/2014/main" pred="{627293D7-43C3-4013-9890-27A29E1DA27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2" name="Imagen 10">
          <a:extLst>
            <a:ext uri="{FF2B5EF4-FFF2-40B4-BE49-F238E27FC236}">
              <a16:creationId xmlns:a16="http://schemas.microsoft.com/office/drawing/2014/main" id="{727711B0-FE4A-4B4F-878E-8D4C0084ACE6}"/>
            </a:ext>
            <a:ext uri="{147F2762-F138-4A5C-976F-8EAC2B608ADB}">
              <a16:predDERef xmlns:a16="http://schemas.microsoft.com/office/drawing/2014/main" pred="{BE19056B-CB6B-4DFE-82E5-074CD6B5398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3" name="Imagen 11">
          <a:extLst>
            <a:ext uri="{FF2B5EF4-FFF2-40B4-BE49-F238E27FC236}">
              <a16:creationId xmlns:a16="http://schemas.microsoft.com/office/drawing/2014/main" id="{D9CD7019-62DA-4E3C-9D9A-78FEB4861F48}"/>
            </a:ext>
            <a:ext uri="{147F2762-F138-4A5C-976F-8EAC2B608ADB}">
              <a16:predDERef xmlns:a16="http://schemas.microsoft.com/office/drawing/2014/main" pred="{D870268F-09B5-45A2-A15E-F2852158154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4" name="Imagen 12">
          <a:extLst>
            <a:ext uri="{FF2B5EF4-FFF2-40B4-BE49-F238E27FC236}">
              <a16:creationId xmlns:a16="http://schemas.microsoft.com/office/drawing/2014/main" id="{2CEE9998-FF63-4160-82F6-7DF849790E0E}"/>
            </a:ext>
            <a:ext uri="{147F2762-F138-4A5C-976F-8EAC2B608ADB}">
              <a16:predDERef xmlns:a16="http://schemas.microsoft.com/office/drawing/2014/main" pred="{542D23EB-30D0-4B6B-A2C6-786BD5C040D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5" name="Imagen 2">
          <a:extLst>
            <a:ext uri="{FF2B5EF4-FFF2-40B4-BE49-F238E27FC236}">
              <a16:creationId xmlns:a16="http://schemas.microsoft.com/office/drawing/2014/main" id="{20FAA9C9-476A-4FD9-9901-9C485111CFC8}"/>
            </a:ext>
            <a:ext uri="{147F2762-F138-4A5C-976F-8EAC2B608ADB}">
              <a16:predDERef xmlns:a16="http://schemas.microsoft.com/office/drawing/2014/main" pred="{8FE52581-0A34-407D-A7CF-7E08A4B421BB}"/>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6" name="Imagen 3">
          <a:extLst>
            <a:ext uri="{FF2B5EF4-FFF2-40B4-BE49-F238E27FC236}">
              <a16:creationId xmlns:a16="http://schemas.microsoft.com/office/drawing/2014/main" id="{43348F7D-7A9F-4DE0-BD1A-72FACB15E531}"/>
            </a:ext>
            <a:ext uri="{147F2762-F138-4A5C-976F-8EAC2B608ADB}">
              <a16:predDERef xmlns:a16="http://schemas.microsoft.com/office/drawing/2014/main" pred="{BA6E700F-135B-428B-B672-9F1F2D5C426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7" name="Imagen 4">
          <a:extLst>
            <a:ext uri="{FF2B5EF4-FFF2-40B4-BE49-F238E27FC236}">
              <a16:creationId xmlns:a16="http://schemas.microsoft.com/office/drawing/2014/main" id="{818FA32E-0A56-44B8-B6FB-0D120A53B6B7}"/>
            </a:ext>
            <a:ext uri="{147F2762-F138-4A5C-976F-8EAC2B608ADB}">
              <a16:predDERef xmlns:a16="http://schemas.microsoft.com/office/drawing/2014/main" pred="{EC0E5E87-C3C7-499A-840E-F54B2CE29CA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8" name="Imagen 5">
          <a:extLst>
            <a:ext uri="{FF2B5EF4-FFF2-40B4-BE49-F238E27FC236}">
              <a16:creationId xmlns:a16="http://schemas.microsoft.com/office/drawing/2014/main" id="{4D4D7D99-8EA5-491A-B5AC-0285515B813D}"/>
            </a:ext>
            <a:ext uri="{147F2762-F138-4A5C-976F-8EAC2B608ADB}">
              <a16:predDERef xmlns:a16="http://schemas.microsoft.com/office/drawing/2014/main" pred="{B0F00A1E-07DB-468D-B63A-4C2505DBEE3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9" name="Imagen 6">
          <a:extLst>
            <a:ext uri="{FF2B5EF4-FFF2-40B4-BE49-F238E27FC236}">
              <a16:creationId xmlns:a16="http://schemas.microsoft.com/office/drawing/2014/main" id="{FD61B55E-8526-4DBB-9CB6-C4BB348524EB}"/>
            </a:ext>
            <a:ext uri="{147F2762-F138-4A5C-976F-8EAC2B608ADB}">
              <a16:predDERef xmlns:a16="http://schemas.microsoft.com/office/drawing/2014/main" pred="{3968CFF8-857D-4709-9A4E-C14F0068A68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0" name="Imagen 7">
          <a:extLst>
            <a:ext uri="{FF2B5EF4-FFF2-40B4-BE49-F238E27FC236}">
              <a16:creationId xmlns:a16="http://schemas.microsoft.com/office/drawing/2014/main" id="{7ECC8BA0-B712-4391-951A-55E32C46AD1E}"/>
            </a:ext>
            <a:ext uri="{147F2762-F138-4A5C-976F-8EAC2B608ADB}">
              <a16:predDERef xmlns:a16="http://schemas.microsoft.com/office/drawing/2014/main" pred="{148214B1-D20F-452A-8447-C08A982E9F9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1" name="Imagen 8">
          <a:extLst>
            <a:ext uri="{FF2B5EF4-FFF2-40B4-BE49-F238E27FC236}">
              <a16:creationId xmlns:a16="http://schemas.microsoft.com/office/drawing/2014/main" id="{AFCEBEBC-6248-45FF-BDFF-FE1642214A02}"/>
            </a:ext>
            <a:ext uri="{147F2762-F138-4A5C-976F-8EAC2B608ADB}">
              <a16:predDERef xmlns:a16="http://schemas.microsoft.com/office/drawing/2014/main" pred="{CEB9D77E-6B44-48F1-B251-041DB737A69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2" name="Imagen 9">
          <a:extLst>
            <a:ext uri="{FF2B5EF4-FFF2-40B4-BE49-F238E27FC236}">
              <a16:creationId xmlns:a16="http://schemas.microsoft.com/office/drawing/2014/main" id="{02B4F5EE-1DF3-4AAF-A6F8-F331FA0F5DE5}"/>
            </a:ext>
            <a:ext uri="{147F2762-F138-4A5C-976F-8EAC2B608ADB}">
              <a16:predDERef xmlns:a16="http://schemas.microsoft.com/office/drawing/2014/main" pred="{20346D83-C92C-4F46-AB7C-ECAFF29F1C7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3" name="Imagen 10">
          <a:extLst>
            <a:ext uri="{FF2B5EF4-FFF2-40B4-BE49-F238E27FC236}">
              <a16:creationId xmlns:a16="http://schemas.microsoft.com/office/drawing/2014/main" id="{42F36ED3-DD7D-493F-B847-E5307D9BA0BE}"/>
            </a:ext>
            <a:ext uri="{147F2762-F138-4A5C-976F-8EAC2B608ADB}">
              <a16:predDERef xmlns:a16="http://schemas.microsoft.com/office/drawing/2014/main" pred="{F66970A2-71F0-4E91-B921-34A95B3E0EC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4" name="Imagen 11">
          <a:extLst>
            <a:ext uri="{FF2B5EF4-FFF2-40B4-BE49-F238E27FC236}">
              <a16:creationId xmlns:a16="http://schemas.microsoft.com/office/drawing/2014/main" id="{6ADBE68D-C4C6-41F6-B344-B777288E2EF1}"/>
            </a:ext>
            <a:ext uri="{147F2762-F138-4A5C-976F-8EAC2B608ADB}">
              <a16:predDERef xmlns:a16="http://schemas.microsoft.com/office/drawing/2014/main" pred="{A0CF2160-3475-4DEB-A82E-E4EE5FC37A9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5" name="Imagen 12">
          <a:extLst>
            <a:ext uri="{FF2B5EF4-FFF2-40B4-BE49-F238E27FC236}">
              <a16:creationId xmlns:a16="http://schemas.microsoft.com/office/drawing/2014/main" id="{B2D02B7E-1EC8-40F8-8830-F045385BDA85}"/>
            </a:ext>
            <a:ext uri="{147F2762-F138-4A5C-976F-8EAC2B608ADB}">
              <a16:predDERef xmlns:a16="http://schemas.microsoft.com/office/drawing/2014/main" pred="{44223361-0E16-43F1-A60E-1F59ACF04CC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6" name="Imagen 2">
          <a:extLst>
            <a:ext uri="{FF2B5EF4-FFF2-40B4-BE49-F238E27FC236}">
              <a16:creationId xmlns:a16="http://schemas.microsoft.com/office/drawing/2014/main" id="{F5311D4F-B007-4F25-BFF9-2FB48871E49A}"/>
            </a:ext>
            <a:ext uri="{147F2762-F138-4A5C-976F-8EAC2B608ADB}">
              <a16:predDERef xmlns:a16="http://schemas.microsoft.com/office/drawing/2014/main" pred="{65478E37-457A-43E0-B3EC-214F7993536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7" name="Imagen 3">
          <a:extLst>
            <a:ext uri="{FF2B5EF4-FFF2-40B4-BE49-F238E27FC236}">
              <a16:creationId xmlns:a16="http://schemas.microsoft.com/office/drawing/2014/main" id="{883B7D12-4770-40D0-A801-EDADDC4F964E}"/>
            </a:ext>
            <a:ext uri="{147F2762-F138-4A5C-976F-8EAC2B608ADB}">
              <a16:predDERef xmlns:a16="http://schemas.microsoft.com/office/drawing/2014/main" pred="{993750E2-8E11-4F3A-BEDE-44829B480FD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8" name="Imagen 4">
          <a:extLst>
            <a:ext uri="{FF2B5EF4-FFF2-40B4-BE49-F238E27FC236}">
              <a16:creationId xmlns:a16="http://schemas.microsoft.com/office/drawing/2014/main" id="{EDBCF4F3-48DE-462F-9BAB-5A984110AECB}"/>
            </a:ext>
            <a:ext uri="{147F2762-F138-4A5C-976F-8EAC2B608ADB}">
              <a16:predDERef xmlns:a16="http://schemas.microsoft.com/office/drawing/2014/main" pred="{8AD69883-A714-47D9-B979-A95AAC2C458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9" name="Imagen 5">
          <a:extLst>
            <a:ext uri="{FF2B5EF4-FFF2-40B4-BE49-F238E27FC236}">
              <a16:creationId xmlns:a16="http://schemas.microsoft.com/office/drawing/2014/main" id="{1F1ED04A-9BD0-4CE8-BBF7-865695BE6C5E}"/>
            </a:ext>
            <a:ext uri="{147F2762-F138-4A5C-976F-8EAC2B608ADB}">
              <a16:predDERef xmlns:a16="http://schemas.microsoft.com/office/drawing/2014/main" pred="{640133F6-0870-4FAA-AFE6-C999EFD1479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0" name="Imagen 6">
          <a:extLst>
            <a:ext uri="{FF2B5EF4-FFF2-40B4-BE49-F238E27FC236}">
              <a16:creationId xmlns:a16="http://schemas.microsoft.com/office/drawing/2014/main" id="{87B0A8DB-09F1-4D26-8DDA-6F1773EB5783}"/>
            </a:ext>
            <a:ext uri="{147F2762-F138-4A5C-976F-8EAC2B608ADB}">
              <a16:predDERef xmlns:a16="http://schemas.microsoft.com/office/drawing/2014/main" pred="{F6B14358-3AB2-4851-9ECB-79AEAE79A03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1" name="Imagen 7">
          <a:extLst>
            <a:ext uri="{FF2B5EF4-FFF2-40B4-BE49-F238E27FC236}">
              <a16:creationId xmlns:a16="http://schemas.microsoft.com/office/drawing/2014/main" id="{13F48A57-A854-4600-978A-68244B13047F}"/>
            </a:ext>
            <a:ext uri="{147F2762-F138-4A5C-976F-8EAC2B608ADB}">
              <a16:predDERef xmlns:a16="http://schemas.microsoft.com/office/drawing/2014/main" pred="{CEC34B18-402A-472D-88A5-C279D25164C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2" name="Imagen 8">
          <a:extLst>
            <a:ext uri="{FF2B5EF4-FFF2-40B4-BE49-F238E27FC236}">
              <a16:creationId xmlns:a16="http://schemas.microsoft.com/office/drawing/2014/main" id="{87E5429C-DC77-4469-9093-82E7D9DB649B}"/>
            </a:ext>
            <a:ext uri="{147F2762-F138-4A5C-976F-8EAC2B608ADB}">
              <a16:predDERef xmlns:a16="http://schemas.microsoft.com/office/drawing/2014/main" pred="{33E19A28-DBA2-446B-9285-B7E31E900E0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3" name="Imagen 9">
          <a:extLst>
            <a:ext uri="{FF2B5EF4-FFF2-40B4-BE49-F238E27FC236}">
              <a16:creationId xmlns:a16="http://schemas.microsoft.com/office/drawing/2014/main" id="{B5142BA1-318A-40A0-B52D-AA52248E2E92}"/>
            </a:ext>
            <a:ext uri="{147F2762-F138-4A5C-976F-8EAC2B608ADB}">
              <a16:predDERef xmlns:a16="http://schemas.microsoft.com/office/drawing/2014/main" pred="{03A9C814-353B-4E83-ADAF-37EA15D7F01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4" name="Imagen 10">
          <a:extLst>
            <a:ext uri="{FF2B5EF4-FFF2-40B4-BE49-F238E27FC236}">
              <a16:creationId xmlns:a16="http://schemas.microsoft.com/office/drawing/2014/main" id="{C95ACA47-469A-4C05-9D37-06F05C02B824}"/>
            </a:ext>
            <a:ext uri="{147F2762-F138-4A5C-976F-8EAC2B608ADB}">
              <a16:predDERef xmlns:a16="http://schemas.microsoft.com/office/drawing/2014/main" pred="{C59210D2-7B41-4363-BEB8-900C422481A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5" name="Imagen 11">
          <a:extLst>
            <a:ext uri="{FF2B5EF4-FFF2-40B4-BE49-F238E27FC236}">
              <a16:creationId xmlns:a16="http://schemas.microsoft.com/office/drawing/2014/main" id="{04A8E982-6BA5-4427-A92D-6FBBA21ED84C}"/>
            </a:ext>
            <a:ext uri="{147F2762-F138-4A5C-976F-8EAC2B608ADB}">
              <a16:predDERef xmlns:a16="http://schemas.microsoft.com/office/drawing/2014/main" pred="{378F56B3-AF94-46F3-A518-DE37E531027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6" name="Imagen 12">
          <a:extLst>
            <a:ext uri="{FF2B5EF4-FFF2-40B4-BE49-F238E27FC236}">
              <a16:creationId xmlns:a16="http://schemas.microsoft.com/office/drawing/2014/main" id="{4F3645B3-0556-48FC-AE10-00086D793E12}"/>
            </a:ext>
            <a:ext uri="{147F2762-F138-4A5C-976F-8EAC2B608ADB}">
              <a16:predDERef xmlns:a16="http://schemas.microsoft.com/office/drawing/2014/main" pred="{6E57E4CA-EC5A-43FD-8A74-08EA87459C1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7" name="Imagen 2">
          <a:extLst>
            <a:ext uri="{FF2B5EF4-FFF2-40B4-BE49-F238E27FC236}">
              <a16:creationId xmlns:a16="http://schemas.microsoft.com/office/drawing/2014/main" id="{D4188E5C-459B-4A99-A9B3-E2EB547AB841}"/>
            </a:ext>
            <a:ext uri="{147F2762-F138-4A5C-976F-8EAC2B608ADB}">
              <a16:predDERef xmlns:a16="http://schemas.microsoft.com/office/drawing/2014/main" pred="{EC21A0EA-9A91-4599-863F-4F2F670C947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8" name="Imagen 3">
          <a:extLst>
            <a:ext uri="{FF2B5EF4-FFF2-40B4-BE49-F238E27FC236}">
              <a16:creationId xmlns:a16="http://schemas.microsoft.com/office/drawing/2014/main" id="{254A73BA-4F37-4554-85ED-B8273C667515}"/>
            </a:ext>
            <a:ext uri="{147F2762-F138-4A5C-976F-8EAC2B608ADB}">
              <a16:predDERef xmlns:a16="http://schemas.microsoft.com/office/drawing/2014/main" pred="{CD4CB0B4-B2EA-4F7B-888A-CD7FC7E069F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9" name="Imagen 4">
          <a:extLst>
            <a:ext uri="{FF2B5EF4-FFF2-40B4-BE49-F238E27FC236}">
              <a16:creationId xmlns:a16="http://schemas.microsoft.com/office/drawing/2014/main" id="{67756AB6-0423-4BBA-9E31-229B65F1E53E}"/>
            </a:ext>
            <a:ext uri="{147F2762-F138-4A5C-976F-8EAC2B608ADB}">
              <a16:predDERef xmlns:a16="http://schemas.microsoft.com/office/drawing/2014/main" pred="{3234F0B4-159A-414C-9A7A-963AB3318A7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0" name="Imagen 5">
          <a:extLst>
            <a:ext uri="{FF2B5EF4-FFF2-40B4-BE49-F238E27FC236}">
              <a16:creationId xmlns:a16="http://schemas.microsoft.com/office/drawing/2014/main" id="{0DC28E92-CEEC-4513-B783-3BF54B7664DC}"/>
            </a:ext>
            <a:ext uri="{147F2762-F138-4A5C-976F-8EAC2B608ADB}">
              <a16:predDERef xmlns:a16="http://schemas.microsoft.com/office/drawing/2014/main" pred="{44A62379-7543-4041-9EB9-7CE366E28C2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1" name="Imagen 6">
          <a:extLst>
            <a:ext uri="{FF2B5EF4-FFF2-40B4-BE49-F238E27FC236}">
              <a16:creationId xmlns:a16="http://schemas.microsoft.com/office/drawing/2014/main" id="{0986AEAB-156A-4BE6-B073-451E186D6B0E}"/>
            </a:ext>
            <a:ext uri="{147F2762-F138-4A5C-976F-8EAC2B608ADB}">
              <a16:predDERef xmlns:a16="http://schemas.microsoft.com/office/drawing/2014/main" pred="{55E0F71F-3821-4691-971F-517C7CF6F85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2" name="Imagen 7">
          <a:extLst>
            <a:ext uri="{FF2B5EF4-FFF2-40B4-BE49-F238E27FC236}">
              <a16:creationId xmlns:a16="http://schemas.microsoft.com/office/drawing/2014/main" id="{6E1E3633-1C5A-4B3B-A19D-CFD0E83713D1}"/>
            </a:ext>
            <a:ext uri="{147F2762-F138-4A5C-976F-8EAC2B608ADB}">
              <a16:predDERef xmlns:a16="http://schemas.microsoft.com/office/drawing/2014/main" pred="{8CF86381-C9AB-48FC-82DF-4BFAC75EF58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3" name="Imagen 8">
          <a:extLst>
            <a:ext uri="{FF2B5EF4-FFF2-40B4-BE49-F238E27FC236}">
              <a16:creationId xmlns:a16="http://schemas.microsoft.com/office/drawing/2014/main" id="{83783208-0EDE-4C04-B5A1-0D7076B5622D}"/>
            </a:ext>
            <a:ext uri="{147F2762-F138-4A5C-976F-8EAC2B608ADB}">
              <a16:predDERef xmlns:a16="http://schemas.microsoft.com/office/drawing/2014/main" pred="{E320DC5F-6F9C-4F8B-9E4A-CCF6366AF1C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4" name="Imagen 9">
          <a:extLst>
            <a:ext uri="{FF2B5EF4-FFF2-40B4-BE49-F238E27FC236}">
              <a16:creationId xmlns:a16="http://schemas.microsoft.com/office/drawing/2014/main" id="{9621FD1D-0CAC-4E8F-8DED-3ED7AAAB53B3}"/>
            </a:ext>
            <a:ext uri="{147F2762-F138-4A5C-976F-8EAC2B608ADB}">
              <a16:predDERef xmlns:a16="http://schemas.microsoft.com/office/drawing/2014/main" pred="{38293B12-3877-4E82-A659-99CEA430E68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5" name="Imagen 10">
          <a:extLst>
            <a:ext uri="{FF2B5EF4-FFF2-40B4-BE49-F238E27FC236}">
              <a16:creationId xmlns:a16="http://schemas.microsoft.com/office/drawing/2014/main" id="{A60777D1-79DC-4D0A-BB6F-DD149BCCD1F1}"/>
            </a:ext>
            <a:ext uri="{147F2762-F138-4A5C-976F-8EAC2B608ADB}">
              <a16:predDERef xmlns:a16="http://schemas.microsoft.com/office/drawing/2014/main" pred="{594ACD4F-78CD-44ED-813E-EF25E4A45D4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6" name="Imagen 11">
          <a:extLst>
            <a:ext uri="{FF2B5EF4-FFF2-40B4-BE49-F238E27FC236}">
              <a16:creationId xmlns:a16="http://schemas.microsoft.com/office/drawing/2014/main" id="{9A64D310-E236-438D-87BB-A3CB3FD7FD22}"/>
            </a:ext>
            <a:ext uri="{147F2762-F138-4A5C-976F-8EAC2B608ADB}">
              <a16:predDERef xmlns:a16="http://schemas.microsoft.com/office/drawing/2014/main" pred="{B9F2F564-0ACE-41B1-B832-1ACCFAA9313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7" name="Imagen 12">
          <a:extLst>
            <a:ext uri="{FF2B5EF4-FFF2-40B4-BE49-F238E27FC236}">
              <a16:creationId xmlns:a16="http://schemas.microsoft.com/office/drawing/2014/main" id="{17B80F62-9C90-4E2B-A84E-6A9972D9E5BF}"/>
            </a:ext>
            <a:ext uri="{147F2762-F138-4A5C-976F-8EAC2B608ADB}">
              <a16:predDERef xmlns:a16="http://schemas.microsoft.com/office/drawing/2014/main" pred="{9840D017-5FA8-456C-AA72-455D7212F13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1</xdr:col>
      <xdr:colOff>1439635</xdr:colOff>
      <xdr:row>5</xdr:row>
      <xdr:rowOff>68035</xdr:rowOff>
    </xdr:from>
    <xdr:to>
      <xdr:col>1</xdr:col>
      <xdr:colOff>2447651</xdr:colOff>
      <xdr:row>6</xdr:row>
      <xdr:rowOff>424543</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F68826D0-921D-4E42-A5CE-26916BD72EB0}"/>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2071006" y="993321"/>
          <a:ext cx="1008016" cy="8245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549636</xdr:colOff>
      <xdr:row>3</xdr:row>
      <xdr:rowOff>457200</xdr:rowOff>
    </xdr:from>
    <xdr:to>
      <xdr:col>1</xdr:col>
      <xdr:colOff>999067</xdr:colOff>
      <xdr:row>5</xdr:row>
      <xdr:rowOff>540327</xdr:rowOff>
    </xdr:to>
    <xdr:pic>
      <xdr:nvPicPr>
        <xdr:cNvPr id="3" name="Imagen 2" descr="C:\Users\daniel.rubiano\AppData\Local\Microsoft\Windows\INetCache\Content.Word\logos_alcaldias_Mesa de trabajo 1 copia 11.png">
          <a:extLst>
            <a:ext uri="{FF2B5EF4-FFF2-40B4-BE49-F238E27FC236}">
              <a16:creationId xmlns:a16="http://schemas.microsoft.com/office/drawing/2014/main" id="{24FEED65-72D1-449B-B2C2-F8A459D6B1E5}"/>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549636" y="1233055"/>
          <a:ext cx="1627067" cy="17733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29</xdr:row>
      <xdr:rowOff>0</xdr:rowOff>
    </xdr:from>
    <xdr:to>
      <xdr:col>0</xdr:col>
      <xdr:colOff>275155</xdr:colOff>
      <xdr:row>30</xdr:row>
      <xdr:rowOff>125757</xdr:rowOff>
    </xdr:to>
    <xdr:sp macro="[1]!formuladores" textlink="">
      <xdr:nvSpPr>
        <xdr:cNvPr id="2" name="Elipse 1">
          <a:extLst>
            <a:ext uri="{FF2B5EF4-FFF2-40B4-BE49-F238E27FC236}">
              <a16:creationId xmlns:a16="http://schemas.microsoft.com/office/drawing/2014/main" id="{F18249A3-00DC-4911-9C46-E58273DBD80C}"/>
            </a:ext>
          </a:extLst>
        </xdr:cNvPr>
        <xdr:cNvSpPr/>
      </xdr:nvSpPr>
      <xdr:spPr>
        <a:xfrm>
          <a:off x="0" y="6766560"/>
          <a:ext cx="275155" cy="308637"/>
        </a:xfrm>
        <a:prstGeom prst="ellipse">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0</xdr:col>
      <xdr:colOff>559454</xdr:colOff>
      <xdr:row>29</xdr:row>
      <xdr:rowOff>0</xdr:rowOff>
    </xdr:from>
    <xdr:to>
      <xdr:col>1</xdr:col>
      <xdr:colOff>87014</xdr:colOff>
      <xdr:row>30</xdr:row>
      <xdr:rowOff>106680</xdr:rowOff>
    </xdr:to>
    <xdr:sp macro="[1]!Proveedores" textlink="">
      <xdr:nvSpPr>
        <xdr:cNvPr id="3" name="Elipse 2">
          <a:extLst>
            <a:ext uri="{FF2B5EF4-FFF2-40B4-BE49-F238E27FC236}">
              <a16:creationId xmlns:a16="http://schemas.microsoft.com/office/drawing/2014/main" id="{EE72A118-6040-4751-87FE-1405D94EE21E}"/>
            </a:ext>
          </a:extLst>
        </xdr:cNvPr>
        <xdr:cNvSpPr/>
      </xdr:nvSpPr>
      <xdr:spPr>
        <a:xfrm>
          <a:off x="559454" y="6766560"/>
          <a:ext cx="320040" cy="289560"/>
        </a:xfrm>
        <a:prstGeom prst="ellipse">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1</xdr:col>
      <xdr:colOff>342753</xdr:colOff>
      <xdr:row>29</xdr:row>
      <xdr:rowOff>0</xdr:rowOff>
    </xdr:from>
    <xdr:to>
      <xdr:col>1</xdr:col>
      <xdr:colOff>662793</xdr:colOff>
      <xdr:row>30</xdr:row>
      <xdr:rowOff>106680</xdr:rowOff>
    </xdr:to>
    <xdr:sp macro="[1]!Mostrar_Todo" textlink="">
      <xdr:nvSpPr>
        <xdr:cNvPr id="4" name="Elipse 3">
          <a:extLst>
            <a:ext uri="{FF2B5EF4-FFF2-40B4-BE49-F238E27FC236}">
              <a16:creationId xmlns:a16="http://schemas.microsoft.com/office/drawing/2014/main" id="{8B7D5D73-C844-42AE-B4DB-5CBE528FC820}"/>
            </a:ext>
          </a:extLst>
        </xdr:cNvPr>
        <xdr:cNvSpPr/>
      </xdr:nvSpPr>
      <xdr:spPr>
        <a:xfrm>
          <a:off x="1135233" y="6766560"/>
          <a:ext cx="320040" cy="289560"/>
        </a:xfrm>
        <a:prstGeom prst="ellipse">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gobiernobogota-my.sharepoint.com/personal/planeacion_suba_gobiernobogota_gov_co/Documents/5.%20Archivo%20digital%202025/1.FORMULACIONES/Formatos_2025/Estudio_Mercado_202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_ESTUDIOMERCADO"/>
      <sheetName val="LISTAS"/>
      <sheetName val="Estudio_Mercado_2025"/>
    </sheetNames>
    <definedNames>
      <definedName name="formuladores"/>
      <definedName name="Mostrar_Todo"/>
      <definedName name="Proveedores"/>
    </definedNames>
    <sheetDataSet>
      <sheetData sheetId="0"/>
      <sheetData sheetId="1"/>
      <sheetData sheetId="2" refreshError="1"/>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1" Type="http://schemas.openxmlformats.org/officeDocument/2006/relationships/pivotCacheRecords" Target="pivotCacheRecords3.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Yudi Marcela Gonzalez Gonzalez" refreshedDate="45799.490748842596" createdVersion="6" refreshedVersion="6" minRefreshableVersion="3" recordCount="88" xr:uid="{5BAA446B-7D31-4645-9E8F-B53DC3BA0476}">
  <cacheSource type="worksheet">
    <worksheetSource ref="A10:AD113" sheet="REV_Estudio"/>
  </cacheSource>
  <cacheFields count="47">
    <cacheField name="Item" numFmtId="0">
      <sharedItems containsBlank="1"/>
    </cacheField>
    <cacheField name="Componente del anexo técnico" numFmtId="0">
      <sharedItems containsBlank="1"/>
    </cacheField>
    <cacheField name="Elemento" numFmtId="0">
      <sharedItems containsNonDate="0" containsString="0" containsBlank="1"/>
    </cacheField>
    <cacheField name="Descripción del elemento y / o actividad" numFmtId="0">
      <sharedItems containsNonDate="0" containsString="0" containsBlank="1"/>
    </cacheField>
    <cacheField name="Unidad de medida" numFmtId="0">
      <sharedItems containsNonDate="0" containsString="0" containsBlank="1"/>
    </cacheField>
    <cacheField name="Cantidad establecida según anexo técnico" numFmtId="0">
      <sharedItems containsNonDate="0" containsString="0" containsBlank="1"/>
    </cacheField>
    <cacheField name="Empresa Cotizante cotización 1" numFmtId="0">
      <sharedItems containsNonDate="0" containsString="0" containsBlank="1"/>
    </cacheField>
    <cacheField name="Valor unitario sin IVA" numFmtId="0">
      <sharedItems containsNonDate="0" containsString="0" containsBlank="1"/>
    </cacheField>
    <cacheField name="Valor IVA" numFmtId="0">
      <sharedItems containsString="0" containsBlank="1" containsNumber="1" containsInteger="1" minValue="0" maxValue="0"/>
    </cacheField>
    <cacheField name="Valor unitario con IVA" numFmtId="0">
      <sharedItems containsString="0" containsBlank="1" containsNumber="1" containsInteger="1" minValue="0" maxValue="0"/>
    </cacheField>
    <cacheField name="Valor total Sin IVA" numFmtId="0">
      <sharedItems containsBlank="1"/>
    </cacheField>
    <cacheField name="Valor total con IVA" numFmtId="0">
      <sharedItems containsBlank="1"/>
    </cacheField>
    <cacheField name="Empresa Cotizante cotización 2" numFmtId="0">
      <sharedItems containsNonDate="0" containsString="0" containsBlank="1"/>
    </cacheField>
    <cacheField name="Valor unitario sin IVA2" numFmtId="0">
      <sharedItems containsNonDate="0" containsString="0" containsBlank="1"/>
    </cacheField>
    <cacheField name="Valor IVA2" numFmtId="0">
      <sharedItems containsString="0" containsBlank="1" containsNumber="1" containsInteger="1" minValue="0" maxValue="0"/>
    </cacheField>
    <cacheField name="Valor unitario con IVA2" numFmtId="0">
      <sharedItems containsString="0" containsBlank="1" containsNumber="1" containsInteger="1" minValue="0" maxValue="0"/>
    </cacheField>
    <cacheField name="Valor total Sin IVA2" numFmtId="0">
      <sharedItems containsBlank="1"/>
    </cacheField>
    <cacheField name="Valor total con IVA2" numFmtId="0">
      <sharedItems containsBlank="1"/>
    </cacheField>
    <cacheField name="Empresa Cotizante cotización 3" numFmtId="0">
      <sharedItems containsNonDate="0" containsString="0" containsBlank="1"/>
    </cacheField>
    <cacheField name="Valor unitario sin IVA3" numFmtId="0">
      <sharedItems containsNonDate="0" containsString="0" containsBlank="1"/>
    </cacheField>
    <cacheField name="Valor IVA3" numFmtId="0">
      <sharedItems containsString="0" containsBlank="1" containsNumber="1" containsInteger="1" minValue="0" maxValue="0"/>
    </cacheField>
    <cacheField name="Valor unitario con IVA3" numFmtId="0">
      <sharedItems containsString="0" containsBlank="1" containsNumber="1" containsInteger="1" minValue="0" maxValue="0"/>
    </cacheField>
    <cacheField name="Valor total Sin IVA3" numFmtId="0">
      <sharedItems containsBlank="1"/>
    </cacheField>
    <cacheField name="Valor total con IVA3" numFmtId="0">
      <sharedItems containsBlank="1"/>
    </cacheField>
    <cacheField name="Nombre Entidad" numFmtId="0">
      <sharedItems containsNonDate="0" containsString="0" containsBlank="1"/>
    </cacheField>
    <cacheField name="Valor unitario sin IVA4" numFmtId="0">
      <sharedItems containsNonDate="0" containsString="0" containsBlank="1"/>
    </cacheField>
    <cacheField name="Valor IVA4" numFmtId="0">
      <sharedItems containsString="0" containsBlank="1" containsNumber="1" containsInteger="1" minValue="0" maxValue="0"/>
    </cacheField>
    <cacheField name="Valor unitario con IVA4" numFmtId="0">
      <sharedItems containsString="0" containsBlank="1" containsNumber="1" containsInteger="1" minValue="0" maxValue="0"/>
    </cacheField>
    <cacheField name="Valor total Sin IVA4" numFmtId="0">
      <sharedItems containsBlank="1"/>
    </cacheField>
    <cacheField name="Valor total con IVA4" numFmtId="0">
      <sharedItems containsBlank="1"/>
    </cacheField>
    <cacheField name="Promedio valor unitario con IVA" numFmtId="0">
      <sharedItems containsBlank="1"/>
    </cacheField>
    <cacheField name="Promedio valor total con IVA" numFmtId="44">
      <sharedItems containsMixedTypes="1" containsNumber="1" containsInteger="1" minValue="0" maxValue="0"/>
    </cacheField>
    <cacheField name="Desviación estandar " numFmtId="44">
      <sharedItems containsMixedTypes="1" containsNumber="1" containsInteger="1" minValue="0" maxValue="0"/>
    </cacheField>
    <cacheField name="Coeficiente de variación" numFmtId="0">
      <sharedItems containsBlank="1"/>
    </cacheField>
    <cacheField name="Límite menor" numFmtId="0">
      <sharedItems containsBlank="1"/>
    </cacheField>
    <cacheField name="Límite mayor" numFmtId="0">
      <sharedItems containsBlank="1"/>
    </cacheField>
    <cacheField name="Valor Unitario Techo (IVA incluído)" numFmtId="0">
      <sharedItems containsBlank="1"/>
    </cacheField>
    <cacheField name="Valor Total Techo (IVA incluído)" numFmtId="0">
      <sharedItems containsBlank="1"/>
    </cacheField>
    <cacheField name="Promedio valor unitario con IVA2" numFmtId="44">
      <sharedItems containsMixedTypes="1" containsNumber="1" containsInteger="1" minValue="0" maxValue="0"/>
    </cacheField>
    <cacheField name="Promedio valor total con IVA2" numFmtId="44">
      <sharedItems containsMixedTypes="1" containsNumber="1" containsInteger="1" minValue="0" maxValue="0"/>
    </cacheField>
    <cacheField name="Desviación estandar 2" numFmtId="44">
      <sharedItems containsBlank="1"/>
    </cacheField>
    <cacheField name="Coeficiente de variación2" numFmtId="0">
      <sharedItems containsBlank="1"/>
    </cacheField>
    <cacheField name="Límite menor2" numFmtId="0">
      <sharedItems containsBlank="1"/>
    </cacheField>
    <cacheField name="Límite mayor2" numFmtId="0">
      <sharedItems containsBlank="1"/>
    </cacheField>
    <cacheField name="Valor Unitario Techo (IVA incluído)2" numFmtId="0">
      <sharedItems containsString="0" containsBlank="1" containsNumber="1" containsInteger="1" minValue="0" maxValue="0"/>
    </cacheField>
    <cacheField name="Valor Total Techo (IVA incluído)2" numFmtId="0">
      <sharedItems containsString="0" containsBlank="1" containsNumber="1" containsInteger="1" minValue="0" maxValue="0"/>
    </cacheField>
    <cacheField name="Observaciones "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arcela G" refreshedDate="45814.862518865739" createdVersion="8" refreshedVersion="8" minRefreshableVersion="3" recordCount="87" xr:uid="{8347A85C-6556-4768-9585-C36B4DA89212}">
  <cacheSource type="worksheet">
    <worksheetSource ref="A10:AD65" sheet="REV_Estudio"/>
  </cacheSource>
  <cacheFields count="51">
    <cacheField name="Item" numFmtId="0">
      <sharedItems/>
    </cacheField>
    <cacheField name="Componente del anexo técnico" numFmtId="0">
      <sharedItems containsNonDate="0" containsString="0" containsBlank="1" count="1">
        <m/>
      </sharedItems>
    </cacheField>
    <cacheField name="Elemento" numFmtId="0">
      <sharedItems containsNonDate="0" containsString="0" containsBlank="1"/>
    </cacheField>
    <cacheField name="Descripción del elemento y / o actividad" numFmtId="0">
      <sharedItems containsNonDate="0" containsString="0" containsBlank="1"/>
    </cacheField>
    <cacheField name="Unidad de medida" numFmtId="0">
      <sharedItems containsNonDate="0" containsString="0" containsBlank="1"/>
    </cacheField>
    <cacheField name="Cantidad establecida según anexo técnico" numFmtId="0">
      <sharedItems containsNonDate="0" containsString="0" containsBlank="1"/>
    </cacheField>
    <cacheField name="Empresa Cotizante cotización 1" numFmtId="0">
      <sharedItems containsNonDate="0" containsString="0" containsBlank="1"/>
    </cacheField>
    <cacheField name="Valor unitario sin IVA" numFmtId="44">
      <sharedItems containsNonDate="0" containsString="0" containsBlank="1"/>
    </cacheField>
    <cacheField name="Valor IVA" numFmtId="165">
      <sharedItems containsSemiMixedTypes="0" containsString="0" containsNumber="1" containsInteger="1" minValue="0" maxValue="0"/>
    </cacheField>
    <cacheField name="Valor unitario con IVA" numFmtId="165">
      <sharedItems containsSemiMixedTypes="0" containsString="0" containsNumber="1" containsInteger="1" minValue="0" maxValue="0"/>
    </cacheField>
    <cacheField name="Valor total Sin IVA" numFmtId="165">
      <sharedItems/>
    </cacheField>
    <cacheField name="Valor total con IVA" numFmtId="165">
      <sharedItems/>
    </cacheField>
    <cacheField name="Empresa Cotizante cotización 2" numFmtId="0">
      <sharedItems containsNonDate="0" containsString="0" containsBlank="1"/>
    </cacheField>
    <cacheField name="Valor unitario sin IVA2" numFmtId="44">
      <sharedItems containsNonDate="0" containsString="0" containsBlank="1"/>
    </cacheField>
    <cacheField name="Valor IVA2" numFmtId="44">
      <sharedItems containsSemiMixedTypes="0" containsString="0" containsNumber="1" containsInteger="1" minValue="0" maxValue="0"/>
    </cacheField>
    <cacheField name="Valor unitario con IVA2" numFmtId="44">
      <sharedItems containsSemiMixedTypes="0" containsString="0" containsNumber="1" containsInteger="1" minValue="0" maxValue="0"/>
    </cacheField>
    <cacheField name="Valor total Sin IVA2" numFmtId="44">
      <sharedItems/>
    </cacheField>
    <cacheField name="Valor total con IVA2" numFmtId="44">
      <sharedItems/>
    </cacheField>
    <cacheField name="Empresa Cotizante cotización 3" numFmtId="0">
      <sharedItems containsNonDate="0" containsString="0" containsBlank="1"/>
    </cacheField>
    <cacheField name="Valor unitario sin IVA3" numFmtId="44">
      <sharedItems containsNonDate="0" containsString="0" containsBlank="1"/>
    </cacheField>
    <cacheField name="Valor IVA3" numFmtId="44">
      <sharedItems containsSemiMixedTypes="0" containsString="0" containsNumber="1" containsInteger="1" minValue="0" maxValue="0"/>
    </cacheField>
    <cacheField name="Valor unitario con IVA3" numFmtId="44">
      <sharedItems containsSemiMixedTypes="0" containsString="0" containsNumber="1" containsInteger="1" minValue="0" maxValue="0"/>
    </cacheField>
    <cacheField name="Valor total Sin IVA3" numFmtId="44">
      <sharedItems/>
    </cacheField>
    <cacheField name="Valor total con IVA3" numFmtId="44">
      <sharedItems/>
    </cacheField>
    <cacheField name="Nombre Entidad" numFmtId="0">
      <sharedItems containsNonDate="0" containsString="0" containsBlank="1"/>
    </cacheField>
    <cacheField name="Valor unitario sin IVA4" numFmtId="0">
      <sharedItems containsNonDate="0" containsString="0" containsBlank="1"/>
    </cacheField>
    <cacheField name="Valor IVA4" numFmtId="44">
      <sharedItems containsSemiMixedTypes="0" containsString="0" containsNumber="1" containsInteger="1" minValue="0" maxValue="0"/>
    </cacheField>
    <cacheField name="Valor unitario con IVA4" numFmtId="44">
      <sharedItems containsSemiMixedTypes="0" containsString="0" containsNumber="1" containsInteger="1" minValue="0" maxValue="0"/>
    </cacheField>
    <cacheField name="Valor total Sin IVA4" numFmtId="44">
      <sharedItems/>
    </cacheField>
    <cacheField name="Valor total con IVA4" numFmtId="44">
      <sharedItems/>
    </cacheField>
    <cacheField name="Promedio valor unitario con IVA" numFmtId="44">
      <sharedItems/>
    </cacheField>
    <cacheField name="Promedio valor total con IVA" numFmtId="44">
      <sharedItems/>
    </cacheField>
    <cacheField name="Desviación estandar " numFmtId="44">
      <sharedItems/>
    </cacheField>
    <cacheField name="Coeficiente de variación" numFmtId="9">
      <sharedItems/>
    </cacheField>
    <cacheField name="Promedio valor unitario con IVA2" numFmtId="44">
      <sharedItems/>
    </cacheField>
    <cacheField name="Promedio valor total con IVA2" numFmtId="44">
      <sharedItems/>
    </cacheField>
    <cacheField name="Límite menor" numFmtId="44">
      <sharedItems/>
    </cacheField>
    <cacheField name="Límite mayor" numFmtId="44">
      <sharedItems/>
    </cacheField>
    <cacheField name="Valor Unitario Techo (IVA incluído)" numFmtId="164">
      <sharedItems/>
    </cacheField>
    <cacheField name="Valor Total Techo (IVA incluído)" numFmtId="164">
      <sharedItems/>
    </cacheField>
    <cacheField name="Promedio valor unitario con IVA3" numFmtId="44">
      <sharedItems/>
    </cacheField>
    <cacheField name="Promedio valor total con IVA3" numFmtId="44">
      <sharedItems/>
    </cacheField>
    <cacheField name="Desviación estandar 2" numFmtId="44">
      <sharedItems/>
    </cacheField>
    <cacheField name="Coeficiente de variación2" numFmtId="9">
      <sharedItems/>
    </cacheField>
    <cacheField name="Promedio valor unitario con IVA4" numFmtId="44">
      <sharedItems/>
    </cacheField>
    <cacheField name="Promedio valor total con IVA4" numFmtId="44">
      <sharedItems/>
    </cacheField>
    <cacheField name="Límite menor2" numFmtId="44">
      <sharedItems/>
    </cacheField>
    <cacheField name="Límite mayor2" numFmtId="44">
      <sharedItems/>
    </cacheField>
    <cacheField name="Valor Unitario Techo (IVA incluído)2" numFmtId="164">
      <sharedItems containsSemiMixedTypes="0" containsString="0" containsNumber="1" containsInteger="1" minValue="0" maxValue="0"/>
    </cacheField>
    <cacheField name="Valor Total Techo (IVA incluído)2" numFmtId="164">
      <sharedItems containsSemiMixedTypes="0" containsString="0" containsNumber="1" containsInteger="1" minValue="0" maxValue="0"/>
    </cacheField>
    <cacheField name="Observaciones "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arcela G" refreshedDate="45814.862519444447" createdVersion="8" refreshedVersion="8" minRefreshableVersion="3" recordCount="26" xr:uid="{4FDC0A34-3722-42B0-833C-8B8A08D83071}">
  <cacheSource type="worksheet">
    <worksheetSource ref="AL10:AX36" sheet="REV_Estudio"/>
  </cacheSource>
  <cacheFields count="12">
    <cacheField name="Componente del anexo técnico" numFmtId="0">
      <sharedItems containsNonDate="0" containsString="0" containsBlank="1" count="1">
        <m/>
      </sharedItems>
    </cacheField>
    <cacheField name="Cantidad" numFmtId="0">
      <sharedItems containsNonDate="0" containsString="0" containsBlank="1"/>
    </cacheField>
    <cacheField name="Cargo" numFmtId="0">
      <sharedItems containsNonDate="0" containsString="0" containsBlank="1"/>
    </cacheField>
    <cacheField name="Perfil" numFmtId="0">
      <sharedItems containsNonDate="0" containsString="0" containsBlank="1"/>
    </cacheField>
    <cacheField name="Tabla Honorarios_x000a_o _x000a_Cotización" numFmtId="0">
      <sharedItems containsNonDate="0" containsString="0" containsBlank="1"/>
    </cacheField>
    <cacheField name="% de dedicación" numFmtId="0">
      <sharedItems containsNonDate="0" containsString="0" containsBlank="1"/>
    </cacheField>
    <cacheField name="Tiempo (meses)" numFmtId="0">
      <sharedItems containsNonDate="0" containsString="0" containsBlank="1"/>
    </cacheField>
    <cacheField name="VALOR MENSUAL _x000a_(Tabla de honorarios Resolución 0001 Secretaría Distrial de Gobierno) que el proponente no podrá modificar en su oferta  O cotización 1" numFmtId="164">
      <sharedItems containsNonDate="0" containsString="0" containsBlank="1"/>
    </cacheField>
    <cacheField name="Valor total que el proponente no podrá modificar en su oferta" numFmtId="164">
      <sharedItems/>
    </cacheField>
    <cacheField name="Cotización 2" numFmtId="0">
      <sharedItems containsNonDate="0" containsString="0" containsBlank="1"/>
    </cacheField>
    <cacheField name="Cotización 3" numFmtId="0">
      <sharedItems containsNonDate="0" containsString="0" containsBlank="1"/>
    </cacheField>
    <cacheField name="Valor Final / Promedio para cotizaciones Personal" numFmtId="164">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88">
  <r>
    <m/>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m/>
    <s v="ESTUDIO DE MERCADO ITEMS"/>
    <m/>
    <m/>
    <m/>
    <m/>
    <m/>
    <m/>
    <m/>
    <m/>
    <m/>
    <m/>
    <m/>
    <m/>
    <m/>
    <m/>
    <m/>
    <m/>
    <m/>
    <m/>
    <m/>
    <m/>
    <m/>
    <m/>
    <m/>
    <m/>
    <m/>
    <m/>
    <m/>
    <m/>
    <m/>
    <n v="0"/>
    <n v="0"/>
    <m/>
    <m/>
    <m/>
    <m/>
    <m/>
    <n v="0"/>
    <n v="0"/>
    <m/>
    <m/>
    <m/>
    <m/>
    <m/>
    <m/>
    <m/>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87">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pivotCacheRecords>
</file>

<file path=xl/pivotCache/pivotCacheRecords3.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6">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2F1F1991-ABFA-48CF-A68B-5B0846FEFC10}" name="TablaDinámica3" cacheId="1"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2:B4" firstHeaderRow="1" firstDataRow="1" firstDataCol="1"/>
  <pivotFields count="51">
    <pivotField showAll="0"/>
    <pivotField axis="axisRow" showAll="0">
      <items count="2">
        <item x="0"/>
        <item t="default"/>
      </items>
    </pivotField>
    <pivotField showAll="0"/>
    <pivotField showAll="0"/>
    <pivotField showAll="0"/>
    <pivotField showAll="0"/>
    <pivotField showAll="0"/>
    <pivotField showAll="0"/>
    <pivotField numFmtId="165" showAll="0"/>
    <pivotField numFmtId="165" showAll="0"/>
    <pivotField showAll="0"/>
    <pivotField showAll="0"/>
    <pivotField showAll="0"/>
    <pivotField showAll="0"/>
    <pivotField numFmtId="44" showAll="0"/>
    <pivotField numFmtId="44" showAll="0"/>
    <pivotField showAll="0"/>
    <pivotField showAll="0"/>
    <pivotField showAll="0"/>
    <pivotField showAll="0"/>
    <pivotField numFmtId="44" showAll="0"/>
    <pivotField numFmtId="44" showAll="0"/>
    <pivotField showAll="0"/>
    <pivotField showAll="0"/>
    <pivotField showAll="0"/>
    <pivotField showAll="0"/>
    <pivotField numFmtId="44" showAll="0"/>
    <pivotField numFmtId="44" showAll="0"/>
    <pivotField showAll="0"/>
    <pivotField showAll="0"/>
    <pivotField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64" showAll="0"/>
    <pivotField showAll="0"/>
  </pivotFields>
  <rowFields count="1">
    <field x="1"/>
  </rowFields>
  <rowItems count="2">
    <i>
      <x/>
    </i>
    <i t="grand">
      <x/>
    </i>
  </rowItems>
  <colItems count="1">
    <i/>
  </colItems>
  <dataFields count="1">
    <dataField name="Cuenta de Promedio valor total con IVA" fld="31"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35E9EB0D-6EEC-4433-AA93-6617706C3366}" name="Recurso Humano" cacheId="2"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102:B104" firstHeaderRow="1" firstDataRow="1" firstDataCol="1"/>
  <pivotFields count="12">
    <pivotField axis="axisRow" showAll="0">
      <items count="2">
        <item x="0"/>
        <item t="default"/>
      </items>
    </pivotField>
    <pivotField showAll="0"/>
    <pivotField showAll="0"/>
    <pivotField showAll="0"/>
    <pivotField showAll="0"/>
    <pivotField showAll="0"/>
    <pivotField showAll="0"/>
    <pivotField showAll="0"/>
    <pivotField showAll="0"/>
    <pivotField showAll="0"/>
    <pivotField showAll="0"/>
    <pivotField dataField="1" showAll="0"/>
  </pivotFields>
  <rowFields count="1">
    <field x="0"/>
  </rowFields>
  <rowItems count="2">
    <i>
      <x/>
    </i>
    <i t="grand">
      <x/>
    </i>
  </rowItems>
  <colItems count="1">
    <i/>
  </colItems>
  <dataFields count="1">
    <dataField name="Suma de Valor Final / Promedio para cotizaciones Personal" fld="11"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A63B4FD3-68DA-42EE-9E30-800012C6F6FF}" name="TablaDinámica2" cacheId="0" applyNumberFormats="0" applyBorderFormats="0" applyFontFormats="0" applyPatternFormats="0" applyAlignmentFormats="0" applyWidthHeightFormats="1" dataCaption="Valores" updatedVersion="6" minRefreshableVersion="3" useAutoFormatting="1" itemPrintTitles="1" createdVersion="6" indent="0" outline="1" outlineData="1" multipleFieldFilters="0">
  <location ref="A3:C20" firstHeaderRow="1" firstDataRow="1" firstDataCol="0"/>
  <pivotFields count="47">
    <pivotField showAll="0"/>
    <pivotField showAll="0"/>
    <pivotField showAll="0"/>
    <pivotField showAll="0"/>
    <pivotField showAll="0"/>
    <pivotField showAll="0"/>
    <pivotField showAll="0"/>
    <pivotField showAll="0"/>
    <pivotField numFmtId="165" showAll="0"/>
    <pivotField numFmtId="165" showAll="0"/>
    <pivotField showAll="0"/>
    <pivotField showAll="0"/>
    <pivotField showAll="0"/>
    <pivotField showAll="0"/>
    <pivotField numFmtId="44" showAll="0"/>
    <pivotField numFmtId="44" showAll="0"/>
    <pivotField showAll="0"/>
    <pivotField showAll="0"/>
    <pivotField showAll="0"/>
    <pivotField showAll="0"/>
    <pivotField numFmtId="44" showAll="0"/>
    <pivotField numFmtId="44" showAll="0"/>
    <pivotField showAll="0"/>
    <pivotField showAll="0"/>
    <pivotField showAll="0"/>
    <pivotField showAll="0"/>
    <pivotField numFmtId="44" showAll="0"/>
    <pivotField numFmtId="44"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64" showAll="0"/>
    <pivotField showAll="0"/>
  </pivot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ivotTable" Target="../pivotTables/pivotTable2.xml"/><Relationship Id="rId1" Type="http://schemas.openxmlformats.org/officeDocument/2006/relationships/pivotTable" Target="../pivotTables/pivotTable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17" Type="http://schemas.openxmlformats.org/officeDocument/2006/relationships/hyperlink" Target="https://gobiernobogota-my.sharepoint.com/:b:/g/personal/planeacion_suba_gobiernobogota_gov_co/IQCtkKtR9zUuQLc24otJYdSiAR5f4mPxHD9SwAhnbxprb1I?e=FqJEGO" TargetMode="External"/><Relationship Id="rId299" Type="http://schemas.openxmlformats.org/officeDocument/2006/relationships/hyperlink" Target="https://gobiernobogota-my.sharepoint.com/:b:/g/personal/planeacion_suba_gobiernobogota_gov_co/IQCdkMR8tqp8Q69vbzhAH616AQ_61I5Y1Hm_kEo8HVOdGQ0?e=PORaoV" TargetMode="External"/><Relationship Id="rId21" Type="http://schemas.openxmlformats.org/officeDocument/2006/relationships/hyperlink" Target="https://gobiernobogota-my.sharepoint.com/:b:/g/personal/planeacion_suba_gobiernobogota_gov_co/IQC3n1-3qJZ2SKpVvajWPoLpAeMYPbBWFvEmTo3r_WNO_U0?e=j8mp6k" TargetMode="External"/><Relationship Id="rId63" Type="http://schemas.openxmlformats.org/officeDocument/2006/relationships/hyperlink" Target="https://gobiernobogota-my.sharepoint.com/:b:/g/personal/planeacion_suba_gobiernobogota_gov_co/IQBuOzStr3VOSrJVUh9Xj5TjAQ0tYcBuK8ryjmQQPMTnx0g?e=mgMccd" TargetMode="External"/><Relationship Id="rId159" Type="http://schemas.openxmlformats.org/officeDocument/2006/relationships/hyperlink" Target="https://gobiernobogota-my.sharepoint.com/:b:/g/personal/planeacion_suba_gobiernobogota_gov_co/IQDMZ0T9mSVxRKfzq21QstZzAUDlBRHMMr71r81ynqwr9wc?e=GwTjSx" TargetMode="External"/><Relationship Id="rId324" Type="http://schemas.openxmlformats.org/officeDocument/2006/relationships/hyperlink" Target="https://gobiernobogota-my.sharepoint.com/:b:/g/personal/planeacion_suba_gobiernobogota_gov_co/IQAPRkPrZAKvTLtcG25cEzViAeS6mFIuwdNuXQQ4Dk8pWGY?e=5nrRxu" TargetMode="External"/><Relationship Id="rId366" Type="http://schemas.openxmlformats.org/officeDocument/2006/relationships/hyperlink" Target="https://gobiernobogota-my.sharepoint.com/:b:/g/personal/planeacion_suba_gobiernobogota_gov_co/IQDXXjy-5aqlQrLhtW2xd7zVAQR76NnvRF-BgbXuQf_hugs?e=A7W88w" TargetMode="External"/><Relationship Id="rId170" Type="http://schemas.openxmlformats.org/officeDocument/2006/relationships/hyperlink" Target="https://gobiernobogota-my.sharepoint.com/:b:/g/personal/planeacion_suba_gobiernobogota_gov_co/IQBC-0AHaTADRoLvP6xIqFGTAVLMMrgTo6YCZAgvylEvxMc?e=kGsLbV" TargetMode="External"/><Relationship Id="rId226" Type="http://schemas.openxmlformats.org/officeDocument/2006/relationships/hyperlink" Target="https://gobiernobogota-my.sharepoint.com/:b:/g/personal/planeacion_suba_gobiernobogota_gov_co/IQDSv_I8eRg6Ra-A3ZyEXFREAUn_AOj6LdbWQuCzwiojAXU?e=TFFXoC" TargetMode="External"/><Relationship Id="rId433" Type="http://schemas.openxmlformats.org/officeDocument/2006/relationships/hyperlink" Target="https://gobiernobogota-my.sharepoint.com/:b:/g/personal/planeacion_suba_gobiernobogota_gov_co/IQBN1y_X_06gQY0vKgXY6PMAATITBv1H4vVRMDBKkVIOM_M?e=2rbPP8" TargetMode="External"/><Relationship Id="rId268" Type="http://schemas.openxmlformats.org/officeDocument/2006/relationships/hyperlink" Target="https://gobiernobogota-my.sharepoint.com/:b:/g/personal/planeacion_suba_gobiernobogota_gov_co/IQAku0nFTROwTrms-XUliKXoAUFPxwtN__PTUm_ZjjXMSws?e=9DeJ1d" TargetMode="External"/><Relationship Id="rId32" Type="http://schemas.openxmlformats.org/officeDocument/2006/relationships/hyperlink" Target="https://gobiernobogota-my.sharepoint.com/:b:/g/personal/planeacion_suba_gobiernobogota_gov_co/IQBuOzStr3VOSrJVUh9Xj5TjAQ0tYcBuK8ryjmQQPMTnx0g?e=uQFfi3" TargetMode="External"/><Relationship Id="rId74" Type="http://schemas.openxmlformats.org/officeDocument/2006/relationships/hyperlink" Target="https://gobiernobogota-my.sharepoint.com/:b:/g/personal/planeacion_suba_gobiernobogota_gov_co/IQDG6CuEuRGvQ5YJvpy6WQFyAbM_CG5G3zgmwpBT60hsIOM?e=3o1lxi" TargetMode="External"/><Relationship Id="rId128" Type="http://schemas.openxmlformats.org/officeDocument/2006/relationships/hyperlink" Target="https://gobiernobogota-my.sharepoint.com/:b:/g/personal/planeacion_suba_gobiernobogota_gov_co/IQDMZ0T9mSVxRKfzq21QstZzAUDlBRHMMr71r81ynqwr9wc?e=GwTjSx" TargetMode="External"/><Relationship Id="rId335" Type="http://schemas.openxmlformats.org/officeDocument/2006/relationships/hyperlink" Target="https://gobiernobogota-my.sharepoint.com/:b:/g/personal/planeacion_suba_gobiernobogota_gov_co/IQBLJ1tp1fdzSL9E0QwjjNUSAS7hmaX-o2ET4sUI1GqHxqY?e=mSj00k" TargetMode="External"/><Relationship Id="rId377" Type="http://schemas.openxmlformats.org/officeDocument/2006/relationships/hyperlink" Target="https://gobiernobogota-my.sharepoint.com/:b:/g/personal/planeacion_suba_gobiernobogota_gov_co/IQCOPM8ldyOlTZ80CqEXwIn8AX-cx7kMMoFydOa39O_PZRY?e=PBOXJw" TargetMode="External"/><Relationship Id="rId5" Type="http://schemas.openxmlformats.org/officeDocument/2006/relationships/hyperlink" Target="https://gobiernobogota-my.sharepoint.com/:b:/g/personal/planeacion_suba_gobiernobogota_gov_co/IQCQnclIBPxtQKfaKbhVm-CNAaf0BYsTgGc7uXNUEK0ULjo?e=EVQ36T" TargetMode="External"/><Relationship Id="rId181" Type="http://schemas.openxmlformats.org/officeDocument/2006/relationships/hyperlink" Target="https://gobiernobogota-my.sharepoint.com/:b:/g/personal/planeacion_suba_gobiernobogota_gov_co/IQDf44K_e-byQbI4bgT9lM9AAQvRsujJ9Omyjb1eLxMqujs?e=yCC9hN" TargetMode="External"/><Relationship Id="rId237" Type="http://schemas.openxmlformats.org/officeDocument/2006/relationships/hyperlink" Target="https://gobiernobogota-my.sharepoint.com/:b:/g/personal/sandra_tamayo_gobiernobogota_gov_co/IQBjTkxVaG7tSZ2JdDfsvt53AUgI_XCQNVZqd3ocKvLkekA?e=JwWv1Q" TargetMode="External"/><Relationship Id="rId402" Type="http://schemas.openxmlformats.org/officeDocument/2006/relationships/hyperlink" Target="https://gobiernobogota-my.sharepoint.com/:b:/g/personal/planeacion_suba_gobiernobogota_gov_co/IQBz2CKObcGQQ7tlyKeMS_LyAYgcIzBGx3HfmbaEMW7eKes?e=Y32qrI" TargetMode="External"/><Relationship Id="rId279" Type="http://schemas.openxmlformats.org/officeDocument/2006/relationships/hyperlink" Target="https://gobiernobogota-my.sharepoint.com/:b:/g/personal/planeacion_suba_gobiernobogota_gov_co/IQC0Zr6QeDVcT6uXSsvLXYzTASI49d9b4wN6s18ujelqB2U?e=OHYGKx" TargetMode="External"/><Relationship Id="rId444" Type="http://schemas.openxmlformats.org/officeDocument/2006/relationships/hyperlink" Target="https://gobiernobogota-my.sharepoint.com/:b:/g/personal/planeacion_suba_gobiernobogota_gov_co/IQDMb7zDnZvgSIT6O8TvxCnaAXhviGQRNqirZ9TaiX8MtJA?e=JKBlsN" TargetMode="External"/><Relationship Id="rId43" Type="http://schemas.openxmlformats.org/officeDocument/2006/relationships/hyperlink" Target="https://gobiernobogota-my.sharepoint.com/:b:/g/personal/planeacion_suba_gobiernobogota_gov_co/IQBLJ1tp1fdzSL9E0QwjjNUSAS7hmaX-o2ET4sUI1GqHxqY?e=qJJewS" TargetMode="External"/><Relationship Id="rId139" Type="http://schemas.openxmlformats.org/officeDocument/2006/relationships/hyperlink" Target="https://gobiernobogota-my.sharepoint.com/:b:/g/personal/planeacion_suba_gobiernobogota_gov_co/IQDMZ0T9mSVxRKfzq21QstZzAUDlBRHMMr71r81ynqwr9wc?e=GwTjSx" TargetMode="External"/><Relationship Id="rId290" Type="http://schemas.openxmlformats.org/officeDocument/2006/relationships/hyperlink" Target="https://gobiernobogota-my.sharepoint.com/:b:/g/personal/planeacion_suba_gobiernobogota_gov_co/IQAPRkPrZAKvTLtcG25cEzViAeS6mFIuwdNuXQQ4Dk8pWGY?e=5nrRxu" TargetMode="External"/><Relationship Id="rId304" Type="http://schemas.openxmlformats.org/officeDocument/2006/relationships/hyperlink" Target="https://gobiernobogota-my.sharepoint.com/:b:/g/personal/planeacion_suba_gobiernobogota_gov_co/IQATel0JLv3TSJb3_vnr0pNqAdKu3fSwhyq9e0PqL-wYsZY?e=YSVuht" TargetMode="External"/><Relationship Id="rId346" Type="http://schemas.openxmlformats.org/officeDocument/2006/relationships/hyperlink" Target="https://gobiernobogota-my.sharepoint.com/:b:/g/personal/planeacion_suba_gobiernobogota_gov_co/IQCdkMR8tqp8Q69vbzhAH616AQ_61I5Y1Hm_kEo8HVOdGQ0?e=PORaoV" TargetMode="External"/><Relationship Id="rId388" Type="http://schemas.openxmlformats.org/officeDocument/2006/relationships/hyperlink" Target="https://gobiernobogota-my.sharepoint.com/:b:/g/personal/planeacion_suba_gobiernobogota_gov_co/IQBQhQEJ73TWTZbL6J9z5LSKAS3GX70b7VJh0PyiiiLHOF4?e=Gw6MUq" TargetMode="External"/><Relationship Id="rId85" Type="http://schemas.openxmlformats.org/officeDocument/2006/relationships/hyperlink" Target="https://gobiernobogota-my.sharepoint.com/:b:/g/personal/planeacion_suba_gobiernobogota_gov_co/IQDNiKxBvxYNQJaonigY1IM5AazdaLE0wfm_W942x2Gpcwk?e=35N1vE" TargetMode="External"/><Relationship Id="rId150" Type="http://schemas.openxmlformats.org/officeDocument/2006/relationships/hyperlink" Target="https://gobiernobogota-my.sharepoint.com/:b:/g/personal/planeacion_suba_gobiernobogota_gov_co/IQC3n1-3qJZ2SKpVvajWPoLpAeMYPbBWFvEmTo3r_WNO_U0?e=HNOkrp" TargetMode="External"/><Relationship Id="rId192" Type="http://schemas.openxmlformats.org/officeDocument/2006/relationships/hyperlink" Target="https://gobiernobogota-my.sharepoint.com/:b:/g/personal/planeacion_suba_gobiernobogota_gov_co/IQC5qwGuIQjST41OSwx-hFIzAQ3VxJT0lJUuovidVAODsF0?e=PLid6a" TargetMode="External"/><Relationship Id="rId206" Type="http://schemas.openxmlformats.org/officeDocument/2006/relationships/hyperlink" Target="https://gobiernobogota-my.sharepoint.com/:b:/g/personal/planeacion_suba_gobiernobogota_gov_co/IQDf44K_e-byQbI4bgT9lM9AAQvRsujJ9Omyjb1eLxMqujs?e=yCC9hN" TargetMode="External"/><Relationship Id="rId413" Type="http://schemas.openxmlformats.org/officeDocument/2006/relationships/hyperlink" Target="https://gobiernobogota-my.sharepoint.com/:b:/g/personal/planeacion_suba_gobiernobogota_gov_co/IQBXh6io_0RcTbJer9rD27dvAftEALhK5PU3b2V9PYJePN4?e=ISxCKc" TargetMode="External"/><Relationship Id="rId248" Type="http://schemas.openxmlformats.org/officeDocument/2006/relationships/hyperlink" Target="https://gobiernobogota-my.sharepoint.com/:b:/g/personal/sandra_tamayo_gobiernobogota_gov_co/IQDDlTdQWxUqQpr89G1iHV7OATWXUfhcWF9LQLUdMMifc6s?e=N3M36B" TargetMode="External"/><Relationship Id="rId455" Type="http://schemas.openxmlformats.org/officeDocument/2006/relationships/hyperlink" Target="https://gobiernobogota-my.sharepoint.com/:b:/g/personal/planeacion_suba_gobiernobogota_gov_co/IQBI0yEyQXgwQ6mCSOWe2EEQAbsvr7zDXzRyghixX0dftHE?e=mKUbhs" TargetMode="External"/><Relationship Id="rId12" Type="http://schemas.openxmlformats.org/officeDocument/2006/relationships/hyperlink" Target="https://gobiernobogota-my.sharepoint.com/:b:/g/personal/planeacion_suba_gobiernobogota_gov_co/IQC3n1-3qJZ2SKpVvajWPoLpAeMYPbBWFvEmTo3r_WNO_U0?e=w0AYhT" TargetMode="External"/><Relationship Id="rId108" Type="http://schemas.openxmlformats.org/officeDocument/2006/relationships/hyperlink" Target="https://gobiernobogota-my.sharepoint.com/:b:/g/personal/planeacion_suba_gobiernobogota_gov_co/IQDnTTIqL0gdQ7M8lQvxgVsVAYTNutLLXrKc3Xz5mT4xVhM?e=VeVmF5" TargetMode="External"/><Relationship Id="rId315" Type="http://schemas.openxmlformats.org/officeDocument/2006/relationships/hyperlink" Target="https://gobiernobogota-my.sharepoint.com/:b:/g/personal/planeacion_suba_gobiernobogota_gov_co/IQCyA10LkQHjRbpaxdAnmhPDAXpC1OcuVN3A6MnbV1GIUkM?e=vordTy" TargetMode="External"/><Relationship Id="rId357" Type="http://schemas.openxmlformats.org/officeDocument/2006/relationships/hyperlink" Target="https://gobiernobogota-my.sharepoint.com/:b:/g/personal/planeacion_suba_gobiernobogota_gov_co/IQCdkMR8tqp8Q69vbzhAH616AQ_61I5Y1Hm_kEo8HVOdGQ0?e=PORaoV" TargetMode="External"/><Relationship Id="rId54" Type="http://schemas.openxmlformats.org/officeDocument/2006/relationships/hyperlink" Target="https://gobiernobogota-my.sharepoint.com/:b:/g/personal/planeacion_suba_gobiernobogota_gov_co/IQC3n1-3qJZ2SKpVvajWPoLpAeMYPbBWFvEmTo3r_WNO_U0?e=NnpG6D" TargetMode="External"/><Relationship Id="rId96" Type="http://schemas.openxmlformats.org/officeDocument/2006/relationships/hyperlink" Target="https://gobiernobogota-my.sharepoint.com/:b:/g/personal/planeacion_suba_gobiernobogota_gov_co/IQA0TAxhTdESQaWyokxkYiYrAUbT3V5pPD-WeH61XsXHSR4?e=trenfi" TargetMode="External"/><Relationship Id="rId161" Type="http://schemas.openxmlformats.org/officeDocument/2006/relationships/hyperlink" Target="https://gobiernobogota-my.sharepoint.com/:b:/g/personal/planeacion_suba_gobiernobogota_gov_co/IQCtLKZKPG_qQYjly-gia5KiAdVjbzFVp-ct0Mig7-uY_PY?e=auAfLP" TargetMode="External"/><Relationship Id="rId217" Type="http://schemas.openxmlformats.org/officeDocument/2006/relationships/hyperlink" Target="https://gobiernobogota-my.sharepoint.com/:b:/g/personal/sandra_tamayo_gobiernobogota_gov_co/IQCkOaz1yHOuToRvK9EuzFM_AVlwb909dArK0rFEryddnDg?e=nMXeXU" TargetMode="External"/><Relationship Id="rId399" Type="http://schemas.openxmlformats.org/officeDocument/2006/relationships/hyperlink" Target="https://gobiernobogota-my.sharepoint.com/:b:/g/personal/planeacion_suba_gobiernobogota_gov_co/IQCdkMR8tqp8Q69vbzhAH616AQ_61I5Y1Hm_kEo8HVOdGQ0?e=PORaoV" TargetMode="External"/><Relationship Id="rId259" Type="http://schemas.openxmlformats.org/officeDocument/2006/relationships/hyperlink" Target="https://gobiernobogota-my.sharepoint.com/:b:/g/personal/sandra_tamayo_gobiernobogota_gov_co/IQAjeafpPcQsSqiUSz8-bKSxAScepYFngBvK7GMyKKTm4SM?e=nsbc9S" TargetMode="External"/><Relationship Id="rId424" Type="http://schemas.openxmlformats.org/officeDocument/2006/relationships/hyperlink" Target="https://gobiernobogota-my.sharepoint.com/:b:/g/personal/planeacion_suba_gobiernobogota_gov_co/IQC8W9TKWv4jS5fxyVi7-aLRARyeQ2nJnMA_QAak0P1Ybgo?e=FaoXlT" TargetMode="External"/><Relationship Id="rId466" Type="http://schemas.openxmlformats.org/officeDocument/2006/relationships/printerSettings" Target="../printerSettings/printerSettings4.bin"/><Relationship Id="rId23" Type="http://schemas.openxmlformats.org/officeDocument/2006/relationships/hyperlink" Target="https://gobiernobogota-my.sharepoint.com/:b:/g/personal/planeacion_suba_gobiernobogota_gov_co/IQC3n1-3qJZ2SKpVvajWPoLpAeMYPbBWFvEmTo3r_WNO_U0?e=pazDjs" TargetMode="External"/><Relationship Id="rId119" Type="http://schemas.openxmlformats.org/officeDocument/2006/relationships/hyperlink" Target="https://gobiernobogota-my.sharepoint.com/:b:/g/personal/planeacion_suba_gobiernobogota_gov_co/IQAAJNBs6uMeS6mV_BLxT9hXAXeAFzGz3FMXDCmtoZ_JG0E?e=Zmg5Jn" TargetMode="External"/><Relationship Id="rId270" Type="http://schemas.openxmlformats.org/officeDocument/2006/relationships/hyperlink" Target="https://gobiernobogota-my.sharepoint.com/:b:/g/personal/planeacion_suba_gobiernobogota_gov_co/IQCdkMR8tqp8Q69vbzhAH616AQ_61I5Y1Hm_kEo8HVOdGQ0?e=PORaoV" TargetMode="External"/><Relationship Id="rId326" Type="http://schemas.openxmlformats.org/officeDocument/2006/relationships/hyperlink" Target="https://gobiernobogota-my.sharepoint.com/:b:/g/personal/planeacion_suba_gobiernobogota_gov_co/IQBBu4dnf9PkSYwhrQsa2XYcASFuORQjOSLHBBlK7dsYuzY?e=odT6R7" TargetMode="External"/><Relationship Id="rId65" Type="http://schemas.openxmlformats.org/officeDocument/2006/relationships/hyperlink" Target="https://gobiernobogota-my.sharepoint.com/:b:/g/personal/planeacion_suba_gobiernobogota_gov_co/IQCdev2Dvkl-RYuOHPJCpzVMAed_Q2BCu1MIfqedG9rb4d4?e=KtIU3P" TargetMode="External"/><Relationship Id="rId130" Type="http://schemas.openxmlformats.org/officeDocument/2006/relationships/hyperlink" Target="https://gobiernobogota-my.sharepoint.com/:b:/g/personal/planeacion_suba_gobiernobogota_gov_co/IQAJoXMxcosTQYdLKSivJRLVAQC0WrcB2x8Y5F7HtXLZESw?e=bvLVPd" TargetMode="External"/><Relationship Id="rId368" Type="http://schemas.openxmlformats.org/officeDocument/2006/relationships/hyperlink" Target="https://gobiernobogota-my.sharepoint.com/:b:/g/personal/planeacion_suba_gobiernobogota_gov_co/IQA6XZ-gkoxiSKnk6aiVgSCEAawLKwlfM0IroQr3uACmZ9k?e=HVYTcl" TargetMode="External"/><Relationship Id="rId172" Type="http://schemas.openxmlformats.org/officeDocument/2006/relationships/hyperlink" Target="https://gobiernobogota-my.sharepoint.com/:b:/g/personal/planeacion_suba_gobiernobogota_gov_co/IQC3n1-3qJZ2SKpVvajWPoLpAeMYPbBWFvEmTo3r_WNO_U0?e=wT4zs3" TargetMode="External"/><Relationship Id="rId228" Type="http://schemas.openxmlformats.org/officeDocument/2006/relationships/hyperlink" Target="https://gobiernobogota-my.sharepoint.com/:b:/g/personal/planeacion_suba_gobiernobogota_gov_co/IQCdrvYVSsCrQqpuXkDsvZGHAVD0GGLw2s8Qi71zmQX5n8k?e=vLWcfN" TargetMode="External"/><Relationship Id="rId435" Type="http://schemas.openxmlformats.org/officeDocument/2006/relationships/hyperlink" Target="https://gobiernobogota-my.sharepoint.com/:b:/g/personal/planeacion_suba_gobiernobogota_gov_co/IQDYfz7BCezNT5jcCSdluleDAY3bI6UPbxERGDBiY4eb9dI?e=95vbkE" TargetMode="External"/><Relationship Id="rId281" Type="http://schemas.openxmlformats.org/officeDocument/2006/relationships/hyperlink" Target="https://gobiernobogota-my.sharepoint.com/:b:/g/personal/planeacion_suba_gobiernobogota_gov_co/IQCOgtbqCSx4Rr-blaLs427EAd_hHwOcNPXV2dYA1FgLp_w?e=hY77WV" TargetMode="External"/><Relationship Id="rId337" Type="http://schemas.openxmlformats.org/officeDocument/2006/relationships/hyperlink" Target="https://gobiernobogota-my.sharepoint.com/:b:/g/personal/planeacion_suba_gobiernobogota_gov_co/IQDvWsBowmslT68Q3xUoByv5AbWb86AEl_9FGjMuL7NmQgs?e=D5Mwpb" TargetMode="External"/><Relationship Id="rId34" Type="http://schemas.openxmlformats.org/officeDocument/2006/relationships/hyperlink" Target="https://gobiernobogota-my.sharepoint.com/:b:/g/personal/planeacion_suba_gobiernobogota_gov_co/IQBuOzStr3VOSrJVUh9Xj5TjAQ0tYcBuK8ryjmQQPMTnx0g?e=5EQEuE" TargetMode="External"/><Relationship Id="rId76" Type="http://schemas.openxmlformats.org/officeDocument/2006/relationships/hyperlink" Target="https://gobiernobogota-my.sharepoint.com/:b:/g/personal/planeacion_suba_gobiernobogota_gov_co/IQC3n1-3qJZ2SKpVvajWPoLpAeMYPbBWFvEmTo3r_WNO_U0?e=aokUhQ" TargetMode="External"/><Relationship Id="rId141" Type="http://schemas.openxmlformats.org/officeDocument/2006/relationships/hyperlink" Target="https://gobiernobogota-my.sharepoint.com/:b:/g/personal/planeacion_suba_gobiernobogota_gov_co/IQAGMEJdVebBSbbW_iWD3OKhASMtWz38ngGhEFjJBxQWGT8?e=0Ohqjg" TargetMode="External"/><Relationship Id="rId379" Type="http://schemas.openxmlformats.org/officeDocument/2006/relationships/hyperlink" Target="https://gobiernobogota-my.sharepoint.com/:b:/g/personal/planeacion_suba_gobiernobogota_gov_co/IQAJXjAvIajwQ68bvEjj43HpASA8Zb06zOXwxqocktk2OQM?e=fHOLTc" TargetMode="External"/><Relationship Id="rId7" Type="http://schemas.openxmlformats.org/officeDocument/2006/relationships/hyperlink" Target="https://gobiernobogota-my.sharepoint.com/:b:/g/personal/planeacion_suba_gobiernobogota_gov_co/IQCgm5YiE5_kQ5TMDogZTJv7AV1RW44CV7mB7C1aXXqSRvs?e=pGD3LR" TargetMode="External"/><Relationship Id="rId183" Type="http://schemas.openxmlformats.org/officeDocument/2006/relationships/hyperlink" Target="https://gobiernobogota-my.sharepoint.com/:b:/g/personal/planeacion_suba_gobiernobogota_gov_co/IQDMZ0T9mSVxRKfzq21QstZzAUDlBRHMMr71r81ynqwr9wc?e=GwTjSx" TargetMode="External"/><Relationship Id="rId239" Type="http://schemas.openxmlformats.org/officeDocument/2006/relationships/hyperlink" Target="https://gobiernobogota-my.sharepoint.com/:b:/g/personal/sandra_tamayo_gobiernobogota_gov_co/IQBjTkxVaG7tSZ2JdDfsvt53AUgI_XCQNVZqd3ocKvLkekA?e=JwWv1Q" TargetMode="External"/><Relationship Id="rId390" Type="http://schemas.openxmlformats.org/officeDocument/2006/relationships/hyperlink" Target="https://gobiernobogota-my.sharepoint.com/:b:/g/personal/planeacion_suba_gobiernobogota_gov_co/IQBgfU5FXEbdSK4NUAeTcHbDAYmCY2Ks8ecH3znMxDjhGXM?e=W52PrW" TargetMode="External"/><Relationship Id="rId404" Type="http://schemas.openxmlformats.org/officeDocument/2006/relationships/hyperlink" Target="https://gobiernobogota-my.sharepoint.com/:b:/g/personal/planeacion_suba_gobiernobogota_gov_co/IQCdkMR8tqp8Q69vbzhAH616AQ_61I5Y1Hm_kEo8HVOdGQ0?e=PORaoV" TargetMode="External"/><Relationship Id="rId446" Type="http://schemas.openxmlformats.org/officeDocument/2006/relationships/hyperlink" Target="https://gobiernobogota-my.sharepoint.com/:b:/g/personal/planeacion_suba_gobiernobogota_gov_co/IQBQhQEJ73TWTZbL6J9z5LSKAS3GX70b7VJh0PyiiiLHOF4?e=6a2p7d" TargetMode="External"/><Relationship Id="rId250" Type="http://schemas.openxmlformats.org/officeDocument/2006/relationships/hyperlink" Target="https://gobiernobogota-my.sharepoint.com/:b:/g/personal/planeacion_suba_gobiernobogota_gov_co/IQCBQKq8b2bPRpPLx1asbELQAXqD9L5l2_XiRn-TM01JFys?e=SE5ITT" TargetMode="External"/><Relationship Id="rId292" Type="http://schemas.openxmlformats.org/officeDocument/2006/relationships/hyperlink" Target="https://gobiernobogota-my.sharepoint.com/:b:/g/personal/planeacion_suba_gobiernobogota_gov_co/IQAPRkPrZAKvTLtcG25cEzViAeS6mFIuwdNuXQQ4Dk8pWGY?e=5nrRxu" TargetMode="External"/><Relationship Id="rId306" Type="http://schemas.openxmlformats.org/officeDocument/2006/relationships/hyperlink" Target="https://gobiernobogota-my.sharepoint.com/:b:/g/personal/planeacion_suba_gobiernobogota_gov_co/IQC5U5Ws5lXSQKcSHRjB-L8tAT3bd0UhbaatJZequ5cH9HQ?e=A1tvvO" TargetMode="External"/><Relationship Id="rId45" Type="http://schemas.openxmlformats.org/officeDocument/2006/relationships/hyperlink" Target="https://gobiernobogota-my.sharepoint.com/:b:/g/personal/planeacion_suba_gobiernobogota_gov_co/IQCgm5YiE5_kQ5TMDogZTJv7AV1RW44CV7mB7C1aXXqSRvs?e=5kQJl8" TargetMode="External"/><Relationship Id="rId87" Type="http://schemas.openxmlformats.org/officeDocument/2006/relationships/hyperlink" Target="https://gobiernobogota-my.sharepoint.com/:b:/g/personal/planeacion_suba_gobiernobogota_gov_co/IQB1koQVRkn1SJ-jGBLg2WctAerGiuXTK8urgDEPgP_sndY?e=OX3A2p" TargetMode="External"/><Relationship Id="rId110" Type="http://schemas.openxmlformats.org/officeDocument/2006/relationships/hyperlink" Target="https://gobiernobogota-my.sharepoint.com/:b:/g/personal/planeacion_suba_gobiernobogota_gov_co/IQDn0jOHnyFxRbQtCLnKsAM8AR3q7j3V5tRnqd0_pPlii9A?e=yS9noV" TargetMode="External"/><Relationship Id="rId348" Type="http://schemas.openxmlformats.org/officeDocument/2006/relationships/hyperlink" Target="https://gobiernobogota-my.sharepoint.com/:b:/g/personal/planeacion_suba_gobiernobogota_gov_co/IQDMZ0T9mSVxRKfzq21QstZzAUDlBRHMMr71r81ynqwr9wc?e=GwTjSx" TargetMode="External"/><Relationship Id="rId152" Type="http://schemas.openxmlformats.org/officeDocument/2006/relationships/hyperlink" Target="https://gobiernobogota-my.sharepoint.com/:b:/g/personal/planeacion_suba_gobiernobogota_gov_co/IQBYjmf8NvTXQZbKG5HEyaSjAdfKgAvmbpcmT21Gs-HVHY8?e=nF8uto" TargetMode="External"/><Relationship Id="rId194" Type="http://schemas.openxmlformats.org/officeDocument/2006/relationships/hyperlink" Target="https://gobiernobogota-my.sharepoint.com/:b:/g/personal/planeacion_suba_gobiernobogota_gov_co/IQDTeSSi0UFMRKd4RIRqxGF-Aa6FJihICiXVXNAypoR_Hzw?e=1zaJF9" TargetMode="External"/><Relationship Id="rId208" Type="http://schemas.openxmlformats.org/officeDocument/2006/relationships/hyperlink" Target="https://gobiernobogota-my.sharepoint.com/:b:/g/personal/planeacion_suba_gobiernobogota_gov_co/IQCT78HmPs1tS46HtrvzcoINATHrZVKIQtUfSpyziHXk51I?e=3gpoGn" TargetMode="External"/><Relationship Id="rId415" Type="http://schemas.openxmlformats.org/officeDocument/2006/relationships/hyperlink" Target="https://gobiernobogota-my.sharepoint.com/:b:/g/personal/planeacion_suba_gobiernobogota_gov_co/IQBXh6io_0RcTbJer9rD27dvAftEALhK5PU3b2V9PYJePN4?e=ISxCKc" TargetMode="External"/><Relationship Id="rId457" Type="http://schemas.openxmlformats.org/officeDocument/2006/relationships/hyperlink" Target="https://gobiernobogota-my.sharepoint.com/:b:/g/personal/planeacion_suba_gobiernobogota_gov_co/IQDYfz7BCezNT5jcCSdluleDAY3bI6UPbxERGDBiY4eb9dI?e=jqyMZZ" TargetMode="External"/><Relationship Id="rId261" Type="http://schemas.openxmlformats.org/officeDocument/2006/relationships/hyperlink" Target="https://gobiernobogota-my.sharepoint.com/:b:/g/personal/planeacion_suba_gobiernobogota_gov_co/IQDlB4prtJ-3R6hWCmUH6WtWAcd9g9dVT7DAQT7y5J3JaAI?e=PSPzc6" TargetMode="External"/><Relationship Id="rId14" Type="http://schemas.openxmlformats.org/officeDocument/2006/relationships/hyperlink" Target="https://gobiernobogota-my.sharepoint.com/:b:/g/personal/planeacion_suba_gobiernobogota_gov_co/IQCgm5YiE5_kQ5TMDogZTJv7AV1RW44CV7mB7C1aXXqSRvs?e=MLdLXm" TargetMode="External"/><Relationship Id="rId56" Type="http://schemas.openxmlformats.org/officeDocument/2006/relationships/hyperlink" Target="https://gobiernobogota-my.sharepoint.com/:b:/g/personal/planeacion_suba_gobiernobogota_gov_co/IQC3n1-3qJZ2SKpVvajWPoLpAeMYPbBWFvEmTo3r_WNO_U0?e=F3bvOM" TargetMode="External"/><Relationship Id="rId317" Type="http://schemas.openxmlformats.org/officeDocument/2006/relationships/hyperlink" Target="https://gobiernobogota-my.sharepoint.com/:b:/g/personal/planeacion_suba_gobiernobogota_gov_co/IQCyA10LkQHjRbpaxdAnmhPDAXpC1OcuVN3A6MnbV1GIUkM?e=0dvZYH" TargetMode="External"/><Relationship Id="rId359" Type="http://schemas.openxmlformats.org/officeDocument/2006/relationships/hyperlink" Target="https://gobiernobogota-my.sharepoint.com/:b:/g/personal/planeacion_suba_gobiernobogota_gov_co/IQBz2CKObcGQQ7tlyKeMS_LyAYgcIzBGx3HfmbaEMW7eKes?e=Y32qrI" TargetMode="External"/><Relationship Id="rId98" Type="http://schemas.openxmlformats.org/officeDocument/2006/relationships/hyperlink" Target="https://gobiernobogota-my.sharepoint.com/:b:/g/personal/planeacion_suba_gobiernobogota_gov_co/IQA0TAxhTdESQaWyokxkYiYrAUbT3V5pPD-WeH61XsXHSR4?e=trenfi" TargetMode="External"/><Relationship Id="rId121" Type="http://schemas.openxmlformats.org/officeDocument/2006/relationships/hyperlink" Target="https://gobiernobogota-my.sharepoint.com/:b:/g/personal/planeacion_suba_gobiernobogota_gov_co/IQCzIfdU-35TT6hjtk2-WEEyAbZ-6SvCcX004e1GRHemm50?e=NpQncd" TargetMode="External"/><Relationship Id="rId163" Type="http://schemas.openxmlformats.org/officeDocument/2006/relationships/hyperlink" Target="https://gobiernobogota-my.sharepoint.com/:b:/g/personal/planeacion_suba_gobiernobogota_gov_co/IQAbV3MWcEGsS5xdyx9gFjx1AYNT8_62IK5KH_L4tWOIomc?e=5WlMTj" TargetMode="External"/><Relationship Id="rId219" Type="http://schemas.openxmlformats.org/officeDocument/2006/relationships/hyperlink" Target="https://gobiernobogota-my.sharepoint.com/:b:/g/personal/sandra_tamayo_gobiernobogota_gov_co/IQAM8r63uIZnT5tRcP2mHZsFAWaGEdK-hI3o_OoHipb11qI?e=TFePgq" TargetMode="External"/><Relationship Id="rId370" Type="http://schemas.openxmlformats.org/officeDocument/2006/relationships/hyperlink" Target="https://gobiernobogota-my.sharepoint.com/:b:/g/personal/planeacion_suba_gobiernobogota_gov_co/IQA6XZ-gkoxiSKnk6aiVgSCEAawLKwlfM0IroQr3uACmZ9k?e=HVYTcl" TargetMode="External"/><Relationship Id="rId426" Type="http://schemas.openxmlformats.org/officeDocument/2006/relationships/hyperlink" Target="https://gobiernobogota-my.sharepoint.com/:b:/g/personal/planeacion_suba_gobiernobogota_gov_co/IQBWDY3dVrpcSqj40rTqHYUqAQ_wi3xchctE_LU1NyI0Rxo?e=vWQNgY" TargetMode="External"/><Relationship Id="rId230" Type="http://schemas.openxmlformats.org/officeDocument/2006/relationships/hyperlink" Target="https://gobiernobogota-my.sharepoint.com/:b:/g/personal/sandra_tamayo_gobiernobogota_gov_co/IQA0E0FNBmhFSoYzdZx72ppWAYSYFjCMAYDOHjW2FrXQpD8?e=69EhDf" TargetMode="External"/><Relationship Id="rId25" Type="http://schemas.openxmlformats.org/officeDocument/2006/relationships/hyperlink" Target="https://gobiernobogota-my.sharepoint.com/:b:/g/personal/planeacion_suba_gobiernobogota_gov_co/IQCgm5YiE5_kQ5TMDogZTJv7AV1RW44CV7mB7C1aXXqSRvs?e=L180oL" TargetMode="External"/><Relationship Id="rId67" Type="http://schemas.openxmlformats.org/officeDocument/2006/relationships/hyperlink" Target="https://gobiernobogota-my.sharepoint.com/:b:/g/personal/planeacion_suba_gobiernobogota_gov_co/IQBcwJuRCc4cTL--ocd3-APOAZKkil9qoTQfoGSndWaIEFM?e=IfTvme" TargetMode="External"/><Relationship Id="rId272" Type="http://schemas.openxmlformats.org/officeDocument/2006/relationships/hyperlink" Target="https://gobiernobogota-my.sharepoint.com/:b:/g/personal/planeacion_suba_gobiernobogota_gov_co/IQDCo5nBdqHcSYwPwwp8sizdAWH0Tt2nODZUFrKlcfV2Rsc?e=MIgUNA" TargetMode="External"/><Relationship Id="rId328" Type="http://schemas.openxmlformats.org/officeDocument/2006/relationships/hyperlink" Target="https://gobiernobogota-my.sharepoint.com/:b:/g/personal/planeacion_suba_gobiernobogota_gov_co/IQCyA10LkQHjRbpaxdAnmhPDAXpC1OcuVN3A6MnbV1GIUkM?e=HCHfKq" TargetMode="External"/><Relationship Id="rId132" Type="http://schemas.openxmlformats.org/officeDocument/2006/relationships/hyperlink" Target="https://gobiernobogota-my.sharepoint.com/:b:/g/personal/planeacion_suba_gobiernobogota_gov_co/IQC3n1-3qJZ2SKpVvajWPoLpAeMYPbBWFvEmTo3r_WNO_U0?e=cJDieg" TargetMode="External"/><Relationship Id="rId174" Type="http://schemas.openxmlformats.org/officeDocument/2006/relationships/hyperlink" Target="https://gobiernobogota-my.sharepoint.com/:b:/g/personal/planeacion_suba_gobiernobogota_gov_co/IQDf44K_e-byQbI4bgT9lM9AAQvRsujJ9Omyjb1eLxMqujs?e=yCC9hN" TargetMode="External"/><Relationship Id="rId381" Type="http://schemas.openxmlformats.org/officeDocument/2006/relationships/hyperlink" Target="https://gobiernobogota-my.sharepoint.com/:b:/g/personal/planeacion_suba_gobiernobogota_gov_co/IQAdy-rJ0tjISa5i30jFu1k8AZRtQl9JohRXyI4j9ajYCNY?e=RLilQd" TargetMode="External"/><Relationship Id="rId241" Type="http://schemas.openxmlformats.org/officeDocument/2006/relationships/hyperlink" Target="https://gobiernobogota-my.sharepoint.com/:b:/g/personal/sandra_tamayo_gobiernobogota_gov_co/IQBjTkxVaG7tSZ2JdDfsvt53AUgI_XCQNVZqd3ocKvLkekA?e=JwWv1Q" TargetMode="External"/><Relationship Id="rId437" Type="http://schemas.openxmlformats.org/officeDocument/2006/relationships/hyperlink" Target="https://gobiernobogota-my.sharepoint.com/:b:/g/personal/planeacion_suba_gobiernobogota_gov_co/IQBI0yEyQXgwQ6mCSOWe2EEQAbsvr7zDXzRyghixX0dftHE?e=gYQKRY" TargetMode="External"/><Relationship Id="rId36" Type="http://schemas.openxmlformats.org/officeDocument/2006/relationships/hyperlink" Target="https://gobiernobogota-my.sharepoint.com/:b:/g/personal/planeacion_suba_gobiernobogota_gov_co/IQBI0yEyQXgwQ6mCSOWe2EEQAbsvr7zDXzRyghixX0dftHE?e=pZXOle" TargetMode="External"/><Relationship Id="rId283" Type="http://schemas.openxmlformats.org/officeDocument/2006/relationships/hyperlink" Target="https://gobiernobogota-my.sharepoint.com/:b:/g/personal/planeacion_suba_gobiernobogota_gov_co/IQCOgtbqCSx4Rr-blaLs427EAd_hHwOcNPXV2dYA1FgLp_w?e=hY77WV" TargetMode="External"/><Relationship Id="rId339" Type="http://schemas.openxmlformats.org/officeDocument/2006/relationships/hyperlink" Target="https://gobiernobogota-my.sharepoint.com/:b:/g/personal/planeacion_suba_gobiernobogota_gov_co/IQCyA10LkQHjRbpaxdAnmhPDAXpC1OcuVN3A6MnbV1GIUkM?e=eWZBWu" TargetMode="External"/><Relationship Id="rId78" Type="http://schemas.openxmlformats.org/officeDocument/2006/relationships/hyperlink" Target="https://gobiernobogota-my.sharepoint.com/:b:/g/personal/planeacion_suba_gobiernobogota_gov_co/IQCgm5YiE5_kQ5TMDogZTJv7AV1RW44CV7mB7C1aXXqSRvs?e=KKgvuY" TargetMode="External"/><Relationship Id="rId101" Type="http://schemas.openxmlformats.org/officeDocument/2006/relationships/hyperlink" Target="https://gobiernobogota-my.sharepoint.com/:b:/g/personal/planeacion_suba_gobiernobogota_gov_co/IQDMb7zDnZvgSIT6O8TvxCnaAXhviGQRNqirZ9TaiX8MtJA?e=JOwCpk" TargetMode="External"/><Relationship Id="rId143" Type="http://schemas.openxmlformats.org/officeDocument/2006/relationships/hyperlink" Target="https://gobiernobogota-my.sharepoint.com/:b:/g/personal/planeacion_suba_gobiernobogota_gov_co/IQDMZ0T9mSVxRKfzq21QstZzAUDlBRHMMr71r81ynqwr9wc?e=GwTjSx" TargetMode="External"/><Relationship Id="rId185" Type="http://schemas.openxmlformats.org/officeDocument/2006/relationships/hyperlink" Target="https://gobiernobogota-my.sharepoint.com/:b:/g/personal/planeacion_suba_gobiernobogota_gov_co/IQC3n1-3qJZ2SKpVvajWPoLpAeMYPbBWFvEmTo3r_WNO_U0?e=OrkinL" TargetMode="External"/><Relationship Id="rId350" Type="http://schemas.openxmlformats.org/officeDocument/2006/relationships/hyperlink" Target="https://gobiernobogota-my.sharepoint.com/:b:/g/personal/planeacion_suba_gobiernobogota_gov_co/IQCdkMR8tqp8Q69vbzhAH616AQ_61I5Y1Hm_kEo8HVOdGQ0?e=PORaoV" TargetMode="External"/><Relationship Id="rId406" Type="http://schemas.openxmlformats.org/officeDocument/2006/relationships/hyperlink" Target="https://gobiernobogota-my.sharepoint.com/:b:/g/personal/planeacion_suba_gobiernobogota_gov_co/IQC8aZx2NnlWQJELsizfgLSjAd7eqfeZXr7cjHi5SHEC9sI?e=UN3jEI" TargetMode="External"/><Relationship Id="rId9" Type="http://schemas.openxmlformats.org/officeDocument/2006/relationships/hyperlink" Target="https://gobiernobogota-my.sharepoint.com/:b:/g/personal/planeacion_suba_gobiernobogota_gov_co/IQBuOzStr3VOSrJVUh9Xj5TjAQ0tYcBuK8ryjmQQPMTnx0g?e=LOFs15" TargetMode="External"/><Relationship Id="rId210" Type="http://schemas.openxmlformats.org/officeDocument/2006/relationships/hyperlink" Target="https://gobiernobogota-my.sharepoint.com/:b:/g/personal/planeacion_suba_gobiernobogota_gov_co/IQDmyGracKteS6Vm1_fdOwZ5Ab_PkCvygcBkbr5uLdVhIBQ?e=mesxdc" TargetMode="External"/><Relationship Id="rId392" Type="http://schemas.openxmlformats.org/officeDocument/2006/relationships/hyperlink" Target="https://gobiernobogota-my.sharepoint.com/:b:/g/personal/planeacion_suba_gobiernobogota_gov_co/IQDYfz7BCezNT5jcCSdluleDAY3bI6UPbxERGDBiY4eb9dI?e=nMk8kc" TargetMode="External"/><Relationship Id="rId448" Type="http://schemas.openxmlformats.org/officeDocument/2006/relationships/hyperlink" Target="https://gobiernobogota-my.sharepoint.com/:b:/g/personal/planeacion_suba_gobiernobogota_gov_co/IQAdy-rJ0tjISa5i30jFu1k8AZRtQl9JohRXyI4j9ajYCNY?e=RLilQd" TargetMode="External"/><Relationship Id="rId252" Type="http://schemas.openxmlformats.org/officeDocument/2006/relationships/hyperlink" Target="https://gobiernobogota-my.sharepoint.com/:b:/g/personal/planeacion_suba_gobiernobogota_gov_co/IQCBQKq8b2bPRpPLx1asbELQAXqD9L5l2_XiRn-TM01JFys?e=SE5ITT" TargetMode="External"/><Relationship Id="rId294" Type="http://schemas.openxmlformats.org/officeDocument/2006/relationships/hyperlink" Target="https://gobiernobogota-my.sharepoint.com/:b:/g/personal/planeacion_suba_gobiernobogota_gov_co/IQAPRkPrZAKvTLtcG25cEzViAeS6mFIuwdNuXQQ4Dk8pWGY?e=5nrRxu" TargetMode="External"/><Relationship Id="rId308" Type="http://schemas.openxmlformats.org/officeDocument/2006/relationships/hyperlink" Target="https://gobiernobogota-my.sharepoint.com/:b:/g/personal/planeacion_suba_gobiernobogota_gov_co/IQBqOuaLBCc3T4MKG__QKWsuAXYDOg04CxhquyOEnMb-IfE?e=EAmoGZ" TargetMode="External"/><Relationship Id="rId47" Type="http://schemas.openxmlformats.org/officeDocument/2006/relationships/hyperlink" Target="https://gobiernobogota-my.sharepoint.com/:b:/g/personal/planeacion_suba_gobiernobogota_gov_co/IQBuOzStr3VOSrJVUh9Xj5TjAQ0tYcBuK8ryjmQQPMTnx0g?e=vKPqSw" TargetMode="External"/><Relationship Id="rId89" Type="http://schemas.openxmlformats.org/officeDocument/2006/relationships/hyperlink" Target="https://gobiernobogota-my.sharepoint.com/:b:/g/personal/planeacion_suba_gobiernobogota_gov_co/IQC3n1-3qJZ2SKpVvajWPoLpAeMYPbBWFvEmTo3r_WNO_U0?e=TgI0ZS" TargetMode="External"/><Relationship Id="rId112" Type="http://schemas.openxmlformats.org/officeDocument/2006/relationships/hyperlink" Target="https://gobiernobogota-my.sharepoint.com/:b:/g/personal/planeacion_suba_gobiernobogota_gov_co/IQDMZ0T9mSVxRKfzq21QstZzAUDlBRHMMr71r81ynqwr9wc?e=GwTjSx" TargetMode="External"/><Relationship Id="rId154" Type="http://schemas.openxmlformats.org/officeDocument/2006/relationships/hyperlink" Target="https://gobiernobogota-my.sharepoint.com/:b:/g/personal/planeacion_suba_gobiernobogota_gov_co/IQC3n1-3qJZ2SKpVvajWPoLpAeMYPbBWFvEmTo3r_WNO_U0?e=cbiuGk" TargetMode="External"/><Relationship Id="rId361" Type="http://schemas.openxmlformats.org/officeDocument/2006/relationships/hyperlink" Target="https://gobiernobogota-my.sharepoint.com/:b:/g/personal/planeacion_suba_gobiernobogota_gov_co/IQC3n1-3qJZ2SKpVvajWPoLpAeMYPbBWFvEmTo3r_WNO_U0?e=w0AYhT" TargetMode="External"/><Relationship Id="rId196" Type="http://schemas.openxmlformats.org/officeDocument/2006/relationships/hyperlink" Target="https://gobiernobogota-my.sharepoint.com/:b:/g/personal/planeacion_suba_gobiernobogota_gov_co/IQC3n1-3qJZ2SKpVvajWPoLpAeMYPbBWFvEmTo3r_WNO_U0?e=HKfLdq" TargetMode="External"/><Relationship Id="rId417" Type="http://schemas.openxmlformats.org/officeDocument/2006/relationships/hyperlink" Target="https://gobiernobogota-my.sharepoint.com/:b:/g/personal/planeacion_suba_gobiernobogota_gov_co/IQA6XZ-gkoxiSKnk6aiVgSCEAawLKwlfM0IroQr3uACmZ9k?e=HVYTcl" TargetMode="External"/><Relationship Id="rId459" Type="http://schemas.openxmlformats.org/officeDocument/2006/relationships/hyperlink" Target="https://gobiernobogota-my.sharepoint.com/:b:/g/personal/planeacion_suba_gobiernobogota_gov_co/IQA0TAxhTdESQaWyokxkYiYrAUbT3V5pPD-WeH61XsXHSR4?e=trenfi" TargetMode="External"/><Relationship Id="rId16" Type="http://schemas.openxmlformats.org/officeDocument/2006/relationships/hyperlink" Target="https://gobiernobogota-my.sharepoint.com/:b:/g/personal/planeacion_suba_gobiernobogota_gov_co/IQCgm5YiE5_kQ5TMDogZTJv7AV1RW44CV7mB7C1aXXqSRvs?e=ldGU0r" TargetMode="External"/><Relationship Id="rId221" Type="http://schemas.openxmlformats.org/officeDocument/2006/relationships/hyperlink" Target="https://gobiernobogota-my.sharepoint.com/:b:/g/personal/sandra_tamayo_gobiernobogota_gov_co/IQA3E8DYd_5eQpOCLt-dIdaDAciGCWoPLul-uF8X9QJvaWY?e=b1ac6Z" TargetMode="External"/><Relationship Id="rId263" Type="http://schemas.openxmlformats.org/officeDocument/2006/relationships/hyperlink" Target="https://gobiernobogota-my.sharepoint.com/:b:/g/personal/planeacion_suba_gobiernobogota_gov_co/IQBLJ1tp1fdzSL9E0QwjjNUSAS7hmaX-o2ET4sUI1GqHxqY?e=85qjEM" TargetMode="External"/><Relationship Id="rId319" Type="http://schemas.openxmlformats.org/officeDocument/2006/relationships/hyperlink" Target="https://gobiernobogota-my.sharepoint.com/:b:/g/personal/planeacion_suba_gobiernobogota_gov_co/IQCyA10LkQHjRbpaxdAnmhPDAXpC1OcuVN3A6MnbV1GIUkM?e=2ZIhyU" TargetMode="External"/><Relationship Id="rId58" Type="http://schemas.openxmlformats.org/officeDocument/2006/relationships/hyperlink" Target="https://gobiernobogota-my.sharepoint.com/:b:/g/personal/planeacion_suba_gobiernobogota_gov_co/IQC3n1-3qJZ2SKpVvajWPoLpAeMYPbBWFvEmTo3r_WNO_U0?e=p0cjYt" TargetMode="External"/><Relationship Id="rId123" Type="http://schemas.openxmlformats.org/officeDocument/2006/relationships/hyperlink" Target="https://gobiernobogota-my.sharepoint.com/:b:/g/personal/planeacion_suba_gobiernobogota_gov_co/IQAnvGnQjEV5T6XN7wqnVhvuATezCgcBSQu9gROapXkOtK0?e=MxV7r1" TargetMode="External"/><Relationship Id="rId330" Type="http://schemas.openxmlformats.org/officeDocument/2006/relationships/hyperlink" Target="https://gobiernobogota-my.sharepoint.com/:b:/g/personal/planeacion_suba_gobiernobogota_gov_co/IQCyA10LkQHjRbpaxdAnmhPDAXpC1OcuVN3A6MnbV1GIUkM?e=YE4SyR" TargetMode="External"/><Relationship Id="rId165" Type="http://schemas.openxmlformats.org/officeDocument/2006/relationships/hyperlink" Target="https://gobiernobogota-my.sharepoint.com/:b:/g/personal/planeacion_suba_gobiernobogota_gov_co/IQCRuVpQSkI_SoMFWmUMudaHAVHZyE2qBED-OgxSBxbCPaE?e=QgUlxV" TargetMode="External"/><Relationship Id="rId372" Type="http://schemas.openxmlformats.org/officeDocument/2006/relationships/hyperlink" Target="https://gobiernobogota-my.sharepoint.com/:b:/g/personal/planeacion_suba_gobiernobogota_gov_co/IQBI0yEyQXgwQ6mCSOWe2EEQAbsvr7zDXzRyghixX0dftHE?e=fojtoe" TargetMode="External"/><Relationship Id="rId428" Type="http://schemas.openxmlformats.org/officeDocument/2006/relationships/hyperlink" Target="https://gobiernobogota-my.sharepoint.com/:b:/g/personal/planeacion_suba_gobiernobogota_gov_co/IQDSBK66d3xwQpQoDybPSp2LASeoWIhjUzuHDVO6h-_iYkU?e=eB4Pi2" TargetMode="External"/><Relationship Id="rId232" Type="http://schemas.openxmlformats.org/officeDocument/2006/relationships/hyperlink" Target="https://gobiernobogota-my.sharepoint.com/:b:/g/personal/planeacion_suba_gobiernobogota_gov_co/IQBJIYVnehCWQpL1M14Zy6vBAZXN8HXrV-9IPYx-1Xd4IZY?e=2LlJiH" TargetMode="External"/><Relationship Id="rId274" Type="http://schemas.openxmlformats.org/officeDocument/2006/relationships/hyperlink" Target="https://gobiernobogota-my.sharepoint.com/:b:/g/personal/planeacion_suba_gobiernobogota_gov_co/IQCdkMR8tqp8Q69vbzhAH616AQ_61I5Y1Hm_kEo8HVOdGQ0?e=PORaoV" TargetMode="External"/><Relationship Id="rId27" Type="http://schemas.openxmlformats.org/officeDocument/2006/relationships/hyperlink" Target="https://gobiernobogota-my.sharepoint.com/:b:/g/personal/planeacion_suba_gobiernobogota_gov_co/IQBuOzStr3VOSrJVUh9Xj5TjAQ0tYcBuK8ryjmQQPMTnx0g?e=Irlkpd" TargetMode="External"/><Relationship Id="rId69" Type="http://schemas.openxmlformats.org/officeDocument/2006/relationships/hyperlink" Target="https://gobiernobogota-my.sharepoint.com/:b:/g/personal/planeacion_suba_gobiernobogota_gov_co/IQBWOzfWvY2qR5XeKQ78dAVuAVSzA7TEHZaFqKchYbEhyqU?e=gPP2uO" TargetMode="External"/><Relationship Id="rId134" Type="http://schemas.openxmlformats.org/officeDocument/2006/relationships/hyperlink" Target="https://gobiernobogota-my.sharepoint.com/:b:/g/personal/planeacion_suba_gobiernobogota_gov_co/IQCqj9iNHEsST5oVFZ5WT9zgASyArQ_yBvzjK3YgWZ_XYTE?e=RqEctE" TargetMode="External"/><Relationship Id="rId80" Type="http://schemas.openxmlformats.org/officeDocument/2006/relationships/hyperlink" Target="https://gobiernobogota-my.sharepoint.com/:b:/g/personal/planeacion_suba_gobiernobogota_gov_co/IQBuOzStr3VOSrJVUh9Xj5TjAQ0tYcBuK8ryjmQQPMTnx0g?e=Lm4UKW" TargetMode="External"/><Relationship Id="rId176" Type="http://schemas.openxmlformats.org/officeDocument/2006/relationships/hyperlink" Target="https://gobiernobogota-my.sharepoint.com/:b:/g/personal/planeacion_suba_gobiernobogota_gov_co/IQAyH4f7aM85TLEwL6xT4WaoAb0dCocDGGgzT7IkqXmv6XQ?e=IFh9Tc" TargetMode="External"/><Relationship Id="rId341" Type="http://schemas.openxmlformats.org/officeDocument/2006/relationships/hyperlink" Target="https://gobiernobogota-my.sharepoint.com/:b:/g/personal/planeacion_suba_gobiernobogota_gov_co/IQC8aZx2NnlWQJELsizfgLSjAd7eqfeZXr7cjHi5SHEC9sI?e=UN3jEI" TargetMode="External"/><Relationship Id="rId383" Type="http://schemas.openxmlformats.org/officeDocument/2006/relationships/hyperlink" Target="https://gobiernobogota-my.sharepoint.com/:b:/g/personal/planeacion_suba_gobiernobogota_gov_co/IQAdy-rJ0tjISa5i30jFu1k8AZRtQl9JohRXyI4j9ajYCNY?e=6a5kqB" TargetMode="External"/><Relationship Id="rId439" Type="http://schemas.openxmlformats.org/officeDocument/2006/relationships/hyperlink" Target="https://gobiernobogota-my.sharepoint.com/:b:/g/personal/planeacion_suba_gobiernobogota_gov_co/IQBNsYMpaducRJZiEioICRgqAY4EdQFfHQsumh5haK9ape0?e=fwF8JT" TargetMode="External"/><Relationship Id="rId201" Type="http://schemas.openxmlformats.org/officeDocument/2006/relationships/hyperlink" Target="https://gobiernobogota-my.sharepoint.com/:b:/g/personal/planeacion_suba_gobiernobogota_gov_co/IQDf44K_e-byQbI4bgT9lM9AAQvRsujJ9Omyjb1eLxMqujs?e=yCC9hN" TargetMode="External"/><Relationship Id="rId243" Type="http://schemas.openxmlformats.org/officeDocument/2006/relationships/hyperlink" Target="https://gobiernobogota-my.sharepoint.com/:b:/g/personal/sandra_tamayo_gobiernobogota_gov_co/IQBjTkxVaG7tSZ2JdDfsvt53AUgI_XCQNVZqd3ocKvLkekA?e=JwWv1Q" TargetMode="External"/><Relationship Id="rId285" Type="http://schemas.openxmlformats.org/officeDocument/2006/relationships/hyperlink" Target="https://gobiernobogota-my.sharepoint.com/:b:/g/personal/planeacion_suba_gobiernobogota_gov_co/IQC18dDbHDF6S4WM89A1KV3tAcRIaPuhTUXbo3CJwVYaZMQ?e=mEAoWX" TargetMode="External"/><Relationship Id="rId450" Type="http://schemas.openxmlformats.org/officeDocument/2006/relationships/hyperlink" Target="https://gobiernobogota-my.sharepoint.com/:b:/g/personal/planeacion_suba_gobiernobogota_gov_co/IQAJXjAvIajwQ68bvEjj43HpASA8Zb06zOXwxqocktk2OQM?e=wUbrQE" TargetMode="External"/><Relationship Id="rId38" Type="http://schemas.openxmlformats.org/officeDocument/2006/relationships/hyperlink" Target="https://gobiernobogota-my.sharepoint.com/:b:/g/personal/planeacion_suba_gobiernobogota_gov_co/IQDYfz7BCezNT5jcCSdluleDAY3bI6UPbxERGDBiY4eb9dI?e=nMk8kc" TargetMode="External"/><Relationship Id="rId103" Type="http://schemas.openxmlformats.org/officeDocument/2006/relationships/hyperlink" Target="https://gobiernobogota-my.sharepoint.com/:b:/g/personal/planeacion_suba_gobiernobogota_gov_co/IQDMb7zDnZvgSIT6O8TvxCnaAXhviGQRNqirZ9TaiX8MtJA?e=JOwCpk" TargetMode="External"/><Relationship Id="rId310" Type="http://schemas.openxmlformats.org/officeDocument/2006/relationships/hyperlink" Target="https://gobiernobogota-my.sharepoint.com/:b:/g/personal/planeacion_suba_gobiernobogota_gov_co/IQAPRkPrZAKvTLtcG25cEzViAeS6mFIuwdNuXQQ4Dk8pWGY?e=5nrRxu" TargetMode="External"/><Relationship Id="rId91" Type="http://schemas.openxmlformats.org/officeDocument/2006/relationships/hyperlink" Target="https://gobiernobogota-my.sharepoint.com/:b:/g/personal/planeacion_suba_gobiernobogota_gov_co/IQDYfz7BCezNT5jcCSdluleDAY3bI6UPbxERGDBiY4eb9dI?e=nMk8kc" TargetMode="External"/><Relationship Id="rId145" Type="http://schemas.openxmlformats.org/officeDocument/2006/relationships/hyperlink" Target="https://gobiernobogota-my.sharepoint.com/:b:/g/personal/planeacion_suba_gobiernobogota_gov_co/IQDMZ0T9mSVxRKfzq21QstZzAUDlBRHMMr71r81ynqwr9wc?e=GwTjSx" TargetMode="External"/><Relationship Id="rId187" Type="http://schemas.openxmlformats.org/officeDocument/2006/relationships/hyperlink" Target="https://gobiernobogota-my.sharepoint.com/:b:/g/personal/planeacion_suba_gobiernobogota_gov_co/IQDMZ0T9mSVxRKfzq21QstZzAUDlBRHMMr71r81ynqwr9wc?e=GwTjSx" TargetMode="External"/><Relationship Id="rId352" Type="http://schemas.openxmlformats.org/officeDocument/2006/relationships/hyperlink" Target="https://gobiernobogota-my.sharepoint.com/:b:/g/personal/planeacion_suba_gobiernobogota_gov_co/IQBz2CKObcGQQ7tlyKeMS_LyAYgcIzBGx3HfmbaEMW7eKes?e=Y32qrI" TargetMode="External"/><Relationship Id="rId394" Type="http://schemas.openxmlformats.org/officeDocument/2006/relationships/hyperlink" Target="https://gobiernobogota-my.sharepoint.com/:b:/g/personal/planeacion_suba_gobiernobogota_gov_co/IQA0TAxhTdESQaWyokxkYiYrAUbT3V5pPD-WeH61XsXHSR4?e=trenfi" TargetMode="External"/><Relationship Id="rId408" Type="http://schemas.openxmlformats.org/officeDocument/2006/relationships/hyperlink" Target="https://gobiernobogota-my.sharepoint.com/:b:/g/personal/planeacion_suba_gobiernobogota_gov_co/IQA6XZ-gkoxiSKnk6aiVgSCEAawLKwlfM0IroQr3uACmZ9k?e=HVYTcl" TargetMode="External"/><Relationship Id="rId212" Type="http://schemas.openxmlformats.org/officeDocument/2006/relationships/hyperlink" Target="https://gobiernobogota-my.sharepoint.com/:b:/g/personal/planeacion_suba_gobiernobogota_gov_co/IQB740b1UecfQ4ImKkgKb5WXAWmwWIk3Q8ZYbHdScBSTWRI?e=jWS3mJ" TargetMode="External"/><Relationship Id="rId254" Type="http://schemas.openxmlformats.org/officeDocument/2006/relationships/hyperlink" Target="https://gobiernobogota-my.sharepoint.com/:b:/g/personal/planeacion_suba_gobiernobogota_gov_co/IQCBQKq8b2bPRpPLx1asbELQAXqD9L5l2_XiRn-TM01JFys?e=53UdJy" TargetMode="External"/><Relationship Id="rId49" Type="http://schemas.openxmlformats.org/officeDocument/2006/relationships/hyperlink" Target="https://gobiernobogota-my.sharepoint.com/:b:/g/personal/planeacion_suba_gobiernobogota_gov_co/IQCgm5YiE5_kQ5TMDogZTJv7AV1RW44CV7mB7C1aXXqSRvs?e=mzaRhj" TargetMode="External"/><Relationship Id="rId114" Type="http://schemas.openxmlformats.org/officeDocument/2006/relationships/hyperlink" Target="https://gobiernobogota-my.sharepoint.com/:b:/g/personal/planeacion_suba_gobiernobogota_gov_co/IQDf44K_e-byQbI4bgT9lM9AAQvRsujJ9Omyjb1eLxMqujs?e=WegZRB" TargetMode="External"/><Relationship Id="rId296" Type="http://schemas.openxmlformats.org/officeDocument/2006/relationships/hyperlink" Target="https://gobiernobogota-my.sharepoint.com/:b:/g/personal/planeacion_suba_gobiernobogota_gov_co/IQA6XZ-gkoxiSKnk6aiVgSCEAawLKwlfM0IroQr3uACmZ9k?e=HVYTcl" TargetMode="External"/><Relationship Id="rId461" Type="http://schemas.openxmlformats.org/officeDocument/2006/relationships/hyperlink" Target="https://gobiernobogota-my.sharepoint.com/:b:/g/personal/planeacion_suba_gobiernobogota_gov_co/IQBQhQEJ73TWTZbL6J9z5LSKAS3GX70b7VJh0PyiiiLHOF4?e=hLtbCE" TargetMode="External"/><Relationship Id="rId60" Type="http://schemas.openxmlformats.org/officeDocument/2006/relationships/hyperlink" Target="https://gobiernobogota-my.sharepoint.com/:b:/g/personal/planeacion_suba_gobiernobogota_gov_co/IQBuOzStr3VOSrJVUh9Xj5TjAQ0tYcBuK8ryjmQQPMTnx0g?e=JE5ZeO" TargetMode="External"/><Relationship Id="rId156" Type="http://schemas.openxmlformats.org/officeDocument/2006/relationships/hyperlink" Target="https://gobiernobogota-my.sharepoint.com/:b:/g/personal/planeacion_suba_gobiernobogota_gov_co/IQC3n1-3qJZ2SKpVvajWPoLpAeMYPbBWFvEmTo3r_WNO_U0?e=vxhXg6" TargetMode="External"/><Relationship Id="rId198" Type="http://schemas.openxmlformats.org/officeDocument/2006/relationships/hyperlink" Target="https://gobiernobogota-my.sharepoint.com/:b:/g/personal/planeacion_suba_gobiernobogota_gov_co/IQDf44K_e-byQbI4bgT9lM9AAQvRsujJ9Omyjb1eLxMqujs?e=yCC9hN" TargetMode="External"/><Relationship Id="rId321" Type="http://schemas.openxmlformats.org/officeDocument/2006/relationships/hyperlink" Target="https://gobiernobogota-my.sharepoint.com/:b:/g/personal/planeacion_suba_gobiernobogota_gov_co/IQBBu4dnf9PkSYwhrQsa2XYcASFuORQjOSLHBBlK7dsYuzY?e=odT6R7" TargetMode="External"/><Relationship Id="rId363" Type="http://schemas.openxmlformats.org/officeDocument/2006/relationships/hyperlink" Target="https://gobiernobogota-my.sharepoint.com/:b:/g/personal/planeacion_suba_gobiernobogota_gov_co/IQDf44K_e-byQbI4bgT9lM9AAQvRsujJ9Omyjb1eLxMqujs?e=yCC9hN" TargetMode="External"/><Relationship Id="rId419" Type="http://schemas.openxmlformats.org/officeDocument/2006/relationships/hyperlink" Target="https://gobiernobogota-my.sharepoint.com/:b:/g/personal/planeacion_suba_gobiernobogota_gov_co/IQC8aZx2NnlWQJELsizfgLSjAd7eqfeZXr7cjHi5SHEC9sI?e=UN3jEI" TargetMode="External"/><Relationship Id="rId223" Type="http://schemas.openxmlformats.org/officeDocument/2006/relationships/hyperlink" Target="https://gobiernobogota-my.sharepoint.com/:b:/g/personal/sandra_tamayo_gobiernobogota_gov_co/IQA0E0FNBmhFSoYzdZx72ppWAYSYFjCMAYDOHjW2FrXQpD8?e=ctwQeR" TargetMode="External"/><Relationship Id="rId430" Type="http://schemas.openxmlformats.org/officeDocument/2006/relationships/hyperlink" Target="https://gobiernobogota-my.sharepoint.com/:b:/g/personal/planeacion_suba_gobiernobogota_gov_co/IQAFhyKV42TQTLqifqCJGS4FAd04VtlpIuOm3VFWK9Ru08M?e=IXJjDp" TargetMode="External"/><Relationship Id="rId18" Type="http://schemas.openxmlformats.org/officeDocument/2006/relationships/hyperlink" Target="https://gobiernobogota-my.sharepoint.com/:b:/g/personal/planeacion_suba_gobiernobogota_gov_co/IQBuOzStr3VOSrJVUh9Xj5TjAQ0tYcBuK8ryjmQQPMTnx0g?e=qcwvCv" TargetMode="External"/><Relationship Id="rId265" Type="http://schemas.openxmlformats.org/officeDocument/2006/relationships/hyperlink" Target="https://gobiernobogota-my.sharepoint.com/:b:/g/personal/planeacion_suba_gobiernobogota_gov_co/IQBLJ1tp1fdzSL9E0QwjjNUSAS7hmaX-o2ET4sUI1GqHxqY?e=85qjEM" TargetMode="External"/><Relationship Id="rId125" Type="http://schemas.openxmlformats.org/officeDocument/2006/relationships/hyperlink" Target="https://gobiernobogota-my.sharepoint.com/:b:/g/personal/planeacion_suba_gobiernobogota_gov_co/IQC6nkK_7-q9S7XYQRoPwXOyAc6nHA0b56wYd1ftOXwi8XU?e=w5f9um" TargetMode="External"/><Relationship Id="rId167" Type="http://schemas.openxmlformats.org/officeDocument/2006/relationships/hyperlink" Target="https://gobiernobogota-my.sharepoint.com/:b:/g/personal/planeacion_suba_gobiernobogota_gov_co/IQC3n1-3qJZ2SKpVvajWPoLpAeMYPbBWFvEmTo3r_WNO_U0?e=hs3Cd0" TargetMode="External"/><Relationship Id="rId332" Type="http://schemas.openxmlformats.org/officeDocument/2006/relationships/hyperlink" Target="https://gobiernobogota-my.sharepoint.com/:b:/g/personal/planeacion_suba_gobiernobogota_gov_co/IQC8aZx2NnlWQJELsizfgLSjAd7eqfeZXr7cjHi5SHEC9sI?e=UN3jEI" TargetMode="External"/><Relationship Id="rId374" Type="http://schemas.openxmlformats.org/officeDocument/2006/relationships/hyperlink" Target="https://gobiernobogota-my.sharepoint.com/:b:/g/personal/planeacion_suba_gobiernobogota_gov_co/IQBI0yEyQXgwQ6mCSOWe2EEQAbsvr7zDXzRyghixX0dftHE?e=fojtoe" TargetMode="External"/><Relationship Id="rId71" Type="http://schemas.openxmlformats.org/officeDocument/2006/relationships/hyperlink" Target="https://gobiernobogota-my.sharepoint.com/:b:/g/personal/planeacion_suba_gobiernobogota_gov_co/IQBWOzfWvY2qR5XeKQ78dAVuAVSzA7TEHZaFqKchYbEhyqU?e=gPP2uO" TargetMode="External"/><Relationship Id="rId234" Type="http://schemas.openxmlformats.org/officeDocument/2006/relationships/hyperlink" Target="https://gobiernobogota-my.sharepoint.com/:b:/g/personal/planeacion_suba_gobiernobogota_gov_co/IQDkX-uGpikbSrK-LPccB8RDAbedi1ofneUYaqewJDQCJiU?e=aF4aPv" TargetMode="External"/><Relationship Id="rId2" Type="http://schemas.openxmlformats.org/officeDocument/2006/relationships/hyperlink" Target="https://gobiernobogota-my.sharepoint.com/:b:/g/personal/planeacion_suba_gobiernobogota_gov_co/IQCybG3Mw-5_SL9hYYq0BfraAQckIhYaYdhwT9gRzkVUEE8?e=FMwi0x" TargetMode="External"/><Relationship Id="rId29" Type="http://schemas.openxmlformats.org/officeDocument/2006/relationships/hyperlink" Target="https://gobiernobogota-my.sharepoint.com/:b:/g/personal/planeacion_suba_gobiernobogota_gov_co/IQB9Y1UnzTxhQ4BGV44GdSi0ASbTv_DA8DvOMf2BV-zgs2E?e=Bn1gZY" TargetMode="External"/><Relationship Id="rId276" Type="http://schemas.openxmlformats.org/officeDocument/2006/relationships/hyperlink" Target="https://gobiernobogota-my.sharepoint.com/:b:/g/personal/planeacion_suba_gobiernobogota_gov_co/IQA6XZ-gkoxiSKnk6aiVgSCEAawLKwlfM0IroQr3uACmZ9k?e=HVYTcl" TargetMode="External"/><Relationship Id="rId441" Type="http://schemas.openxmlformats.org/officeDocument/2006/relationships/hyperlink" Target="https://gobiernobogota-my.sharepoint.com/:b:/g/personal/planeacion_suba_gobiernobogota_gov_co/IQA0TAxhTdESQaWyokxkYiYrAUbT3V5pPD-WeH61XsXHSR4?e=jsAsse" TargetMode="External"/><Relationship Id="rId40" Type="http://schemas.openxmlformats.org/officeDocument/2006/relationships/hyperlink" Target="https://gobiernobogota-my.sharepoint.com/:b:/g/personal/planeacion_suba_gobiernobogota_gov_co/IQDYfz7BCezNT5jcCSdluleDAY3bI6UPbxERGDBiY4eb9dI?e=nMk8kc" TargetMode="External"/><Relationship Id="rId136" Type="http://schemas.openxmlformats.org/officeDocument/2006/relationships/hyperlink" Target="https://gobiernobogota-my.sharepoint.com/:b:/g/personal/planeacion_suba_gobiernobogota_gov_co/IQC5CY_jOGqsQLT9INpMFPAkAVz5LxNifQJVtXy6KkQoHSg?e=k7dvXx" TargetMode="External"/><Relationship Id="rId178" Type="http://schemas.openxmlformats.org/officeDocument/2006/relationships/hyperlink" Target="https://gobiernobogota-my.sharepoint.com/:b:/g/personal/planeacion_suba_gobiernobogota_gov_co/IQDf44K_e-byQbI4bgT9lM9AAQvRsujJ9Omyjb1eLxMqujs?e=yCC9hN" TargetMode="External"/><Relationship Id="rId301" Type="http://schemas.openxmlformats.org/officeDocument/2006/relationships/hyperlink" Target="https://gobiernobogota-my.sharepoint.com/:b:/g/personal/planeacion_suba_gobiernobogota_gov_co/IQBAm65oxyc0T6t-hkwmZdHRASZSGbvU_iS39qtovXnWWb0?e=plUu2y" TargetMode="External"/><Relationship Id="rId343" Type="http://schemas.openxmlformats.org/officeDocument/2006/relationships/hyperlink" Target="https://gobiernobogota-my.sharepoint.com/:b:/g/personal/planeacion_suba_gobiernobogota_gov_co/IQCyA10LkQHjRbpaxdAnmhPDAXpC1OcuVN3A6MnbV1GIUkM?e=2evzdw" TargetMode="External"/><Relationship Id="rId61" Type="http://schemas.openxmlformats.org/officeDocument/2006/relationships/hyperlink" Target="https://gobiernobogota-my.sharepoint.com/:b:/g/personal/planeacion_suba_gobiernobogota_gov_co/IQCGY5FmPQMEQat67x9F4KrNAVCBpchAvRj6_Mtzv174HZY?e=JEbFCR" TargetMode="External"/><Relationship Id="rId82" Type="http://schemas.openxmlformats.org/officeDocument/2006/relationships/hyperlink" Target="https://gobiernobogota-my.sharepoint.com/:b:/g/personal/planeacion_suba_gobiernobogota_gov_co/IQBuOzStr3VOSrJVUh9Xj5TjAQ0tYcBuK8ryjmQQPMTnx0g?e=cWC2jY" TargetMode="External"/><Relationship Id="rId199" Type="http://schemas.openxmlformats.org/officeDocument/2006/relationships/hyperlink" Target="https://gobiernobogota-my.sharepoint.com/:b:/g/personal/planeacion_suba_gobiernobogota_gov_co/IQDf44K_e-byQbI4bgT9lM9AAQvRsujJ9Omyjb1eLxMqujs?e=yCC9hN" TargetMode="External"/><Relationship Id="rId203" Type="http://schemas.openxmlformats.org/officeDocument/2006/relationships/hyperlink" Target="https://gobiernobogota-my.sharepoint.com/:b:/g/personal/planeacion_suba_gobiernobogota_gov_co/IQAtLFuyEs3_RrMfe0oKwMWcAWG5h3fg-RU1fMBI-yLlpGA?e=cxturv" TargetMode="External"/><Relationship Id="rId385" Type="http://schemas.openxmlformats.org/officeDocument/2006/relationships/hyperlink" Target="https://gobiernobogota-my.sharepoint.com/:b:/g/personal/planeacion_suba_gobiernobogota_gov_co/IQBQhQEJ73TWTZbL6J9z5LSKAS3GX70b7VJh0PyiiiLHOF4?e=Gw6MUq" TargetMode="External"/><Relationship Id="rId19" Type="http://schemas.openxmlformats.org/officeDocument/2006/relationships/hyperlink" Target="https://gobiernobogota-my.sharepoint.com/:b:/g/personal/planeacion_suba_gobiernobogota_gov_co/IQBLJ1tp1fdzSL9E0QwjjNUSAS7hmaX-o2ET4sUI1GqHxqY?e=jxOD27" TargetMode="External"/><Relationship Id="rId224" Type="http://schemas.openxmlformats.org/officeDocument/2006/relationships/hyperlink" Target="https://gobiernobogota-my.sharepoint.com/:b:/g/personal/sandra_tamayo_gobiernobogota_gov_co/IQA0E0FNBmhFSoYzdZx72ppWAYSYFjCMAYDOHjW2FrXQpD8?e=UmuexO" TargetMode="External"/><Relationship Id="rId245" Type="http://schemas.openxmlformats.org/officeDocument/2006/relationships/hyperlink" Target="https://gobiernobogota-my.sharepoint.com/:b:/g/personal/planeacion_suba_gobiernobogota_gov_co/IQB88U3Vz7gkToJIB7ic-wEmASj_InxGScZG8CupILITlIA?e=WdDChx" TargetMode="External"/><Relationship Id="rId266" Type="http://schemas.openxmlformats.org/officeDocument/2006/relationships/hyperlink" Target="https://gobiernobogota-my.sharepoint.com/:b:/g/personal/sandra_tamayo_gobiernobogota_gov_co/IQBjTkxVaG7tSZ2JdDfsvt53AUgI_XCQNVZqd3ocKvLkekA?e=wVA7J4" TargetMode="External"/><Relationship Id="rId287" Type="http://schemas.openxmlformats.org/officeDocument/2006/relationships/hyperlink" Target="https://gobiernobogota-my.sharepoint.com/:b:/g/personal/planeacion_suba_gobiernobogota_gov_co/IQABjT_ROPyZRbrNxD7VH92xAa7L7D1ZsZ6fwKopEKnX08A?e=BCxpZh" TargetMode="External"/><Relationship Id="rId410" Type="http://schemas.openxmlformats.org/officeDocument/2006/relationships/hyperlink" Target="https://gobiernobogota-my.sharepoint.com/:b:/g/personal/planeacion_suba_gobiernobogota_gov_co/IQBXh6io_0RcTbJer9rD27dvAftEALhK5PU3b2V9PYJePN4?e=ISxCKc" TargetMode="External"/><Relationship Id="rId431" Type="http://schemas.openxmlformats.org/officeDocument/2006/relationships/hyperlink" Target="https://gobiernobogota-my.sharepoint.com/:b:/g/personal/planeacion_suba_gobiernobogota_gov_co/IQBg0YvBUgUmRI8AMF9L_w7HAcE7CLxCKajIF_u8RdslVHU?e=EVLy69" TargetMode="External"/><Relationship Id="rId452" Type="http://schemas.openxmlformats.org/officeDocument/2006/relationships/hyperlink" Target="https://gobiernobogota-my.sharepoint.com/:b:/g/personal/planeacion_suba_gobiernobogota_gov_co/IQBAqpMZnJhaR4fzT69c6XO1AbvWvNOvoX7VQHbjdvg1aOg?e=HmkiGy" TargetMode="External"/><Relationship Id="rId30" Type="http://schemas.openxmlformats.org/officeDocument/2006/relationships/hyperlink" Target="https://gobiernobogota-my.sharepoint.com/:b:/g/personal/planeacion_suba_gobiernobogota_gov_co/IQCgm5YiE5_kQ5TMDogZTJv7AV1RW44CV7mB7C1aXXqSRvs?e=GwZ2D1" TargetMode="External"/><Relationship Id="rId105" Type="http://schemas.openxmlformats.org/officeDocument/2006/relationships/hyperlink" Target="https://gobiernobogota-my.sharepoint.com/:b:/g/personal/planeacion_suba_gobiernobogota_gov_co/IQDMb7zDnZvgSIT6O8TvxCnaAXhviGQRNqirZ9TaiX8MtJA?e=JOwCpk" TargetMode="External"/><Relationship Id="rId126" Type="http://schemas.openxmlformats.org/officeDocument/2006/relationships/hyperlink" Target="https://gobiernobogota-my.sharepoint.com/:b:/g/personal/planeacion_suba_gobiernobogota_gov_co/IQCZ-iQUB5pCSaRqyOqsTPd3AXnvUeyotU--WkRwbAOjjf8?e=hxpMj8" TargetMode="External"/><Relationship Id="rId147" Type="http://schemas.openxmlformats.org/officeDocument/2006/relationships/hyperlink" Target="https://gobiernobogota-my.sharepoint.com/:b:/g/personal/planeacion_suba_gobiernobogota_gov_co/IQC3n1-3qJZ2SKpVvajWPoLpAeMYPbBWFvEmTo3r_WNO_U0?e=iCQwVi" TargetMode="External"/><Relationship Id="rId168" Type="http://schemas.openxmlformats.org/officeDocument/2006/relationships/hyperlink" Target="https://gobiernobogota-my.sharepoint.com/:b:/g/personal/planeacion_suba_gobiernobogota_gov_co/IQDMZ0T9mSVxRKfzq21QstZzAUDlBRHMMr71r81ynqwr9wc?e=GwTjSx" TargetMode="External"/><Relationship Id="rId312" Type="http://schemas.openxmlformats.org/officeDocument/2006/relationships/hyperlink" Target="https://gobiernobogota-my.sharepoint.com/:b:/g/personal/planeacion_suba_gobiernobogota_gov_co/IQCdkMR8tqp8Q69vbzhAH616AQ_61I5Y1Hm_kEo8HVOdGQ0?e=PORaoV" TargetMode="External"/><Relationship Id="rId333" Type="http://schemas.openxmlformats.org/officeDocument/2006/relationships/hyperlink" Target="https://gobiernobogota-my.sharepoint.com/:b:/g/personal/planeacion_suba_gobiernobogota_gov_co/IQBBu4dnf9PkSYwhrQsa2XYcASFuORQjOSLHBBlK7dsYuzY?e=odT6R7" TargetMode="External"/><Relationship Id="rId354" Type="http://schemas.openxmlformats.org/officeDocument/2006/relationships/hyperlink" Target="https://gobiernobogota-my.sharepoint.com/:b:/g/personal/planeacion_suba_gobiernobogota_gov_co/IQAvWKpowqnXQI-zjcaNaSrDAXGB8rn3XAAygA_ZEbJbDr0?e=D2IBZv" TargetMode="External"/><Relationship Id="rId51" Type="http://schemas.openxmlformats.org/officeDocument/2006/relationships/hyperlink" Target="https://gobiernobogota-my.sharepoint.com/:b:/g/personal/planeacion_suba_gobiernobogota_gov_co/IQDnYHWShGJsRZW0CbHALMf7AQE4RNX9GjHS0QDRIGOQLZI?e=dPBw8K" TargetMode="External"/><Relationship Id="rId72" Type="http://schemas.openxmlformats.org/officeDocument/2006/relationships/hyperlink" Target="https://gobiernobogota-my.sharepoint.com/:b:/g/personal/planeacion_suba_gobiernobogota_gov_co/IQB24XpPPvNeS6lpefEPbt8MAeqBHop4wmdSSioUcu_uZg0?e=5oPwjb" TargetMode="External"/><Relationship Id="rId93" Type="http://schemas.openxmlformats.org/officeDocument/2006/relationships/hyperlink" Target="https://gobiernobogota-my.sharepoint.com/:b:/g/personal/planeacion_suba_gobiernobogota_gov_co/IQDYfz7BCezNT5jcCSdluleDAY3bI6UPbxERGDBiY4eb9dI?e=nMk8kc" TargetMode="External"/><Relationship Id="rId189" Type="http://schemas.openxmlformats.org/officeDocument/2006/relationships/hyperlink" Target="https://gobiernobogota-my.sharepoint.com/:b:/g/personal/planeacion_suba_gobiernobogota_gov_co/IQC3n1-3qJZ2SKpVvajWPoLpAeMYPbBWFvEmTo3r_WNO_U0?e=OrkinL" TargetMode="External"/><Relationship Id="rId375" Type="http://schemas.openxmlformats.org/officeDocument/2006/relationships/hyperlink" Target="https://gobiernobogota-my.sharepoint.com/:b:/g/personal/planeacion_suba_gobiernobogota_gov_co/IQBI0yEyQXgwQ6mCSOWe2EEQAbsvr7zDXzRyghixX0dftHE?e=fojtoe" TargetMode="External"/><Relationship Id="rId396" Type="http://schemas.openxmlformats.org/officeDocument/2006/relationships/hyperlink" Target="https://gobiernobogota-my.sharepoint.com/:b:/g/personal/planeacion_suba_gobiernobogota_gov_co/IQCOgtbqCSx4Rr-blaLs427EAd_hHwOcNPXV2dYA1FgLp_w?e=hY77WV" TargetMode="External"/><Relationship Id="rId3" Type="http://schemas.openxmlformats.org/officeDocument/2006/relationships/hyperlink" Target="https://gobiernobogota-my.sharepoint.com/:b:/g/personal/planeacion_suba_gobiernobogota_gov_co/IQAyoe4Pgw7rSay_Auat7IutATH2oIDRSxEC_MhEaCXYYEI?e=fAS1ew" TargetMode="External"/><Relationship Id="rId214" Type="http://schemas.openxmlformats.org/officeDocument/2006/relationships/hyperlink" Target="https://gobiernobogota-my.sharepoint.com/:b:/g/personal/planeacion_suba_gobiernobogota_gov_co/IQCSi3_B967MQbru-6hZOvJMAQDB68MbX0Q08DRkLtqGuB0?e=DxXbZe" TargetMode="External"/><Relationship Id="rId235" Type="http://schemas.openxmlformats.org/officeDocument/2006/relationships/hyperlink" Target="https://gobiernobogota-my.sharepoint.com/:b:/g/personal/planeacion_suba_gobiernobogota_gov_co/IQCybqQ1H-HySK56wgXCEW51Af_tPuXKtWaIv22d3cZL6Y8?e=zKaZmc" TargetMode="External"/><Relationship Id="rId256" Type="http://schemas.openxmlformats.org/officeDocument/2006/relationships/hyperlink" Target="https://gobiernobogota-my.sharepoint.com/:b:/g/personal/sandra_tamayo_gobiernobogota_gov_co/IQAjeafpPcQsSqiUSz8-bKSxAScepYFngBvK7GMyKKTm4SM?e=nsbc9S" TargetMode="External"/><Relationship Id="rId277" Type="http://schemas.openxmlformats.org/officeDocument/2006/relationships/hyperlink" Target="https://gobiernobogota-my.sharepoint.com/:b:/g/personal/planeacion_suba_gobiernobogota_gov_co/IQCyA10LkQHjRbpaxdAnmhPDAXpC1OcuVN3A6MnbV1GIUkM?e=NbQ0Al" TargetMode="External"/><Relationship Id="rId298" Type="http://schemas.openxmlformats.org/officeDocument/2006/relationships/hyperlink" Target="https://gobiernobogota-my.sharepoint.com/:b:/g/personal/planeacion_suba_gobiernobogota_gov_co/IQBz2CKObcGQQ7tlyKeMS_LyAYgcIzBGx3HfmbaEMW7eKes?e=Y32qrI" TargetMode="External"/><Relationship Id="rId400" Type="http://schemas.openxmlformats.org/officeDocument/2006/relationships/hyperlink" Target="https://gobiernobogota-my.sharepoint.com/:b:/g/personal/planeacion_suba_gobiernobogota_gov_co/IQDCo5nBdqHcSYwPwwp8sizdAWH0Tt2nODZUFrKlcfV2Rsc?e=MIgUNA" TargetMode="External"/><Relationship Id="rId421" Type="http://schemas.openxmlformats.org/officeDocument/2006/relationships/hyperlink" Target="https://gobiernobogota-my.sharepoint.com/:b:/g/personal/planeacion_suba_gobiernobogota_gov_co/IQACefroHToSQYN2wBuKmoUFAebB37ele3HRMBlevK_Hgdc?e=0b4Owj" TargetMode="External"/><Relationship Id="rId442" Type="http://schemas.openxmlformats.org/officeDocument/2006/relationships/hyperlink" Target="https://gobiernobogota-my.sharepoint.com/:b:/g/personal/planeacion_suba_gobiernobogota_gov_co/IQCOgtbqCSx4Rr-blaLs427EAd_hHwOcNPXV2dYA1FgLp_w?e=hY77WV" TargetMode="External"/><Relationship Id="rId463" Type="http://schemas.openxmlformats.org/officeDocument/2006/relationships/hyperlink" Target="https://gobiernobogota-my.sharepoint.com/:b:/g/personal/planeacion_suba_gobiernobogota_gov_co/IQAdy-rJ0tjISa5i30jFu1k8AeEdsiKBTVP5Silw_u8tCu8?e=Z53ign" TargetMode="External"/><Relationship Id="rId116" Type="http://schemas.openxmlformats.org/officeDocument/2006/relationships/hyperlink" Target="https://gobiernobogota-my.sharepoint.com/:b:/g/personal/planeacion_suba_gobiernobogota_gov_co/IQCLmMa5ieS1TpLinchRAu0LAYXabk58kyZQJSjELmvzmQk?e=Q9Rf7e" TargetMode="External"/><Relationship Id="rId137" Type="http://schemas.openxmlformats.org/officeDocument/2006/relationships/hyperlink" Target="https://gobiernobogota-my.sharepoint.com/:b:/g/personal/planeacion_suba_gobiernobogota_gov_co/IQDMZ0T9mSVxRKfzq21QstZzAUDlBRHMMr71r81ynqwr9wc?e=GwTjSx" TargetMode="External"/><Relationship Id="rId158" Type="http://schemas.openxmlformats.org/officeDocument/2006/relationships/hyperlink" Target="https://gobiernobogota-my.sharepoint.com/:b:/g/personal/planeacion_suba_gobiernobogota_gov_co/IQB-8zDE5cVJSKp7KgQCJacRASMfo-8heGHl9aGn6EQ0SOw?e=S4mbq7" TargetMode="External"/><Relationship Id="rId302" Type="http://schemas.openxmlformats.org/officeDocument/2006/relationships/hyperlink" Target="https://gobiernobogota-my.sharepoint.com/:b:/g/personal/planeacion_suba_gobiernobogota_gov_co/IQC0Zr6QeDVcT6uXSsvLXYzTASI49d9b4wN6s18ujelqB2U?e=OHYGKx" TargetMode="External"/><Relationship Id="rId323" Type="http://schemas.openxmlformats.org/officeDocument/2006/relationships/hyperlink" Target="https://gobiernobogota-my.sharepoint.com/:b:/g/personal/planeacion_suba_gobiernobogota_gov_co/IQDXXjy-5aqlQrLhtW2xd7zVAQR76NnvRF-BgbXuQf_hugs?e=A7W88w" TargetMode="External"/><Relationship Id="rId344" Type="http://schemas.openxmlformats.org/officeDocument/2006/relationships/hyperlink" Target="https://gobiernobogota-my.sharepoint.com/:b:/g/personal/planeacion_suba_gobiernobogota_gov_co/IQBz2CKObcGQQ7tlyKeMS_LyAYgcIzBGx3HfmbaEMW7eKes?e=Y32qrI" TargetMode="External"/><Relationship Id="rId20" Type="http://schemas.openxmlformats.org/officeDocument/2006/relationships/hyperlink" Target="https://gobiernobogota-my.sharepoint.com/:b:/g/personal/planeacion_suba_gobiernobogota_gov_co/IQC3n1-3qJZ2SKpVvajWPoLpAeMYPbBWFvEmTo3r_WNO_U0?e=9gXu3A" TargetMode="External"/><Relationship Id="rId41" Type="http://schemas.openxmlformats.org/officeDocument/2006/relationships/hyperlink" Target="https://gobiernobogota-my.sharepoint.com/:b:/g/personal/planeacion_suba_gobiernobogota_gov_co/IQDYfz7BCezNT5jcCSdluleDAY3bI6UPbxERGDBiY4eb9dI?e=nMk8kc" TargetMode="External"/><Relationship Id="rId62" Type="http://schemas.openxmlformats.org/officeDocument/2006/relationships/hyperlink" Target="https://gobiernobogota-my.sharepoint.com/:b:/g/personal/planeacion_suba_gobiernobogota_gov_co/IQCgm5YiE5_kQ5TMDogZTJv7AV1RW44CV7mB7C1aXXqSRvs?e=NLPkQf" TargetMode="External"/><Relationship Id="rId83" Type="http://schemas.openxmlformats.org/officeDocument/2006/relationships/hyperlink" Target="https://gobiernobogota-my.sharepoint.com/:b:/g/personal/planeacion_suba_gobiernobogota_gov_co/IQC3n1-3qJZ2SKpVvajWPoLpAeMYPbBWFvEmTo3r_WNO_U0?e=Urzw69" TargetMode="External"/><Relationship Id="rId179" Type="http://schemas.openxmlformats.org/officeDocument/2006/relationships/hyperlink" Target="https://gobiernobogota-my.sharepoint.com/:b:/g/personal/planeacion_suba_gobiernobogota_gov_co/IQDHNA2Vi9cvSqxdRihYGw2kAbqj1U2Wv9CED4Hax9ePqI8?e=OaXPmP" TargetMode="External"/><Relationship Id="rId365" Type="http://schemas.openxmlformats.org/officeDocument/2006/relationships/hyperlink" Target="https://gobiernobogota-my.sharepoint.com/:b:/g/personal/planeacion_suba_gobiernobogota_gov_co/IQAPRkPrZAKvTLtcG25cEzViAeS6mFIuwdNuXQQ4Dk8pWGY?e=5nrRxu" TargetMode="External"/><Relationship Id="rId386" Type="http://schemas.openxmlformats.org/officeDocument/2006/relationships/hyperlink" Target="https://gobiernobogota-my.sharepoint.com/:b:/g/personal/planeacion_suba_gobiernobogota_gov_co/IQBQhQEJ73TWTZbL6J9z5LSKAS3GX70b7VJh0PyiiiLHOF4?e=Gw6MUq" TargetMode="External"/><Relationship Id="rId190" Type="http://schemas.openxmlformats.org/officeDocument/2006/relationships/hyperlink" Target="https://gobiernobogota-my.sharepoint.com/:b:/g/personal/planeacion_suba_gobiernobogota_gov_co/IQDMZ0T9mSVxRKfzq21QstZzAUDlBRHMMr71r81ynqwr9wc?e=GwTjSx" TargetMode="External"/><Relationship Id="rId204" Type="http://schemas.openxmlformats.org/officeDocument/2006/relationships/hyperlink" Target="https://gobiernobogota-my.sharepoint.com/:b:/g/personal/planeacion_suba_gobiernobogota_gov_co/IQClr3MnnLhZT5TdR_-_YTVVAWt3PtNOy2D9RaYWDwZrqBA?e=HU0wNc" TargetMode="External"/><Relationship Id="rId225" Type="http://schemas.openxmlformats.org/officeDocument/2006/relationships/hyperlink" Target="https://gobiernobogota-my.sharepoint.com/:b:/g/personal/planeacion_suba_gobiernobogota_gov_co/IQBAKhbuOUwRR5yh9biZEAD_ATsHg5rcE99HSXldQTFHP2g?e=U3oIAc" TargetMode="External"/><Relationship Id="rId246" Type="http://schemas.openxmlformats.org/officeDocument/2006/relationships/hyperlink" Target="https://gobiernobogota-my.sharepoint.com/:b:/g/personal/sandra_tamayo_gobiernobogota_gov_co/IQAjeafpPcQsSqiUSz8-bKSxAScepYFngBvK7GMyKKTm4SM?e=nsbc9S" TargetMode="External"/><Relationship Id="rId267" Type="http://schemas.openxmlformats.org/officeDocument/2006/relationships/hyperlink" Target="https://gobiernobogota-my.sharepoint.com/:b:/g/personal/planeacion_suba_gobiernobogota_gov_co/IQCItwYI8a2aS5UaLCDDm4GuAa6rwfvtjAzDJsqMRx6dDDY?e=IYbKQW" TargetMode="External"/><Relationship Id="rId288" Type="http://schemas.openxmlformats.org/officeDocument/2006/relationships/hyperlink" Target="https://gobiernobogota-my.sharepoint.com/:b:/g/personal/planeacion_suba_gobiernobogota_gov_co/IQAPRkPrZAKvTLtcG25cEzViAeS6mFIuwdNuXQQ4Dk8pWGY?e=5nrRxu" TargetMode="External"/><Relationship Id="rId411" Type="http://schemas.openxmlformats.org/officeDocument/2006/relationships/hyperlink" Target="https://gobiernobogota-my.sharepoint.com/:b:/g/personal/planeacion_suba_gobiernobogota_gov_co/IQAdy-rJ0tjISa5i30jFu1k8AZRtQl9JohRXyI4j9ajYCNY?e=anX94a" TargetMode="External"/><Relationship Id="rId432" Type="http://schemas.openxmlformats.org/officeDocument/2006/relationships/hyperlink" Target="https://gobiernobogota-my.sharepoint.com/:b:/g/personal/planeacion_suba_gobiernobogota_gov_co/IQAdy-rJ0tjISa5i30jFu1k8AZRtQl9JohRXyI4j9ajYCNY?e=bpWlxZ" TargetMode="External"/><Relationship Id="rId453" Type="http://schemas.openxmlformats.org/officeDocument/2006/relationships/hyperlink" Target="https://gobiernobogota-my.sharepoint.com/:b:/g/personal/planeacion_suba_gobiernobogota_gov_co/IQAdy-rJ0tjISa5i30jFu1k8AZRtQl9JohRXyI4j9ajYCNY?e=bpWlxZ" TargetMode="External"/><Relationship Id="rId106" Type="http://schemas.openxmlformats.org/officeDocument/2006/relationships/hyperlink" Target="https://gobiernobogota-my.sharepoint.com/:b:/g/personal/planeacion_suba_gobiernobogota_gov_co/IQC0Aw6i8SjGT4T1jc88hMLNAQi8jqW1tDdDHbMVnfsu87Y?e=YhSSyY" TargetMode="External"/><Relationship Id="rId127" Type="http://schemas.openxmlformats.org/officeDocument/2006/relationships/hyperlink" Target="https://gobiernobogota-my.sharepoint.com/:b:/g/personal/planeacion_suba_gobiernobogota_gov_co/IQD70PYGw7ksT6B9YVFNkPmkAXSBXAKNRze8CJjzcJoGAHI?e=4otwka" TargetMode="External"/><Relationship Id="rId313" Type="http://schemas.openxmlformats.org/officeDocument/2006/relationships/hyperlink" Target="https://gobiernobogota-my.sharepoint.com/:b:/g/personal/planeacion_suba_gobiernobogota_gov_co/IQC8aZx2NnlWQJELsizfgLSjAd7eqfeZXr7cjHi5SHEC9sI?e=UN3jEI" TargetMode="External"/><Relationship Id="rId10" Type="http://schemas.openxmlformats.org/officeDocument/2006/relationships/hyperlink" Target="https://gobiernobogota-my.sharepoint.com/:b:/g/personal/planeacion_suba_gobiernobogota_gov_co/IQCgm5YiE5_kQ5TMDogZTJv7AV1RW44CV7mB7C1aXXqSRvs?e=fEirrk" TargetMode="External"/><Relationship Id="rId31" Type="http://schemas.openxmlformats.org/officeDocument/2006/relationships/hyperlink" Target="https://gobiernobogota-my.sharepoint.com/:b:/g/personal/planeacion_suba_gobiernobogota_gov_co/IQCgm5YiE5_kQ5TMDogZTJv7AV1RW44CV7mB7C1aXXqSRvs?e=Yn6uJW" TargetMode="External"/><Relationship Id="rId52" Type="http://schemas.openxmlformats.org/officeDocument/2006/relationships/hyperlink" Target="https://gobiernobogota-my.sharepoint.com/:b:/g/personal/planeacion_suba_gobiernobogota_gov_co/IQBcwJuRCc4cTL--ocd3-APOAZKkil9qoTQfoGSndWaIEFM?e=IfTvme" TargetMode="External"/><Relationship Id="rId73" Type="http://schemas.openxmlformats.org/officeDocument/2006/relationships/hyperlink" Target="https://gobiernobogota-my.sharepoint.com/:b:/g/personal/planeacion_suba_gobiernobogota_gov_co/IQD6pg_K_eDXQrbt-LKIwIiGAbkHKwOBLA5o2-fMXwYUxuE?e=0pwCYn" TargetMode="External"/><Relationship Id="rId94" Type="http://schemas.openxmlformats.org/officeDocument/2006/relationships/hyperlink" Target="https://gobiernobogota-my.sharepoint.com/:b:/g/personal/planeacion_suba_gobiernobogota_gov_co/IQDYfz7BCezNT5jcCSdluleDAY3bI6UPbxERGDBiY4eb9dI?e=nMk8kc" TargetMode="External"/><Relationship Id="rId148" Type="http://schemas.openxmlformats.org/officeDocument/2006/relationships/hyperlink" Target="https://gobiernobogota-my.sharepoint.com/:b:/g/personal/planeacion_suba_gobiernobogota_gov_co/IQDMZ0T9mSVxRKfzq21QstZzAUDlBRHMMr71r81ynqwr9wc?e=GwTjSx" TargetMode="External"/><Relationship Id="rId169" Type="http://schemas.openxmlformats.org/officeDocument/2006/relationships/hyperlink" Target="https://gobiernobogota-my.sharepoint.com/:b:/g/personal/planeacion_suba_gobiernobogota_gov_co/IQDdhi804BBAQ5UdFM9KQ5EJAeq608vCKeinsyCsq0bUZ7M?e=O5Uyva" TargetMode="External"/><Relationship Id="rId334" Type="http://schemas.openxmlformats.org/officeDocument/2006/relationships/hyperlink" Target="https://gobiernobogota-my.sharepoint.com/:b:/g/personal/planeacion_suba_gobiernobogota_gov_co/IQDMZ0T9mSVxRKfzq21QstZzAUDlBRHMMr71r81ynqwr9wc?e=GwTjSx" TargetMode="External"/><Relationship Id="rId355" Type="http://schemas.openxmlformats.org/officeDocument/2006/relationships/hyperlink" Target="https://gobiernobogota-my.sharepoint.com/:b:/g/personal/planeacion_suba_gobiernobogota_gov_co/IQDCo5nBdqHcSYwPwwp8sizdAWH0Tt2nODZUFrKlcfV2Rsc?e=MIgUNA" TargetMode="External"/><Relationship Id="rId376" Type="http://schemas.openxmlformats.org/officeDocument/2006/relationships/hyperlink" Target="https://gobiernobogota-my.sharepoint.com/:b:/g/personal/planeacion_suba_gobiernobogota_gov_co/IQA8acw4gv6QTqasbHqdDju2AQ8OsKaDPoc143yMijZ2y20?e=wXxAQg" TargetMode="External"/><Relationship Id="rId397" Type="http://schemas.openxmlformats.org/officeDocument/2006/relationships/hyperlink" Target="https://gobiernobogota-my.sharepoint.com/:b:/g/personal/planeacion_suba_gobiernobogota_gov_co/IQC0Zr6QeDVcT6uXSsvLXYzTASI49d9b4wN6s18ujelqB2U?e=OHYGKx" TargetMode="External"/><Relationship Id="rId4" Type="http://schemas.openxmlformats.org/officeDocument/2006/relationships/hyperlink" Target="https://gobiernobogota-my.sharepoint.com/:b:/g/personal/planeacion_suba_gobiernobogota_gov_co/IQDnTTIqL0gdQ7M8lQvxgVsVAYTNutLLXrKc3Xz5mT4xVhM?e=VeVmF5" TargetMode="External"/><Relationship Id="rId180" Type="http://schemas.openxmlformats.org/officeDocument/2006/relationships/hyperlink" Target="https://gobiernobogota-my.sharepoint.com/:b:/g/personal/planeacion_suba_gobiernobogota_gov_co/IQDuE0DvxIVbQ5eTLpYcjpjUASKI4Uhee9DLHs9JZ0-d67U?e=gNxnFM" TargetMode="External"/><Relationship Id="rId215" Type="http://schemas.openxmlformats.org/officeDocument/2006/relationships/hyperlink" Target="https://gobiernobogota-my.sharepoint.com/:b:/g/personal/planeacion_suba_gobiernobogota_gov_co/IQATzR_QCVovQa-OxIQubTzgAes3Sv-qMGxKPvSE4_tfjqo?e=pkMHL1" TargetMode="External"/><Relationship Id="rId236" Type="http://schemas.openxmlformats.org/officeDocument/2006/relationships/hyperlink" Target="https://gobiernobogota-my.sharepoint.com/:b:/g/personal/planeacion_suba_gobiernobogota_gov_co/IQC5CtxfCWIsQpUu4WY13aIXAU54JlntZtjaCeLrUikEN6I?e=o4mm5s" TargetMode="External"/><Relationship Id="rId257" Type="http://schemas.openxmlformats.org/officeDocument/2006/relationships/hyperlink" Target="https://gobiernobogota-my.sharepoint.com/:b:/g/personal/sandra_tamayo_gobiernobogota_gov_co/IQAjeafpPcQsSqiUSz8-bKSxAScepYFngBvK7GMyKKTm4SM?e=nsbc9S" TargetMode="External"/><Relationship Id="rId278" Type="http://schemas.openxmlformats.org/officeDocument/2006/relationships/hyperlink" Target="https://gobiernobogota-my.sharepoint.com/:b:/g/personal/planeacion_suba_gobiernobogota_gov_co/IQCOgtbqCSx4Rr-blaLs427EAd_hHwOcNPXV2dYA1FgLp_w?e=hY77WV" TargetMode="External"/><Relationship Id="rId401" Type="http://schemas.openxmlformats.org/officeDocument/2006/relationships/hyperlink" Target="https://gobiernobogota-my.sharepoint.com/:b:/g/personal/planeacion_suba_gobiernobogota_gov_co/IQCdkMR8tqp8Q69vbzhAH616AQ_61I5Y1Hm_kEo8HVOdGQ0?e=PORaoV" TargetMode="External"/><Relationship Id="rId422" Type="http://schemas.openxmlformats.org/officeDocument/2006/relationships/hyperlink" Target="https://gobiernobogota-my.sharepoint.com/:b:/g/personal/planeacion_suba_gobiernobogota_gov_co/IQADbHMAMcCGRao4tVezbPEsAYJSbRNVoGLbVasgjE7QFQ0?e=Avz2I1" TargetMode="External"/><Relationship Id="rId443" Type="http://schemas.openxmlformats.org/officeDocument/2006/relationships/hyperlink" Target="https://gobiernobogota-my.sharepoint.com/:b:/g/personal/planeacion_suba_gobiernobogota_gov_co/IQCY8Za_LIPjQKyY8H3T7tfXAVdVQvUSKKU9Zbzh2F-_4F4?e=b66puU" TargetMode="External"/><Relationship Id="rId464" Type="http://schemas.openxmlformats.org/officeDocument/2006/relationships/hyperlink" Target="https://gobiernobogota-my.sharepoint.com/:b:/g/personal/planeacion_suba_gobiernobogota_gov_co/IQAdy-rJ0tjISa5i30jFu1k8AeEdsiKBTVP5Silw_u8tCu8?e=Z53ign" TargetMode="External"/><Relationship Id="rId303" Type="http://schemas.openxmlformats.org/officeDocument/2006/relationships/hyperlink" Target="https://gobiernobogota-my.sharepoint.com/:b:/g/personal/planeacion_suba_gobiernobogota_gov_co/IQAPRkPrZAKvTLtcG25cEzViAeS6mFIuwdNuXQQ4Dk8pWGY?e=5nrRxu" TargetMode="External"/><Relationship Id="rId42" Type="http://schemas.openxmlformats.org/officeDocument/2006/relationships/hyperlink" Target="https://gobiernobogota-my.sharepoint.com/:b:/g/personal/planeacion_suba_gobiernobogota_gov_co/IQCgm5YiE5_kQ5TMDogZTJv7AV1RW44CV7mB7C1aXXqSRvs?e=VhPVkQ" TargetMode="External"/><Relationship Id="rId84" Type="http://schemas.openxmlformats.org/officeDocument/2006/relationships/hyperlink" Target="https://gobiernobogota-my.sharepoint.com/:b:/g/personal/planeacion_suba_gobiernobogota_gov_co/IQCw7wgbV3hBTpk0Lqbu6kr3AWCS-O35Q4KiNbkYKhKyfWk?e=Vr1ZGg" TargetMode="External"/><Relationship Id="rId138" Type="http://schemas.openxmlformats.org/officeDocument/2006/relationships/hyperlink" Target="https://gobiernobogota-my.sharepoint.com/:b:/g/personal/planeacion_suba_gobiernobogota_gov_co/IQDf44K_e-byQbI4bgT9lM9AAQvRsujJ9Omyjb1eLxMqujs?e=yCC9hN" TargetMode="External"/><Relationship Id="rId345" Type="http://schemas.openxmlformats.org/officeDocument/2006/relationships/hyperlink" Target="https://gobiernobogota-my.sharepoint.com/:b:/g/personal/planeacion_suba_gobiernobogota_gov_co/IQD11qwsVJHUS6SANem2zz9LAfYhFaaGhDJY_UF1NgV4g-0?e=WQdoMo" TargetMode="External"/><Relationship Id="rId387" Type="http://schemas.openxmlformats.org/officeDocument/2006/relationships/hyperlink" Target="https://gobiernobogota-my.sharepoint.com/:b:/g/personal/planeacion_suba_gobiernobogota_gov_co/IQBQhQEJ73TWTZbL6J9z5LSKAS3GX70b7VJh0PyiiiLHOF4?e=Gw6MUq" TargetMode="External"/><Relationship Id="rId191" Type="http://schemas.openxmlformats.org/officeDocument/2006/relationships/hyperlink" Target="https://gobiernobogota-my.sharepoint.com/:b:/g/personal/planeacion_suba_gobiernobogota_gov_co/IQDf44K_e-byQbI4bgT9lM9AAQvRsujJ9Omyjb1eLxMqujs?e=yCC9hN" TargetMode="External"/><Relationship Id="rId205" Type="http://schemas.openxmlformats.org/officeDocument/2006/relationships/hyperlink" Target="https://gobiernobogota-my.sharepoint.com/:b:/g/personal/planeacion_suba_gobiernobogota_gov_co/IQAvlSsQYsmbSqLjzq7sdPsgAfC16aitobxG_B4RxSGzdKU?e=4W3Tz3" TargetMode="External"/><Relationship Id="rId247" Type="http://schemas.openxmlformats.org/officeDocument/2006/relationships/hyperlink" Target="https://gobiernobogota-my.sharepoint.com/:b:/g/personal/sandra_tamayo_gobiernobogota_gov_co/IQBjTkxVaG7tSZ2JdDfsvt53AUgI_XCQNVZqd3ocKvLkekA?e=SDKlYi" TargetMode="External"/><Relationship Id="rId412" Type="http://schemas.openxmlformats.org/officeDocument/2006/relationships/hyperlink" Target="https://gobiernobogota-my.sharepoint.com/:b:/g/personal/planeacion_suba_gobiernobogota_gov_co/IQBXh6io_0RcTbJer9rD27dvAftEALhK5PU3b2V9PYJePN4?e=ISxCKc" TargetMode="External"/><Relationship Id="rId107" Type="http://schemas.openxmlformats.org/officeDocument/2006/relationships/hyperlink" Target="https://gobiernobogota-my.sharepoint.com/:b:/g/personal/planeacion_suba_gobiernobogota_gov_co/IQAnccDT0C7bSbjHL-RW6wEjAbsjkSpFIUH00w_2LDufKwI?e=sEokP1" TargetMode="External"/><Relationship Id="rId289" Type="http://schemas.openxmlformats.org/officeDocument/2006/relationships/hyperlink" Target="https://gobiernobogota-my.sharepoint.com/:b:/g/personal/planeacion_suba_gobiernobogota_gov_co/IQDXXjy-5aqlQrLhtW2xd7zVAQR76NnvRF-BgbXuQf_hugs?e=A7W88w" TargetMode="External"/><Relationship Id="rId454" Type="http://schemas.openxmlformats.org/officeDocument/2006/relationships/hyperlink" Target="https://gobiernobogota-my.sharepoint.com/:b:/g/personal/planeacion_suba_gobiernobogota_gov_co/IQAdy-rJ0tjISa5i30jFu1k8AZRtQl9JohRXyI4j9ajYCNY?e=bpWlxZ" TargetMode="External"/><Relationship Id="rId11" Type="http://schemas.openxmlformats.org/officeDocument/2006/relationships/hyperlink" Target="https://gobiernobogota-my.sharepoint.com/:b:/r/personal/planeacion_suba_gobiernobogota_gov_co/Documents/6.Archivo%20digital%202026/1.FORMULACIONES/2.ESTUDIOS%20DE%20MERCADO/2.BOLSA%20DE%20COTIZACIONES/Cotizaciones_2026/Kaizen%20Colombia_%20Almohadilla%20Para%20Sellos%20Sistec%2012X8.5cm%20(365).pdf?csf=1&amp;web=1&amp;e=C8rqeN" TargetMode="External"/><Relationship Id="rId53" Type="http://schemas.openxmlformats.org/officeDocument/2006/relationships/hyperlink" Target="https://gobiernobogota-my.sharepoint.com/:b:/g/personal/planeacion_suba_gobiernobogota_gov_co/IQBWOzfWvY2qR5XeKQ78dAVuAVSzA7TEHZaFqKchYbEhyqU?e=gPP2uO" TargetMode="External"/><Relationship Id="rId149" Type="http://schemas.openxmlformats.org/officeDocument/2006/relationships/hyperlink" Target="https://gobiernobogota-my.sharepoint.com/:b:/g/personal/planeacion_suba_gobiernobogota_gov_co/IQDf44K_e-byQbI4bgT9lM9AAQvRsujJ9Omyjb1eLxMqujs?e=yCC9hN" TargetMode="External"/><Relationship Id="rId314" Type="http://schemas.openxmlformats.org/officeDocument/2006/relationships/hyperlink" Target="https://gobiernobogota-my.sharepoint.com/:b:/g/personal/planeacion_suba_gobiernobogota_gov_co/IQBBu4dnf9PkSYwhrQsa2XYcASFuORQjOSLHBBlK7dsYuzY?e=RnOy2g" TargetMode="External"/><Relationship Id="rId356" Type="http://schemas.openxmlformats.org/officeDocument/2006/relationships/hyperlink" Target="https://gobiernobogota-my.sharepoint.com/:b:/g/personal/planeacion_suba_gobiernobogota_gov_co/IQBz2CKObcGQQ7tlyKeMS_LyAYgcIzBGx3HfmbaEMW7eKes?e=Y32qrI" TargetMode="External"/><Relationship Id="rId398" Type="http://schemas.openxmlformats.org/officeDocument/2006/relationships/hyperlink" Target="https://gobiernobogota-my.sharepoint.com/:b:/g/personal/planeacion_suba_gobiernobogota_gov_co/IQAPRkPrZAKvTLtcG25cEzViAeS6mFIuwdNuXQQ4Dk8pWGY?e=5nrRxu" TargetMode="External"/><Relationship Id="rId95" Type="http://schemas.openxmlformats.org/officeDocument/2006/relationships/hyperlink" Target="https://gobiernobogota-my.sharepoint.com/:b:/g/personal/planeacion_suba_gobiernobogota_gov_co/IQBN1y_X_06gQY0vKgXY6PMAATITBv1H4vVRMDBKkVIOM_M?e=4BoYde" TargetMode="External"/><Relationship Id="rId160" Type="http://schemas.openxmlformats.org/officeDocument/2006/relationships/hyperlink" Target="https://gobiernobogota-my.sharepoint.com/:b:/g/personal/planeacion_suba_gobiernobogota_gov_co/IQDf44K_e-byQbI4bgT9lM9AAQvRsujJ9Omyjb1eLxMqujs?e=yCC9hN" TargetMode="External"/><Relationship Id="rId216" Type="http://schemas.openxmlformats.org/officeDocument/2006/relationships/hyperlink" Target="https://gobiernobogota-my.sharepoint.com/:b:/g/personal/planeacion_suba_gobiernobogota_gov_co/IQDItYMSuzNtS7HM771LU7pWAQRdV1Lhvcd_iBaVzCOj_zg?e=BnJUFA" TargetMode="External"/><Relationship Id="rId423" Type="http://schemas.openxmlformats.org/officeDocument/2006/relationships/hyperlink" Target="https://gobiernobogota-my.sharepoint.com/:b:/g/personal/planeacion_suba_gobiernobogota_gov_co/IQDXXjy-5aqlQrLhtW2xd7zVAQR76NnvRF-BgbXuQf_hugs?e=5OyPUF" TargetMode="External"/><Relationship Id="rId258" Type="http://schemas.openxmlformats.org/officeDocument/2006/relationships/hyperlink" Target="https://gobiernobogota-my.sharepoint.com/:b:/g/personal/sandra_tamayo_gobiernobogota_gov_co/IQAjeafpPcQsSqiUSz8-bKSxAScepYFngBvK7GMyKKTm4SM?e=nsbc9S" TargetMode="External"/><Relationship Id="rId465" Type="http://schemas.openxmlformats.org/officeDocument/2006/relationships/hyperlink" Target="https://gobiernobogota-my.sharepoint.com/:b:/g/personal/planeacion_suba_gobiernobogota_gov_co/IQC8aZx2NnlWQJELsizfgLSjAd7eqfeZXr7cjHi5SHEC9sI?e=UN3jEI" TargetMode="External"/><Relationship Id="rId22" Type="http://schemas.openxmlformats.org/officeDocument/2006/relationships/hyperlink" Target="https://gobiernobogota-my.sharepoint.com/:b:/g/personal/planeacion_suba_gobiernobogota_gov_co/IQCgm5YiE5_kQ5TMDogZTJv7AV1RW44CV7mB7C1aXXqSRvs?e=WNCOYl" TargetMode="External"/><Relationship Id="rId64" Type="http://schemas.openxmlformats.org/officeDocument/2006/relationships/hyperlink" Target="https://gobiernobogota-my.sharepoint.com/:b:/g/personal/planeacion_suba_gobiernobogota_gov_co/IQBcwJuRCc4cTL--ocd3-APOAZKkil9qoTQfoGSndWaIEFM?e=IfTvme" TargetMode="External"/><Relationship Id="rId118" Type="http://schemas.openxmlformats.org/officeDocument/2006/relationships/hyperlink" Target="https://gobiernobogota-my.sharepoint.com/:b:/g/personal/planeacion_suba_gobiernobogota_gov_co/IQDySv-pwXZcT7Lj1_MN1JMBAWHXjis4PIG3wnlCIV3tIBM?e=vrmW0H" TargetMode="External"/><Relationship Id="rId325" Type="http://schemas.openxmlformats.org/officeDocument/2006/relationships/hyperlink" Target="https://gobiernobogota-my.sharepoint.com/:b:/g/personal/planeacion_suba_gobiernobogota_gov_co/IQC8aZx2NnlWQJELsizfgLSjAd7eqfeZXr7cjHi5SHEC9sI?e=UN3jEI" TargetMode="External"/><Relationship Id="rId367" Type="http://schemas.openxmlformats.org/officeDocument/2006/relationships/hyperlink" Target="https://gobiernobogota-my.sharepoint.com/:b:/g/personal/planeacion_suba_gobiernobogota_gov_co/IQCmOM4sNIyeQKVfRR7RaucBAaGUGbdhVKj7dWPCRqpVErQ?e=k107Ci" TargetMode="External"/><Relationship Id="rId171" Type="http://schemas.openxmlformats.org/officeDocument/2006/relationships/hyperlink" Target="https://gobiernobogota-my.sharepoint.com/:b:/g/personal/planeacion_suba_gobiernobogota_gov_co/IQDMZ0T9mSVxRKfzq21QstZzAUDlBRHMMr71r81ynqwr9wc?e=GwTjSx" TargetMode="External"/><Relationship Id="rId227" Type="http://schemas.openxmlformats.org/officeDocument/2006/relationships/hyperlink" Target="https://gobiernobogota-my.sharepoint.com/:b:/g/personal/planeacion_suba_gobiernobogota_gov_co/IQAWlUe1Zsd-Qr2-nlTKJjGmAfzC9tnrAgEEfIE29MerGE8?e=dwbNfT" TargetMode="External"/><Relationship Id="rId269" Type="http://schemas.openxmlformats.org/officeDocument/2006/relationships/hyperlink" Target="https://gobiernobogota-my.sharepoint.com/:b:/g/personal/planeacion_suba_gobiernobogota_gov_co/IQDCo5nBdqHcSYwPwwp8sizdAWH0Tt2nODZUFrKlcfV2Rsc?e=MIgUNA" TargetMode="External"/><Relationship Id="rId434" Type="http://schemas.openxmlformats.org/officeDocument/2006/relationships/hyperlink" Target="https://gobiernobogota-my.sharepoint.com/:b:/g/personal/planeacion_suba_gobiernobogota_gov_co/IQDYfz7BCezNT5jcCSdluleDAY3bI6UPbxERGDBiY4eb9dI?e=95vbkE" TargetMode="External"/><Relationship Id="rId33" Type="http://schemas.openxmlformats.org/officeDocument/2006/relationships/hyperlink" Target="https://gobiernobogota-my.sharepoint.com/:b:/g/personal/planeacion_suba_gobiernobogota_gov_co/IQC0i-GRTleRS7tzuCTxcuLhAaWRJQvzCzVNEpKZ8BSyTas?e=8GaQov" TargetMode="External"/><Relationship Id="rId129" Type="http://schemas.openxmlformats.org/officeDocument/2006/relationships/hyperlink" Target="https://gobiernobogota-my.sharepoint.com/:b:/g/personal/planeacion_suba_gobiernobogota_gov_co/IQCjt_Sxzy_0TKCJTFuM4hSMAYUaY9y0aifNtvs967z397M?e=3Ku8oU" TargetMode="External"/><Relationship Id="rId280" Type="http://schemas.openxmlformats.org/officeDocument/2006/relationships/hyperlink" Target="https://gobiernobogota-my.sharepoint.com/:b:/g/personal/planeacion_suba_gobiernobogota_gov_co/IQAPRkPrZAKvTLtcG25cEzViAeS6mFIuwdNuXQQ4Dk8pWGY?e=5nrRxu" TargetMode="External"/><Relationship Id="rId336" Type="http://schemas.openxmlformats.org/officeDocument/2006/relationships/hyperlink" Target="https://gobiernobogota-my.sharepoint.com/:b:/g/personal/planeacion_suba_gobiernobogota_gov_co/IQDDLeNWIGsPRZdsuJClq_lFAZYa83hF7YyG36-9ppN7Ae4?e=2qvgbU" TargetMode="External"/><Relationship Id="rId75" Type="http://schemas.openxmlformats.org/officeDocument/2006/relationships/hyperlink" Target="https://gobiernobogota-my.sharepoint.com/:b:/g/personal/planeacion_suba_gobiernobogota_gov_co/IQCgm5YiE5_kQ5TMDogZTJv7AV1RW44CV7mB7C1aXXqSRvs?e=r83Mm1" TargetMode="External"/><Relationship Id="rId140" Type="http://schemas.openxmlformats.org/officeDocument/2006/relationships/hyperlink" Target="https://gobiernobogota-my.sharepoint.com/:b:/g/personal/planeacion_suba_gobiernobogota_gov_co/IQA7D704FzeQQY_-J0VeSiTJAeAwRQ5KuhgACOR4kng5ugY?e=jZqcLb" TargetMode="External"/><Relationship Id="rId182" Type="http://schemas.openxmlformats.org/officeDocument/2006/relationships/hyperlink" Target="https://gobiernobogota-my.sharepoint.com/:b:/g/personal/planeacion_suba_gobiernobogota_gov_co/IQC3n1-3qJZ2SKpVvajWPoLpAeMYPbBWFvEmTo3r_WNO_U0?e=8zVoNC" TargetMode="External"/><Relationship Id="rId378" Type="http://schemas.openxmlformats.org/officeDocument/2006/relationships/hyperlink" Target="https://gobiernobogota-my.sharepoint.com/:b:/g/personal/planeacion_suba_gobiernobogota_gov_co/IQAdy-rJ0tjISa5i30jFu1k8AeEdsiKBTVP5Silw_u8tCu8?e=Z53ign" TargetMode="External"/><Relationship Id="rId403" Type="http://schemas.openxmlformats.org/officeDocument/2006/relationships/hyperlink" Target="https://gobiernobogota-my.sharepoint.com/:b:/g/personal/planeacion_suba_gobiernobogota_gov_co/IQB5tu2rd_zgRJ2EKsTPwMTeAQtTCmd-xtyf8_sint871TY?e=E4fmFg" TargetMode="External"/><Relationship Id="rId6" Type="http://schemas.openxmlformats.org/officeDocument/2006/relationships/hyperlink" Target="https://gobiernobogota-my.sharepoint.com/:b:/g/personal/planeacion_suba_gobiernobogota_gov_co/IQAN65gFMWp2SKGb0Ye-548NAfJPqrwXtugMZNSNrkSytwQ?e=h7zbze" TargetMode="External"/><Relationship Id="rId238" Type="http://schemas.openxmlformats.org/officeDocument/2006/relationships/hyperlink" Target="https://gobiernobogota-my.sharepoint.com/:b:/g/personal/sandra_tamayo_gobiernobogota_gov_co/IQBjTkxVaG7tSZ2JdDfsvt53AUgI_XCQNVZqd3ocKvLkekA?e=JwWv1Q" TargetMode="External"/><Relationship Id="rId445" Type="http://schemas.openxmlformats.org/officeDocument/2006/relationships/hyperlink" Target="https://gobiernobogota-my.sharepoint.com/:b:/g/personal/planeacion_suba_gobiernobogota_gov_co/IQAJXjAvIajwQ68bvEjj43HpASA8Zb06zOXwxqocktk2OQM?e=UTKHx0" TargetMode="External"/><Relationship Id="rId291" Type="http://schemas.openxmlformats.org/officeDocument/2006/relationships/hyperlink" Target="https://gobiernobogota-my.sharepoint.com/:b:/g/personal/planeacion_suba_gobiernobogota_gov_co/IQDXXjy-5aqlQrLhtW2xd7zVAQR76NnvRF-BgbXuQf_hugs?e=A7W88w" TargetMode="External"/><Relationship Id="rId305" Type="http://schemas.openxmlformats.org/officeDocument/2006/relationships/hyperlink" Target="https://gobiernobogota-my.sharepoint.com/:b:/g/personal/planeacion_suba_gobiernobogota_gov_co/IQCOPM8ldyOlTZ80CqEXwIn8AX-cx7kMMoFydOa39O_PZRY?e=shXGF0" TargetMode="External"/><Relationship Id="rId347" Type="http://schemas.openxmlformats.org/officeDocument/2006/relationships/hyperlink" Target="https://gobiernobogota-my.sharepoint.com/:b:/g/personal/planeacion_suba_gobiernobogota_gov_co/IQDCo5nBdqHcSYwPwwp8sizdAWH0Tt2nODZUFrKlcfV2Rsc?e=MIgUNA" TargetMode="External"/><Relationship Id="rId44" Type="http://schemas.openxmlformats.org/officeDocument/2006/relationships/hyperlink" Target="https://gobiernobogota-my.sharepoint.com/:b:/g/personal/planeacion_suba_gobiernobogota_gov_co/IQC3n1-3qJZ2SKpVvajWPoLpAeMYPbBWFvEmTo3r_WNO_U0?e=cu2ka2" TargetMode="External"/><Relationship Id="rId86" Type="http://schemas.openxmlformats.org/officeDocument/2006/relationships/hyperlink" Target="https://gobiernobogota-my.sharepoint.com/:b:/g/personal/planeacion_suba_gobiernobogota_gov_co/IQCaU44KMphTTrg93Xh8ug1KAa6gwYdbqq7NfhXTpI5hVBI?e=EocOkc" TargetMode="External"/><Relationship Id="rId151" Type="http://schemas.openxmlformats.org/officeDocument/2006/relationships/hyperlink" Target="https://gobiernobogota-my.sharepoint.com/:b:/g/personal/planeacion_suba_gobiernobogota_gov_co/IQCf6-Em0y4kSqEBLQSfYPFBAZW0TddCTO7KGIyk8cKLtwM?e=nCW31u" TargetMode="External"/><Relationship Id="rId389" Type="http://schemas.openxmlformats.org/officeDocument/2006/relationships/hyperlink" Target="https://gobiernobogota-my.sharepoint.com/:b:/g/personal/planeacion_suba_gobiernobogota_gov_co/IQBQhQEJ73TWTZbL6J9z5LSKAS3GX70b7VJh0PyiiiLHOF4?e=Gw6MUq" TargetMode="External"/><Relationship Id="rId193" Type="http://schemas.openxmlformats.org/officeDocument/2006/relationships/hyperlink" Target="https://gobiernobogota-my.sharepoint.com/:b:/g/personal/planeacion_suba_gobiernobogota_gov_co/IQDMZ0T9mSVxRKfzq21QstZzAUDlBRHMMr71r81ynqwr9wc?e=GwTjSx" TargetMode="External"/><Relationship Id="rId207" Type="http://schemas.openxmlformats.org/officeDocument/2006/relationships/hyperlink" Target="https://gobiernobogota-my.sharepoint.com/:b:/g/personal/planeacion_suba_gobiernobogota_gov_co/IQDtS8Z0T8duQrbYtWoq0PjtAbSbpghG-2URFHFYYYG18xk?e=jkNSES" TargetMode="External"/><Relationship Id="rId249" Type="http://schemas.openxmlformats.org/officeDocument/2006/relationships/hyperlink" Target="https://gobiernobogota-my.sharepoint.com/:b:/g/personal/sandra_tamayo_gobiernobogota_gov_co/IQBboUH-x_DMR5jlMAI_JhmDAbHhJVk0HlgTiGy6i7qrCdk?e=EqzFbo" TargetMode="External"/><Relationship Id="rId414" Type="http://schemas.openxmlformats.org/officeDocument/2006/relationships/hyperlink" Target="https://gobiernobogota-my.sharepoint.com/:b:/g/personal/planeacion_suba_gobiernobogota_gov_co/IQBXh6io_0RcTbJer9rD27dvAftEALhK5PU3b2V9PYJePN4?e=ISxCKc" TargetMode="External"/><Relationship Id="rId456" Type="http://schemas.openxmlformats.org/officeDocument/2006/relationships/hyperlink" Target="https://gobiernobogota-my.sharepoint.com/:b:/g/personal/planeacion_suba_gobiernobogota_gov_co/IQDYfz7BCezNT5jcCSdluleDAY3bI6UPbxERGDBiY4eb9dI?e=E1hcom" TargetMode="External"/><Relationship Id="rId13" Type="http://schemas.openxmlformats.org/officeDocument/2006/relationships/hyperlink" Target="https://gobiernobogota-my.sharepoint.com/:b:/g/personal/planeacion_suba_gobiernobogota_gov_co/IQDG6CuEuRGvQ5YJvpy6WQFyAbM_CG5G3zgmwpBT60hsIOM?e=YwZFoe" TargetMode="External"/><Relationship Id="rId109" Type="http://schemas.openxmlformats.org/officeDocument/2006/relationships/hyperlink" Target="https://gobiernobogota-my.sharepoint.com/:b:/g/personal/planeacion_suba_gobiernobogota_gov_co/IQC3n1-3qJZ2SKpVvajWPoLpAeMYPbBWFvEmTo3r_WNO_U0?e=1Xsmk1" TargetMode="External"/><Relationship Id="rId260" Type="http://schemas.openxmlformats.org/officeDocument/2006/relationships/hyperlink" Target="https://gobiernobogota-my.sharepoint.com/:b:/g/personal/planeacion_suba_gobiernobogota_gov_co/IQBrylcLj_26QooEcMLvNHsqAdzsz1eJcy0EdzJJGhWWdzs?e=8SfFq1" TargetMode="External"/><Relationship Id="rId316" Type="http://schemas.openxmlformats.org/officeDocument/2006/relationships/hyperlink" Target="https://gobiernobogota-my.sharepoint.com/:b:/g/personal/planeacion_suba_gobiernobogota_gov_co/IQC8aZx2NnlWQJELsizfgLSjAd7eqfeZXr7cjHi5SHEC9sI?e=UN3jEI" TargetMode="External"/><Relationship Id="rId55" Type="http://schemas.openxmlformats.org/officeDocument/2006/relationships/hyperlink" Target="https://gobiernobogota-my.sharepoint.com/:b:/g/personal/planeacion_suba_gobiernobogota_gov_co/IQCgm5YiE5_kQ5TMDogZTJv7AV1RW44CV7mB7C1aXXqSRvs?e=mRjgdq" TargetMode="External"/><Relationship Id="rId97" Type="http://schemas.openxmlformats.org/officeDocument/2006/relationships/hyperlink" Target="https://gobiernobogota-my.sharepoint.com/:b:/g/personal/planeacion_suba_gobiernobogota_gov_co/IQA0TAxhTdESQaWyokxkYiYrAUbT3V5pPD-WeH61XsXHSR4?e=trenfi" TargetMode="External"/><Relationship Id="rId120" Type="http://schemas.openxmlformats.org/officeDocument/2006/relationships/hyperlink" Target="https://gobiernobogota-my.sharepoint.com/:b:/g/personal/planeacion_suba_gobiernobogota_gov_co/IQDEICxsaG1MSKOjcTDwqBJbARHJiJGxnCV7DGCHrDFDxAQ?e=uSTuOF" TargetMode="External"/><Relationship Id="rId358" Type="http://schemas.openxmlformats.org/officeDocument/2006/relationships/hyperlink" Target="https://gobiernobogota-my.sharepoint.com/:b:/g/personal/planeacion_suba_gobiernobogota_gov_co/IQDCo5nBdqHcSYwPwwp8sizdAWH0Tt2nODZUFrKlcfV2Rsc?e=MIgUNA" TargetMode="External"/><Relationship Id="rId162" Type="http://schemas.openxmlformats.org/officeDocument/2006/relationships/hyperlink" Target="https://gobiernobogota-my.sharepoint.com/:b:/g/personal/planeacion_suba_gobiernobogota_gov_co/IQC3n1-3qJZ2SKpVvajWPoLpAeMYPbBWFvEmTo3r_WNO_U0?e=vxhXg6" TargetMode="External"/><Relationship Id="rId218" Type="http://schemas.openxmlformats.org/officeDocument/2006/relationships/hyperlink" Target="https://gobiernobogota-my.sharepoint.com/:b:/g/personal/sandra_tamayo_gobiernobogota_gov_co/IQA3E8DYd_5eQpOCLt-dIdaDAciGCWoPLul-uF8X9QJvaWY?e=b1ac6Z" TargetMode="External"/><Relationship Id="rId425" Type="http://schemas.openxmlformats.org/officeDocument/2006/relationships/hyperlink" Target="https://gobiernobogota-my.sharepoint.com/:b:/g/personal/planeacion_suba_gobiernobogota_gov_co/IQD6Mww9usksQ4e0zP0NbryWAUGp94GVBvrqe-TGMF1HK2g?e=G2MjHl" TargetMode="External"/><Relationship Id="rId467" Type="http://schemas.openxmlformats.org/officeDocument/2006/relationships/drawing" Target="../drawings/drawing4.xml"/><Relationship Id="rId271" Type="http://schemas.openxmlformats.org/officeDocument/2006/relationships/hyperlink" Target="https://gobiernobogota-my.sharepoint.com/:b:/g/personal/planeacion_suba_gobiernobogota_gov_co/IQCL7cPCcSsTT5UF1nHE8URtAXYkprtiKZncaY-gVFrfBcU?e=9k4Mqv" TargetMode="External"/><Relationship Id="rId24" Type="http://schemas.openxmlformats.org/officeDocument/2006/relationships/hyperlink" Target="https://gobiernobogota-my.sharepoint.com/:b:/g/personal/planeacion_suba_gobiernobogota_gov_co/IQC3n1-3qJZ2SKpVvajWPoLpAeMYPbBWFvEmTo3r_WNO_U0?e=yl9BKD" TargetMode="External"/><Relationship Id="rId66" Type="http://schemas.openxmlformats.org/officeDocument/2006/relationships/hyperlink" Target="https://gobiernobogota-my.sharepoint.com/:b:/g/personal/planeacion_suba_gobiernobogota_gov_co/IQBWOzfWvY2qR5XeKQ78dAVuAVSzA7TEHZaFqKchYbEhyqU?e=gPP2uO" TargetMode="External"/><Relationship Id="rId131" Type="http://schemas.openxmlformats.org/officeDocument/2006/relationships/hyperlink" Target="https://gobiernobogota-my.sharepoint.com/:b:/g/personal/planeacion_suba_gobiernobogota_gov_co/IQB4ywfsMw3QRrdyrQca72GGAcmKlvxBA94Rx_bao6XgmVU?e=V5UHXl" TargetMode="External"/><Relationship Id="rId327" Type="http://schemas.openxmlformats.org/officeDocument/2006/relationships/hyperlink" Target="https://gobiernobogota-my.sharepoint.com/:b:/g/personal/planeacion_suba_gobiernobogota_gov_co/IQBBu4dnf9PkSYwhrQsa2XYcASFuORQjOSLHBBlK7dsYuzY?e=odT6R7" TargetMode="External"/><Relationship Id="rId369" Type="http://schemas.openxmlformats.org/officeDocument/2006/relationships/hyperlink" Target="https://gobiernobogota-my.sharepoint.com/:b:/g/personal/planeacion_suba_gobiernobogota_gov_co/IQA6XZ-gkoxiSKnk6aiVgSCEAawLKwlfM0IroQr3uACmZ9k?e=HVYTcl" TargetMode="External"/><Relationship Id="rId173" Type="http://schemas.openxmlformats.org/officeDocument/2006/relationships/hyperlink" Target="https://gobiernobogota-my.sharepoint.com/:b:/g/personal/planeacion_suba_gobiernobogota_gov_co/IQAmk37I0qGhTZgdKGPZrH-yAWtCpxudeFrynlXrhGNo5yo?e=VXDbwl" TargetMode="External"/><Relationship Id="rId229" Type="http://schemas.openxmlformats.org/officeDocument/2006/relationships/hyperlink" Target="https://gobiernobogota-my.sharepoint.com/:b:/g/personal/sandra_tamayo_gobiernobogota_gov_co/IQA0E0FNBmhFSoYzdZx72ppWAYSYFjCMAYDOHjW2FrXQpD8?e=69EhDf" TargetMode="External"/><Relationship Id="rId380" Type="http://schemas.openxmlformats.org/officeDocument/2006/relationships/hyperlink" Target="https://gobiernobogota-my.sharepoint.com/:b:/g/personal/planeacion_suba_gobiernobogota_gov_co/IQAdy-rJ0tjISa5i30jFu1k8AZRtQl9JohRXyI4j9ajYCNY?e=zOUkap" TargetMode="External"/><Relationship Id="rId436" Type="http://schemas.openxmlformats.org/officeDocument/2006/relationships/hyperlink" Target="https://gobiernobogota-my.sharepoint.com/:b:/g/personal/planeacion_suba_gobiernobogota_gov_co/IQBI0yEyQXgwQ6mCSOWe2EEQAbsvr7zDXzRyghixX0dftHE?e=gYQKRY" TargetMode="External"/><Relationship Id="rId240" Type="http://schemas.openxmlformats.org/officeDocument/2006/relationships/hyperlink" Target="https://gobiernobogota-my.sharepoint.com/:b:/g/personal/sandra_tamayo_gobiernobogota_gov_co/IQBjTkxVaG7tSZ2JdDfsvt53AUgI_XCQNVZqd3ocKvLkekA?e=JwWv1Q" TargetMode="External"/><Relationship Id="rId35" Type="http://schemas.openxmlformats.org/officeDocument/2006/relationships/hyperlink" Target="https://gobiernobogota-my.sharepoint.com/:b:/g/personal/planeacion_suba_gobiernobogota_gov_co/IQBQhQEJ73TWTZbL6J9z5LSKAS3GX70b7VJh0PyiiiLHOF4?e=Gw6MUq" TargetMode="External"/><Relationship Id="rId77" Type="http://schemas.openxmlformats.org/officeDocument/2006/relationships/hyperlink" Target="https://gobiernobogota-my.sharepoint.com/:b:/g/personal/planeacion_suba_gobiernobogota_gov_co/IQC-xpAF_xjTSqJXHH9UJBcfASp1I0t3P7gr4qP7q8Dfh64?e=918dnk" TargetMode="External"/><Relationship Id="rId100" Type="http://schemas.openxmlformats.org/officeDocument/2006/relationships/hyperlink" Target="https://gobiernobogota-my.sharepoint.com/:b:/g/personal/planeacion_suba_gobiernobogota_gov_co/IQA0TAxhTdESQaWyokxkYiYrAUbT3V5pPD-WeH61XsXHSR4?e=trenfi" TargetMode="External"/><Relationship Id="rId282" Type="http://schemas.openxmlformats.org/officeDocument/2006/relationships/hyperlink" Target="https://gobiernobogota-my.sharepoint.com/:b:/g/personal/planeacion_suba_gobiernobogota_gov_co/IQC0Zr6QeDVcT6uXSsvLXYzTASI49d9b4wN6s18ujelqB2U?e=OHYGKx" TargetMode="External"/><Relationship Id="rId338" Type="http://schemas.openxmlformats.org/officeDocument/2006/relationships/hyperlink" Target="https://gobiernobogota-my.sharepoint.com/:b:/g/personal/planeacion_suba_gobiernobogota_gov_co/IQDEsI6V2WLnQrISAauBjFUqATkn7I799CZW1pXmMSZKdiY?e=Ka36sk" TargetMode="External"/><Relationship Id="rId8" Type="http://schemas.openxmlformats.org/officeDocument/2006/relationships/hyperlink" Target="https://gobiernobogota-my.sharepoint.com/:b:/g/personal/planeacion_suba_gobiernobogota_gov_co/IQBLJ1tp1fdzSL9E0QwjjNUSAS7hmaX-o2ET4sUI1GqHxqY?e=xIOJOJ" TargetMode="External"/><Relationship Id="rId142" Type="http://schemas.openxmlformats.org/officeDocument/2006/relationships/hyperlink" Target="https://gobiernobogota-my.sharepoint.com/:b:/g/personal/planeacion_suba_gobiernobogota_gov_co/IQB-tOhVym0IT5Yi7riuZc_bAbGMxE3O4AGg0kujl7AWQwI?e=Vh2Xwz" TargetMode="External"/><Relationship Id="rId184" Type="http://schemas.openxmlformats.org/officeDocument/2006/relationships/hyperlink" Target="https://gobiernobogota-my.sharepoint.com/:b:/g/personal/planeacion_suba_gobiernobogota_gov_co/IQDf44K_e-byQbI4bgT9lM9AAQvRsujJ9Omyjb1eLxMqujs?e=yCC9hN" TargetMode="External"/><Relationship Id="rId391" Type="http://schemas.openxmlformats.org/officeDocument/2006/relationships/hyperlink" Target="https://gobiernobogota-my.sharepoint.com/:b:/g/personal/planeacion_suba_gobiernobogota_gov_co/IQBN1y_X_06gQY0vKgXY6PMAATITBv1H4vVRMDBKkVIOM_M?e=4BoYde" TargetMode="External"/><Relationship Id="rId405" Type="http://schemas.openxmlformats.org/officeDocument/2006/relationships/hyperlink" Target="https://gobiernobogota-my.sharepoint.com/:b:/g/personal/planeacion_suba_gobiernobogota_gov_co/IQC8aZx2NnlWQJELsizfgLSjAd7eqfeZXr7cjHi5SHEC9sI?e=UN3jEI" TargetMode="External"/><Relationship Id="rId447" Type="http://schemas.openxmlformats.org/officeDocument/2006/relationships/hyperlink" Target="https://gobiernobogota-my.sharepoint.com/:b:/g/personal/planeacion_suba_gobiernobogota_gov_co/IQBI0yEyQXgwQ6mCSOWe2EEQAbsvr7zDXzRyghixX0dftHE?e=hTSX7c" TargetMode="External"/><Relationship Id="rId251" Type="http://schemas.openxmlformats.org/officeDocument/2006/relationships/hyperlink" Target="https://gobiernobogota-my.sharepoint.com/:b:/g/personal/planeacion_suba_gobiernobogota_gov_co/IQCBQKq8b2bPRpPLx1asbELQAXqD9L5l2_XiRn-TM01JFys?e=SE5ITT" TargetMode="External"/><Relationship Id="rId46" Type="http://schemas.openxmlformats.org/officeDocument/2006/relationships/hyperlink" Target="https://gobiernobogota-my.sharepoint.com/:b:/g/personal/planeacion_suba_gobiernobogota_gov_co/IQC3n1-3qJZ2SKpVvajWPoLpAeMYPbBWFvEmTo3r_WNO_U0?e=3yWcMl" TargetMode="External"/><Relationship Id="rId293" Type="http://schemas.openxmlformats.org/officeDocument/2006/relationships/hyperlink" Target="https://gobiernobogota-my.sharepoint.com/:b:/g/personal/planeacion_suba_gobiernobogota_gov_co/IQDXXjy-5aqlQrLhtW2xd7zVAQR76NnvRF-BgbXuQf_hugs?e=A7W88w" TargetMode="External"/><Relationship Id="rId307" Type="http://schemas.openxmlformats.org/officeDocument/2006/relationships/hyperlink" Target="https://gobiernobogota-my.sharepoint.com/:b:/g/personal/planeacion_suba_gobiernobogota_gov_co/IQAPRkPrZAKvTLtcG25cEzViAeS6mFIuwdNuXQQ4Dk8pWGY?e=5nrRxu" TargetMode="External"/><Relationship Id="rId349" Type="http://schemas.openxmlformats.org/officeDocument/2006/relationships/hyperlink" Target="https://gobiernobogota-my.sharepoint.com/:b:/g/personal/planeacion_suba_gobiernobogota_gov_co/IQDCo5nBdqHcSYwPwwp8sizdAWH0Tt2nODZUFrKlcfV2Rsc?e=MIgUNA" TargetMode="External"/><Relationship Id="rId88" Type="http://schemas.openxmlformats.org/officeDocument/2006/relationships/hyperlink" Target="https://gobiernobogota-my.sharepoint.com/:b:/g/personal/planeacion_suba_gobiernobogota_gov_co/IQB9TJ9LFrtBRIcDp2ursCPGARARotkDjW_x1KjxCXhvHuM?e=MJ2eUJ" TargetMode="External"/><Relationship Id="rId111" Type="http://schemas.openxmlformats.org/officeDocument/2006/relationships/hyperlink" Target="https://gobiernobogota-my.sharepoint.com/:b:/g/personal/planeacion_suba_gobiernobogota_gov_co/IQCM__IxPAvnSKmMzXKkkhm4AZU_rA7ln4xSwWpMfodRTOI?e=0RGQNe" TargetMode="External"/><Relationship Id="rId153" Type="http://schemas.openxmlformats.org/officeDocument/2006/relationships/hyperlink" Target="https://gobiernobogota-my.sharepoint.com/:b:/g/personal/planeacion_suba_gobiernobogota_gov_co/IQDYJo0fcQbgRKJ5FIABfsj2Ad712pwvs8-M2wmhJR7cvXo?e=rvF8z2" TargetMode="External"/><Relationship Id="rId195" Type="http://schemas.openxmlformats.org/officeDocument/2006/relationships/hyperlink" Target="https://gobiernobogota-my.sharepoint.com/:b:/g/personal/planeacion_suba_gobiernobogota_gov_co/IQDMZ0T9mSVxRKfzq21QstZzAUDlBRHMMr71r81ynqwr9wc?e=GwTjSx" TargetMode="External"/><Relationship Id="rId209" Type="http://schemas.openxmlformats.org/officeDocument/2006/relationships/hyperlink" Target="https://gobiernobogota-my.sharepoint.com/:b:/g/personal/planeacion_suba_gobiernobogota_gov_co/IQB5yOy8N2u7T51cYUJ3LHp_AS-TD99CbP63ClCyJK5fRqs?e=QJ7V3Y" TargetMode="External"/><Relationship Id="rId360" Type="http://schemas.openxmlformats.org/officeDocument/2006/relationships/hyperlink" Target="https://gobiernobogota-my.sharepoint.com/:b:/g/personal/planeacion_suba_gobiernobogota_gov_co/IQCdkMR8tqp8Q69vbzhAH616AQ_61I5Y1Hm_kEo8HVOdGQ0?e=PORaoV" TargetMode="External"/><Relationship Id="rId416" Type="http://schemas.openxmlformats.org/officeDocument/2006/relationships/hyperlink" Target="https://gobiernobogota-my.sharepoint.com/:b:/g/personal/planeacion_suba_gobiernobogota_gov_co/IQBXh6io_0RcTbJer9rD27dvAftEALhK5PU3b2V9PYJePN4?e=eS0mCe" TargetMode="External"/><Relationship Id="rId220" Type="http://schemas.openxmlformats.org/officeDocument/2006/relationships/hyperlink" Target="https://gobiernobogota-my.sharepoint.com/:b:/g/personal/sandra_tamayo_gobiernobogota_gov_co/IQAM8r63uIZnT5tRcP2mHZsFAWaGEdK-hI3o_OoHipb11qI?e=TFePgq" TargetMode="External"/><Relationship Id="rId458" Type="http://schemas.openxmlformats.org/officeDocument/2006/relationships/hyperlink" Target="https://gobiernobogota-my.sharepoint.com/:b:/g/personal/planeacion_suba_gobiernobogota_gov_co/IQAdy-rJ0tjISa5i30jFu1k8AZRtQl9JohRXyI4j9ajYCNY?e=qk6Pss" TargetMode="External"/><Relationship Id="rId15" Type="http://schemas.openxmlformats.org/officeDocument/2006/relationships/hyperlink" Target="https://gobiernobogota-my.sharepoint.com/:b:/g/personal/planeacion_suba_gobiernobogota_gov_co/IQBuOzStr3VOSrJVUh9Xj5TjAQ0tYcBuK8ryjmQQPMTnx0g?e=GbZqJC" TargetMode="External"/><Relationship Id="rId57" Type="http://schemas.openxmlformats.org/officeDocument/2006/relationships/hyperlink" Target="https://gobiernobogota-my.sharepoint.com/:b:/g/personal/planeacion_suba_gobiernobogota_gov_co/IQCi78YY2-TjRLQ_7bW1lMp9AeBoR_uZQ6GfrDl8b6LSBT8?e=NejotI" TargetMode="External"/><Relationship Id="rId262" Type="http://schemas.openxmlformats.org/officeDocument/2006/relationships/hyperlink" Target="https://gobiernobogota-my.sharepoint.com/:b:/g/personal/planeacion_suba_gobiernobogota_gov_co/IQBN1y_X_06gQY0vKgXY6PMAATITBv1H4vVRMDBKkVIOM_M?e=4BoYde" TargetMode="External"/><Relationship Id="rId318" Type="http://schemas.openxmlformats.org/officeDocument/2006/relationships/hyperlink" Target="https://gobiernobogota-my.sharepoint.com/:b:/g/personal/planeacion_suba_gobiernobogota_gov_co/IQA0tBpXZvWLQ61lCZLtwVQMATUkSvs70MDNcfI20NNj_rA?e=a1wRLN" TargetMode="External"/><Relationship Id="rId99" Type="http://schemas.openxmlformats.org/officeDocument/2006/relationships/hyperlink" Target="https://gobiernobogota-my.sharepoint.com/:b:/g/personal/planeacion_suba_gobiernobogota_gov_co/IQA0TAxhTdESQaWyokxkYiYrAUbT3V5pPD-WeH61XsXHSR4?e=trenfi" TargetMode="External"/><Relationship Id="rId122" Type="http://schemas.openxmlformats.org/officeDocument/2006/relationships/hyperlink" Target="https://gobiernobogota-my.sharepoint.com/:b:/g/personal/planeacion_suba_gobiernobogota_gov_co/IQDMZ0T9mSVxRKfzq21QstZzAUDlBRHMMr71r81ynqwr9wc?e=GwTjSx" TargetMode="External"/><Relationship Id="rId164" Type="http://schemas.openxmlformats.org/officeDocument/2006/relationships/hyperlink" Target="https://gobiernobogota-my.sharepoint.com/:b:/g/personal/planeacion_suba_gobiernobogota_gov_co/IQB-8zDE5cVJSKp7KgQCJacRASMfo-8heGHl9aGn6EQ0SOw?e=S4mbq7" TargetMode="External"/><Relationship Id="rId371" Type="http://schemas.openxmlformats.org/officeDocument/2006/relationships/hyperlink" Target="https://gobiernobogota-my.sharepoint.com/:b:/g/personal/planeacion_suba_gobiernobogota_gov_co/IQA6XZ-gkoxiSKnk6aiVgSCEAawLKwlfM0IroQr3uACmZ9k?e=HVYTcl" TargetMode="External"/><Relationship Id="rId427" Type="http://schemas.openxmlformats.org/officeDocument/2006/relationships/hyperlink" Target="https://gobiernobogota-my.sharepoint.com/:b:/g/personal/planeacion_suba_gobiernobogota_gov_co/IQBAm65oxyc0T6t-hkwmZdHRASZSGbvU_iS39qtovXnWWb0?e=plUu2y" TargetMode="External"/><Relationship Id="rId26" Type="http://schemas.openxmlformats.org/officeDocument/2006/relationships/hyperlink" Target="https://gobiernobogota-my.sharepoint.com/:b:/g/personal/planeacion_suba_gobiernobogota_gov_co/IQBuOzStr3VOSrJVUh9Xj5TjAQ0tYcBuK8ryjmQQPMTnx0g?e=6FDv7W" TargetMode="External"/><Relationship Id="rId231" Type="http://schemas.openxmlformats.org/officeDocument/2006/relationships/hyperlink" Target="https://gobiernobogota-my.sharepoint.com/:b:/g/personal/sandra_tamayo_gobiernobogota_gov_co/IQA0E0FNBmhFSoYzdZx72ppWAYSYFjCMAYDOHjW2FrXQpD8?e=69EhDf" TargetMode="External"/><Relationship Id="rId273" Type="http://schemas.openxmlformats.org/officeDocument/2006/relationships/hyperlink" Target="https://gobiernobogota-my.sharepoint.com/:b:/g/personal/planeacion_suba_gobiernobogota_gov_co/IQBz2CKObcGQQ7tlyKeMS_LyAYgcIzBGx3HfmbaEMW7eKes?e=Y32qrI" TargetMode="External"/><Relationship Id="rId329" Type="http://schemas.openxmlformats.org/officeDocument/2006/relationships/hyperlink" Target="https://gobiernobogota-my.sharepoint.com/:b:/g/personal/planeacion_suba_gobiernobogota_gov_co/IQBBu4dnf9PkSYwhrQsa2XYcASFuORQjOSLHBBlK7dsYuzY?e=odT6R7" TargetMode="External"/><Relationship Id="rId68" Type="http://schemas.openxmlformats.org/officeDocument/2006/relationships/hyperlink" Target="https://gobiernobogota-my.sharepoint.com/:b:/g/personal/planeacion_suba_gobiernobogota_gov_co/IQCdev2Dvkl-RYuOHPJCpzVMAed_Q2BCu1MIfqedG9rb4d4?e=KtIU3P" TargetMode="External"/><Relationship Id="rId133" Type="http://schemas.openxmlformats.org/officeDocument/2006/relationships/hyperlink" Target="https://gobiernobogota-my.sharepoint.com/:b:/g/personal/planeacion_suba_gobiernobogota_gov_co/IQAZT8YyqxYgR7M5F3YJE4NIAWuImHi4bITybfrgn99gOi4?e=1upZIc" TargetMode="External"/><Relationship Id="rId175" Type="http://schemas.openxmlformats.org/officeDocument/2006/relationships/hyperlink" Target="https://gobiernobogota-my.sharepoint.com/:b:/g/personal/planeacion_suba_gobiernobogota_gov_co/IQACaHw0m5VHRrXW22mkai3xAc9Qphb0zc3pGsGLfcRkS2Q?e=5avNdq" TargetMode="External"/><Relationship Id="rId340" Type="http://schemas.openxmlformats.org/officeDocument/2006/relationships/hyperlink" Target="https://gobiernobogota-my.sharepoint.com/:b:/g/personal/planeacion_suba_gobiernobogota_gov_co/IQC8aZx2NnlWQJELsizfgLSjAd7eqfeZXr7cjHi5SHEC9sI?e=UN3jEI" TargetMode="External"/><Relationship Id="rId200" Type="http://schemas.openxmlformats.org/officeDocument/2006/relationships/hyperlink" Target="https://gobiernobogota-my.sharepoint.com/:b:/g/personal/planeacion_suba_gobiernobogota_gov_co/IQDMZ0T9mSVxRKfzq21QstZzAUDlBRHMMr71r81ynqwr9wc?e=GwTjSx" TargetMode="External"/><Relationship Id="rId382" Type="http://schemas.openxmlformats.org/officeDocument/2006/relationships/hyperlink" Target="https://gobiernobogota-my.sharepoint.com/:b:/g/personal/planeacion_suba_gobiernobogota_gov_co/IQAdy-rJ0tjISa5i30jFu1k8AZRtQl9JohRXyI4j9ajYCNY?e=RLilQd" TargetMode="External"/><Relationship Id="rId438" Type="http://schemas.openxmlformats.org/officeDocument/2006/relationships/hyperlink" Target="https://gobiernobogota-my.sharepoint.com/:b:/g/personal/planeacion_suba_gobiernobogota_gov_co/IQBNsYMpaducRJZiEioICRgqAY4EdQFfHQsumh5haK9ape0?e=fwF8JT" TargetMode="External"/><Relationship Id="rId242" Type="http://schemas.openxmlformats.org/officeDocument/2006/relationships/hyperlink" Target="https://gobiernobogota-my.sharepoint.com/:b:/g/personal/sandra_tamayo_gobiernobogota_gov_co/IQBjTkxVaG7tSZ2JdDfsvt53AUgI_XCQNVZqd3ocKvLkekA?e=JwWv1Q" TargetMode="External"/><Relationship Id="rId284" Type="http://schemas.openxmlformats.org/officeDocument/2006/relationships/hyperlink" Target="https://gobiernobogota-my.sharepoint.com/:b:/g/personal/planeacion_suba_gobiernobogota_gov_co/IQC0Zr6QeDVcT6uXSsvLXYzTASI49d9b4wN6s18ujelqB2U?e=OHYGKx" TargetMode="External"/><Relationship Id="rId37" Type="http://schemas.openxmlformats.org/officeDocument/2006/relationships/hyperlink" Target="https://gobiernobogota-my.sharepoint.com/:b:/g/personal/planeacion_suba_gobiernobogota_gov_co/IQAKDWS7fj-uTqSk59tfkjFLAWmeDKroqT_PSquQk6_5AZI?e=jAtoPx" TargetMode="External"/><Relationship Id="rId79" Type="http://schemas.openxmlformats.org/officeDocument/2006/relationships/hyperlink" Target="https://gobiernobogota-my.sharepoint.com/:b:/g/personal/planeacion_suba_gobiernobogota_gov_co/IQC3n1-3qJZ2SKpVvajWPoLpAeMYPbBWFvEmTo3r_WNO_U0?e=fhhfId" TargetMode="External"/><Relationship Id="rId102" Type="http://schemas.openxmlformats.org/officeDocument/2006/relationships/hyperlink" Target="https://gobiernobogota-my.sharepoint.com/:b:/g/personal/planeacion_suba_gobiernobogota_gov_co/IQDMb7zDnZvgSIT6O8TvxCnaAXhviGQRNqirZ9TaiX8MtJA?e=JOwCpk" TargetMode="External"/><Relationship Id="rId144" Type="http://schemas.openxmlformats.org/officeDocument/2006/relationships/hyperlink" Target="https://gobiernobogota-my.sharepoint.com/:b:/g/personal/planeacion_suba_gobiernobogota_gov_co/IQDH8FI9eB9pSZ--KnOcwuY4AVbnK6zDXFnrQuxLiDYZIl8?e=ghRviZ" TargetMode="External"/><Relationship Id="rId90" Type="http://schemas.openxmlformats.org/officeDocument/2006/relationships/hyperlink" Target="https://gobiernobogota-my.sharepoint.com/:b:/g/personal/planeacion_suba_gobiernobogota_gov_co/IQCarzk2TdpvTYkbfZUhJCXmAQ87KRtmQMFjwW0lR5YLQUs?e=SlJjc2" TargetMode="External"/><Relationship Id="rId186" Type="http://schemas.openxmlformats.org/officeDocument/2006/relationships/hyperlink" Target="https://gobiernobogota-my.sharepoint.com/:b:/g/personal/planeacion_suba_gobiernobogota_gov_co/IQDMZ0T9mSVxRKfzq21QstZzAUDlBRHMMr71r81ynqwr9wc?e=GwTjSx" TargetMode="External"/><Relationship Id="rId351" Type="http://schemas.openxmlformats.org/officeDocument/2006/relationships/hyperlink" Target="https://gobiernobogota-my.sharepoint.com/:b:/g/personal/planeacion_suba_gobiernobogota_gov_co/IQDCo5nBdqHcSYwPwwp8sizdAWH0Tt2nODZUFrKlcfV2Rsc?e=MIgUNA" TargetMode="External"/><Relationship Id="rId393" Type="http://schemas.openxmlformats.org/officeDocument/2006/relationships/hyperlink" Target="https://gobiernobogota-my.sharepoint.com/:b:/g/personal/planeacion_suba_gobiernobogota_gov_co/IQAJXjAvIajwQ68bvEjj43HpASA8Zb06zOXwxqocktk2OQM?e=gZIkKk" TargetMode="External"/><Relationship Id="rId407" Type="http://schemas.openxmlformats.org/officeDocument/2006/relationships/hyperlink" Target="https://gobiernobogota-my.sharepoint.com/:b:/g/personal/planeacion_suba_gobiernobogota_gov_co/IQCyA10LkQHjRbpaxdAnmhPDAXpC1OcuVN3A6MnbV1GIUkM?e=vw2qy6" TargetMode="External"/><Relationship Id="rId449" Type="http://schemas.openxmlformats.org/officeDocument/2006/relationships/hyperlink" Target="https://gobiernobogota-my.sharepoint.com/:b:/g/personal/planeacion_suba_gobiernobogota_gov_co/IQBQhQEJ73TWTZbL6J9z5LSKAS3GX70b7VJh0PyiiiLHOF4?e=Gw6MUq" TargetMode="External"/><Relationship Id="rId211" Type="http://schemas.openxmlformats.org/officeDocument/2006/relationships/hyperlink" Target="https://gobiernobogota-my.sharepoint.com/:b:/g/personal/planeacion_suba_gobiernobogota_gov_co/IQBLBkEIKq0kQ4nfLfMnQ731AZsHo-dGbCenQwP-fXUauaA?e=dttzzm" TargetMode="External"/><Relationship Id="rId253" Type="http://schemas.openxmlformats.org/officeDocument/2006/relationships/hyperlink" Target="https://gobiernobogota-my.sharepoint.com/:b:/g/personal/planeacion_suba_gobiernobogota_gov_co/IQCBQKq8b2bPRpPLx1asbELQAXqD9L5l2_XiRn-TM01JFys?e=lOYRFL" TargetMode="External"/><Relationship Id="rId295" Type="http://schemas.openxmlformats.org/officeDocument/2006/relationships/hyperlink" Target="https://gobiernobogota-my.sharepoint.com/:b:/g/personal/planeacion_suba_gobiernobogota_gov_co/IQC8k6tNXYlFQZ3-NCPAOZVQAQo-EVHsNPAdJ72j3MPBALE?e=9zgM2g" TargetMode="External"/><Relationship Id="rId309" Type="http://schemas.openxmlformats.org/officeDocument/2006/relationships/hyperlink" Target="https://gobiernobogota-my.sharepoint.com/:b:/g/personal/planeacion_suba_gobiernobogota_gov_co/IQCdkMR8tqp8Q69vbzhAH616AQ_61I5Y1Hm_kEo8HVOdGQ0?e=PORaoV" TargetMode="External"/><Relationship Id="rId460" Type="http://schemas.openxmlformats.org/officeDocument/2006/relationships/hyperlink" Target="https://gobiernobogota-my.sharepoint.com/:b:/g/personal/planeacion_suba_gobiernobogota_gov_co/IQDMb7zDnZvgSIT6O8TvxCnaAXhviGQRNqirZ9TaiX8MtJA?e=Xg4H4o" TargetMode="External"/><Relationship Id="rId48" Type="http://schemas.openxmlformats.org/officeDocument/2006/relationships/hyperlink" Target="https://gobiernobogota-my.sharepoint.com/:b:/g/personal/planeacion_suba_gobiernobogota_gov_co/IQCgm5YiE5_kQ5TMDogZTJv7AV1RW44CV7mB7C1aXXqSRvs?e=ZGEC5l" TargetMode="External"/><Relationship Id="rId113" Type="http://schemas.openxmlformats.org/officeDocument/2006/relationships/hyperlink" Target="https://gobiernobogota-my.sharepoint.com/:b:/g/personal/planeacion_suba_gobiernobogota_gov_co/IQDf44K_e-byQbI4bgT9lM9AAQvRsujJ9Omyjb1eLxMqujs?e=yCC9hN" TargetMode="External"/><Relationship Id="rId320" Type="http://schemas.openxmlformats.org/officeDocument/2006/relationships/hyperlink" Target="https://gobiernobogota-my.sharepoint.com/:b:/g/personal/planeacion_suba_gobiernobogota_gov_co/IQC8aZx2NnlWQJELsizfgLSjAd7eqfeZXr7cjHi5SHEC9sI?e=UN3jEI" TargetMode="External"/><Relationship Id="rId155" Type="http://schemas.openxmlformats.org/officeDocument/2006/relationships/hyperlink" Target="https://gobiernobogota-my.sharepoint.com/:b:/g/personal/planeacion_suba_gobiernobogota_gov_co/IQDEJ-gBvOShQ59xrEjvGzE-AW_nuIAlfyclyCdUlbxu4hc?e=5ByG1x" TargetMode="External"/><Relationship Id="rId197" Type="http://schemas.openxmlformats.org/officeDocument/2006/relationships/hyperlink" Target="https://gobiernobogota-my.sharepoint.com/:b:/g/personal/planeacion_suba_gobiernobogota_gov_co/IQAR8jlkE3RTQKNeBSUyTP2BAfiee3Lt36Y91cAc34otiQI?e=YoJw7G" TargetMode="External"/><Relationship Id="rId362" Type="http://schemas.openxmlformats.org/officeDocument/2006/relationships/hyperlink" Target="https://gobiernobogota-my.sharepoint.com/:b:/g/personal/planeacion_suba_gobiernobogota_gov_co/IQA6NszVNqoxSpVRkdgh-EZsAdRsu4NGBVTaUGaa2df55MA?e=HccZlx" TargetMode="External"/><Relationship Id="rId418" Type="http://schemas.openxmlformats.org/officeDocument/2006/relationships/hyperlink" Target="https://gobiernobogota-my.sharepoint.com/:b:/g/personal/planeacion_suba_gobiernobogota_gov_co/IQBXh6io_0RcTbJer9rD27dvAftEALhK5PU3b2V9PYJePN4?e=ISxCKc" TargetMode="External"/><Relationship Id="rId222" Type="http://schemas.openxmlformats.org/officeDocument/2006/relationships/hyperlink" Target="https://gobiernobogota-my.sharepoint.com/:b:/g/personal/sandra_tamayo_gobiernobogota_gov_co/IQA0E0FNBmhFSoYzdZx72ppWAYSYFjCMAYDOHjW2FrXQpD8?e=ctwQeR" TargetMode="External"/><Relationship Id="rId264" Type="http://schemas.openxmlformats.org/officeDocument/2006/relationships/hyperlink" Target="https://gobiernobogota-my.sharepoint.com/:b:/g/personal/planeacion_suba_gobiernobogota_gov_co/IQBLJ1tp1fdzSL9E0QwjjNUSAS7hmaX-o2ET4sUI1GqHxqY?e=85qjEM" TargetMode="External"/><Relationship Id="rId17" Type="http://schemas.openxmlformats.org/officeDocument/2006/relationships/hyperlink" Target="https://gobiernobogota-my.sharepoint.com/:b:/g/personal/planeacion_suba_gobiernobogota_gov_co/IQBLJ1tp1fdzSL9E0QwjjNUSAS7hmaX-o2ET4sUI1GqHxqY?e=jxOD27" TargetMode="External"/><Relationship Id="rId59" Type="http://schemas.openxmlformats.org/officeDocument/2006/relationships/hyperlink" Target="https://gobiernobogota-my.sharepoint.com/:b:/g/personal/planeacion_suba_gobiernobogota_gov_co/IQBuOzStr3VOSrJVUh9Xj5TjAQ0tYcBuK8ryjmQQPMTnx0g?e=KJPFpc" TargetMode="External"/><Relationship Id="rId124" Type="http://schemas.openxmlformats.org/officeDocument/2006/relationships/hyperlink" Target="https://gobiernobogota-my.sharepoint.com/:b:/g/personal/planeacion_suba_gobiernobogota_gov_co/IQBJ0EIdt8YvQatRG9xwOIiYAdN-SyBbjwkt4RsVbr49RGw?e=Xd57Ne" TargetMode="External"/><Relationship Id="rId70" Type="http://schemas.openxmlformats.org/officeDocument/2006/relationships/hyperlink" Target="https://gobiernobogota-my.sharepoint.com/:b:/g/personal/planeacion_suba_gobiernobogota_gov_co/IQBcwJuRCc4cTL--ocd3-APOAZKkil9qoTQfoGSndWaIEFM?e=IfTvme" TargetMode="External"/><Relationship Id="rId166" Type="http://schemas.openxmlformats.org/officeDocument/2006/relationships/hyperlink" Target="https://gobiernobogota-my.sharepoint.com/:b:/g/personal/planeacion_suba_gobiernobogota_gov_co/IQAjum7arGvMTp5k9Bj2xjX-AbBy6QP8CTEz-OYWdgRNPI8?e=fSreDt" TargetMode="External"/><Relationship Id="rId331" Type="http://schemas.openxmlformats.org/officeDocument/2006/relationships/hyperlink" Target="https://gobiernobogota-my.sharepoint.com/:b:/g/personal/planeacion_suba_gobiernobogota_gov_co/IQC8aZx2NnlWQJELsizfgLSjAd7eqfeZXr7cjHi5SHEC9sI?e=UN3jEI" TargetMode="External"/><Relationship Id="rId373" Type="http://schemas.openxmlformats.org/officeDocument/2006/relationships/hyperlink" Target="https://gobiernobogota-my.sharepoint.com/:b:/g/personal/planeacion_suba_gobiernobogota_gov_co/IQBI0yEyQXgwQ6mCSOWe2EEQAbsvr7zDXzRyghixX0dftHE?e=fojtoe" TargetMode="External"/><Relationship Id="rId429" Type="http://schemas.openxmlformats.org/officeDocument/2006/relationships/hyperlink" Target="https://gobiernobogota-my.sharepoint.com/:b:/g/personal/planeacion_suba_gobiernobogota_gov_co/IQA8acw4gv6QTqasbHqdDju2AQ8OsKaDPoc143yMijZ2y20?e=gv08nj" TargetMode="External"/><Relationship Id="rId1" Type="http://schemas.openxmlformats.org/officeDocument/2006/relationships/hyperlink" Target="https://gobiernobogota-my.sharepoint.com/:b:/g/personal/planeacion_suba_gobiernobogota_gov_co/IQBwQ84Pt1EWTq-mp_kaIaN4AaLKDfMh145LCZUWvJ1lKyY?e=cpPmqC" TargetMode="External"/><Relationship Id="rId233" Type="http://schemas.openxmlformats.org/officeDocument/2006/relationships/hyperlink" Target="https://gobiernobogota-my.sharepoint.com/:b:/g/personal/planeacion_suba_gobiernobogota_gov_co/IQDMZ0T9mSVxRKfzq21QstZzAUDlBRHMMr71r81ynqwr9wc?e=a3MYdn" TargetMode="External"/><Relationship Id="rId440" Type="http://schemas.openxmlformats.org/officeDocument/2006/relationships/hyperlink" Target="https://gobiernobogota-my.sharepoint.com/:b:/g/personal/planeacion_suba_gobiernobogota_gov_co/IQAdy-rJ0tjISa5i30jFu1k8AZRtQl9JohRXyI4j9ajYCNY?e=25Qtzb" TargetMode="External"/><Relationship Id="rId28" Type="http://schemas.openxmlformats.org/officeDocument/2006/relationships/hyperlink" Target="https://gobiernobogota-my.sharepoint.com/:b:/g/personal/planeacion_suba_gobiernobogota_gov_co/IQCgm5YiE5_kQ5TMDogZTJv7AV1RW44CV7mB7C1aXXqSRvs?e=TfUOvB" TargetMode="External"/><Relationship Id="rId275" Type="http://schemas.openxmlformats.org/officeDocument/2006/relationships/hyperlink" Target="https://gobiernobogota-my.sharepoint.com/:b:/g/personal/planeacion_suba_gobiernobogota_gov_co/IQBBu4dnf9PkSYwhrQsa2XYcASFuORQjOSLHBBlK7dsYuzY?e=odT6R7" TargetMode="External"/><Relationship Id="rId300" Type="http://schemas.openxmlformats.org/officeDocument/2006/relationships/hyperlink" Target="https://gobiernobogota-my.sharepoint.com/:b:/g/personal/planeacion_suba_gobiernobogota_gov_co/IQCdkMR8tqp8Q69vbzhAH616AQ_61I5Y1Hm_kEo8HVOdGQ0?e=PORaoV" TargetMode="External"/><Relationship Id="rId81" Type="http://schemas.openxmlformats.org/officeDocument/2006/relationships/hyperlink" Target="https://gobiernobogota-my.sharepoint.com/:b:/g/personal/planeacion_suba_gobiernobogota_gov_co/IQAuAowRPerdTIwFvp-OhFIjAZceyqXL9D5_eNXYPuUjFwA?e=CQ6swF" TargetMode="External"/><Relationship Id="rId135" Type="http://schemas.openxmlformats.org/officeDocument/2006/relationships/hyperlink" Target="https://gobiernobogota-my.sharepoint.com/:b:/g/personal/planeacion_suba_gobiernobogota_gov_co/IQAwQc2gpQQcR4dmtpkPmttuARUuMLXv5sKIR07_cCwNikc?e=TvYYe5" TargetMode="External"/><Relationship Id="rId177" Type="http://schemas.openxmlformats.org/officeDocument/2006/relationships/hyperlink" Target="https://gobiernobogota-my.sharepoint.com/:b:/g/personal/planeacion_suba_gobiernobogota_gov_co/IQBBZebpq4Z4QohHSLRdQ-EhAfpEflhhbFvI-rSHTK9LErA?e=edFZ2s" TargetMode="External"/><Relationship Id="rId342" Type="http://schemas.openxmlformats.org/officeDocument/2006/relationships/hyperlink" Target="https://gobiernobogota-my.sharepoint.com/:b:/g/personal/planeacion_suba_gobiernobogota_gov_co/IQBBu4dnf9PkSYwhrQsa2XYcASFuORQjOSLHBBlK7dsYuzY?e=odT6R7" TargetMode="External"/><Relationship Id="rId384" Type="http://schemas.openxmlformats.org/officeDocument/2006/relationships/hyperlink" Target="https://gobiernobogota-my.sharepoint.com/:b:/g/personal/planeacion_suba_gobiernobogota_gov_co/IQBN1y_X_06gQY0vKgXY6PMAATITBv1H4vVRMDBKkVIOM_M?e=4BoYde" TargetMode="External"/><Relationship Id="rId202" Type="http://schemas.openxmlformats.org/officeDocument/2006/relationships/hyperlink" Target="https://gobiernobogota-my.sharepoint.com/:b:/g/personal/planeacion_suba_gobiernobogota_gov_co/IQDMZ0T9mSVxRKfzq21QstZzAUDlBRHMMr71r81ynqwr9wc?e=GwTjSx" TargetMode="External"/><Relationship Id="rId244" Type="http://schemas.openxmlformats.org/officeDocument/2006/relationships/hyperlink" Target="https://gobiernobogota-my.sharepoint.com/:b:/g/personal/sandra_tamayo_gobiernobogota_gov_co/IQBjTkxVaG7tSZ2JdDfsvt53AUgI_XCQNVZqd3ocKvLkekA?e=JwWv1Q" TargetMode="External"/><Relationship Id="rId39" Type="http://schemas.openxmlformats.org/officeDocument/2006/relationships/hyperlink" Target="https://gobiernobogota-my.sharepoint.com/:b:/g/personal/planeacion_suba_gobiernobogota_gov_co/IQAFbApekYTtQLvr-XRJvGjYAZ8mLRPMQq6WW2CK_EoIPjo?e=u1zPXY" TargetMode="External"/><Relationship Id="rId286" Type="http://schemas.openxmlformats.org/officeDocument/2006/relationships/hyperlink" Target="https://gobiernobogota-my.sharepoint.com/:b:/g/personal/planeacion_suba_gobiernobogota_gov_co/IQAPRkPrZAKvTLtcG25cEzViAeS6mFIuwdNuXQQ4Dk8pWGY?e=5nrRxu" TargetMode="External"/><Relationship Id="rId451" Type="http://schemas.openxmlformats.org/officeDocument/2006/relationships/hyperlink" Target="https://gobiernobogota-my.sharepoint.com/:b:/g/personal/planeacion_suba_gobiernobogota_gov_co/IQAkdt3wFtcvQb4h71-vpD8TAbOsEE6ey0MDP81BnCJFFP8?e=7lXf6t" TargetMode="External"/><Relationship Id="rId50" Type="http://schemas.openxmlformats.org/officeDocument/2006/relationships/hyperlink" Target="https://gobiernobogota-my.sharepoint.com/:b:/g/personal/planeacion_suba_gobiernobogota_gov_co/IQD1zkbdpCy1QYokdt5xpQbNAbz_7NPCt8bPYBAqgMxeFwc?e=jrYw3M" TargetMode="External"/><Relationship Id="rId104" Type="http://schemas.openxmlformats.org/officeDocument/2006/relationships/hyperlink" Target="https://gobiernobogota-my.sharepoint.com/:b:/g/personal/planeacion_suba_gobiernobogota_gov_co/IQDMb7zDnZvgSIT6O8TvxCnaAXhviGQRNqirZ9TaiX8MtJA?e=JOwCpk" TargetMode="External"/><Relationship Id="rId146" Type="http://schemas.openxmlformats.org/officeDocument/2006/relationships/hyperlink" Target="https://gobiernobogota-my.sharepoint.com/:b:/g/personal/planeacion_suba_gobiernobogota_gov_co/IQC_fa-4iUW7Q7Vk1-HPz6wfAXJU7_OFuH1222cXQncKp0g?e=TuqQch" TargetMode="External"/><Relationship Id="rId188" Type="http://schemas.openxmlformats.org/officeDocument/2006/relationships/hyperlink" Target="https://gobiernobogota-my.sharepoint.com/:b:/g/personal/planeacion_suba_gobiernobogota_gov_co/IQDf44K_e-byQbI4bgT9lM9AAQvRsujJ9Omyjb1eLxMqujs?e=yCC9hN" TargetMode="External"/><Relationship Id="rId311" Type="http://schemas.openxmlformats.org/officeDocument/2006/relationships/hyperlink" Target="https://gobiernobogota-my.sharepoint.com/:b:/g/personal/planeacion_suba_gobiernobogota_gov_co/IQDCo5nBdqHcSYwPwwp8sizdAWH0Tt2nODZUFrKlcfV2Rsc?e=MIgUNA" TargetMode="External"/><Relationship Id="rId353" Type="http://schemas.openxmlformats.org/officeDocument/2006/relationships/hyperlink" Target="https://gobiernobogota-my.sharepoint.com/:b:/g/personal/planeacion_suba_gobiernobogota_gov_co/IQCdkMR8tqp8Q69vbzhAH616AQ_61I5Y1Hm_kEo8HVOdGQ0?e=PORaoV" TargetMode="External"/><Relationship Id="rId395" Type="http://schemas.openxmlformats.org/officeDocument/2006/relationships/hyperlink" Target="https://gobiernobogota-my.sharepoint.com/:b:/g/personal/planeacion_suba_gobiernobogota_gov_co/IQBAqpMZnJhaR4fzT69c6XO1ATJ6Nu3jeOiXo-U-xzU-7u8?e=Whah3p" TargetMode="External"/><Relationship Id="rId409" Type="http://schemas.openxmlformats.org/officeDocument/2006/relationships/hyperlink" Target="https://gobiernobogota-my.sharepoint.com/:b:/g/personal/planeacion_suba_gobiernobogota_gov_co/IQBXh6io_0RcTbJer9rD27dvAftEALhK5PU3b2V9PYJePN4?e=ISxCKc" TargetMode="External"/><Relationship Id="rId92" Type="http://schemas.openxmlformats.org/officeDocument/2006/relationships/hyperlink" Target="https://gobiernobogota-my.sharepoint.com/:b:/g/personal/planeacion_suba_gobiernobogota_gov_co/IQDYfz7BCezNT5jcCSdluleDAY3bI6UPbxERGDBiY4eb9dI?e=nMk8kc" TargetMode="External"/><Relationship Id="rId213" Type="http://schemas.openxmlformats.org/officeDocument/2006/relationships/hyperlink" Target="https://gobiernobogota-my.sharepoint.com/:b:/g/personal/planeacion_suba_gobiernobogota_gov_co/IQDMZ0T9mSVxRKfzq21QstZzAUDlBRHMMr71r81ynqwr9wc?e=GwTjSx" TargetMode="External"/><Relationship Id="rId420" Type="http://schemas.openxmlformats.org/officeDocument/2006/relationships/hyperlink" Target="https://gobiernobogota-my.sharepoint.com/:b:/g/personal/planeacion_suba_gobiernobogota_gov_co/IQAPRkPrZAKvTLtcG25cEzViAeS6mFIuwdNuXQQ4Dk8pWGY?e=G2CiUB" TargetMode="External"/><Relationship Id="rId255" Type="http://schemas.openxmlformats.org/officeDocument/2006/relationships/hyperlink" Target="https://gobiernobogota-my.sharepoint.com/:b:/g/personal/sandra_tamayo_gobiernobogota_gov_co/IQAjeafpPcQsSqiUSz8-bKSxAScepYFngBvK7GMyKKTm4SM?e=nsbc9S" TargetMode="External"/><Relationship Id="rId297" Type="http://schemas.openxmlformats.org/officeDocument/2006/relationships/hyperlink" Target="https://gobiernobogota-my.sharepoint.com/:b:/g/personal/planeacion_suba_gobiernobogota_gov_co/IQDCo5nBdqHcSYwPwwp8sizdAWH0Tt2nODZUFrKlcfV2Rsc?e=MIgUNA" TargetMode="External"/><Relationship Id="rId462" Type="http://schemas.openxmlformats.org/officeDocument/2006/relationships/hyperlink" Target="https://gobiernobogota-my.sharepoint.com/:b:/g/personal/planeacion_suba_gobiernobogota_gov_co/IQBQhQEJ73TWTZbL6J9z5LSKAdgmqhyyiDFFObZqUWRU4dw?e=obHBnh" TargetMode="External"/><Relationship Id="rId115" Type="http://schemas.openxmlformats.org/officeDocument/2006/relationships/hyperlink" Target="https://gobiernobogota-my.sharepoint.com/:b:/g/personal/planeacion_suba_gobiernobogota_gov_co/IQC3n1-3qJZ2SKpVvajWPoLpAeMYPbBWFvEmTo3r_WNO_U0?e=tFZoMb" TargetMode="External"/><Relationship Id="rId157" Type="http://schemas.openxmlformats.org/officeDocument/2006/relationships/hyperlink" Target="https://gobiernobogota-my.sharepoint.com/:b:/g/personal/planeacion_suba_gobiernobogota_gov_co/IQAbV3MWcEGsS5xdyx9gFjx1AYNT8_62IK5KH_L4tWOIomc?e=5WlMTj" TargetMode="External"/><Relationship Id="rId322" Type="http://schemas.openxmlformats.org/officeDocument/2006/relationships/hyperlink" Target="https://gobiernobogota-my.sharepoint.com/:b:/g/personal/planeacion_suba_gobiernobogota_gov_co/IQCyA10LkQHjRbpaxdAnmhPDAXpC1OcuVN3A6MnbV1GIUkM?e=TS9kFD" TargetMode="External"/><Relationship Id="rId364" Type="http://schemas.openxmlformats.org/officeDocument/2006/relationships/hyperlink" Target="https://gobiernobogota-my.sharepoint.com/:b:/g/personal/planeacion_suba_gobiernobogota_gov_co/IQAIzhY_hzIcRb1tcXTTxwnOAZgX9SCU5HaQURydNieQ9n0?e=DydyGo" TargetMode="Externa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ivotTable" Target="../pivotTables/pivotTable3.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FE8DD7-0C78-4F6D-B770-256C52E423CD}">
  <sheetPr codeName="Hoja5">
    <pageSetUpPr fitToPage="1"/>
  </sheetPr>
  <dimension ref="A3:BF485"/>
  <sheetViews>
    <sheetView view="pageBreakPreview" topLeftCell="V1" zoomScale="55" zoomScaleNormal="52" zoomScaleSheetLayoutView="55" workbookViewId="0">
      <selection activeCell="AJ5" sqref="AJ5"/>
    </sheetView>
  </sheetViews>
  <sheetFormatPr baseColWidth="10" defaultColWidth="11.28515625" defaultRowHeight="15" customHeight="1" x14ac:dyDescent="0.25"/>
  <cols>
    <col min="1" max="1" width="17.140625" style="3" customWidth="1"/>
    <col min="2" max="2" width="24.28515625" style="3" customWidth="1"/>
    <col min="3" max="3" width="52.28515625" style="3" customWidth="1"/>
    <col min="4" max="4" width="62.7109375" style="3" customWidth="1"/>
    <col min="5" max="7" width="28.28515625" style="3" customWidth="1"/>
    <col min="8" max="8" width="31.28515625" style="3" customWidth="1"/>
    <col min="9" max="9" width="30.140625" style="3" customWidth="1"/>
    <col min="10" max="14" width="25.28515625" style="3" customWidth="1"/>
    <col min="15" max="29" width="24.28515625" style="3" customWidth="1"/>
    <col min="30" max="30" width="56.28515625" style="3" customWidth="1"/>
    <col min="31" max="54" width="11.28515625" style="3"/>
    <col min="55" max="55" width="5.28515625" style="3" bestFit="1" customWidth="1"/>
    <col min="56" max="16384" width="11.28515625" style="3"/>
  </cols>
  <sheetData>
    <row r="3" spans="1:58" s="1" customFormat="1" ht="32.450000000000003" customHeight="1" x14ac:dyDescent="0.25">
      <c r="A3" s="503" t="s">
        <v>0</v>
      </c>
      <c r="B3" s="503"/>
      <c r="C3" s="503"/>
      <c r="D3" s="503"/>
      <c r="E3" s="503"/>
      <c r="F3" s="503"/>
      <c r="G3" s="503"/>
      <c r="H3" s="503"/>
      <c r="I3" s="503"/>
      <c r="J3" s="503"/>
      <c r="K3" s="503"/>
      <c r="L3" s="503"/>
      <c r="M3" s="503"/>
      <c r="N3" s="504" t="s">
        <v>1</v>
      </c>
      <c r="O3" s="504"/>
      <c r="P3" s="504"/>
      <c r="Q3" s="504"/>
      <c r="R3" s="504"/>
      <c r="S3" s="504"/>
      <c r="T3" s="504"/>
      <c r="U3" s="504"/>
      <c r="V3" s="504"/>
      <c r="W3" s="504"/>
      <c r="X3" s="33"/>
      <c r="Y3" s="33"/>
      <c r="Z3" s="33"/>
      <c r="AA3" s="33"/>
      <c r="AB3" s="33"/>
      <c r="AC3" s="33"/>
    </row>
    <row r="4" spans="1:58" s="2" customFormat="1" ht="70.150000000000006" customHeight="1" x14ac:dyDescent="0.25">
      <c r="A4" s="505"/>
      <c r="B4" s="505"/>
      <c r="C4" s="45" t="s">
        <v>2</v>
      </c>
      <c r="D4" s="17"/>
      <c r="E4" s="466" t="s">
        <v>3</v>
      </c>
      <c r="F4" s="466"/>
      <c r="G4" s="17"/>
      <c r="H4" s="506" t="s">
        <v>4</v>
      </c>
      <c r="I4" s="506"/>
      <c r="J4" s="506"/>
      <c r="K4" s="506"/>
      <c r="L4" s="506"/>
      <c r="M4" s="506"/>
      <c r="N4" s="504"/>
      <c r="O4" s="504"/>
      <c r="P4" s="504"/>
      <c r="Q4" s="504"/>
      <c r="R4" s="504"/>
      <c r="S4" s="504"/>
      <c r="T4" s="504"/>
      <c r="U4" s="504"/>
      <c r="V4" s="504"/>
      <c r="W4" s="504"/>
      <c r="Z4" s="491" t="s">
        <v>5</v>
      </c>
      <c r="AA4" s="491"/>
      <c r="AB4" s="73">
        <f>IF(B11="","",AA96)</f>
        <v>610400905.48636699</v>
      </c>
      <c r="AC4" s="38"/>
    </row>
    <row r="5" spans="1:58" s="2" customFormat="1" ht="63" customHeight="1" x14ac:dyDescent="0.25">
      <c r="A5" s="505"/>
      <c r="B5" s="505"/>
      <c r="C5" s="20" t="s">
        <v>6</v>
      </c>
      <c r="D5" s="507" t="s">
        <v>7</v>
      </c>
      <c r="E5" s="508"/>
      <c r="F5" s="509"/>
      <c r="G5" s="99"/>
      <c r="H5" s="20" t="s">
        <v>8</v>
      </c>
      <c r="I5" s="507"/>
      <c r="J5" s="509"/>
      <c r="K5" s="20" t="s">
        <v>9</v>
      </c>
      <c r="L5" s="507"/>
      <c r="M5" s="509"/>
      <c r="N5" s="504"/>
      <c r="O5" s="504"/>
      <c r="P5" s="504"/>
      <c r="Q5" s="504"/>
      <c r="R5" s="504"/>
      <c r="S5" s="504"/>
      <c r="T5" s="504"/>
      <c r="U5" s="504"/>
      <c r="V5" s="504"/>
      <c r="W5" s="504"/>
      <c r="Z5" s="491" t="s">
        <v>10</v>
      </c>
      <c r="AA5" s="491"/>
      <c r="AB5" s="73">
        <f>IF(B11="","",L136)</f>
        <v>927118595</v>
      </c>
      <c r="AC5" s="38"/>
    </row>
    <row r="6" spans="1:58" s="2" customFormat="1" ht="102" customHeight="1" x14ac:dyDescent="0.25">
      <c r="A6" s="505"/>
      <c r="B6" s="505"/>
      <c r="C6" s="46" t="s">
        <v>11</v>
      </c>
      <c r="D6" s="466" t="s">
        <v>12</v>
      </c>
      <c r="E6" s="466"/>
      <c r="F6" s="466"/>
      <c r="G6" s="466"/>
      <c r="H6" s="466"/>
      <c r="I6" s="466"/>
      <c r="J6" s="466"/>
      <c r="K6" s="466"/>
      <c r="L6" s="466"/>
      <c r="M6" s="466"/>
      <c r="N6" s="504"/>
      <c r="O6" s="504"/>
      <c r="P6" s="504"/>
      <c r="Q6" s="504"/>
      <c r="R6" s="504"/>
      <c r="S6" s="504"/>
      <c r="T6" s="504"/>
      <c r="U6" s="504"/>
      <c r="V6" s="504"/>
      <c r="W6" s="504"/>
      <c r="Z6" s="491" t="s">
        <v>13</v>
      </c>
      <c r="AA6" s="491"/>
      <c r="AB6" s="74">
        <f>IF(B11="","",(AB4+AB5))</f>
        <v>1537519500.486367</v>
      </c>
      <c r="AC6" s="36"/>
    </row>
    <row r="7" spans="1:58" x14ac:dyDescent="0.25"/>
    <row r="8" spans="1:58" x14ac:dyDescent="0.25">
      <c r="A8" s="4"/>
      <c r="J8" s="16"/>
      <c r="K8" s="16"/>
      <c r="L8" s="16"/>
      <c r="M8" s="16"/>
      <c r="P8" s="16"/>
      <c r="Q8" s="16"/>
      <c r="R8" s="16"/>
      <c r="S8" s="16"/>
      <c r="V8" s="16"/>
      <c r="W8" s="16"/>
      <c r="X8" s="16"/>
      <c r="Y8" s="16"/>
      <c r="Z8" s="16"/>
    </row>
    <row r="9" spans="1:58" s="18" customFormat="1" ht="45" customHeight="1" x14ac:dyDescent="0.4">
      <c r="H9" s="492" t="s">
        <v>14</v>
      </c>
      <c r="I9" s="493"/>
      <c r="J9" s="493"/>
      <c r="K9" s="493"/>
      <c r="L9" s="493"/>
      <c r="M9" s="494"/>
      <c r="N9" s="495" t="s">
        <v>15</v>
      </c>
      <c r="O9" s="496"/>
      <c r="P9" s="496"/>
      <c r="Q9" s="496"/>
      <c r="R9" s="496"/>
      <c r="S9" s="497"/>
      <c r="T9" s="498" t="s">
        <v>16</v>
      </c>
      <c r="U9" s="499"/>
      <c r="V9" s="499"/>
      <c r="W9" s="499"/>
      <c r="X9" s="499"/>
      <c r="Y9" s="500"/>
      <c r="Z9" s="501" t="s">
        <v>17</v>
      </c>
      <c r="AA9" s="502"/>
      <c r="AB9" s="502"/>
      <c r="AC9" s="502"/>
    </row>
    <row r="10" spans="1:58" s="18" customFormat="1" ht="156.6" customHeight="1" x14ac:dyDescent="0.3">
      <c r="A10" s="92" t="s">
        <v>18</v>
      </c>
      <c r="B10" s="92" t="s">
        <v>19</v>
      </c>
      <c r="C10" s="92" t="s">
        <v>20</v>
      </c>
      <c r="D10" s="92" t="s">
        <v>21</v>
      </c>
      <c r="E10" s="92" t="s">
        <v>22</v>
      </c>
      <c r="F10" s="92" t="s">
        <v>23</v>
      </c>
      <c r="G10" s="92" t="s">
        <v>24</v>
      </c>
      <c r="H10" s="93" t="s">
        <v>25</v>
      </c>
      <c r="I10" s="93" t="s">
        <v>26</v>
      </c>
      <c r="J10" s="93" t="s">
        <v>27</v>
      </c>
      <c r="K10" s="93" t="s">
        <v>28</v>
      </c>
      <c r="L10" s="93" t="s">
        <v>29</v>
      </c>
      <c r="M10" s="93" t="s">
        <v>30</v>
      </c>
      <c r="N10" s="92" t="s">
        <v>31</v>
      </c>
      <c r="O10" s="92" t="s">
        <v>26</v>
      </c>
      <c r="P10" s="92" t="s">
        <v>27</v>
      </c>
      <c r="Q10" s="92" t="s">
        <v>28</v>
      </c>
      <c r="R10" s="92" t="s">
        <v>29</v>
      </c>
      <c r="S10" s="92" t="s">
        <v>30</v>
      </c>
      <c r="T10" s="94" t="s">
        <v>32</v>
      </c>
      <c r="U10" s="94" t="s">
        <v>26</v>
      </c>
      <c r="V10" s="94" t="s">
        <v>27</v>
      </c>
      <c r="W10" s="94" t="s">
        <v>28</v>
      </c>
      <c r="X10" s="94" t="s">
        <v>29</v>
      </c>
      <c r="Y10" s="94" t="s">
        <v>30</v>
      </c>
      <c r="Z10" s="93" t="s">
        <v>33</v>
      </c>
      <c r="AA10" s="93" t="s">
        <v>34</v>
      </c>
      <c r="AB10" s="93" t="s">
        <v>35</v>
      </c>
      <c r="AC10" s="93" t="s">
        <v>36</v>
      </c>
      <c r="AD10" s="95" t="s">
        <v>37</v>
      </c>
    </row>
    <row r="11" spans="1:58" s="7" customFormat="1" ht="84" x14ac:dyDescent="0.35">
      <c r="A11" s="138">
        <v>1</v>
      </c>
      <c r="B11" s="100" t="s">
        <v>38</v>
      </c>
      <c r="C11" s="100" t="s">
        <v>39</v>
      </c>
      <c r="D11" s="137" t="s">
        <v>40</v>
      </c>
      <c r="E11" s="100" t="s">
        <v>41</v>
      </c>
      <c r="F11" s="100">
        <v>60</v>
      </c>
      <c r="G11" s="100" t="s">
        <v>42</v>
      </c>
      <c r="H11" s="77" t="s">
        <v>43</v>
      </c>
      <c r="I11" s="101">
        <v>5033.6099999999997</v>
      </c>
      <c r="J11" s="79">
        <f>I11*19%</f>
        <v>956.38589999999999</v>
      </c>
      <c r="K11" s="79">
        <f>I11+J11</f>
        <v>5989.9958999999999</v>
      </c>
      <c r="L11" s="80">
        <f t="shared" ref="L11:L70" si="0">IF(B11="","",(I11*F11))</f>
        <v>302016.59999999998</v>
      </c>
      <c r="M11" s="80">
        <f t="shared" ref="M11:M74" si="1">IF(B11="","",(K11*F11))</f>
        <v>359399.75400000002</v>
      </c>
      <c r="N11" s="81" t="s">
        <v>44</v>
      </c>
      <c r="O11" s="102">
        <v>5462.18</v>
      </c>
      <c r="P11" s="83">
        <f>O11*19%</f>
        <v>1037.8142</v>
      </c>
      <c r="Q11" s="83">
        <f t="shared" ref="Q11:Q74" si="2">O11+P11</f>
        <v>6499.9942000000001</v>
      </c>
      <c r="R11" s="84">
        <f t="shared" ref="R11:R74" si="3">IF(B11="","",(O11*F11))</f>
        <v>327730.80000000005</v>
      </c>
      <c r="S11" s="84">
        <f t="shared" ref="S11:S74" si="4">IF(B11="","",(Q11*F11))</f>
        <v>389999.652</v>
      </c>
      <c r="T11" s="85" t="s">
        <v>45</v>
      </c>
      <c r="U11" s="86">
        <v>4201.68</v>
      </c>
      <c r="V11" s="87">
        <f t="shared" ref="V11:V18" si="5">U11*19%</f>
        <v>798.31920000000002</v>
      </c>
      <c r="W11" s="87">
        <f>U11+V11</f>
        <v>4999.9992000000002</v>
      </c>
      <c r="X11" s="88">
        <f t="shared" ref="X11:X18" si="6">IF(B11="","",(U11*F11))</f>
        <v>252100.80000000002</v>
      </c>
      <c r="Y11" s="88">
        <f t="shared" ref="Y11:Y18" si="7">IF(B11="","",(W11*F11))</f>
        <v>299999.95199999999</v>
      </c>
      <c r="Z11" s="89">
        <f t="shared" ref="Z11:Z74" si="8">IF(A11="","",AVERAGE(K11,Q11,W11))</f>
        <v>5829.9964333333337</v>
      </c>
      <c r="AA11" s="89">
        <f t="shared" ref="AA11:AA74" si="9">IF(B11="","",Z11*F11)</f>
        <v>349799.78600000002</v>
      </c>
      <c r="AB11" s="89">
        <f t="shared" ref="AB11:AB74" si="10">IF(B11="","",STDEV(M11,S11,Y11))</f>
        <v>45761.403379083953</v>
      </c>
      <c r="AC11" s="90">
        <f t="shared" ref="AC11:AC74" si="11">IF(B11="","",(AB11/AA11))</f>
        <v>0.13082170204381985</v>
      </c>
      <c r="AD11" s="5"/>
      <c r="BF11" s="7">
        <v>1</v>
      </c>
    </row>
    <row r="12" spans="1:58" s="7" customFormat="1" ht="105" x14ac:dyDescent="0.35">
      <c r="A12" s="138">
        <v>2</v>
      </c>
      <c r="B12" s="107" t="s">
        <v>38</v>
      </c>
      <c r="C12" s="100" t="s">
        <v>46</v>
      </c>
      <c r="D12" s="137" t="s">
        <v>47</v>
      </c>
      <c r="E12" s="100" t="s">
        <v>41</v>
      </c>
      <c r="F12" s="100">
        <v>6</v>
      </c>
      <c r="G12" s="100" t="s">
        <v>42</v>
      </c>
      <c r="H12" s="77" t="s">
        <v>48</v>
      </c>
      <c r="I12" s="101">
        <v>5407.56</v>
      </c>
      <c r="J12" s="79">
        <f t="shared" ref="J12:J75" si="12">I12*19%</f>
        <v>1027.4364</v>
      </c>
      <c r="K12" s="79">
        <f t="shared" ref="K12:K75" si="13">I12+J12</f>
        <v>6434.9964</v>
      </c>
      <c r="L12" s="80">
        <f t="shared" si="0"/>
        <v>32445.360000000001</v>
      </c>
      <c r="M12" s="80">
        <f t="shared" si="1"/>
        <v>38609.9784</v>
      </c>
      <c r="N12" s="81" t="s">
        <v>49</v>
      </c>
      <c r="O12" s="102">
        <v>4628.57</v>
      </c>
      <c r="P12" s="83">
        <f t="shared" ref="P12:P75" si="14">O12*19%</f>
        <v>879.42829999999992</v>
      </c>
      <c r="Q12" s="83">
        <f t="shared" si="2"/>
        <v>5507.9982999999993</v>
      </c>
      <c r="R12" s="84">
        <f t="shared" si="3"/>
        <v>27771.42</v>
      </c>
      <c r="S12" s="84">
        <f t="shared" si="4"/>
        <v>33047.989799999996</v>
      </c>
      <c r="T12" s="85" t="s">
        <v>50</v>
      </c>
      <c r="U12" s="103">
        <v>4968.91</v>
      </c>
      <c r="V12" s="87">
        <f t="shared" si="5"/>
        <v>944.09289999999999</v>
      </c>
      <c r="W12" s="87">
        <f t="shared" ref="W12:W20" si="15">U12+V12</f>
        <v>5913.0028999999995</v>
      </c>
      <c r="X12" s="88">
        <f t="shared" si="6"/>
        <v>29813.46</v>
      </c>
      <c r="Y12" s="88">
        <f t="shared" si="7"/>
        <v>35478.017399999997</v>
      </c>
      <c r="Z12" s="89">
        <f t="shared" si="8"/>
        <v>5951.9991999999993</v>
      </c>
      <c r="AA12" s="89">
        <f t="shared" si="9"/>
        <v>35711.995199999998</v>
      </c>
      <c r="AB12" s="89">
        <f t="shared" si="10"/>
        <v>2788.3666374424529</v>
      </c>
      <c r="AC12" s="90">
        <f t="shared" si="11"/>
        <v>7.807927341574164E-2</v>
      </c>
      <c r="AD12" s="5"/>
      <c r="BF12" s="7">
        <v>2</v>
      </c>
    </row>
    <row r="13" spans="1:58" s="7" customFormat="1" ht="84" x14ac:dyDescent="0.35">
      <c r="A13" s="138">
        <v>3</v>
      </c>
      <c r="B13" s="107" t="s">
        <v>38</v>
      </c>
      <c r="C13" s="100" t="s">
        <v>51</v>
      </c>
      <c r="D13" s="137" t="s">
        <v>52</v>
      </c>
      <c r="E13" s="107" t="s">
        <v>41</v>
      </c>
      <c r="F13" s="100">
        <v>60</v>
      </c>
      <c r="G13" s="100" t="s">
        <v>42</v>
      </c>
      <c r="H13" s="77" t="s">
        <v>53</v>
      </c>
      <c r="I13" s="101">
        <v>27500</v>
      </c>
      <c r="J13" s="79">
        <f t="shared" si="12"/>
        <v>5225</v>
      </c>
      <c r="K13" s="79">
        <f t="shared" si="13"/>
        <v>32725</v>
      </c>
      <c r="L13" s="80">
        <f t="shared" si="0"/>
        <v>1650000</v>
      </c>
      <c r="M13" s="80">
        <f t="shared" si="1"/>
        <v>1963500</v>
      </c>
      <c r="N13" s="81" t="s">
        <v>54</v>
      </c>
      <c r="O13" s="102">
        <v>25500</v>
      </c>
      <c r="P13" s="83">
        <f t="shared" si="14"/>
        <v>4845</v>
      </c>
      <c r="Q13" s="83">
        <f t="shared" si="2"/>
        <v>30345</v>
      </c>
      <c r="R13" s="84">
        <f t="shared" si="3"/>
        <v>1530000</v>
      </c>
      <c r="S13" s="84">
        <f t="shared" si="4"/>
        <v>1820700</v>
      </c>
      <c r="T13" s="85" t="s">
        <v>55</v>
      </c>
      <c r="U13" s="103">
        <v>28750</v>
      </c>
      <c r="V13" s="87">
        <f t="shared" si="5"/>
        <v>5462.5</v>
      </c>
      <c r="W13" s="87">
        <f t="shared" si="15"/>
        <v>34212.5</v>
      </c>
      <c r="X13" s="88">
        <f t="shared" si="6"/>
        <v>1725000</v>
      </c>
      <c r="Y13" s="88">
        <f t="shared" si="7"/>
        <v>2052750</v>
      </c>
      <c r="Z13" s="89">
        <f t="shared" si="8"/>
        <v>32427.5</v>
      </c>
      <c r="AA13" s="89">
        <f t="shared" si="9"/>
        <v>1945650</v>
      </c>
      <c r="AB13" s="89">
        <f t="shared" si="10"/>
        <v>117050.27765879071</v>
      </c>
      <c r="AC13" s="90">
        <f t="shared" si="11"/>
        <v>6.0159986461486244E-2</v>
      </c>
      <c r="AD13" s="5"/>
      <c r="BF13" s="7">
        <v>3</v>
      </c>
    </row>
    <row r="14" spans="1:58" s="7" customFormat="1" ht="84" x14ac:dyDescent="0.35">
      <c r="A14" s="138">
        <v>4</v>
      </c>
      <c r="B14" s="107" t="s">
        <v>38</v>
      </c>
      <c r="C14" s="100" t="s">
        <v>56</v>
      </c>
      <c r="D14" s="137" t="s">
        <v>57</v>
      </c>
      <c r="E14" s="107" t="s">
        <v>41</v>
      </c>
      <c r="F14" s="100">
        <v>60</v>
      </c>
      <c r="G14" s="100" t="s">
        <v>42</v>
      </c>
      <c r="H14" s="77" t="s">
        <v>58</v>
      </c>
      <c r="I14" s="101">
        <v>36050.42</v>
      </c>
      <c r="J14" s="79">
        <f t="shared" si="12"/>
        <v>6849.5797999999995</v>
      </c>
      <c r="K14" s="79">
        <f t="shared" si="13"/>
        <v>42899.999799999998</v>
      </c>
      <c r="L14" s="80">
        <f t="shared" si="0"/>
        <v>2163025.1999999997</v>
      </c>
      <c r="M14" s="80">
        <f t="shared" si="1"/>
        <v>2573999.9879999999</v>
      </c>
      <c r="N14" s="81" t="s">
        <v>59</v>
      </c>
      <c r="O14" s="102">
        <v>41596.639999999999</v>
      </c>
      <c r="P14" s="83">
        <f t="shared" si="14"/>
        <v>7903.3616000000002</v>
      </c>
      <c r="Q14" s="83">
        <f t="shared" si="2"/>
        <v>49500.001600000003</v>
      </c>
      <c r="R14" s="84">
        <f t="shared" si="3"/>
        <v>2495798.4</v>
      </c>
      <c r="S14" s="84">
        <f t="shared" si="4"/>
        <v>2970000.0960000004</v>
      </c>
      <c r="T14" s="85" t="s">
        <v>60</v>
      </c>
      <c r="U14" s="103">
        <v>34453.78</v>
      </c>
      <c r="V14" s="87">
        <f t="shared" si="5"/>
        <v>6546.2182000000003</v>
      </c>
      <c r="W14" s="87">
        <f t="shared" si="15"/>
        <v>40999.998200000002</v>
      </c>
      <c r="X14" s="88">
        <f t="shared" si="6"/>
        <v>2067226.7999999998</v>
      </c>
      <c r="Y14" s="88">
        <f t="shared" si="7"/>
        <v>2459999.892</v>
      </c>
      <c r="Z14" s="89">
        <f t="shared" si="8"/>
        <v>44466.666533333337</v>
      </c>
      <c r="AA14" s="89">
        <f t="shared" si="9"/>
        <v>2667999.9920000001</v>
      </c>
      <c r="AB14" s="89">
        <f t="shared" si="10"/>
        <v>267679.01035383879</v>
      </c>
      <c r="AC14" s="90">
        <f t="shared" si="11"/>
        <v>0.10032946445145222</v>
      </c>
      <c r="AD14" s="5"/>
      <c r="BF14" s="7">
        <v>4</v>
      </c>
    </row>
    <row r="15" spans="1:58" s="7" customFormat="1" ht="84" x14ac:dyDescent="0.25">
      <c r="A15" s="138">
        <v>5</v>
      </c>
      <c r="B15" s="100" t="s">
        <v>38</v>
      </c>
      <c r="C15" s="100" t="s">
        <v>61</v>
      </c>
      <c r="D15" s="100" t="s">
        <v>62</v>
      </c>
      <c r="E15" s="107" t="s">
        <v>41</v>
      </c>
      <c r="F15" s="100">
        <v>3</v>
      </c>
      <c r="G15" s="100" t="s">
        <v>42</v>
      </c>
      <c r="H15" s="77" t="s">
        <v>63</v>
      </c>
      <c r="I15" s="101">
        <v>329.41</v>
      </c>
      <c r="J15" s="79">
        <f t="shared" si="12"/>
        <v>62.587900000000005</v>
      </c>
      <c r="K15" s="79">
        <f t="shared" si="13"/>
        <v>391.99790000000002</v>
      </c>
      <c r="L15" s="80">
        <f t="shared" si="0"/>
        <v>988.23</v>
      </c>
      <c r="M15" s="80">
        <f t="shared" si="1"/>
        <v>1175.9937</v>
      </c>
      <c r="N15" s="81" t="s">
        <v>64</v>
      </c>
      <c r="O15" s="102">
        <v>420.17</v>
      </c>
      <c r="P15" s="83">
        <f t="shared" si="14"/>
        <v>79.832300000000004</v>
      </c>
      <c r="Q15" s="83">
        <f t="shared" si="2"/>
        <v>500.00229999999999</v>
      </c>
      <c r="R15" s="84">
        <f t="shared" si="3"/>
        <v>1260.51</v>
      </c>
      <c r="S15" s="84">
        <f t="shared" si="4"/>
        <v>1500.0068999999999</v>
      </c>
      <c r="T15" s="85" t="s">
        <v>65</v>
      </c>
      <c r="U15" s="104">
        <v>495.8</v>
      </c>
      <c r="V15" s="87">
        <f t="shared" si="5"/>
        <v>94.201999999999998</v>
      </c>
      <c r="W15" s="87">
        <f t="shared" si="15"/>
        <v>590.00199999999995</v>
      </c>
      <c r="X15" s="88">
        <f t="shared" si="6"/>
        <v>1487.4</v>
      </c>
      <c r="Y15" s="88">
        <f t="shared" si="7"/>
        <v>1770.0059999999999</v>
      </c>
      <c r="Z15" s="89">
        <f t="shared" si="8"/>
        <v>494.0007333333333</v>
      </c>
      <c r="AA15" s="89">
        <f t="shared" si="9"/>
        <v>1482.0021999999999</v>
      </c>
      <c r="AB15" s="89">
        <f t="shared" si="10"/>
        <v>297.41516446608688</v>
      </c>
      <c r="AC15" s="90">
        <f t="shared" si="11"/>
        <v>0.20068469835340791</v>
      </c>
      <c r="AD15" s="5"/>
      <c r="BF15" s="7">
        <v>5</v>
      </c>
    </row>
    <row r="16" spans="1:58" s="7" customFormat="1" ht="105" x14ac:dyDescent="0.25">
      <c r="A16" s="138">
        <v>6</v>
      </c>
      <c r="B16" s="107" t="s">
        <v>38</v>
      </c>
      <c r="C16" s="100" t="s">
        <v>66</v>
      </c>
      <c r="D16" s="100" t="s">
        <v>67</v>
      </c>
      <c r="E16" s="107" t="s">
        <v>41</v>
      </c>
      <c r="F16" s="100">
        <v>60</v>
      </c>
      <c r="G16" s="100" t="s">
        <v>42</v>
      </c>
      <c r="H16" s="77" t="s">
        <v>68</v>
      </c>
      <c r="I16" s="101">
        <v>19327.73</v>
      </c>
      <c r="J16" s="79">
        <f t="shared" si="12"/>
        <v>3672.2687000000001</v>
      </c>
      <c r="K16" s="79">
        <f t="shared" si="13"/>
        <v>22999.9987</v>
      </c>
      <c r="L16" s="80">
        <f t="shared" si="0"/>
        <v>1159663.8</v>
      </c>
      <c r="M16" s="80">
        <f t="shared" si="1"/>
        <v>1379999.922</v>
      </c>
      <c r="N16" s="81" t="s">
        <v>69</v>
      </c>
      <c r="O16" s="102">
        <v>19099</v>
      </c>
      <c r="P16" s="83">
        <f t="shared" si="14"/>
        <v>3628.81</v>
      </c>
      <c r="Q16" s="83">
        <f t="shared" si="2"/>
        <v>22727.81</v>
      </c>
      <c r="R16" s="84">
        <f t="shared" si="3"/>
        <v>1145940</v>
      </c>
      <c r="S16" s="84">
        <f t="shared" si="4"/>
        <v>1363668.6</v>
      </c>
      <c r="T16" s="85" t="s">
        <v>70</v>
      </c>
      <c r="U16" s="103">
        <v>23600</v>
      </c>
      <c r="V16" s="87">
        <f t="shared" si="5"/>
        <v>4484</v>
      </c>
      <c r="W16" s="87">
        <f t="shared" si="15"/>
        <v>28084</v>
      </c>
      <c r="X16" s="88">
        <f t="shared" si="6"/>
        <v>1416000</v>
      </c>
      <c r="Y16" s="88">
        <f t="shared" si="7"/>
        <v>1685040</v>
      </c>
      <c r="Z16" s="89">
        <f t="shared" si="8"/>
        <v>24603.93623333333</v>
      </c>
      <c r="AA16" s="89">
        <f t="shared" si="9"/>
        <v>1476236.1739999999</v>
      </c>
      <c r="AB16" s="89">
        <f t="shared" si="10"/>
        <v>181013.69101188346</v>
      </c>
      <c r="AC16" s="90">
        <f t="shared" si="11"/>
        <v>0.12261838193641465</v>
      </c>
      <c r="AD16" s="5"/>
      <c r="BF16" s="7">
        <v>6</v>
      </c>
    </row>
    <row r="17" spans="1:58" s="7" customFormat="1" ht="273.75" thickBot="1" x14ac:dyDescent="0.4">
      <c r="A17" s="138">
        <v>7</v>
      </c>
      <c r="B17" s="107" t="s">
        <v>38</v>
      </c>
      <c r="C17" s="100" t="s">
        <v>71</v>
      </c>
      <c r="D17" s="137" t="s">
        <v>72</v>
      </c>
      <c r="E17" s="107" t="s">
        <v>41</v>
      </c>
      <c r="F17" s="100">
        <v>60</v>
      </c>
      <c r="G17" s="100" t="s">
        <v>42</v>
      </c>
      <c r="H17" s="77" t="s">
        <v>73</v>
      </c>
      <c r="I17" s="101">
        <v>38000</v>
      </c>
      <c r="J17" s="79">
        <f t="shared" si="12"/>
        <v>7220</v>
      </c>
      <c r="K17" s="79">
        <f t="shared" si="13"/>
        <v>45220</v>
      </c>
      <c r="L17" s="80">
        <f t="shared" si="0"/>
        <v>2280000</v>
      </c>
      <c r="M17" s="80">
        <f t="shared" si="1"/>
        <v>2713200</v>
      </c>
      <c r="N17" s="81" t="s">
        <v>74</v>
      </c>
      <c r="O17" s="102">
        <v>38000</v>
      </c>
      <c r="P17" s="83">
        <f t="shared" si="14"/>
        <v>7220</v>
      </c>
      <c r="Q17" s="83">
        <f t="shared" si="2"/>
        <v>45220</v>
      </c>
      <c r="R17" s="84">
        <f t="shared" si="3"/>
        <v>2280000</v>
      </c>
      <c r="S17" s="84">
        <f t="shared" si="4"/>
        <v>2713200</v>
      </c>
      <c r="T17" s="85" t="s">
        <v>75</v>
      </c>
      <c r="U17" s="104">
        <v>38000</v>
      </c>
      <c r="V17" s="87"/>
      <c r="W17" s="87">
        <f t="shared" si="15"/>
        <v>38000</v>
      </c>
      <c r="X17" s="88">
        <f t="shared" si="6"/>
        <v>2280000</v>
      </c>
      <c r="Y17" s="88">
        <f t="shared" si="7"/>
        <v>2280000</v>
      </c>
      <c r="Z17" s="89">
        <f t="shared" si="8"/>
        <v>42813.333333333336</v>
      </c>
      <c r="AA17" s="89">
        <f t="shared" si="9"/>
        <v>2568800</v>
      </c>
      <c r="AB17" s="89">
        <f t="shared" si="10"/>
        <v>250108.13661294588</v>
      </c>
      <c r="AC17" s="90">
        <f t="shared" si="11"/>
        <v>9.7363802792333337E-2</v>
      </c>
      <c r="AD17" s="5"/>
      <c r="BF17" s="7">
        <v>7</v>
      </c>
    </row>
    <row r="18" spans="1:58" s="7" customFormat="1" ht="409.5" x14ac:dyDescent="0.35">
      <c r="A18" s="138">
        <v>8</v>
      </c>
      <c r="B18" s="108" t="s">
        <v>38</v>
      </c>
      <c r="C18" s="408" t="s">
        <v>76</v>
      </c>
      <c r="D18" s="137" t="s">
        <v>77</v>
      </c>
      <c r="E18" s="111" t="s">
        <v>41</v>
      </c>
      <c r="F18" s="409">
        <v>60</v>
      </c>
      <c r="G18" s="100" t="s">
        <v>42</v>
      </c>
      <c r="H18" s="77" t="s">
        <v>48</v>
      </c>
      <c r="I18" s="101">
        <v>51750</v>
      </c>
      <c r="J18" s="79">
        <f t="shared" si="12"/>
        <v>9832.5</v>
      </c>
      <c r="K18" s="79">
        <f t="shared" si="13"/>
        <v>61582.5</v>
      </c>
      <c r="L18" s="80">
        <f t="shared" si="0"/>
        <v>3105000</v>
      </c>
      <c r="M18" s="80">
        <f t="shared" si="1"/>
        <v>3694950</v>
      </c>
      <c r="N18" s="81" t="s">
        <v>53</v>
      </c>
      <c r="O18" s="102">
        <v>53000</v>
      </c>
      <c r="P18" s="83">
        <f t="shared" si="14"/>
        <v>10070</v>
      </c>
      <c r="Q18" s="83">
        <f t="shared" si="2"/>
        <v>63070</v>
      </c>
      <c r="R18" s="84">
        <f t="shared" si="3"/>
        <v>3180000</v>
      </c>
      <c r="S18" s="84">
        <f t="shared" si="4"/>
        <v>3784200</v>
      </c>
      <c r="T18" s="85" t="s">
        <v>55</v>
      </c>
      <c r="U18" s="104">
        <v>38800</v>
      </c>
      <c r="V18" s="87">
        <f t="shared" si="5"/>
        <v>7372</v>
      </c>
      <c r="W18" s="87">
        <f t="shared" si="15"/>
        <v>46172</v>
      </c>
      <c r="X18" s="88">
        <f t="shared" si="6"/>
        <v>2328000</v>
      </c>
      <c r="Y18" s="88">
        <f t="shared" si="7"/>
        <v>2770320</v>
      </c>
      <c r="Z18" s="89">
        <f t="shared" si="8"/>
        <v>56941.5</v>
      </c>
      <c r="AA18" s="89">
        <f t="shared" si="9"/>
        <v>3416490</v>
      </c>
      <c r="AB18" s="89">
        <f t="shared" si="10"/>
        <v>561376.11482855235</v>
      </c>
      <c r="AC18" s="90">
        <f t="shared" si="11"/>
        <v>0.16431370056067846</v>
      </c>
      <c r="AD18" s="5"/>
      <c r="BF18" s="7">
        <v>8</v>
      </c>
    </row>
    <row r="19" spans="1:58" s="7" customFormat="1" ht="336" x14ac:dyDescent="0.35">
      <c r="A19" s="138">
        <v>9</v>
      </c>
      <c r="B19" s="409" t="s">
        <v>38</v>
      </c>
      <c r="C19" s="100" t="s">
        <v>78</v>
      </c>
      <c r="D19" s="137" t="s">
        <v>79</v>
      </c>
      <c r="E19" s="111" t="s">
        <v>41</v>
      </c>
      <c r="F19" s="409">
        <v>60</v>
      </c>
      <c r="G19" s="100" t="s">
        <v>42</v>
      </c>
      <c r="H19" s="77" t="s">
        <v>75</v>
      </c>
      <c r="I19" s="78">
        <v>15000</v>
      </c>
      <c r="J19" s="79"/>
      <c r="K19" s="79">
        <f t="shared" si="13"/>
        <v>15000</v>
      </c>
      <c r="L19" s="80">
        <f t="shared" si="0"/>
        <v>900000</v>
      </c>
      <c r="M19" s="80">
        <f t="shared" si="1"/>
        <v>900000</v>
      </c>
      <c r="N19" s="102" t="s">
        <v>80</v>
      </c>
      <c r="O19" s="102">
        <v>12000</v>
      </c>
      <c r="P19" s="83">
        <f t="shared" si="14"/>
        <v>2280</v>
      </c>
      <c r="Q19" s="83">
        <f t="shared" si="2"/>
        <v>14280</v>
      </c>
      <c r="R19" s="84">
        <f t="shared" si="3"/>
        <v>720000</v>
      </c>
      <c r="S19" s="84">
        <f t="shared" si="4"/>
        <v>856800</v>
      </c>
      <c r="T19" s="85"/>
      <c r="U19" s="104"/>
      <c r="V19" s="87"/>
      <c r="W19" s="87"/>
      <c r="X19" s="88"/>
      <c r="Y19" s="88"/>
      <c r="Z19" s="89">
        <f t="shared" si="8"/>
        <v>14640</v>
      </c>
      <c r="AA19" s="89">
        <f t="shared" si="9"/>
        <v>878400</v>
      </c>
      <c r="AB19" s="89">
        <f t="shared" si="10"/>
        <v>30547.012947258852</v>
      </c>
      <c r="AC19" s="90">
        <f t="shared" si="11"/>
        <v>3.4775743337043322E-2</v>
      </c>
      <c r="AD19" s="5"/>
      <c r="BF19" s="7">
        <v>9</v>
      </c>
    </row>
    <row r="20" spans="1:58" s="7" customFormat="1" ht="105" x14ac:dyDescent="0.35">
      <c r="A20" s="138">
        <v>10</v>
      </c>
      <c r="B20" s="107" t="s">
        <v>38</v>
      </c>
      <c r="C20" s="100" t="s">
        <v>81</v>
      </c>
      <c r="D20" s="137" t="s">
        <v>82</v>
      </c>
      <c r="E20" s="111" t="s">
        <v>41</v>
      </c>
      <c r="F20" s="409">
        <v>60</v>
      </c>
      <c r="G20" s="100" t="s">
        <v>42</v>
      </c>
      <c r="H20" s="77" t="s">
        <v>48</v>
      </c>
      <c r="I20" s="78">
        <v>2200</v>
      </c>
      <c r="J20" s="79">
        <f t="shared" si="12"/>
        <v>418</v>
      </c>
      <c r="K20" s="79">
        <f t="shared" si="13"/>
        <v>2618</v>
      </c>
      <c r="L20" s="80">
        <f t="shared" si="0"/>
        <v>132000</v>
      </c>
      <c r="M20" s="80">
        <f t="shared" si="1"/>
        <v>157080</v>
      </c>
      <c r="N20" s="102" t="s">
        <v>83</v>
      </c>
      <c r="O20" s="102">
        <v>2689.08</v>
      </c>
      <c r="P20" s="83">
        <f t="shared" si="14"/>
        <v>510.92520000000002</v>
      </c>
      <c r="Q20" s="83">
        <f t="shared" si="2"/>
        <v>3200.0052000000001</v>
      </c>
      <c r="R20" s="84">
        <f t="shared" si="3"/>
        <v>161344.79999999999</v>
      </c>
      <c r="S20" s="84">
        <f t="shared" si="4"/>
        <v>192000.31200000001</v>
      </c>
      <c r="T20" s="85" t="s">
        <v>84</v>
      </c>
      <c r="U20" s="105">
        <v>3800</v>
      </c>
      <c r="V20" s="87"/>
      <c r="W20" s="87">
        <f t="shared" si="15"/>
        <v>3800</v>
      </c>
      <c r="X20" s="88">
        <f>IF(B20="","",(U20*F20))</f>
        <v>228000</v>
      </c>
      <c r="Y20" s="88">
        <f>IF(B20="","",(W20*F20))</f>
        <v>228000</v>
      </c>
      <c r="Z20" s="89">
        <f t="shared" si="8"/>
        <v>3206.001733333333</v>
      </c>
      <c r="AA20" s="89">
        <f t="shared" si="9"/>
        <v>192360.10399999999</v>
      </c>
      <c r="AB20" s="89">
        <f t="shared" si="10"/>
        <v>35461.368948652285</v>
      </c>
      <c r="AC20" s="90">
        <f t="shared" si="11"/>
        <v>0.18434887594286331</v>
      </c>
      <c r="AD20" s="5"/>
      <c r="BF20" s="7">
        <v>10</v>
      </c>
    </row>
    <row r="21" spans="1:58" s="7" customFormat="1" ht="189" x14ac:dyDescent="0.35">
      <c r="A21" s="138">
        <v>11</v>
      </c>
      <c r="B21" s="107" t="s">
        <v>38</v>
      </c>
      <c r="C21" s="100" t="s">
        <v>85</v>
      </c>
      <c r="D21" s="137" t="s">
        <v>86</v>
      </c>
      <c r="E21" s="112" t="s">
        <v>87</v>
      </c>
      <c r="F21" s="100">
        <v>108</v>
      </c>
      <c r="G21" s="100" t="s">
        <v>88</v>
      </c>
      <c r="H21" s="77" t="s">
        <v>89</v>
      </c>
      <c r="I21" s="78">
        <v>302522</v>
      </c>
      <c r="J21" s="79">
        <f t="shared" si="12"/>
        <v>57479.18</v>
      </c>
      <c r="K21" s="79">
        <f t="shared" si="13"/>
        <v>360001.18</v>
      </c>
      <c r="L21" s="80">
        <f t="shared" si="0"/>
        <v>32672376</v>
      </c>
      <c r="M21" s="80">
        <f t="shared" si="1"/>
        <v>38880127.439999998</v>
      </c>
      <c r="N21" s="81" t="s">
        <v>90</v>
      </c>
      <c r="O21" s="82">
        <v>252101</v>
      </c>
      <c r="P21" s="83">
        <f t="shared" si="14"/>
        <v>47899.19</v>
      </c>
      <c r="Q21" s="83">
        <f t="shared" si="2"/>
        <v>300000.19</v>
      </c>
      <c r="R21" s="84">
        <f t="shared" si="3"/>
        <v>27226908</v>
      </c>
      <c r="S21" s="84">
        <f t="shared" si="4"/>
        <v>32400020.52</v>
      </c>
      <c r="T21" s="85"/>
      <c r="U21" s="86"/>
      <c r="V21" s="87"/>
      <c r="W21" s="87"/>
      <c r="X21" s="88"/>
      <c r="Y21" s="88"/>
      <c r="Z21" s="89">
        <f t="shared" si="8"/>
        <v>330000.685</v>
      </c>
      <c r="AA21" s="89">
        <f t="shared" si="9"/>
        <v>35640073.979999997</v>
      </c>
      <c r="AB21" s="89">
        <f t="shared" si="10"/>
        <v>4582127.5459458707</v>
      </c>
      <c r="AC21" s="90">
        <f t="shared" si="11"/>
        <v>0.1285667237536377</v>
      </c>
      <c r="AD21" s="5"/>
      <c r="BF21" s="7">
        <v>11</v>
      </c>
    </row>
    <row r="22" spans="1:58" s="7" customFormat="1" ht="189" x14ac:dyDescent="0.35">
      <c r="A22" s="138">
        <v>12</v>
      </c>
      <c r="B22" s="107" t="s">
        <v>38</v>
      </c>
      <c r="C22" s="100" t="s">
        <v>91</v>
      </c>
      <c r="D22" s="137" t="s">
        <v>92</v>
      </c>
      <c r="E22" s="112" t="s">
        <v>87</v>
      </c>
      <c r="F22" s="100">
        <v>5</v>
      </c>
      <c r="G22" s="100" t="s">
        <v>88</v>
      </c>
      <c r="H22" s="77" t="s">
        <v>89</v>
      </c>
      <c r="I22" s="78">
        <v>302522</v>
      </c>
      <c r="J22" s="79">
        <f t="shared" si="12"/>
        <v>57479.18</v>
      </c>
      <c r="K22" s="79">
        <f t="shared" si="13"/>
        <v>360001.18</v>
      </c>
      <c r="L22" s="80">
        <f t="shared" si="0"/>
        <v>1512610</v>
      </c>
      <c r="M22" s="80">
        <f t="shared" si="1"/>
        <v>1800005.9</v>
      </c>
      <c r="N22" s="81" t="s">
        <v>90</v>
      </c>
      <c r="O22" s="82">
        <v>252101</v>
      </c>
      <c r="P22" s="83">
        <f t="shared" si="14"/>
        <v>47899.19</v>
      </c>
      <c r="Q22" s="83">
        <f t="shared" si="2"/>
        <v>300000.19</v>
      </c>
      <c r="R22" s="84">
        <f t="shared" si="3"/>
        <v>1260505</v>
      </c>
      <c r="S22" s="84">
        <f t="shared" si="4"/>
        <v>1500000.95</v>
      </c>
      <c r="T22" s="85"/>
      <c r="U22" s="86"/>
      <c r="V22" s="87"/>
      <c r="W22" s="87"/>
      <c r="X22" s="88"/>
      <c r="Y22" s="88"/>
      <c r="Z22" s="89">
        <f t="shared" si="8"/>
        <v>330000.685</v>
      </c>
      <c r="AA22" s="89">
        <f t="shared" si="9"/>
        <v>1650003.425</v>
      </c>
      <c r="AB22" s="89">
        <f t="shared" si="10"/>
        <v>212135.53453453109</v>
      </c>
      <c r="AC22" s="90">
        <f t="shared" si="11"/>
        <v>0.1285667237536377</v>
      </c>
      <c r="AD22" s="5"/>
      <c r="BF22" s="7">
        <v>12</v>
      </c>
    </row>
    <row r="23" spans="1:58" s="7" customFormat="1" ht="409.5" x14ac:dyDescent="0.35">
      <c r="A23" s="138">
        <v>13</v>
      </c>
      <c r="B23" s="107" t="s">
        <v>38</v>
      </c>
      <c r="C23" s="100" t="s">
        <v>93</v>
      </c>
      <c r="D23" s="137" t="s">
        <v>94</v>
      </c>
      <c r="E23" s="112" t="s">
        <v>41</v>
      </c>
      <c r="F23" s="100">
        <v>540</v>
      </c>
      <c r="G23" s="100" t="s">
        <v>42</v>
      </c>
      <c r="H23" s="77" t="s">
        <v>95</v>
      </c>
      <c r="I23" s="78">
        <v>11700</v>
      </c>
      <c r="J23" s="79">
        <f>I23*8%</f>
        <v>936</v>
      </c>
      <c r="K23" s="79">
        <f t="shared" si="13"/>
        <v>12636</v>
      </c>
      <c r="L23" s="80">
        <f t="shared" si="0"/>
        <v>6318000</v>
      </c>
      <c r="M23" s="80">
        <f t="shared" si="1"/>
        <v>6823440</v>
      </c>
      <c r="N23" s="81" t="s">
        <v>50</v>
      </c>
      <c r="O23" s="82">
        <v>8570</v>
      </c>
      <c r="P23" s="83">
        <f>O23*8%</f>
        <v>685.6</v>
      </c>
      <c r="Q23" s="83">
        <f t="shared" si="2"/>
        <v>9255.6</v>
      </c>
      <c r="R23" s="84">
        <f t="shared" si="3"/>
        <v>4627800</v>
      </c>
      <c r="S23" s="84">
        <f t="shared" si="4"/>
        <v>4998024</v>
      </c>
      <c r="T23" s="85" t="s">
        <v>96</v>
      </c>
      <c r="U23" s="86">
        <v>13871</v>
      </c>
      <c r="V23" s="87"/>
      <c r="W23" s="87">
        <f t="shared" ref="W23:W84" si="16">U23+V23</f>
        <v>13871</v>
      </c>
      <c r="X23" s="88">
        <f t="shared" ref="X23:X36" si="17">IF(B23="","",(U23*F23))</f>
        <v>7490340</v>
      </c>
      <c r="Y23" s="88">
        <f t="shared" ref="Y23:Y36" si="18">IF(B23="","",(W23*F23))</f>
        <v>7490340</v>
      </c>
      <c r="Z23" s="89">
        <f t="shared" si="8"/>
        <v>11920.866666666667</v>
      </c>
      <c r="AA23" s="89">
        <f t="shared" si="9"/>
        <v>6437268</v>
      </c>
      <c r="AB23" s="89">
        <f t="shared" si="10"/>
        <v>1290254.3823417148</v>
      </c>
      <c r="AC23" s="90">
        <f t="shared" si="11"/>
        <v>0.20043508866520934</v>
      </c>
      <c r="AD23" s="5"/>
      <c r="BF23" s="7">
        <v>13</v>
      </c>
    </row>
    <row r="24" spans="1:58" s="7" customFormat="1" ht="409.5" x14ac:dyDescent="0.25">
      <c r="A24" s="138">
        <v>14</v>
      </c>
      <c r="B24" s="107" t="s">
        <v>38</v>
      </c>
      <c r="C24" s="100" t="s">
        <v>97</v>
      </c>
      <c r="D24" s="100" t="s">
        <v>98</v>
      </c>
      <c r="E24" s="107" t="s">
        <v>41</v>
      </c>
      <c r="F24" s="100">
        <v>65</v>
      </c>
      <c r="G24" s="100" t="s">
        <v>42</v>
      </c>
      <c r="H24" s="77" t="s">
        <v>99</v>
      </c>
      <c r="I24" s="101">
        <v>21600</v>
      </c>
      <c r="J24" s="79">
        <f>I24*8%</f>
        <v>1728</v>
      </c>
      <c r="K24" s="79">
        <f t="shared" si="13"/>
        <v>23328</v>
      </c>
      <c r="L24" s="80">
        <f t="shared" si="0"/>
        <v>1404000</v>
      </c>
      <c r="M24" s="80">
        <f t="shared" si="1"/>
        <v>1516320</v>
      </c>
      <c r="N24" s="81" t="s">
        <v>100</v>
      </c>
      <c r="O24" s="82">
        <v>25000</v>
      </c>
      <c r="P24" s="83">
        <f>O24*8%</f>
        <v>2000</v>
      </c>
      <c r="Q24" s="83">
        <f t="shared" si="2"/>
        <v>27000</v>
      </c>
      <c r="R24" s="84">
        <f t="shared" si="3"/>
        <v>1625000</v>
      </c>
      <c r="S24" s="84">
        <f t="shared" si="4"/>
        <v>1755000</v>
      </c>
      <c r="T24" s="85" t="s">
        <v>101</v>
      </c>
      <c r="U24" s="410">
        <v>26824</v>
      </c>
      <c r="V24" s="87">
        <f>U24*8%</f>
        <v>2145.92</v>
      </c>
      <c r="W24" s="87">
        <f t="shared" si="16"/>
        <v>28969.919999999998</v>
      </c>
      <c r="X24" s="88">
        <f t="shared" si="17"/>
        <v>1743560</v>
      </c>
      <c r="Y24" s="88">
        <f t="shared" si="18"/>
        <v>1883044.7999999998</v>
      </c>
      <c r="Z24" s="89">
        <f t="shared" si="8"/>
        <v>26432.639999999999</v>
      </c>
      <c r="AA24" s="89">
        <f t="shared" si="9"/>
        <v>1718121.5999999999</v>
      </c>
      <c r="AB24" s="89">
        <f t="shared" si="10"/>
        <v>186123.02926741756</v>
      </c>
      <c r="AC24" s="90">
        <f t="shared" si="11"/>
        <v>0.10832936927596834</v>
      </c>
      <c r="AD24" s="5"/>
      <c r="BF24" s="7">
        <v>14</v>
      </c>
    </row>
    <row r="25" spans="1:58" s="7" customFormat="1" ht="63" x14ac:dyDescent="0.35">
      <c r="A25" s="138">
        <v>15</v>
      </c>
      <c r="B25" s="107" t="s">
        <v>102</v>
      </c>
      <c r="C25" s="100" t="s">
        <v>39</v>
      </c>
      <c r="D25" s="137" t="s">
        <v>40</v>
      </c>
      <c r="E25" s="112" t="s">
        <v>41</v>
      </c>
      <c r="F25" s="100">
        <v>60</v>
      </c>
      <c r="G25" s="100" t="s">
        <v>42</v>
      </c>
      <c r="H25" s="77" t="s">
        <v>43</v>
      </c>
      <c r="I25" s="101">
        <v>5033.6099999999997</v>
      </c>
      <c r="J25" s="79">
        <f>I25*19%</f>
        <v>956.38589999999999</v>
      </c>
      <c r="K25" s="79">
        <f>I25+J25</f>
        <v>5989.9958999999999</v>
      </c>
      <c r="L25" s="80">
        <f t="shared" si="0"/>
        <v>302016.59999999998</v>
      </c>
      <c r="M25" s="80">
        <f t="shared" si="1"/>
        <v>359399.75400000002</v>
      </c>
      <c r="N25" s="81" t="s">
        <v>44</v>
      </c>
      <c r="O25" s="102">
        <v>5462.18</v>
      </c>
      <c r="P25" s="83">
        <f>O25*19%</f>
        <v>1037.8142</v>
      </c>
      <c r="Q25" s="83">
        <f t="shared" si="2"/>
        <v>6499.9942000000001</v>
      </c>
      <c r="R25" s="84">
        <f t="shared" si="3"/>
        <v>327730.80000000005</v>
      </c>
      <c r="S25" s="84">
        <f t="shared" si="4"/>
        <v>389999.652</v>
      </c>
      <c r="T25" s="85" t="s">
        <v>45</v>
      </c>
      <c r="U25" s="86">
        <v>4201.68</v>
      </c>
      <c r="V25" s="87">
        <f t="shared" ref="V25:V83" si="19">U25*19%</f>
        <v>798.31920000000002</v>
      </c>
      <c r="W25" s="87">
        <f>U25+V25</f>
        <v>4999.9992000000002</v>
      </c>
      <c r="X25" s="88">
        <f t="shared" si="17"/>
        <v>252100.80000000002</v>
      </c>
      <c r="Y25" s="88">
        <f t="shared" si="18"/>
        <v>299999.95199999999</v>
      </c>
      <c r="Z25" s="89">
        <f t="shared" si="8"/>
        <v>5829.9964333333337</v>
      </c>
      <c r="AA25" s="89">
        <f t="shared" si="9"/>
        <v>349799.78600000002</v>
      </c>
      <c r="AB25" s="89">
        <f t="shared" si="10"/>
        <v>45761.403379083953</v>
      </c>
      <c r="AC25" s="90">
        <f t="shared" si="11"/>
        <v>0.13082170204381985</v>
      </c>
      <c r="AD25" s="5"/>
      <c r="BF25" s="7">
        <v>15</v>
      </c>
    </row>
    <row r="26" spans="1:58" s="7" customFormat="1" ht="105" x14ac:dyDescent="0.35">
      <c r="A26" s="138">
        <v>16</v>
      </c>
      <c r="B26" s="107" t="s">
        <v>102</v>
      </c>
      <c r="C26" s="100" t="s">
        <v>46</v>
      </c>
      <c r="D26" s="137" t="s">
        <v>47</v>
      </c>
      <c r="E26" s="112" t="s">
        <v>41</v>
      </c>
      <c r="F26" s="100">
        <v>6</v>
      </c>
      <c r="G26" s="100" t="s">
        <v>42</v>
      </c>
      <c r="H26" s="77" t="s">
        <v>48</v>
      </c>
      <c r="I26" s="101">
        <v>5407.56</v>
      </c>
      <c r="J26" s="79">
        <f t="shared" ref="J26:J27" si="20">I26*19%</f>
        <v>1027.4364</v>
      </c>
      <c r="K26" s="79">
        <f t="shared" ref="K26" si="21">I26+J26</f>
        <v>6434.9964</v>
      </c>
      <c r="L26" s="80">
        <f t="shared" si="0"/>
        <v>32445.360000000001</v>
      </c>
      <c r="M26" s="80">
        <f t="shared" si="1"/>
        <v>38609.9784</v>
      </c>
      <c r="N26" s="81" t="s">
        <v>49</v>
      </c>
      <c r="O26" s="102">
        <v>4628.57</v>
      </c>
      <c r="P26" s="83">
        <f t="shared" ref="P26" si="22">O26*19%</f>
        <v>879.42829999999992</v>
      </c>
      <c r="Q26" s="83">
        <f t="shared" si="2"/>
        <v>5507.9982999999993</v>
      </c>
      <c r="R26" s="84">
        <f t="shared" si="3"/>
        <v>27771.42</v>
      </c>
      <c r="S26" s="84">
        <f t="shared" si="4"/>
        <v>33047.989799999996</v>
      </c>
      <c r="T26" s="85" t="s">
        <v>50</v>
      </c>
      <c r="U26" s="103">
        <v>4968.91</v>
      </c>
      <c r="V26" s="87">
        <f t="shared" si="19"/>
        <v>944.09289999999999</v>
      </c>
      <c r="W26" s="87">
        <f t="shared" ref="W26" si="23">U26+V26</f>
        <v>5913.0028999999995</v>
      </c>
      <c r="X26" s="88">
        <f t="shared" si="17"/>
        <v>29813.46</v>
      </c>
      <c r="Y26" s="88">
        <f t="shared" si="18"/>
        <v>35478.017399999997</v>
      </c>
      <c r="Z26" s="89">
        <f t="shared" si="8"/>
        <v>5951.9991999999993</v>
      </c>
      <c r="AA26" s="89">
        <f t="shared" si="9"/>
        <v>35711.995199999998</v>
      </c>
      <c r="AB26" s="89">
        <f t="shared" si="10"/>
        <v>2788.3666374424529</v>
      </c>
      <c r="AC26" s="90">
        <f t="shared" si="11"/>
        <v>7.807927341574164E-2</v>
      </c>
      <c r="AD26" s="5"/>
      <c r="BF26" s="7">
        <v>16</v>
      </c>
    </row>
    <row r="27" spans="1:58" s="7" customFormat="1" ht="105" x14ac:dyDescent="0.35">
      <c r="A27" s="138">
        <v>17</v>
      </c>
      <c r="B27" s="107" t="s">
        <v>102</v>
      </c>
      <c r="C27" s="411" t="s">
        <v>103</v>
      </c>
      <c r="D27" s="137" t="s">
        <v>104</v>
      </c>
      <c r="E27" s="112" t="s">
        <v>41</v>
      </c>
      <c r="F27" s="100">
        <v>60</v>
      </c>
      <c r="G27" s="100" t="s">
        <v>42</v>
      </c>
      <c r="H27" s="77" t="s">
        <v>105</v>
      </c>
      <c r="I27" s="101">
        <v>5042.0200000000004</v>
      </c>
      <c r="J27" s="79">
        <f t="shared" si="20"/>
        <v>957.98380000000009</v>
      </c>
      <c r="K27" s="79">
        <f t="shared" si="13"/>
        <v>6000.0038000000004</v>
      </c>
      <c r="L27" s="80">
        <f t="shared" si="0"/>
        <v>302521.2</v>
      </c>
      <c r="M27" s="80">
        <f t="shared" si="1"/>
        <v>360000.228</v>
      </c>
      <c r="N27" s="81" t="s">
        <v>106</v>
      </c>
      <c r="O27" s="82">
        <v>3529.41</v>
      </c>
      <c r="P27" s="83">
        <f t="shared" si="14"/>
        <v>670.58789999999999</v>
      </c>
      <c r="Q27" s="83">
        <f t="shared" si="2"/>
        <v>4199.9979000000003</v>
      </c>
      <c r="R27" s="84">
        <f t="shared" si="3"/>
        <v>211764.59999999998</v>
      </c>
      <c r="S27" s="84">
        <f t="shared" si="4"/>
        <v>251999.87400000001</v>
      </c>
      <c r="T27" s="85" t="s">
        <v>107</v>
      </c>
      <c r="U27" s="104">
        <v>4201.68</v>
      </c>
      <c r="V27" s="87">
        <f t="shared" si="19"/>
        <v>798.31920000000002</v>
      </c>
      <c r="W27" s="87">
        <f t="shared" si="16"/>
        <v>4999.9992000000002</v>
      </c>
      <c r="X27" s="88">
        <f t="shared" si="17"/>
        <v>252100.80000000002</v>
      </c>
      <c r="Y27" s="88">
        <f t="shared" si="18"/>
        <v>299999.95199999999</v>
      </c>
      <c r="Z27" s="89">
        <f t="shared" si="8"/>
        <v>5066.6669666666667</v>
      </c>
      <c r="AA27" s="89">
        <f t="shared" si="9"/>
        <v>304000.01799999998</v>
      </c>
      <c r="AB27" s="89">
        <f t="shared" si="10"/>
        <v>54111.177329962127</v>
      </c>
      <c r="AC27" s="90">
        <f t="shared" si="11"/>
        <v>0.1779972833092468</v>
      </c>
      <c r="AD27" s="5"/>
      <c r="BF27" s="7">
        <v>17</v>
      </c>
    </row>
    <row r="28" spans="1:58" s="7" customFormat="1" ht="409.5" x14ac:dyDescent="0.35">
      <c r="A28" s="138">
        <v>18</v>
      </c>
      <c r="B28" s="107" t="s">
        <v>102</v>
      </c>
      <c r="C28" s="411" t="s">
        <v>108</v>
      </c>
      <c r="D28" s="137" t="s">
        <v>109</v>
      </c>
      <c r="E28" s="112" t="s">
        <v>41</v>
      </c>
      <c r="F28" s="100">
        <v>60</v>
      </c>
      <c r="G28" s="100" t="s">
        <v>42</v>
      </c>
      <c r="H28" s="77" t="s">
        <v>53</v>
      </c>
      <c r="I28" s="78">
        <v>11500</v>
      </c>
      <c r="J28" s="79">
        <f t="shared" si="12"/>
        <v>2185</v>
      </c>
      <c r="K28" s="79">
        <f t="shared" si="13"/>
        <v>13685</v>
      </c>
      <c r="L28" s="80">
        <f t="shared" si="0"/>
        <v>690000</v>
      </c>
      <c r="M28" s="80">
        <f t="shared" si="1"/>
        <v>821100</v>
      </c>
      <c r="N28" s="81" t="s">
        <v>55</v>
      </c>
      <c r="O28" s="82">
        <v>9200</v>
      </c>
      <c r="P28" s="83">
        <f t="shared" si="14"/>
        <v>1748</v>
      </c>
      <c r="Q28" s="83">
        <f t="shared" si="2"/>
        <v>10948</v>
      </c>
      <c r="R28" s="84">
        <f t="shared" si="3"/>
        <v>552000</v>
      </c>
      <c r="S28" s="84">
        <f t="shared" si="4"/>
        <v>656880</v>
      </c>
      <c r="T28" s="85" t="s">
        <v>110</v>
      </c>
      <c r="U28" s="86">
        <v>12300</v>
      </c>
      <c r="V28" s="87">
        <f t="shared" si="19"/>
        <v>2337</v>
      </c>
      <c r="W28" s="87">
        <f t="shared" si="16"/>
        <v>14637</v>
      </c>
      <c r="X28" s="88">
        <f t="shared" si="17"/>
        <v>738000</v>
      </c>
      <c r="Y28" s="88">
        <f t="shared" si="18"/>
        <v>878220</v>
      </c>
      <c r="Z28" s="89">
        <f t="shared" si="8"/>
        <v>13090</v>
      </c>
      <c r="AA28" s="89">
        <f t="shared" si="9"/>
        <v>785400</v>
      </c>
      <c r="AB28" s="89">
        <f t="shared" si="10"/>
        <v>114907.42534753792</v>
      </c>
      <c r="AC28" s="90">
        <f t="shared" si="11"/>
        <v>0.14630433581300983</v>
      </c>
      <c r="AD28" s="5"/>
      <c r="BF28" s="7">
        <v>18</v>
      </c>
    </row>
    <row r="29" spans="1:58" s="7" customFormat="1" ht="409.5" x14ac:dyDescent="0.35">
      <c r="A29" s="138">
        <v>19</v>
      </c>
      <c r="B29" s="107" t="s">
        <v>102</v>
      </c>
      <c r="C29" s="411" t="s">
        <v>111</v>
      </c>
      <c r="D29" s="137" t="s">
        <v>112</v>
      </c>
      <c r="E29" s="112" t="s">
        <v>41</v>
      </c>
      <c r="F29" s="100">
        <v>60</v>
      </c>
      <c r="G29" s="100" t="s">
        <v>42</v>
      </c>
      <c r="H29" s="77" t="s">
        <v>48</v>
      </c>
      <c r="I29" s="78">
        <v>5750</v>
      </c>
      <c r="J29" s="79">
        <f t="shared" si="12"/>
        <v>1092.5</v>
      </c>
      <c r="K29" s="79">
        <f t="shared" si="13"/>
        <v>6842.5</v>
      </c>
      <c r="L29" s="80">
        <f t="shared" si="0"/>
        <v>345000</v>
      </c>
      <c r="M29" s="80">
        <f t="shared" si="1"/>
        <v>410550</v>
      </c>
      <c r="N29" s="81" t="s">
        <v>110</v>
      </c>
      <c r="O29" s="82">
        <v>7500</v>
      </c>
      <c r="P29" s="83">
        <f t="shared" si="14"/>
        <v>1425</v>
      </c>
      <c r="Q29" s="83">
        <f t="shared" si="2"/>
        <v>8925</v>
      </c>
      <c r="R29" s="84">
        <f t="shared" si="3"/>
        <v>450000</v>
      </c>
      <c r="S29" s="84">
        <f t="shared" si="4"/>
        <v>535500</v>
      </c>
      <c r="T29" s="85" t="s">
        <v>53</v>
      </c>
      <c r="U29" s="86">
        <v>7000</v>
      </c>
      <c r="V29" s="87">
        <f t="shared" si="19"/>
        <v>1330</v>
      </c>
      <c r="W29" s="87">
        <f t="shared" si="16"/>
        <v>8330</v>
      </c>
      <c r="X29" s="88">
        <f t="shared" si="17"/>
        <v>420000</v>
      </c>
      <c r="Y29" s="88">
        <f t="shared" si="18"/>
        <v>499800</v>
      </c>
      <c r="Z29" s="89">
        <f t="shared" si="8"/>
        <v>8032.5</v>
      </c>
      <c r="AA29" s="89">
        <f t="shared" si="9"/>
        <v>481950</v>
      </c>
      <c r="AB29" s="89">
        <f t="shared" si="10"/>
        <v>64359.09026703221</v>
      </c>
      <c r="AC29" s="90">
        <f t="shared" si="11"/>
        <v>0.1335389361282959</v>
      </c>
      <c r="AD29" s="5"/>
      <c r="BF29" s="7">
        <v>19</v>
      </c>
    </row>
    <row r="30" spans="1:58" s="7" customFormat="1" ht="357" x14ac:dyDescent="0.35">
      <c r="A30" s="138">
        <v>20</v>
      </c>
      <c r="B30" s="107" t="s">
        <v>102</v>
      </c>
      <c r="C30" s="411" t="s">
        <v>113</v>
      </c>
      <c r="D30" s="137" t="s">
        <v>114</v>
      </c>
      <c r="E30" s="112" t="s">
        <v>41</v>
      </c>
      <c r="F30" s="100">
        <v>60</v>
      </c>
      <c r="G30" s="100" t="s">
        <v>42</v>
      </c>
      <c r="H30" s="77" t="s">
        <v>115</v>
      </c>
      <c r="I30" s="78">
        <v>11260</v>
      </c>
      <c r="J30" s="79">
        <f t="shared" si="12"/>
        <v>2139.4</v>
      </c>
      <c r="K30" s="79">
        <f t="shared" si="13"/>
        <v>13399.4</v>
      </c>
      <c r="L30" s="80">
        <f t="shared" si="0"/>
        <v>675600</v>
      </c>
      <c r="M30" s="80">
        <f t="shared" si="1"/>
        <v>803964</v>
      </c>
      <c r="N30" s="81" t="s">
        <v>107</v>
      </c>
      <c r="O30" s="82">
        <v>12000</v>
      </c>
      <c r="P30" s="83">
        <f t="shared" si="14"/>
        <v>2280</v>
      </c>
      <c r="Q30" s="83">
        <f t="shared" si="2"/>
        <v>14280</v>
      </c>
      <c r="R30" s="84">
        <f t="shared" si="3"/>
        <v>720000</v>
      </c>
      <c r="S30" s="84">
        <f t="shared" si="4"/>
        <v>856800</v>
      </c>
      <c r="T30" s="85" t="s">
        <v>116</v>
      </c>
      <c r="U30" s="86">
        <v>9900</v>
      </c>
      <c r="V30" s="87">
        <f t="shared" si="19"/>
        <v>1881</v>
      </c>
      <c r="W30" s="87">
        <f t="shared" si="16"/>
        <v>11781</v>
      </c>
      <c r="X30" s="88">
        <f t="shared" si="17"/>
        <v>594000</v>
      </c>
      <c r="Y30" s="88">
        <f t="shared" si="18"/>
        <v>706860</v>
      </c>
      <c r="Z30" s="89">
        <f t="shared" si="8"/>
        <v>13153.466666666667</v>
      </c>
      <c r="AA30" s="89">
        <f t="shared" si="9"/>
        <v>789208</v>
      </c>
      <c r="AB30" s="89">
        <f t="shared" si="10"/>
        <v>76051.334978420986</v>
      </c>
      <c r="AC30" s="90">
        <f t="shared" si="11"/>
        <v>9.6364120711423334E-2</v>
      </c>
      <c r="AD30" s="5"/>
      <c r="BF30" s="7">
        <v>20</v>
      </c>
    </row>
    <row r="31" spans="1:58" s="7" customFormat="1" ht="21" x14ac:dyDescent="0.25">
      <c r="A31" s="138">
        <v>21</v>
      </c>
      <c r="B31" s="107" t="s">
        <v>102</v>
      </c>
      <c r="C31" s="411" t="s">
        <v>117</v>
      </c>
      <c r="D31" s="100" t="s">
        <v>118</v>
      </c>
      <c r="E31" s="112" t="s">
        <v>41</v>
      </c>
      <c r="F31" s="100">
        <v>60</v>
      </c>
      <c r="G31" s="100" t="s">
        <v>42</v>
      </c>
      <c r="H31" s="77" t="s">
        <v>119</v>
      </c>
      <c r="I31" s="78">
        <v>23890.76</v>
      </c>
      <c r="J31" s="79">
        <f t="shared" si="12"/>
        <v>4539.2443999999996</v>
      </c>
      <c r="K31" s="79">
        <f t="shared" si="13"/>
        <v>28430.004399999998</v>
      </c>
      <c r="L31" s="80">
        <f t="shared" si="0"/>
        <v>1433445.5999999999</v>
      </c>
      <c r="M31" s="80">
        <f t="shared" si="1"/>
        <v>1705800.264</v>
      </c>
      <c r="N31" s="81" t="s">
        <v>120</v>
      </c>
      <c r="O31" s="82">
        <v>23109.24</v>
      </c>
      <c r="P31" s="83">
        <f t="shared" si="14"/>
        <v>4390.7556000000004</v>
      </c>
      <c r="Q31" s="83">
        <f t="shared" si="2"/>
        <v>27499.995600000002</v>
      </c>
      <c r="R31" s="84">
        <f t="shared" si="3"/>
        <v>1386554.4000000001</v>
      </c>
      <c r="S31" s="84">
        <f t="shared" si="4"/>
        <v>1649999.736</v>
      </c>
      <c r="T31" s="85" t="s">
        <v>121</v>
      </c>
      <c r="U31" s="86">
        <v>25210.080000000002</v>
      </c>
      <c r="V31" s="87">
        <f t="shared" si="19"/>
        <v>4789.9152000000004</v>
      </c>
      <c r="W31" s="87">
        <f t="shared" si="16"/>
        <v>29999.995200000001</v>
      </c>
      <c r="X31" s="88">
        <f t="shared" si="17"/>
        <v>1512604.8</v>
      </c>
      <c r="Y31" s="88">
        <f t="shared" si="18"/>
        <v>1799999.7120000001</v>
      </c>
      <c r="Z31" s="89">
        <f t="shared" si="8"/>
        <v>28643.331733333336</v>
      </c>
      <c r="AA31" s="89">
        <f t="shared" si="9"/>
        <v>1718599.9040000001</v>
      </c>
      <c r="AB31" s="89">
        <f t="shared" si="10"/>
        <v>75814.716830555713</v>
      </c>
      <c r="AC31" s="90">
        <f t="shared" si="11"/>
        <v>4.4114233134831891E-2</v>
      </c>
      <c r="AD31" s="5"/>
      <c r="BF31" s="7">
        <v>21</v>
      </c>
    </row>
    <row r="32" spans="1:58" s="7" customFormat="1" ht="63" x14ac:dyDescent="0.35">
      <c r="A32" s="138">
        <v>22</v>
      </c>
      <c r="B32" s="107" t="s">
        <v>102</v>
      </c>
      <c r="C32" s="100" t="s">
        <v>122</v>
      </c>
      <c r="D32" s="137" t="s">
        <v>123</v>
      </c>
      <c r="E32" s="112" t="s">
        <v>41</v>
      </c>
      <c r="F32" s="100">
        <v>60</v>
      </c>
      <c r="G32" s="100" t="s">
        <v>42</v>
      </c>
      <c r="H32" s="77" t="s">
        <v>124</v>
      </c>
      <c r="I32" s="101">
        <v>13043</v>
      </c>
      <c r="J32" s="79">
        <f>I32*19%</f>
        <v>2478.17</v>
      </c>
      <c r="K32" s="79">
        <f>I32+J32</f>
        <v>15521.17</v>
      </c>
      <c r="L32" s="80">
        <f t="shared" si="0"/>
        <v>782580</v>
      </c>
      <c r="M32" s="80">
        <f t="shared" si="1"/>
        <v>931270.2</v>
      </c>
      <c r="N32" s="81" t="s">
        <v>125</v>
      </c>
      <c r="O32" s="102">
        <v>14033.61</v>
      </c>
      <c r="P32" s="83">
        <f>O32*19%</f>
        <v>2666.3859000000002</v>
      </c>
      <c r="Q32" s="83">
        <f t="shared" si="2"/>
        <v>16699.995900000002</v>
      </c>
      <c r="R32" s="84">
        <f t="shared" si="3"/>
        <v>842016.60000000009</v>
      </c>
      <c r="S32" s="84">
        <f t="shared" si="4"/>
        <v>1001999.7540000001</v>
      </c>
      <c r="T32" s="85" t="s">
        <v>43</v>
      </c>
      <c r="U32" s="86">
        <v>12092.44</v>
      </c>
      <c r="V32" s="87">
        <f t="shared" si="19"/>
        <v>2297.5636</v>
      </c>
      <c r="W32" s="87">
        <f>U32+V32</f>
        <v>14390.0036</v>
      </c>
      <c r="X32" s="88">
        <f t="shared" si="17"/>
        <v>725546.4</v>
      </c>
      <c r="Y32" s="88">
        <f t="shared" si="18"/>
        <v>863400.21600000001</v>
      </c>
      <c r="Z32" s="89">
        <f t="shared" si="8"/>
        <v>15537.056500000001</v>
      </c>
      <c r="AA32" s="89">
        <f t="shared" si="9"/>
        <v>932223.39</v>
      </c>
      <c r="AB32" s="89">
        <f t="shared" si="10"/>
        <v>69304.685352690547</v>
      </c>
      <c r="AC32" s="90">
        <f t="shared" si="11"/>
        <v>7.434343108757499E-2</v>
      </c>
      <c r="AD32" s="5"/>
      <c r="BF32" s="7">
        <v>22</v>
      </c>
    </row>
    <row r="33" spans="1:58" s="7" customFormat="1" ht="231" x14ac:dyDescent="0.35">
      <c r="A33" s="138">
        <v>23</v>
      </c>
      <c r="B33" s="107" t="s">
        <v>102</v>
      </c>
      <c r="C33" s="100" t="s">
        <v>126</v>
      </c>
      <c r="D33" s="137" t="s">
        <v>127</v>
      </c>
      <c r="E33" s="112" t="s">
        <v>41</v>
      </c>
      <c r="F33" s="100">
        <v>60</v>
      </c>
      <c r="G33" s="100" t="s">
        <v>42</v>
      </c>
      <c r="H33" s="77" t="s">
        <v>128</v>
      </c>
      <c r="I33" s="101">
        <v>17500</v>
      </c>
      <c r="J33" s="79">
        <f t="shared" ref="J33:J40" si="24">I33*19%</f>
        <v>3325</v>
      </c>
      <c r="K33" s="79">
        <f t="shared" ref="K33:K41" si="25">I33+J33</f>
        <v>20825</v>
      </c>
      <c r="L33" s="80">
        <f t="shared" si="0"/>
        <v>1050000</v>
      </c>
      <c r="M33" s="80">
        <f t="shared" si="1"/>
        <v>1249500</v>
      </c>
      <c r="N33" s="81" t="s">
        <v>74</v>
      </c>
      <c r="O33" s="102">
        <v>20000</v>
      </c>
      <c r="P33" s="83">
        <f t="shared" ref="P33:P40" si="26">O33*19%</f>
        <v>3800</v>
      </c>
      <c r="Q33" s="83">
        <f t="shared" si="2"/>
        <v>23800</v>
      </c>
      <c r="R33" s="84">
        <f t="shared" si="3"/>
        <v>1200000</v>
      </c>
      <c r="S33" s="84">
        <f t="shared" si="4"/>
        <v>1428000</v>
      </c>
      <c r="T33" s="85" t="s">
        <v>129</v>
      </c>
      <c r="U33" s="103">
        <v>18000</v>
      </c>
      <c r="V33" s="87"/>
      <c r="W33" s="87">
        <f t="shared" ref="W33:W41" si="27">U33+V33</f>
        <v>18000</v>
      </c>
      <c r="X33" s="88">
        <f t="shared" si="17"/>
        <v>1080000</v>
      </c>
      <c r="Y33" s="88">
        <f t="shared" si="18"/>
        <v>1080000</v>
      </c>
      <c r="Z33" s="89">
        <f t="shared" si="8"/>
        <v>20875</v>
      </c>
      <c r="AA33" s="89">
        <f t="shared" si="9"/>
        <v>1252500</v>
      </c>
      <c r="AB33" s="89">
        <f t="shared" si="10"/>
        <v>174019.3954707348</v>
      </c>
      <c r="AC33" s="90">
        <f t="shared" si="11"/>
        <v>0.13893764109439904</v>
      </c>
      <c r="AD33" s="5"/>
      <c r="BF33" s="7">
        <v>23</v>
      </c>
    </row>
    <row r="34" spans="1:58" s="7" customFormat="1" ht="84" x14ac:dyDescent="0.25">
      <c r="A34" s="138">
        <v>24</v>
      </c>
      <c r="B34" s="107" t="s">
        <v>102</v>
      </c>
      <c r="C34" s="100" t="s">
        <v>61</v>
      </c>
      <c r="D34" s="100" t="s">
        <v>62</v>
      </c>
      <c r="E34" s="107" t="s">
        <v>41</v>
      </c>
      <c r="F34" s="100">
        <v>3</v>
      </c>
      <c r="G34" s="100" t="s">
        <v>42</v>
      </c>
      <c r="H34" s="77" t="s">
        <v>63</v>
      </c>
      <c r="I34" s="101">
        <v>329.41</v>
      </c>
      <c r="J34" s="79">
        <f t="shared" si="24"/>
        <v>62.587900000000005</v>
      </c>
      <c r="K34" s="79">
        <f t="shared" si="25"/>
        <v>391.99790000000002</v>
      </c>
      <c r="L34" s="80">
        <f t="shared" si="0"/>
        <v>988.23</v>
      </c>
      <c r="M34" s="80">
        <f t="shared" si="1"/>
        <v>1175.9937</v>
      </c>
      <c r="N34" s="81" t="s">
        <v>64</v>
      </c>
      <c r="O34" s="102">
        <v>420.17</v>
      </c>
      <c r="P34" s="83">
        <f t="shared" si="26"/>
        <v>79.832300000000004</v>
      </c>
      <c r="Q34" s="83">
        <f t="shared" si="2"/>
        <v>500.00229999999999</v>
      </c>
      <c r="R34" s="84">
        <f t="shared" si="3"/>
        <v>1260.51</v>
      </c>
      <c r="S34" s="84">
        <f t="shared" si="4"/>
        <v>1500.0068999999999</v>
      </c>
      <c r="T34" s="85" t="s">
        <v>65</v>
      </c>
      <c r="U34" s="104">
        <v>495.8</v>
      </c>
      <c r="V34" s="87">
        <f t="shared" ref="V34:V36" si="28">U34*19%</f>
        <v>94.201999999999998</v>
      </c>
      <c r="W34" s="87">
        <f t="shared" si="27"/>
        <v>590.00199999999995</v>
      </c>
      <c r="X34" s="88">
        <f t="shared" si="17"/>
        <v>1487.4</v>
      </c>
      <c r="Y34" s="88">
        <f t="shared" si="18"/>
        <v>1770.0059999999999</v>
      </c>
      <c r="Z34" s="89">
        <f t="shared" si="8"/>
        <v>494.0007333333333</v>
      </c>
      <c r="AA34" s="89">
        <f t="shared" si="9"/>
        <v>1482.0021999999999</v>
      </c>
      <c r="AB34" s="89">
        <f t="shared" si="10"/>
        <v>297.41516446608688</v>
      </c>
      <c r="AC34" s="90">
        <f t="shared" si="11"/>
        <v>0.20068469835340791</v>
      </c>
      <c r="AD34" s="5"/>
      <c r="BF34" s="7">
        <v>24</v>
      </c>
    </row>
    <row r="35" spans="1:58" s="7" customFormat="1" ht="189" x14ac:dyDescent="0.25">
      <c r="A35" s="138">
        <v>25</v>
      </c>
      <c r="B35" s="107" t="s">
        <v>102</v>
      </c>
      <c r="C35" s="411" t="s">
        <v>130</v>
      </c>
      <c r="D35" s="100" t="s">
        <v>131</v>
      </c>
      <c r="E35" s="112" t="s">
        <v>41</v>
      </c>
      <c r="F35" s="100">
        <v>240</v>
      </c>
      <c r="G35" s="100" t="s">
        <v>42</v>
      </c>
      <c r="H35" s="77" t="s">
        <v>132</v>
      </c>
      <c r="I35" s="101">
        <v>8500</v>
      </c>
      <c r="J35" s="79">
        <f t="shared" si="24"/>
        <v>1615</v>
      </c>
      <c r="K35" s="79">
        <f t="shared" si="25"/>
        <v>10115</v>
      </c>
      <c r="L35" s="80">
        <f t="shared" si="0"/>
        <v>2040000</v>
      </c>
      <c r="M35" s="80">
        <f t="shared" si="1"/>
        <v>2427600</v>
      </c>
      <c r="N35" s="81" t="s">
        <v>133</v>
      </c>
      <c r="O35" s="102">
        <v>9900</v>
      </c>
      <c r="P35" s="83">
        <f t="shared" si="26"/>
        <v>1881</v>
      </c>
      <c r="Q35" s="83">
        <f t="shared" si="2"/>
        <v>11781</v>
      </c>
      <c r="R35" s="84">
        <f t="shared" si="3"/>
        <v>2376000</v>
      </c>
      <c r="S35" s="84">
        <f t="shared" si="4"/>
        <v>2827440</v>
      </c>
      <c r="T35" s="85" t="s">
        <v>134</v>
      </c>
      <c r="U35" s="103">
        <v>9900</v>
      </c>
      <c r="V35" s="87">
        <f t="shared" si="28"/>
        <v>1881</v>
      </c>
      <c r="W35" s="87">
        <f t="shared" si="27"/>
        <v>11781</v>
      </c>
      <c r="X35" s="88">
        <f t="shared" si="17"/>
        <v>2376000</v>
      </c>
      <c r="Y35" s="88">
        <f t="shared" si="18"/>
        <v>2827440</v>
      </c>
      <c r="Z35" s="89">
        <f t="shared" si="8"/>
        <v>11225.666666666666</v>
      </c>
      <c r="AA35" s="89">
        <f t="shared" si="9"/>
        <v>2694160</v>
      </c>
      <c r="AB35" s="89">
        <f t="shared" si="10"/>
        <v>230847.73163277996</v>
      </c>
      <c r="AC35" s="90">
        <f t="shared" si="11"/>
        <v>8.5684492247223618E-2</v>
      </c>
      <c r="AD35" s="5"/>
      <c r="BF35" s="7">
        <v>25</v>
      </c>
    </row>
    <row r="36" spans="1:58" s="7" customFormat="1" ht="168" x14ac:dyDescent="0.25">
      <c r="A36" s="138">
        <v>26</v>
      </c>
      <c r="B36" s="107" t="s">
        <v>102</v>
      </c>
      <c r="C36" s="100" t="s">
        <v>135</v>
      </c>
      <c r="D36" s="100" t="s">
        <v>136</v>
      </c>
      <c r="E36" s="107" t="s">
        <v>41</v>
      </c>
      <c r="F36" s="100">
        <v>60</v>
      </c>
      <c r="G36" s="100" t="s">
        <v>42</v>
      </c>
      <c r="H36" s="77" t="s">
        <v>53</v>
      </c>
      <c r="I36" s="101">
        <v>6500</v>
      </c>
      <c r="J36" s="79">
        <f t="shared" si="24"/>
        <v>1235</v>
      </c>
      <c r="K36" s="79">
        <f t="shared" si="25"/>
        <v>7735</v>
      </c>
      <c r="L36" s="80">
        <f t="shared" si="0"/>
        <v>390000</v>
      </c>
      <c r="M36" s="80">
        <f t="shared" si="1"/>
        <v>464100</v>
      </c>
      <c r="N36" s="81" t="s">
        <v>55</v>
      </c>
      <c r="O36" s="102">
        <v>4600</v>
      </c>
      <c r="P36" s="83">
        <f t="shared" si="26"/>
        <v>874</v>
      </c>
      <c r="Q36" s="83">
        <f t="shared" si="2"/>
        <v>5474</v>
      </c>
      <c r="R36" s="84">
        <f t="shared" si="3"/>
        <v>276000</v>
      </c>
      <c r="S36" s="84">
        <f t="shared" si="4"/>
        <v>328440</v>
      </c>
      <c r="T36" s="85" t="s">
        <v>137</v>
      </c>
      <c r="U36" s="104">
        <v>6950</v>
      </c>
      <c r="V36" s="87">
        <f t="shared" si="28"/>
        <v>1320.5</v>
      </c>
      <c r="W36" s="87">
        <f t="shared" si="27"/>
        <v>8270.5</v>
      </c>
      <c r="X36" s="88">
        <f t="shared" si="17"/>
        <v>417000</v>
      </c>
      <c r="Y36" s="88">
        <f t="shared" si="18"/>
        <v>496230</v>
      </c>
      <c r="Z36" s="89">
        <f t="shared" si="8"/>
        <v>7159.833333333333</v>
      </c>
      <c r="AA36" s="89">
        <f t="shared" si="9"/>
        <v>429590</v>
      </c>
      <c r="AB36" s="89">
        <f t="shared" si="10"/>
        <v>89059.39647224205</v>
      </c>
      <c r="AC36" s="90">
        <f t="shared" si="11"/>
        <v>0.2073125456184782</v>
      </c>
      <c r="AD36" s="5"/>
      <c r="BF36" s="7">
        <v>26</v>
      </c>
    </row>
    <row r="37" spans="1:58" s="7" customFormat="1" ht="336" x14ac:dyDescent="0.35">
      <c r="A37" s="138">
        <v>27</v>
      </c>
      <c r="B37" s="107" t="s">
        <v>102</v>
      </c>
      <c r="C37" s="100" t="s">
        <v>78</v>
      </c>
      <c r="D37" s="137" t="s">
        <v>79</v>
      </c>
      <c r="E37" s="111" t="s">
        <v>41</v>
      </c>
      <c r="F37" s="100">
        <v>60</v>
      </c>
      <c r="G37" s="100" t="s">
        <v>42</v>
      </c>
      <c r="H37" s="77" t="s">
        <v>75</v>
      </c>
      <c r="I37" s="78">
        <v>15000</v>
      </c>
      <c r="J37" s="79"/>
      <c r="K37" s="79">
        <f t="shared" si="25"/>
        <v>15000</v>
      </c>
      <c r="L37" s="80">
        <f t="shared" si="0"/>
        <v>900000</v>
      </c>
      <c r="M37" s="80">
        <f t="shared" si="1"/>
        <v>900000</v>
      </c>
      <c r="N37" s="102" t="s">
        <v>80</v>
      </c>
      <c r="O37" s="102">
        <v>12000</v>
      </c>
      <c r="P37" s="83">
        <f t="shared" si="26"/>
        <v>2280</v>
      </c>
      <c r="Q37" s="83">
        <f t="shared" si="2"/>
        <v>14280</v>
      </c>
      <c r="R37" s="84">
        <f t="shared" si="3"/>
        <v>720000</v>
      </c>
      <c r="S37" s="84">
        <f t="shared" si="4"/>
        <v>856800</v>
      </c>
      <c r="T37" s="85"/>
      <c r="U37" s="104"/>
      <c r="V37" s="87"/>
      <c r="W37" s="87"/>
      <c r="X37" s="88"/>
      <c r="Y37" s="88"/>
      <c r="Z37" s="89">
        <f t="shared" si="8"/>
        <v>14640</v>
      </c>
      <c r="AA37" s="89">
        <f t="shared" si="9"/>
        <v>878400</v>
      </c>
      <c r="AB37" s="89">
        <f t="shared" si="10"/>
        <v>30547.012947258852</v>
      </c>
      <c r="AC37" s="90">
        <f t="shared" si="11"/>
        <v>3.4775743337043322E-2</v>
      </c>
      <c r="AD37" s="5"/>
      <c r="BF37" s="7">
        <v>27</v>
      </c>
    </row>
    <row r="38" spans="1:58" s="7" customFormat="1" ht="105" x14ac:dyDescent="0.35">
      <c r="A38" s="138">
        <v>28</v>
      </c>
      <c r="B38" s="107" t="s">
        <v>102</v>
      </c>
      <c r="C38" s="100" t="s">
        <v>81</v>
      </c>
      <c r="D38" s="137" t="s">
        <v>82</v>
      </c>
      <c r="E38" s="107" t="s">
        <v>41</v>
      </c>
      <c r="F38" s="100">
        <v>60</v>
      </c>
      <c r="G38" s="100" t="s">
        <v>42</v>
      </c>
      <c r="H38" s="77" t="s">
        <v>48</v>
      </c>
      <c r="I38" s="78">
        <v>2200</v>
      </c>
      <c r="J38" s="79">
        <f t="shared" si="24"/>
        <v>418</v>
      </c>
      <c r="K38" s="79">
        <f t="shared" si="25"/>
        <v>2618</v>
      </c>
      <c r="L38" s="80">
        <f t="shared" si="0"/>
        <v>132000</v>
      </c>
      <c r="M38" s="80">
        <f t="shared" si="1"/>
        <v>157080</v>
      </c>
      <c r="N38" s="102" t="s">
        <v>83</v>
      </c>
      <c r="O38" s="102">
        <v>2689.08</v>
      </c>
      <c r="P38" s="83">
        <f t="shared" si="26"/>
        <v>510.92520000000002</v>
      </c>
      <c r="Q38" s="83">
        <f t="shared" si="2"/>
        <v>3200.0052000000001</v>
      </c>
      <c r="R38" s="84">
        <f t="shared" si="3"/>
        <v>161344.79999999999</v>
      </c>
      <c r="S38" s="84">
        <f t="shared" si="4"/>
        <v>192000.31200000001</v>
      </c>
      <c r="T38" s="85" t="s">
        <v>84</v>
      </c>
      <c r="U38" s="105">
        <v>3800</v>
      </c>
      <c r="V38" s="87"/>
      <c r="W38" s="87">
        <f t="shared" si="27"/>
        <v>3800</v>
      </c>
      <c r="X38" s="88">
        <f>IF(B38="","",(U38*F38))</f>
        <v>228000</v>
      </c>
      <c r="Y38" s="88">
        <f>IF(B38="","",(W38*F38))</f>
        <v>228000</v>
      </c>
      <c r="Z38" s="89">
        <f t="shared" si="8"/>
        <v>3206.001733333333</v>
      </c>
      <c r="AA38" s="89">
        <f t="shared" si="9"/>
        <v>192360.10399999999</v>
      </c>
      <c r="AB38" s="89">
        <f t="shared" si="10"/>
        <v>35461.368948652285</v>
      </c>
      <c r="AC38" s="90">
        <f t="shared" si="11"/>
        <v>0.18434887594286331</v>
      </c>
      <c r="AD38" s="5"/>
      <c r="BF38" s="7">
        <v>28</v>
      </c>
    </row>
    <row r="39" spans="1:58" s="7" customFormat="1" ht="189" x14ac:dyDescent="0.35">
      <c r="A39" s="138">
        <v>29</v>
      </c>
      <c r="B39" s="107" t="s">
        <v>102</v>
      </c>
      <c r="C39" s="100" t="s">
        <v>85</v>
      </c>
      <c r="D39" s="137" t="s">
        <v>86</v>
      </c>
      <c r="E39" s="107" t="s">
        <v>87</v>
      </c>
      <c r="F39" s="100">
        <v>108</v>
      </c>
      <c r="G39" s="100" t="s">
        <v>88</v>
      </c>
      <c r="H39" s="77" t="s">
        <v>89</v>
      </c>
      <c r="I39" s="78">
        <v>302522</v>
      </c>
      <c r="J39" s="79">
        <f t="shared" si="24"/>
        <v>57479.18</v>
      </c>
      <c r="K39" s="79">
        <f t="shared" si="25"/>
        <v>360001.18</v>
      </c>
      <c r="L39" s="80">
        <f t="shared" si="0"/>
        <v>32672376</v>
      </c>
      <c r="M39" s="80">
        <f t="shared" si="1"/>
        <v>38880127.439999998</v>
      </c>
      <c r="N39" s="81" t="s">
        <v>90</v>
      </c>
      <c r="O39" s="82">
        <v>252101</v>
      </c>
      <c r="P39" s="83">
        <f t="shared" si="26"/>
        <v>47899.19</v>
      </c>
      <c r="Q39" s="83">
        <f t="shared" si="2"/>
        <v>300000.19</v>
      </c>
      <c r="R39" s="84">
        <f t="shared" si="3"/>
        <v>27226908</v>
      </c>
      <c r="S39" s="84">
        <f t="shared" si="4"/>
        <v>32400020.52</v>
      </c>
      <c r="T39" s="85"/>
      <c r="U39" s="104"/>
      <c r="V39" s="87"/>
      <c r="W39" s="87"/>
      <c r="X39" s="88"/>
      <c r="Y39" s="88"/>
      <c r="Z39" s="89">
        <f t="shared" si="8"/>
        <v>330000.685</v>
      </c>
      <c r="AA39" s="89">
        <f t="shared" si="9"/>
        <v>35640073.979999997</v>
      </c>
      <c r="AB39" s="89">
        <f t="shared" si="10"/>
        <v>4582127.5459458707</v>
      </c>
      <c r="AC39" s="90">
        <f t="shared" si="11"/>
        <v>0.1285667237536377</v>
      </c>
      <c r="AD39" s="5"/>
      <c r="BF39" s="7">
        <v>29</v>
      </c>
    </row>
    <row r="40" spans="1:58" s="7" customFormat="1" ht="189" x14ac:dyDescent="0.35">
      <c r="A40" s="138">
        <v>30</v>
      </c>
      <c r="B40" s="107" t="s">
        <v>102</v>
      </c>
      <c r="C40" s="100" t="s">
        <v>91</v>
      </c>
      <c r="D40" s="137" t="s">
        <v>92</v>
      </c>
      <c r="E40" s="107" t="s">
        <v>87</v>
      </c>
      <c r="F40" s="100">
        <v>5</v>
      </c>
      <c r="G40" s="100" t="s">
        <v>88</v>
      </c>
      <c r="H40" s="77" t="s">
        <v>89</v>
      </c>
      <c r="I40" s="78">
        <v>302522</v>
      </c>
      <c r="J40" s="79">
        <f t="shared" si="24"/>
        <v>57479.18</v>
      </c>
      <c r="K40" s="79">
        <f t="shared" si="25"/>
        <v>360001.18</v>
      </c>
      <c r="L40" s="80">
        <f t="shared" si="0"/>
        <v>1512610</v>
      </c>
      <c r="M40" s="80">
        <f t="shared" si="1"/>
        <v>1800005.9</v>
      </c>
      <c r="N40" s="81" t="s">
        <v>90</v>
      </c>
      <c r="O40" s="82">
        <v>252101</v>
      </c>
      <c r="P40" s="83">
        <f t="shared" si="26"/>
        <v>47899.19</v>
      </c>
      <c r="Q40" s="83">
        <f t="shared" si="2"/>
        <v>300000.19</v>
      </c>
      <c r="R40" s="84">
        <f t="shared" si="3"/>
        <v>1260505</v>
      </c>
      <c r="S40" s="84">
        <f t="shared" si="4"/>
        <v>1500000.95</v>
      </c>
      <c r="T40" s="85"/>
      <c r="U40" s="104"/>
      <c r="V40" s="87"/>
      <c r="W40" s="87"/>
      <c r="X40" s="88"/>
      <c r="Y40" s="88"/>
      <c r="Z40" s="89">
        <f t="shared" si="8"/>
        <v>330000.685</v>
      </c>
      <c r="AA40" s="89">
        <f t="shared" si="9"/>
        <v>1650003.425</v>
      </c>
      <c r="AB40" s="89">
        <f t="shared" si="10"/>
        <v>212135.53453453109</v>
      </c>
      <c r="AC40" s="90">
        <f t="shared" si="11"/>
        <v>0.1285667237536377</v>
      </c>
      <c r="AD40" s="5"/>
      <c r="BF40" s="7">
        <v>30</v>
      </c>
    </row>
    <row r="41" spans="1:58" s="7" customFormat="1" ht="409.5" x14ac:dyDescent="0.35">
      <c r="A41" s="138">
        <v>31</v>
      </c>
      <c r="B41" s="107" t="s">
        <v>102</v>
      </c>
      <c r="C41" s="100" t="s">
        <v>93</v>
      </c>
      <c r="D41" s="137" t="s">
        <v>94</v>
      </c>
      <c r="E41" s="107" t="s">
        <v>41</v>
      </c>
      <c r="F41" s="100">
        <v>540</v>
      </c>
      <c r="G41" s="100" t="s">
        <v>42</v>
      </c>
      <c r="H41" s="77" t="s">
        <v>95</v>
      </c>
      <c r="I41" s="78">
        <v>11700</v>
      </c>
      <c r="J41" s="79">
        <f>I41*8%</f>
        <v>936</v>
      </c>
      <c r="K41" s="79">
        <f t="shared" si="25"/>
        <v>12636</v>
      </c>
      <c r="L41" s="80">
        <f t="shared" si="0"/>
        <v>6318000</v>
      </c>
      <c r="M41" s="80">
        <f t="shared" si="1"/>
        <v>6823440</v>
      </c>
      <c r="N41" s="81" t="s">
        <v>50</v>
      </c>
      <c r="O41" s="82">
        <v>8570</v>
      </c>
      <c r="P41" s="83">
        <f>O41*8%</f>
        <v>685.6</v>
      </c>
      <c r="Q41" s="83">
        <f t="shared" si="2"/>
        <v>9255.6</v>
      </c>
      <c r="R41" s="84">
        <f t="shared" si="3"/>
        <v>4627800</v>
      </c>
      <c r="S41" s="84">
        <f t="shared" si="4"/>
        <v>4998024</v>
      </c>
      <c r="T41" s="85" t="s">
        <v>96</v>
      </c>
      <c r="U41" s="86">
        <v>13871</v>
      </c>
      <c r="V41" s="87"/>
      <c r="W41" s="87">
        <f t="shared" si="27"/>
        <v>13871</v>
      </c>
      <c r="X41" s="88">
        <f>IF(B41="","",(U41*F41))</f>
        <v>7490340</v>
      </c>
      <c r="Y41" s="88">
        <f>IF(B41="","",(W41*F41))</f>
        <v>7490340</v>
      </c>
      <c r="Z41" s="89">
        <f t="shared" si="8"/>
        <v>11920.866666666667</v>
      </c>
      <c r="AA41" s="89">
        <f t="shared" si="9"/>
        <v>6437268</v>
      </c>
      <c r="AB41" s="89">
        <f t="shared" si="10"/>
        <v>1290254.3823417148</v>
      </c>
      <c r="AC41" s="90">
        <f t="shared" si="11"/>
        <v>0.20043508866520934</v>
      </c>
      <c r="AD41" s="5"/>
      <c r="BF41" s="7">
        <v>31</v>
      </c>
    </row>
    <row r="42" spans="1:58" s="7" customFormat="1" ht="409.5" x14ac:dyDescent="0.25">
      <c r="A42" s="138">
        <v>32</v>
      </c>
      <c r="B42" s="100" t="s">
        <v>102</v>
      </c>
      <c r="C42" s="100" t="s">
        <v>97</v>
      </c>
      <c r="D42" s="100" t="s">
        <v>98</v>
      </c>
      <c r="E42" s="107" t="s">
        <v>41</v>
      </c>
      <c r="F42" s="100">
        <v>65</v>
      </c>
      <c r="G42" s="100" t="s">
        <v>42</v>
      </c>
      <c r="H42" s="77" t="s">
        <v>99</v>
      </c>
      <c r="I42" s="101">
        <v>21600</v>
      </c>
      <c r="J42" s="79">
        <f>I42*8%</f>
        <v>1728</v>
      </c>
      <c r="K42" s="79">
        <f t="shared" si="13"/>
        <v>23328</v>
      </c>
      <c r="L42" s="80">
        <f t="shared" si="0"/>
        <v>1404000</v>
      </c>
      <c r="M42" s="80">
        <f t="shared" si="1"/>
        <v>1516320</v>
      </c>
      <c r="N42" s="81" t="s">
        <v>100</v>
      </c>
      <c r="O42" s="82">
        <v>25000</v>
      </c>
      <c r="P42" s="83">
        <f>O42*8%</f>
        <v>2000</v>
      </c>
      <c r="Q42" s="83">
        <f t="shared" si="2"/>
        <v>27000</v>
      </c>
      <c r="R42" s="84">
        <f t="shared" si="3"/>
        <v>1625000</v>
      </c>
      <c r="S42" s="84">
        <f t="shared" si="4"/>
        <v>1755000</v>
      </c>
      <c r="T42" s="85" t="s">
        <v>101</v>
      </c>
      <c r="U42" s="410">
        <v>26824</v>
      </c>
      <c r="V42" s="87">
        <f>U42*8%</f>
        <v>2145.92</v>
      </c>
      <c r="W42" s="87">
        <f t="shared" si="16"/>
        <v>28969.919999999998</v>
      </c>
      <c r="X42" s="88">
        <f>IF(B42="","",(U42*F42))</f>
        <v>1743560</v>
      </c>
      <c r="Y42" s="88">
        <f>IF(B42="","",(W42*F42))</f>
        <v>1883044.7999999998</v>
      </c>
      <c r="Z42" s="89">
        <f t="shared" si="8"/>
        <v>26432.639999999999</v>
      </c>
      <c r="AA42" s="89">
        <f t="shared" si="9"/>
        <v>1718121.5999999999</v>
      </c>
      <c r="AB42" s="89">
        <f t="shared" si="10"/>
        <v>186123.02926741756</v>
      </c>
      <c r="AC42" s="90">
        <f t="shared" si="11"/>
        <v>0.10832936927596834</v>
      </c>
      <c r="AD42" s="5"/>
      <c r="BF42" s="7">
        <v>32</v>
      </c>
    </row>
    <row r="43" spans="1:58" s="7" customFormat="1" ht="409.5" x14ac:dyDescent="0.35">
      <c r="A43" s="138">
        <v>33</v>
      </c>
      <c r="B43" s="107" t="s">
        <v>138</v>
      </c>
      <c r="C43" s="100" t="s">
        <v>93</v>
      </c>
      <c r="D43" s="137" t="s">
        <v>94</v>
      </c>
      <c r="E43" s="100" t="s">
        <v>41</v>
      </c>
      <c r="F43" s="100">
        <v>550</v>
      </c>
      <c r="G43" s="100" t="s">
        <v>42</v>
      </c>
      <c r="H43" s="77" t="s">
        <v>95</v>
      </c>
      <c r="I43" s="78">
        <v>11700</v>
      </c>
      <c r="J43" s="79">
        <f>I43*8%</f>
        <v>936</v>
      </c>
      <c r="K43" s="79">
        <f t="shared" si="13"/>
        <v>12636</v>
      </c>
      <c r="L43" s="80">
        <f t="shared" si="0"/>
        <v>6435000</v>
      </c>
      <c r="M43" s="80">
        <f t="shared" si="1"/>
        <v>6949800</v>
      </c>
      <c r="N43" s="81" t="s">
        <v>50</v>
      </c>
      <c r="O43" s="82">
        <v>8570</v>
      </c>
      <c r="P43" s="83">
        <f>O43*8%</f>
        <v>685.6</v>
      </c>
      <c r="Q43" s="83">
        <f t="shared" si="2"/>
        <v>9255.6</v>
      </c>
      <c r="R43" s="84">
        <f t="shared" si="3"/>
        <v>4713500</v>
      </c>
      <c r="S43" s="84">
        <f t="shared" si="4"/>
        <v>5090580</v>
      </c>
      <c r="T43" s="85" t="s">
        <v>96</v>
      </c>
      <c r="U43" s="86">
        <v>13871</v>
      </c>
      <c r="V43" s="87"/>
      <c r="W43" s="87">
        <f t="shared" si="16"/>
        <v>13871</v>
      </c>
      <c r="X43" s="88">
        <f>IF(B43="","",(U43*F43))</f>
        <v>7629050</v>
      </c>
      <c r="Y43" s="88">
        <f>IF(B43="","",(W43*F43))</f>
        <v>7629050</v>
      </c>
      <c r="Z43" s="89">
        <f t="shared" si="8"/>
        <v>11920.866666666667</v>
      </c>
      <c r="AA43" s="89">
        <f t="shared" si="9"/>
        <v>6556476.666666667</v>
      </c>
      <c r="AB43" s="89">
        <f t="shared" si="10"/>
        <v>1314147.9820147105</v>
      </c>
      <c r="AC43" s="90">
        <f t="shared" si="11"/>
        <v>0.20043508866520948</v>
      </c>
      <c r="AD43" s="5"/>
      <c r="BF43" s="7">
        <v>33</v>
      </c>
    </row>
    <row r="44" spans="1:58" s="7" customFormat="1" ht="189.75" thickBot="1" x14ac:dyDescent="0.4">
      <c r="A44" s="138">
        <v>34</v>
      </c>
      <c r="B44" s="107" t="s">
        <v>138</v>
      </c>
      <c r="C44" s="100" t="s">
        <v>85</v>
      </c>
      <c r="D44" s="137" t="s">
        <v>86</v>
      </c>
      <c r="E44" s="100" t="s">
        <v>87</v>
      </c>
      <c r="F44" s="100">
        <v>108</v>
      </c>
      <c r="G44" s="100" t="s">
        <v>88</v>
      </c>
      <c r="H44" s="77" t="s">
        <v>89</v>
      </c>
      <c r="I44" s="78">
        <v>302522</v>
      </c>
      <c r="J44" s="79">
        <f t="shared" si="12"/>
        <v>57479.18</v>
      </c>
      <c r="K44" s="79">
        <f t="shared" si="13"/>
        <v>360001.18</v>
      </c>
      <c r="L44" s="80">
        <f t="shared" si="0"/>
        <v>32672376</v>
      </c>
      <c r="M44" s="80">
        <f t="shared" si="1"/>
        <v>38880127.439999998</v>
      </c>
      <c r="N44" s="81" t="s">
        <v>90</v>
      </c>
      <c r="O44" s="82">
        <v>252101</v>
      </c>
      <c r="P44" s="83">
        <f t="shared" si="14"/>
        <v>47899.19</v>
      </c>
      <c r="Q44" s="83">
        <f t="shared" si="2"/>
        <v>300000.19</v>
      </c>
      <c r="R44" s="84">
        <f t="shared" si="3"/>
        <v>27226908</v>
      </c>
      <c r="S44" s="84">
        <f t="shared" si="4"/>
        <v>32400020.52</v>
      </c>
      <c r="T44" s="85"/>
      <c r="U44" s="104"/>
      <c r="V44" s="87"/>
      <c r="W44" s="87"/>
      <c r="X44" s="88"/>
      <c r="Y44" s="88"/>
      <c r="Z44" s="89">
        <f t="shared" si="8"/>
        <v>330000.685</v>
      </c>
      <c r="AA44" s="89">
        <f t="shared" si="9"/>
        <v>35640073.979999997</v>
      </c>
      <c r="AB44" s="89">
        <f t="shared" si="10"/>
        <v>4582127.5459458707</v>
      </c>
      <c r="AC44" s="90">
        <f t="shared" si="11"/>
        <v>0.1285667237536377</v>
      </c>
      <c r="AD44" s="5"/>
      <c r="BF44" s="7">
        <v>34</v>
      </c>
    </row>
    <row r="45" spans="1:58" s="7" customFormat="1" ht="189.75" thickBot="1" x14ac:dyDescent="0.4">
      <c r="A45" s="138">
        <v>35</v>
      </c>
      <c r="B45" s="107" t="s">
        <v>138</v>
      </c>
      <c r="C45" s="100" t="s">
        <v>91</v>
      </c>
      <c r="D45" s="137" t="s">
        <v>92</v>
      </c>
      <c r="E45" s="412" t="s">
        <v>87</v>
      </c>
      <c r="F45" s="412">
        <v>5</v>
      </c>
      <c r="G45" s="100" t="s">
        <v>88</v>
      </c>
      <c r="H45" s="77" t="s">
        <v>89</v>
      </c>
      <c r="I45" s="78">
        <v>302522</v>
      </c>
      <c r="J45" s="79">
        <f t="shared" si="12"/>
        <v>57479.18</v>
      </c>
      <c r="K45" s="79">
        <f t="shared" si="13"/>
        <v>360001.18</v>
      </c>
      <c r="L45" s="80">
        <f t="shared" si="0"/>
        <v>1512610</v>
      </c>
      <c r="M45" s="80">
        <f t="shared" si="1"/>
        <v>1800005.9</v>
      </c>
      <c r="N45" s="81" t="s">
        <v>90</v>
      </c>
      <c r="O45" s="82">
        <v>252101</v>
      </c>
      <c r="P45" s="83">
        <f t="shared" si="14"/>
        <v>47899.19</v>
      </c>
      <c r="Q45" s="83">
        <f t="shared" si="2"/>
        <v>300000.19</v>
      </c>
      <c r="R45" s="84">
        <f t="shared" si="3"/>
        <v>1260505</v>
      </c>
      <c r="S45" s="84">
        <f t="shared" si="4"/>
        <v>1500000.95</v>
      </c>
      <c r="T45" s="85"/>
      <c r="U45" s="86"/>
      <c r="V45" s="87"/>
      <c r="W45" s="87"/>
      <c r="X45" s="88"/>
      <c r="Y45" s="88"/>
      <c r="Z45" s="89">
        <f t="shared" si="8"/>
        <v>330000.685</v>
      </c>
      <c r="AA45" s="89">
        <f t="shared" si="9"/>
        <v>1650003.425</v>
      </c>
      <c r="AB45" s="89">
        <f t="shared" si="10"/>
        <v>212135.53453453109</v>
      </c>
      <c r="AC45" s="90">
        <f t="shared" si="11"/>
        <v>0.1285667237536377</v>
      </c>
      <c r="AD45" s="5"/>
      <c r="BF45" s="7">
        <v>35</v>
      </c>
    </row>
    <row r="46" spans="1:58" s="7" customFormat="1" ht="409.5" x14ac:dyDescent="0.25">
      <c r="A46" s="138">
        <v>36</v>
      </c>
      <c r="B46" s="109" t="s">
        <v>138</v>
      </c>
      <c r="C46" s="100" t="s">
        <v>97</v>
      </c>
      <c r="D46" s="100" t="s">
        <v>98</v>
      </c>
      <c r="E46" s="109" t="s">
        <v>41</v>
      </c>
      <c r="F46" s="413">
        <v>65</v>
      </c>
      <c r="G46" s="413" t="s">
        <v>42</v>
      </c>
      <c r="H46" s="77" t="s">
        <v>99</v>
      </c>
      <c r="I46" s="101">
        <v>21600</v>
      </c>
      <c r="J46" s="79">
        <f>I46*8%</f>
        <v>1728</v>
      </c>
      <c r="K46" s="79">
        <f t="shared" si="13"/>
        <v>23328</v>
      </c>
      <c r="L46" s="80">
        <f t="shared" si="0"/>
        <v>1404000</v>
      </c>
      <c r="M46" s="80">
        <f t="shared" si="1"/>
        <v>1516320</v>
      </c>
      <c r="N46" s="81" t="s">
        <v>100</v>
      </c>
      <c r="O46" s="82">
        <v>25000</v>
      </c>
      <c r="P46" s="83">
        <f>O46*8%</f>
        <v>2000</v>
      </c>
      <c r="Q46" s="83">
        <f t="shared" si="2"/>
        <v>27000</v>
      </c>
      <c r="R46" s="84">
        <f t="shared" si="3"/>
        <v>1625000</v>
      </c>
      <c r="S46" s="84">
        <f t="shared" si="4"/>
        <v>1755000</v>
      </c>
      <c r="T46" s="85" t="s">
        <v>101</v>
      </c>
      <c r="U46" s="410">
        <v>26824</v>
      </c>
      <c r="V46" s="87">
        <f>U46*8%</f>
        <v>2145.92</v>
      </c>
      <c r="W46" s="87">
        <f t="shared" si="16"/>
        <v>28969.919999999998</v>
      </c>
      <c r="X46" s="88">
        <f>IF(B46="","",(U46*F46))</f>
        <v>1743560</v>
      </c>
      <c r="Y46" s="88">
        <f>IF(B46="","",(W46*F46))</f>
        <v>1883044.7999999998</v>
      </c>
      <c r="Z46" s="89">
        <f t="shared" si="8"/>
        <v>26432.639999999999</v>
      </c>
      <c r="AA46" s="89">
        <f t="shared" si="9"/>
        <v>1718121.5999999999</v>
      </c>
      <c r="AB46" s="89">
        <f t="shared" si="10"/>
        <v>186123.02926741756</v>
      </c>
      <c r="AC46" s="90">
        <f t="shared" si="11"/>
        <v>0.10832936927596834</v>
      </c>
      <c r="AD46" s="5"/>
      <c r="BF46" s="7">
        <v>36</v>
      </c>
    </row>
    <row r="47" spans="1:58" s="7" customFormat="1" ht="63" x14ac:dyDescent="0.25">
      <c r="A47" s="138">
        <v>37</v>
      </c>
      <c r="B47" s="109" t="s">
        <v>138</v>
      </c>
      <c r="C47" s="100" t="s">
        <v>139</v>
      </c>
      <c r="D47" s="100" t="s">
        <v>140</v>
      </c>
      <c r="E47" s="107" t="s">
        <v>141</v>
      </c>
      <c r="F47" s="100">
        <v>25</v>
      </c>
      <c r="G47" s="100" t="s">
        <v>42</v>
      </c>
      <c r="H47" s="77" t="s">
        <v>43</v>
      </c>
      <c r="I47" s="101">
        <v>13277.31</v>
      </c>
      <c r="J47" s="79">
        <f t="shared" si="12"/>
        <v>2522.6889000000001</v>
      </c>
      <c r="K47" s="79">
        <f t="shared" si="13"/>
        <v>15799.998899999999</v>
      </c>
      <c r="L47" s="80">
        <f t="shared" si="0"/>
        <v>331932.75</v>
      </c>
      <c r="M47" s="80">
        <f t="shared" si="1"/>
        <v>394999.97249999997</v>
      </c>
      <c r="N47" s="81" t="s">
        <v>142</v>
      </c>
      <c r="O47" s="102">
        <v>16369.75</v>
      </c>
      <c r="P47" s="83">
        <f>O47*19%</f>
        <v>3110.2525000000001</v>
      </c>
      <c r="Q47" s="83">
        <f t="shared" si="2"/>
        <v>19480.002499999999</v>
      </c>
      <c r="R47" s="84">
        <f t="shared" si="3"/>
        <v>409243.75</v>
      </c>
      <c r="S47" s="84">
        <f t="shared" si="4"/>
        <v>487000.06249999994</v>
      </c>
      <c r="T47" s="85" t="s">
        <v>143</v>
      </c>
      <c r="U47" s="104">
        <v>14621.85</v>
      </c>
      <c r="V47" s="87">
        <f t="shared" si="19"/>
        <v>2778.1514999999999</v>
      </c>
      <c r="W47" s="87">
        <f t="shared" si="16"/>
        <v>17400.001499999998</v>
      </c>
      <c r="X47" s="88">
        <f>IF(B47="","",(U47*F47))</f>
        <v>365546.25</v>
      </c>
      <c r="Y47" s="88">
        <f>IF(B47="","",(W47*F47))</f>
        <v>435000.03749999998</v>
      </c>
      <c r="Z47" s="89">
        <f t="shared" si="8"/>
        <v>17560.000966666663</v>
      </c>
      <c r="AA47" s="89">
        <f t="shared" si="9"/>
        <v>439000.02416666655</v>
      </c>
      <c r="AB47" s="89">
        <f t="shared" si="10"/>
        <v>46130.294384516521</v>
      </c>
      <c r="AC47" s="90">
        <f t="shared" si="11"/>
        <v>0.10508039144663722</v>
      </c>
      <c r="AD47" s="5"/>
      <c r="BF47" s="7">
        <v>37</v>
      </c>
    </row>
    <row r="48" spans="1:58" s="7" customFormat="1" ht="210.75" thickBot="1" x14ac:dyDescent="0.4">
      <c r="A48" s="138">
        <v>38</v>
      </c>
      <c r="B48" s="109" t="s">
        <v>138</v>
      </c>
      <c r="C48" s="414" t="s">
        <v>144</v>
      </c>
      <c r="D48" s="135" t="s">
        <v>145</v>
      </c>
      <c r="E48" s="109" t="s">
        <v>41</v>
      </c>
      <c r="F48" s="413">
        <v>60</v>
      </c>
      <c r="G48" s="413" t="s">
        <v>42</v>
      </c>
      <c r="H48" s="77" t="s">
        <v>48</v>
      </c>
      <c r="I48" s="78">
        <v>40250</v>
      </c>
      <c r="J48" s="79">
        <f t="shared" si="12"/>
        <v>7647.5</v>
      </c>
      <c r="K48" s="79">
        <f t="shared" si="13"/>
        <v>47897.5</v>
      </c>
      <c r="L48" s="80">
        <f t="shared" si="0"/>
        <v>2415000</v>
      </c>
      <c r="M48" s="80">
        <f t="shared" si="1"/>
        <v>2873850</v>
      </c>
      <c r="N48" s="81" t="s">
        <v>53</v>
      </c>
      <c r="O48" s="82">
        <v>41000</v>
      </c>
      <c r="P48" s="83">
        <f t="shared" si="14"/>
        <v>7790</v>
      </c>
      <c r="Q48" s="83">
        <f t="shared" si="2"/>
        <v>48790</v>
      </c>
      <c r="R48" s="84">
        <f t="shared" si="3"/>
        <v>2460000</v>
      </c>
      <c r="S48" s="84">
        <f t="shared" si="4"/>
        <v>2927400</v>
      </c>
      <c r="T48" s="85"/>
      <c r="U48" s="86"/>
      <c r="V48" s="87"/>
      <c r="W48" s="87"/>
      <c r="X48" s="88"/>
      <c r="Y48" s="88"/>
      <c r="Z48" s="89">
        <f t="shared" si="8"/>
        <v>48343.75</v>
      </c>
      <c r="AA48" s="89">
        <f t="shared" si="9"/>
        <v>2900625</v>
      </c>
      <c r="AB48" s="89">
        <f t="shared" si="10"/>
        <v>37865.568132539622</v>
      </c>
      <c r="AC48" s="90">
        <f t="shared" si="11"/>
        <v>1.3054279037290109E-2</v>
      </c>
      <c r="AD48" s="5"/>
      <c r="BF48" s="7">
        <v>38</v>
      </c>
    </row>
    <row r="49" spans="1:58" s="7" customFormat="1" ht="63" x14ac:dyDescent="0.35">
      <c r="A49" s="138">
        <v>39</v>
      </c>
      <c r="B49" s="109" t="s">
        <v>138</v>
      </c>
      <c r="C49" s="100" t="s">
        <v>39</v>
      </c>
      <c r="D49" s="137" t="s">
        <v>40</v>
      </c>
      <c r="E49" s="109" t="s">
        <v>41</v>
      </c>
      <c r="F49" s="413">
        <v>60</v>
      </c>
      <c r="G49" s="100" t="s">
        <v>42</v>
      </c>
      <c r="H49" s="77" t="s">
        <v>43</v>
      </c>
      <c r="I49" s="101">
        <v>5033.6099999999997</v>
      </c>
      <c r="J49" s="79">
        <f t="shared" si="12"/>
        <v>956.38589999999999</v>
      </c>
      <c r="K49" s="79">
        <f t="shared" si="13"/>
        <v>5989.9958999999999</v>
      </c>
      <c r="L49" s="80">
        <f t="shared" si="0"/>
        <v>302016.59999999998</v>
      </c>
      <c r="M49" s="80">
        <f t="shared" si="1"/>
        <v>359399.75400000002</v>
      </c>
      <c r="N49" s="81" t="s">
        <v>44</v>
      </c>
      <c r="O49" s="102">
        <v>5462.18</v>
      </c>
      <c r="P49" s="83">
        <f t="shared" si="14"/>
        <v>1037.8142</v>
      </c>
      <c r="Q49" s="83">
        <f t="shared" si="2"/>
        <v>6499.9942000000001</v>
      </c>
      <c r="R49" s="84">
        <f t="shared" si="3"/>
        <v>327730.80000000005</v>
      </c>
      <c r="S49" s="84">
        <f t="shared" si="4"/>
        <v>389999.652</v>
      </c>
      <c r="T49" s="85" t="s">
        <v>45</v>
      </c>
      <c r="U49" s="86">
        <v>4201.68</v>
      </c>
      <c r="V49" s="87">
        <f t="shared" ref="V49" si="29">U49*19%</f>
        <v>798.31920000000002</v>
      </c>
      <c r="W49" s="87">
        <f t="shared" ref="W49" si="30">U49+V49</f>
        <v>4999.9992000000002</v>
      </c>
      <c r="X49" s="88">
        <f t="shared" ref="X49:X56" si="31">IF(B49="","",(U49*F49))</f>
        <v>252100.80000000002</v>
      </c>
      <c r="Y49" s="88">
        <f t="shared" ref="Y49:Y56" si="32">IF(B49="","",(W49*F49))</f>
        <v>299999.95199999999</v>
      </c>
      <c r="Z49" s="89">
        <f t="shared" si="8"/>
        <v>5829.9964333333337</v>
      </c>
      <c r="AA49" s="89">
        <f t="shared" si="9"/>
        <v>349799.78600000002</v>
      </c>
      <c r="AB49" s="89">
        <f t="shared" si="10"/>
        <v>45761.403379083953</v>
      </c>
      <c r="AC49" s="90">
        <f t="shared" si="11"/>
        <v>0.13082170204381985</v>
      </c>
      <c r="AD49" s="5"/>
      <c r="BF49" s="7">
        <v>39</v>
      </c>
    </row>
    <row r="50" spans="1:58" s="7" customFormat="1" ht="105" x14ac:dyDescent="0.35">
      <c r="A50" s="138">
        <v>40</v>
      </c>
      <c r="B50" s="109" t="s">
        <v>138</v>
      </c>
      <c r="C50" s="100" t="s">
        <v>46</v>
      </c>
      <c r="D50" s="137" t="s">
        <v>47</v>
      </c>
      <c r="E50" s="109" t="s">
        <v>41</v>
      </c>
      <c r="F50" s="413">
        <v>6</v>
      </c>
      <c r="G50" s="413" t="s">
        <v>42</v>
      </c>
      <c r="H50" s="77" t="s">
        <v>48</v>
      </c>
      <c r="I50" s="101">
        <v>5407.56</v>
      </c>
      <c r="J50" s="79">
        <f t="shared" si="12"/>
        <v>1027.4364</v>
      </c>
      <c r="K50" s="79">
        <f t="shared" si="13"/>
        <v>6434.9964</v>
      </c>
      <c r="L50" s="80">
        <f t="shared" si="0"/>
        <v>32445.360000000001</v>
      </c>
      <c r="M50" s="80">
        <f t="shared" si="1"/>
        <v>38609.9784</v>
      </c>
      <c r="N50" s="81" t="s">
        <v>49</v>
      </c>
      <c r="O50" s="102">
        <v>4628.57</v>
      </c>
      <c r="P50" s="83">
        <f t="shared" si="14"/>
        <v>879.42829999999992</v>
      </c>
      <c r="Q50" s="83">
        <f t="shared" si="2"/>
        <v>5507.9982999999993</v>
      </c>
      <c r="R50" s="84">
        <f t="shared" si="3"/>
        <v>27771.42</v>
      </c>
      <c r="S50" s="84">
        <f t="shared" si="4"/>
        <v>33047.989799999996</v>
      </c>
      <c r="T50" s="85" t="s">
        <v>50</v>
      </c>
      <c r="U50" s="103">
        <v>4968.91</v>
      </c>
      <c r="V50" s="87">
        <f t="shared" si="19"/>
        <v>944.09289999999999</v>
      </c>
      <c r="W50" s="87">
        <f t="shared" si="16"/>
        <v>5913.0028999999995</v>
      </c>
      <c r="X50" s="88">
        <f t="shared" si="31"/>
        <v>29813.46</v>
      </c>
      <c r="Y50" s="88">
        <f t="shared" si="32"/>
        <v>35478.017399999997</v>
      </c>
      <c r="Z50" s="89">
        <f t="shared" si="8"/>
        <v>5951.9991999999993</v>
      </c>
      <c r="AA50" s="89">
        <f t="shared" si="9"/>
        <v>35711.995199999998</v>
      </c>
      <c r="AB50" s="89">
        <f t="shared" si="10"/>
        <v>2788.3666374424529</v>
      </c>
      <c r="AC50" s="90">
        <f t="shared" si="11"/>
        <v>7.807927341574164E-2</v>
      </c>
      <c r="AD50" s="5"/>
      <c r="BF50" s="7">
        <v>40</v>
      </c>
    </row>
    <row r="51" spans="1:58" s="7" customFormat="1" ht="409.5" x14ac:dyDescent="0.35">
      <c r="A51" s="138">
        <v>41</v>
      </c>
      <c r="B51" s="413" t="s">
        <v>138</v>
      </c>
      <c r="C51" s="343" t="s">
        <v>146</v>
      </c>
      <c r="D51" s="135" t="s">
        <v>147</v>
      </c>
      <c r="E51" s="413" t="s">
        <v>148</v>
      </c>
      <c r="F51" s="413">
        <v>60</v>
      </c>
      <c r="G51" s="413" t="s">
        <v>42</v>
      </c>
      <c r="H51" s="77" t="s">
        <v>48</v>
      </c>
      <c r="I51" s="78">
        <v>40250</v>
      </c>
      <c r="J51" s="79">
        <f t="shared" si="12"/>
        <v>7647.5</v>
      </c>
      <c r="K51" s="79">
        <f t="shared" si="13"/>
        <v>47897.5</v>
      </c>
      <c r="L51" s="80">
        <f t="shared" si="0"/>
        <v>2415000</v>
      </c>
      <c r="M51" s="80">
        <f t="shared" si="1"/>
        <v>2873850</v>
      </c>
      <c r="N51" s="81" t="s">
        <v>50</v>
      </c>
      <c r="O51" s="82">
        <v>38950</v>
      </c>
      <c r="P51" s="83">
        <f t="shared" si="14"/>
        <v>7400.5</v>
      </c>
      <c r="Q51" s="83">
        <f t="shared" si="2"/>
        <v>46350.5</v>
      </c>
      <c r="R51" s="84">
        <f t="shared" si="3"/>
        <v>2337000</v>
      </c>
      <c r="S51" s="84">
        <f t="shared" si="4"/>
        <v>2781030</v>
      </c>
      <c r="T51" s="85" t="s">
        <v>53</v>
      </c>
      <c r="U51" s="86">
        <v>41000</v>
      </c>
      <c r="V51" s="87">
        <f t="shared" si="19"/>
        <v>7790</v>
      </c>
      <c r="W51" s="87">
        <f t="shared" si="16"/>
        <v>48790</v>
      </c>
      <c r="X51" s="88">
        <f t="shared" si="31"/>
        <v>2460000</v>
      </c>
      <c r="Y51" s="88">
        <f t="shared" si="32"/>
        <v>2927400</v>
      </c>
      <c r="Z51" s="89">
        <f t="shared" si="8"/>
        <v>47679.333333333336</v>
      </c>
      <c r="AA51" s="89">
        <f t="shared" si="9"/>
        <v>2860760</v>
      </c>
      <c r="AB51" s="89">
        <f t="shared" si="10"/>
        <v>74057.783520707671</v>
      </c>
      <c r="AC51" s="90">
        <f t="shared" si="11"/>
        <v>2.5887450719636624E-2</v>
      </c>
      <c r="AD51" s="5"/>
      <c r="BF51" s="7">
        <v>41</v>
      </c>
    </row>
    <row r="52" spans="1:58" s="7" customFormat="1" ht="105" x14ac:dyDescent="0.35">
      <c r="A52" s="138">
        <v>42</v>
      </c>
      <c r="B52" s="415" t="s">
        <v>138</v>
      </c>
      <c r="C52" s="100" t="s">
        <v>81</v>
      </c>
      <c r="D52" s="137" t="s">
        <v>82</v>
      </c>
      <c r="E52" s="415" t="s">
        <v>41</v>
      </c>
      <c r="F52" s="415">
        <v>60</v>
      </c>
      <c r="G52" s="413" t="s">
        <v>42</v>
      </c>
      <c r="H52" s="77" t="s">
        <v>48</v>
      </c>
      <c r="I52" s="78">
        <v>2200</v>
      </c>
      <c r="J52" s="79">
        <f t="shared" si="12"/>
        <v>418</v>
      </c>
      <c r="K52" s="79">
        <f t="shared" si="13"/>
        <v>2618</v>
      </c>
      <c r="L52" s="80">
        <f t="shared" si="0"/>
        <v>132000</v>
      </c>
      <c r="M52" s="80">
        <f t="shared" si="1"/>
        <v>157080</v>
      </c>
      <c r="N52" s="102" t="s">
        <v>83</v>
      </c>
      <c r="O52" s="102">
        <v>2689.08</v>
      </c>
      <c r="P52" s="83">
        <f t="shared" si="14"/>
        <v>510.92520000000002</v>
      </c>
      <c r="Q52" s="83">
        <f t="shared" si="2"/>
        <v>3200.0052000000001</v>
      </c>
      <c r="R52" s="84">
        <f t="shared" si="3"/>
        <v>161344.79999999999</v>
      </c>
      <c r="S52" s="84">
        <f t="shared" si="4"/>
        <v>192000.31200000001</v>
      </c>
      <c r="T52" s="85" t="s">
        <v>84</v>
      </c>
      <c r="U52" s="105">
        <v>3800</v>
      </c>
      <c r="V52" s="87"/>
      <c r="W52" s="87">
        <f t="shared" si="16"/>
        <v>3800</v>
      </c>
      <c r="X52" s="88">
        <f t="shared" si="31"/>
        <v>228000</v>
      </c>
      <c r="Y52" s="88">
        <f t="shared" si="32"/>
        <v>228000</v>
      </c>
      <c r="Z52" s="89">
        <f t="shared" si="8"/>
        <v>3206.001733333333</v>
      </c>
      <c r="AA52" s="89">
        <f t="shared" si="9"/>
        <v>192360.10399999999</v>
      </c>
      <c r="AB52" s="89">
        <f t="shared" si="10"/>
        <v>35461.368948652285</v>
      </c>
      <c r="AC52" s="90">
        <f t="shared" si="11"/>
        <v>0.18434887594286331</v>
      </c>
      <c r="AD52" s="5"/>
      <c r="BF52" s="7">
        <v>42</v>
      </c>
    </row>
    <row r="53" spans="1:58" s="7" customFormat="1" ht="63" x14ac:dyDescent="0.35">
      <c r="A53" s="138">
        <v>43</v>
      </c>
      <c r="B53" s="413" t="s">
        <v>149</v>
      </c>
      <c r="C53" s="100" t="s">
        <v>39</v>
      </c>
      <c r="D53" s="137" t="s">
        <v>40</v>
      </c>
      <c r="E53" s="413" t="s">
        <v>150</v>
      </c>
      <c r="F53" s="413">
        <v>100</v>
      </c>
      <c r="G53" s="413" t="s">
        <v>42</v>
      </c>
      <c r="H53" s="77" t="s">
        <v>43</v>
      </c>
      <c r="I53" s="101">
        <v>5033.6099999999997</v>
      </c>
      <c r="J53" s="79">
        <f t="shared" si="12"/>
        <v>956.38589999999999</v>
      </c>
      <c r="K53" s="79">
        <f t="shared" si="13"/>
        <v>5989.9958999999999</v>
      </c>
      <c r="L53" s="80">
        <f t="shared" si="0"/>
        <v>503360.99999999994</v>
      </c>
      <c r="M53" s="80">
        <f t="shared" si="1"/>
        <v>598999.59</v>
      </c>
      <c r="N53" s="81" t="s">
        <v>44</v>
      </c>
      <c r="O53" s="102">
        <v>5462.18</v>
      </c>
      <c r="P53" s="83">
        <f t="shared" si="14"/>
        <v>1037.8142</v>
      </c>
      <c r="Q53" s="83">
        <f t="shared" si="2"/>
        <v>6499.9942000000001</v>
      </c>
      <c r="R53" s="84">
        <f t="shared" si="3"/>
        <v>546218</v>
      </c>
      <c r="S53" s="84">
        <f t="shared" si="4"/>
        <v>649999.42000000004</v>
      </c>
      <c r="T53" s="85" t="s">
        <v>45</v>
      </c>
      <c r="U53" s="86">
        <v>4201.68</v>
      </c>
      <c r="V53" s="87">
        <f t="shared" ref="V53" si="33">U53*19%</f>
        <v>798.31920000000002</v>
      </c>
      <c r="W53" s="87">
        <f t="shared" si="16"/>
        <v>4999.9992000000002</v>
      </c>
      <c r="X53" s="88">
        <f t="shared" si="31"/>
        <v>420168</v>
      </c>
      <c r="Y53" s="88">
        <f t="shared" si="32"/>
        <v>499999.92000000004</v>
      </c>
      <c r="Z53" s="89">
        <f t="shared" si="8"/>
        <v>5829.9964333333337</v>
      </c>
      <c r="AA53" s="89">
        <f t="shared" si="9"/>
        <v>582999.64333333331</v>
      </c>
      <c r="AB53" s="89">
        <f t="shared" si="10"/>
        <v>76269.00563180678</v>
      </c>
      <c r="AC53" s="90">
        <f t="shared" si="11"/>
        <v>0.13082170204382021</v>
      </c>
      <c r="AD53" s="5"/>
      <c r="BF53" s="7">
        <v>43</v>
      </c>
    </row>
    <row r="54" spans="1:58" s="7" customFormat="1" ht="105" x14ac:dyDescent="0.35">
      <c r="A54" s="138">
        <v>44</v>
      </c>
      <c r="B54" s="413" t="s">
        <v>149</v>
      </c>
      <c r="C54" s="100" t="s">
        <v>46</v>
      </c>
      <c r="D54" s="137" t="s">
        <v>47</v>
      </c>
      <c r="E54" s="413" t="s">
        <v>41</v>
      </c>
      <c r="F54" s="413">
        <v>10</v>
      </c>
      <c r="G54" s="413" t="s">
        <v>42</v>
      </c>
      <c r="H54" s="77" t="s">
        <v>48</v>
      </c>
      <c r="I54" s="101">
        <v>5407.56</v>
      </c>
      <c r="J54" s="79">
        <f t="shared" si="12"/>
        <v>1027.4364</v>
      </c>
      <c r="K54" s="79">
        <f t="shared" si="13"/>
        <v>6434.9964</v>
      </c>
      <c r="L54" s="80">
        <f t="shared" si="0"/>
        <v>54075.600000000006</v>
      </c>
      <c r="M54" s="80">
        <f t="shared" si="1"/>
        <v>64349.964</v>
      </c>
      <c r="N54" s="81" t="s">
        <v>49</v>
      </c>
      <c r="O54" s="102">
        <v>4628.57</v>
      </c>
      <c r="P54" s="83">
        <f t="shared" si="14"/>
        <v>879.42829999999992</v>
      </c>
      <c r="Q54" s="83">
        <f t="shared" si="2"/>
        <v>5507.9982999999993</v>
      </c>
      <c r="R54" s="84">
        <f t="shared" si="3"/>
        <v>46285.7</v>
      </c>
      <c r="S54" s="84">
        <f t="shared" si="4"/>
        <v>55079.982999999993</v>
      </c>
      <c r="T54" s="85" t="s">
        <v>50</v>
      </c>
      <c r="U54" s="103">
        <v>4968.91</v>
      </c>
      <c r="V54" s="87">
        <f t="shared" si="19"/>
        <v>944.09289999999999</v>
      </c>
      <c r="W54" s="87">
        <f t="shared" si="16"/>
        <v>5913.0028999999995</v>
      </c>
      <c r="X54" s="88">
        <f t="shared" si="31"/>
        <v>49689.1</v>
      </c>
      <c r="Y54" s="88">
        <f t="shared" si="32"/>
        <v>59130.028999999995</v>
      </c>
      <c r="Z54" s="89">
        <f t="shared" si="8"/>
        <v>5951.9991999999993</v>
      </c>
      <c r="AA54" s="89">
        <f t="shared" si="9"/>
        <v>59519.991999999991</v>
      </c>
      <c r="AB54" s="89">
        <f t="shared" si="10"/>
        <v>4647.2777290707554</v>
      </c>
      <c r="AC54" s="90">
        <f t="shared" si="11"/>
        <v>7.8079273415741654E-2</v>
      </c>
      <c r="AD54" s="5"/>
      <c r="BF54" s="7">
        <v>44</v>
      </c>
    </row>
    <row r="55" spans="1:58" s="7" customFormat="1" ht="336" x14ac:dyDescent="0.25">
      <c r="A55" s="138">
        <v>45</v>
      </c>
      <c r="B55" s="413" t="s">
        <v>149</v>
      </c>
      <c r="C55" s="413" t="s">
        <v>151</v>
      </c>
      <c r="D55" s="413" t="s">
        <v>152</v>
      </c>
      <c r="E55" s="413" t="s">
        <v>41</v>
      </c>
      <c r="F55" s="413">
        <v>100</v>
      </c>
      <c r="G55" s="413" t="s">
        <v>42</v>
      </c>
      <c r="H55" s="77" t="s">
        <v>53</v>
      </c>
      <c r="I55" s="101">
        <v>7600</v>
      </c>
      <c r="J55" s="79">
        <f t="shared" si="12"/>
        <v>1444</v>
      </c>
      <c r="K55" s="79">
        <f t="shared" si="13"/>
        <v>9044</v>
      </c>
      <c r="L55" s="80">
        <f t="shared" si="0"/>
        <v>760000</v>
      </c>
      <c r="M55" s="80">
        <f t="shared" si="1"/>
        <v>904400</v>
      </c>
      <c r="N55" s="81" t="s">
        <v>50</v>
      </c>
      <c r="O55" s="82">
        <v>5860</v>
      </c>
      <c r="P55" s="83">
        <f t="shared" si="14"/>
        <v>1113.4000000000001</v>
      </c>
      <c r="Q55" s="83">
        <f t="shared" si="2"/>
        <v>6973.4</v>
      </c>
      <c r="R55" s="84">
        <f t="shared" si="3"/>
        <v>586000</v>
      </c>
      <c r="S55" s="84">
        <f t="shared" si="4"/>
        <v>697340</v>
      </c>
      <c r="T55" s="85" t="s">
        <v>137</v>
      </c>
      <c r="U55" s="86">
        <v>8040</v>
      </c>
      <c r="V55" s="87">
        <f t="shared" si="19"/>
        <v>1527.6</v>
      </c>
      <c r="W55" s="87">
        <f t="shared" si="16"/>
        <v>9567.6</v>
      </c>
      <c r="X55" s="88">
        <f t="shared" si="31"/>
        <v>804000</v>
      </c>
      <c r="Y55" s="88">
        <f t="shared" si="32"/>
        <v>956760</v>
      </c>
      <c r="Z55" s="89">
        <f t="shared" si="8"/>
        <v>8528.3333333333339</v>
      </c>
      <c r="AA55" s="89">
        <f t="shared" si="9"/>
        <v>852833.33333333337</v>
      </c>
      <c r="AB55" s="89">
        <f t="shared" si="10"/>
        <v>137182.45125865543</v>
      </c>
      <c r="AC55" s="90">
        <f t="shared" si="11"/>
        <v>0.1608549360078039</v>
      </c>
      <c r="AD55" s="5"/>
      <c r="BF55" s="7">
        <v>45</v>
      </c>
    </row>
    <row r="56" spans="1:58" s="7" customFormat="1" ht="105" x14ac:dyDescent="0.35">
      <c r="A56" s="138">
        <v>46</v>
      </c>
      <c r="B56" s="413" t="s">
        <v>149</v>
      </c>
      <c r="C56" s="100" t="s">
        <v>81</v>
      </c>
      <c r="D56" s="137" t="s">
        <v>82</v>
      </c>
      <c r="E56" s="413" t="s">
        <v>41</v>
      </c>
      <c r="F56" s="413">
        <v>100</v>
      </c>
      <c r="G56" s="413" t="s">
        <v>42</v>
      </c>
      <c r="H56" s="77" t="s">
        <v>48</v>
      </c>
      <c r="I56" s="78">
        <v>2200</v>
      </c>
      <c r="J56" s="79">
        <f t="shared" si="12"/>
        <v>418</v>
      </c>
      <c r="K56" s="79">
        <f t="shared" si="13"/>
        <v>2618</v>
      </c>
      <c r="L56" s="80">
        <f t="shared" si="0"/>
        <v>220000</v>
      </c>
      <c r="M56" s="80">
        <f t="shared" si="1"/>
        <v>261800</v>
      </c>
      <c r="N56" s="102" t="s">
        <v>83</v>
      </c>
      <c r="O56" s="102">
        <v>2689.08</v>
      </c>
      <c r="P56" s="83">
        <f t="shared" si="14"/>
        <v>510.92520000000002</v>
      </c>
      <c r="Q56" s="83">
        <f t="shared" si="2"/>
        <v>3200.0052000000001</v>
      </c>
      <c r="R56" s="84">
        <f t="shared" si="3"/>
        <v>268908</v>
      </c>
      <c r="S56" s="84">
        <f t="shared" si="4"/>
        <v>320000.52</v>
      </c>
      <c r="T56" s="85" t="s">
        <v>84</v>
      </c>
      <c r="U56" s="105">
        <v>3800</v>
      </c>
      <c r="V56" s="87"/>
      <c r="W56" s="87">
        <f t="shared" si="16"/>
        <v>3800</v>
      </c>
      <c r="X56" s="88">
        <f t="shared" si="31"/>
        <v>380000</v>
      </c>
      <c r="Y56" s="88">
        <f t="shared" si="32"/>
        <v>380000</v>
      </c>
      <c r="Z56" s="89">
        <f t="shared" si="8"/>
        <v>3206.001733333333</v>
      </c>
      <c r="AA56" s="89">
        <f t="shared" si="9"/>
        <v>320600.17333333328</v>
      </c>
      <c r="AB56" s="89">
        <f t="shared" si="10"/>
        <v>59102.281581087191</v>
      </c>
      <c r="AC56" s="90">
        <f t="shared" si="11"/>
        <v>0.1843488759428635</v>
      </c>
      <c r="AD56" s="5"/>
      <c r="BF56" s="7">
        <v>46</v>
      </c>
    </row>
    <row r="57" spans="1:58" s="7" customFormat="1" ht="189" x14ac:dyDescent="0.35">
      <c r="A57" s="138">
        <v>47</v>
      </c>
      <c r="B57" s="413" t="s">
        <v>149</v>
      </c>
      <c r="C57" s="100" t="s">
        <v>85</v>
      </c>
      <c r="D57" s="137" t="s">
        <v>86</v>
      </c>
      <c r="E57" s="413" t="s">
        <v>87</v>
      </c>
      <c r="F57" s="413">
        <v>144</v>
      </c>
      <c r="G57" s="413" t="s">
        <v>88</v>
      </c>
      <c r="H57" s="77" t="s">
        <v>89</v>
      </c>
      <c r="I57" s="78">
        <v>302522</v>
      </c>
      <c r="J57" s="79">
        <f t="shared" si="12"/>
        <v>57479.18</v>
      </c>
      <c r="K57" s="79">
        <f t="shared" si="13"/>
        <v>360001.18</v>
      </c>
      <c r="L57" s="80">
        <f t="shared" si="0"/>
        <v>43563168</v>
      </c>
      <c r="M57" s="80">
        <f t="shared" si="1"/>
        <v>51840169.920000002</v>
      </c>
      <c r="N57" s="81" t="s">
        <v>90</v>
      </c>
      <c r="O57" s="82">
        <v>252101</v>
      </c>
      <c r="P57" s="83">
        <f t="shared" si="14"/>
        <v>47899.19</v>
      </c>
      <c r="Q57" s="83">
        <f t="shared" si="2"/>
        <v>300000.19</v>
      </c>
      <c r="R57" s="84">
        <f t="shared" si="3"/>
        <v>36302544</v>
      </c>
      <c r="S57" s="84">
        <f t="shared" si="4"/>
        <v>43200027.359999999</v>
      </c>
      <c r="T57" s="85"/>
      <c r="U57" s="86"/>
      <c r="V57" s="87"/>
      <c r="W57" s="87"/>
      <c r="X57" s="88"/>
      <c r="Y57" s="88"/>
      <c r="Z57" s="89">
        <f t="shared" si="8"/>
        <v>330000.685</v>
      </c>
      <c r="AA57" s="89">
        <f t="shared" si="9"/>
        <v>47520098.640000001</v>
      </c>
      <c r="AB57" s="89">
        <f t="shared" si="10"/>
        <v>6109503.394594498</v>
      </c>
      <c r="AC57" s="90">
        <f t="shared" si="11"/>
        <v>0.12856672375363776</v>
      </c>
      <c r="AD57" s="5"/>
      <c r="BF57" s="7">
        <v>47</v>
      </c>
    </row>
    <row r="58" spans="1:58" s="7" customFormat="1" ht="189" x14ac:dyDescent="0.35">
      <c r="A58" s="138">
        <v>48</v>
      </c>
      <c r="B58" s="100" t="s">
        <v>149</v>
      </c>
      <c r="C58" s="100" t="s">
        <v>91</v>
      </c>
      <c r="D58" s="137" t="s">
        <v>92</v>
      </c>
      <c r="E58" s="100" t="s">
        <v>87</v>
      </c>
      <c r="F58" s="100">
        <v>5</v>
      </c>
      <c r="G58" s="100" t="s">
        <v>88</v>
      </c>
      <c r="H58" s="77" t="s">
        <v>89</v>
      </c>
      <c r="I58" s="78">
        <v>302522</v>
      </c>
      <c r="J58" s="79">
        <f t="shared" si="12"/>
        <v>57479.18</v>
      </c>
      <c r="K58" s="79">
        <f t="shared" si="13"/>
        <v>360001.18</v>
      </c>
      <c r="L58" s="80">
        <f t="shared" si="0"/>
        <v>1512610</v>
      </c>
      <c r="M58" s="80">
        <f t="shared" si="1"/>
        <v>1800005.9</v>
      </c>
      <c r="N58" s="81" t="s">
        <v>90</v>
      </c>
      <c r="O58" s="82">
        <v>252101</v>
      </c>
      <c r="P58" s="83">
        <f t="shared" si="14"/>
        <v>47899.19</v>
      </c>
      <c r="Q58" s="83">
        <f t="shared" si="2"/>
        <v>300000.19</v>
      </c>
      <c r="R58" s="84">
        <f t="shared" si="3"/>
        <v>1260505</v>
      </c>
      <c r="S58" s="84">
        <f t="shared" si="4"/>
        <v>1500000.95</v>
      </c>
      <c r="T58" s="85"/>
      <c r="U58" s="86"/>
      <c r="V58" s="87"/>
      <c r="W58" s="87"/>
      <c r="X58" s="88"/>
      <c r="Y58" s="88"/>
      <c r="Z58" s="89">
        <f t="shared" si="8"/>
        <v>330000.685</v>
      </c>
      <c r="AA58" s="89">
        <f t="shared" si="9"/>
        <v>1650003.425</v>
      </c>
      <c r="AB58" s="89">
        <f t="shared" si="10"/>
        <v>212135.53453453109</v>
      </c>
      <c r="AC58" s="90">
        <f t="shared" si="11"/>
        <v>0.1285667237536377</v>
      </c>
      <c r="AD58" s="5"/>
      <c r="BF58" s="7">
        <v>48</v>
      </c>
    </row>
    <row r="59" spans="1:58" s="7" customFormat="1" ht="409.5" x14ac:dyDescent="0.35">
      <c r="A59" s="138">
        <v>49</v>
      </c>
      <c r="B59" s="413" t="s">
        <v>149</v>
      </c>
      <c r="C59" s="100" t="s">
        <v>93</v>
      </c>
      <c r="D59" s="137" t="s">
        <v>94</v>
      </c>
      <c r="E59" s="413" t="s">
        <v>41</v>
      </c>
      <c r="F59" s="413">
        <v>900</v>
      </c>
      <c r="G59" s="413" t="s">
        <v>42</v>
      </c>
      <c r="H59" s="77" t="s">
        <v>95</v>
      </c>
      <c r="I59" s="78">
        <v>11700</v>
      </c>
      <c r="J59" s="79">
        <f>I59*8%</f>
        <v>936</v>
      </c>
      <c r="K59" s="79">
        <f t="shared" si="13"/>
        <v>12636</v>
      </c>
      <c r="L59" s="80">
        <f t="shared" si="0"/>
        <v>10530000</v>
      </c>
      <c r="M59" s="80">
        <f t="shared" si="1"/>
        <v>11372400</v>
      </c>
      <c r="N59" s="81" t="s">
        <v>50</v>
      </c>
      <c r="O59" s="82">
        <v>8570</v>
      </c>
      <c r="P59" s="83">
        <f>O59*8%</f>
        <v>685.6</v>
      </c>
      <c r="Q59" s="83">
        <f t="shared" si="2"/>
        <v>9255.6</v>
      </c>
      <c r="R59" s="84">
        <f t="shared" si="3"/>
        <v>7713000</v>
      </c>
      <c r="S59" s="84">
        <f t="shared" si="4"/>
        <v>8330040</v>
      </c>
      <c r="T59" s="85" t="s">
        <v>96</v>
      </c>
      <c r="U59" s="86">
        <v>13871</v>
      </c>
      <c r="V59" s="87"/>
      <c r="W59" s="87">
        <f t="shared" si="16"/>
        <v>13871</v>
      </c>
      <c r="X59" s="88">
        <f t="shared" ref="X59:X64" si="34">IF(B59="","",(U59*F59))</f>
        <v>12483900</v>
      </c>
      <c r="Y59" s="88">
        <f t="shared" ref="Y59:Y64" si="35">IF(B59="","",(W59*F59))</f>
        <v>12483900</v>
      </c>
      <c r="Z59" s="89">
        <f t="shared" si="8"/>
        <v>11920.866666666667</v>
      </c>
      <c r="AA59" s="89">
        <f t="shared" si="9"/>
        <v>10728780</v>
      </c>
      <c r="AB59" s="89">
        <f t="shared" si="10"/>
        <v>2150423.9705695249</v>
      </c>
      <c r="AC59" s="90">
        <f t="shared" si="11"/>
        <v>0.20043508866520937</v>
      </c>
      <c r="AD59" s="5"/>
      <c r="BF59" s="7">
        <v>49</v>
      </c>
    </row>
    <row r="60" spans="1:58" s="7" customFormat="1" ht="409.5" x14ac:dyDescent="0.25">
      <c r="A60" s="138">
        <v>50</v>
      </c>
      <c r="B60" s="413" t="s">
        <v>149</v>
      </c>
      <c r="C60" s="100" t="s">
        <v>97</v>
      </c>
      <c r="D60" s="100" t="s">
        <v>98</v>
      </c>
      <c r="E60" s="413" t="s">
        <v>41</v>
      </c>
      <c r="F60" s="413">
        <v>105</v>
      </c>
      <c r="G60" s="413" t="s">
        <v>42</v>
      </c>
      <c r="H60" s="77" t="s">
        <v>99</v>
      </c>
      <c r="I60" s="101">
        <v>21600</v>
      </c>
      <c r="J60" s="79">
        <f>I60*8%</f>
        <v>1728</v>
      </c>
      <c r="K60" s="79">
        <f t="shared" si="13"/>
        <v>23328</v>
      </c>
      <c r="L60" s="80">
        <f t="shared" si="0"/>
        <v>2268000</v>
      </c>
      <c r="M60" s="80">
        <f t="shared" si="1"/>
        <v>2449440</v>
      </c>
      <c r="N60" s="81" t="s">
        <v>100</v>
      </c>
      <c r="O60" s="82">
        <v>25000</v>
      </c>
      <c r="P60" s="83">
        <f>O60*8%</f>
        <v>2000</v>
      </c>
      <c r="Q60" s="83">
        <f t="shared" si="2"/>
        <v>27000</v>
      </c>
      <c r="R60" s="84">
        <f t="shared" si="3"/>
        <v>2625000</v>
      </c>
      <c r="S60" s="84">
        <f t="shared" si="4"/>
        <v>2835000</v>
      </c>
      <c r="T60" s="85" t="s">
        <v>101</v>
      </c>
      <c r="U60" s="410">
        <v>26824</v>
      </c>
      <c r="V60" s="87">
        <f>U60*8%</f>
        <v>2145.92</v>
      </c>
      <c r="W60" s="87">
        <f t="shared" si="16"/>
        <v>28969.919999999998</v>
      </c>
      <c r="X60" s="88">
        <f t="shared" si="34"/>
        <v>2816520</v>
      </c>
      <c r="Y60" s="88">
        <f t="shared" si="35"/>
        <v>3041841.5999999996</v>
      </c>
      <c r="Z60" s="89">
        <f t="shared" si="8"/>
        <v>26432.639999999999</v>
      </c>
      <c r="AA60" s="89">
        <f t="shared" si="9"/>
        <v>2775427.1999999997</v>
      </c>
      <c r="AB60" s="89">
        <f t="shared" si="10"/>
        <v>300660.27804736677</v>
      </c>
      <c r="AC60" s="90">
        <f t="shared" si="11"/>
        <v>0.10832936927596833</v>
      </c>
      <c r="AD60" s="5"/>
      <c r="BF60" s="7">
        <v>50</v>
      </c>
    </row>
    <row r="61" spans="1:58" s="7" customFormat="1" ht="63" x14ac:dyDescent="0.35">
      <c r="A61" s="138">
        <v>51</v>
      </c>
      <c r="B61" s="413" t="s">
        <v>153</v>
      </c>
      <c r="C61" s="100" t="s">
        <v>39</v>
      </c>
      <c r="D61" s="137" t="s">
        <v>40</v>
      </c>
      <c r="E61" s="413" t="s">
        <v>41</v>
      </c>
      <c r="F61" s="413">
        <v>60</v>
      </c>
      <c r="G61" s="413" t="s">
        <v>42</v>
      </c>
      <c r="H61" s="77" t="s">
        <v>43</v>
      </c>
      <c r="I61" s="101">
        <v>5033.6099999999997</v>
      </c>
      <c r="J61" s="79">
        <f t="shared" si="12"/>
        <v>956.38589999999999</v>
      </c>
      <c r="K61" s="79">
        <f t="shared" si="13"/>
        <v>5989.9958999999999</v>
      </c>
      <c r="L61" s="80">
        <f t="shared" si="0"/>
        <v>302016.59999999998</v>
      </c>
      <c r="M61" s="80">
        <f t="shared" si="1"/>
        <v>359399.75400000002</v>
      </c>
      <c r="N61" s="81" t="s">
        <v>44</v>
      </c>
      <c r="O61" s="102">
        <v>5462.18</v>
      </c>
      <c r="P61" s="83">
        <f t="shared" si="14"/>
        <v>1037.8142</v>
      </c>
      <c r="Q61" s="83">
        <f t="shared" si="2"/>
        <v>6499.9942000000001</v>
      </c>
      <c r="R61" s="84">
        <f t="shared" si="3"/>
        <v>327730.80000000005</v>
      </c>
      <c r="S61" s="84">
        <f t="shared" si="4"/>
        <v>389999.652</v>
      </c>
      <c r="T61" s="85" t="s">
        <v>45</v>
      </c>
      <c r="U61" s="86">
        <v>4201.68</v>
      </c>
      <c r="V61" s="87">
        <f t="shared" si="19"/>
        <v>798.31920000000002</v>
      </c>
      <c r="W61" s="87">
        <f t="shared" si="16"/>
        <v>4999.9992000000002</v>
      </c>
      <c r="X61" s="88">
        <f t="shared" si="34"/>
        <v>252100.80000000002</v>
      </c>
      <c r="Y61" s="88">
        <f t="shared" si="35"/>
        <v>299999.95199999999</v>
      </c>
      <c r="Z61" s="89">
        <f t="shared" si="8"/>
        <v>5829.9964333333337</v>
      </c>
      <c r="AA61" s="89">
        <f t="shared" si="9"/>
        <v>349799.78600000002</v>
      </c>
      <c r="AB61" s="89">
        <f t="shared" si="10"/>
        <v>45761.403379083953</v>
      </c>
      <c r="AC61" s="90">
        <f t="shared" si="11"/>
        <v>0.13082170204381985</v>
      </c>
      <c r="AD61" s="5"/>
      <c r="BF61" s="7">
        <v>51</v>
      </c>
    </row>
    <row r="62" spans="1:58" s="7" customFormat="1" ht="105" x14ac:dyDescent="0.35">
      <c r="A62" s="138">
        <v>52</v>
      </c>
      <c r="B62" s="413" t="s">
        <v>153</v>
      </c>
      <c r="C62" s="100" t="s">
        <v>46</v>
      </c>
      <c r="D62" s="137" t="s">
        <v>47</v>
      </c>
      <c r="E62" s="413" t="s">
        <v>41</v>
      </c>
      <c r="F62" s="413">
        <v>6</v>
      </c>
      <c r="G62" s="413" t="s">
        <v>42</v>
      </c>
      <c r="H62" s="77" t="s">
        <v>48</v>
      </c>
      <c r="I62" s="101">
        <v>5407.56</v>
      </c>
      <c r="J62" s="79">
        <f t="shared" si="12"/>
        <v>1027.4364</v>
      </c>
      <c r="K62" s="79">
        <f t="shared" si="13"/>
        <v>6434.9964</v>
      </c>
      <c r="L62" s="80">
        <f t="shared" si="0"/>
        <v>32445.360000000001</v>
      </c>
      <c r="M62" s="80">
        <f t="shared" si="1"/>
        <v>38609.9784</v>
      </c>
      <c r="N62" s="81" t="s">
        <v>49</v>
      </c>
      <c r="O62" s="102">
        <v>4628.57</v>
      </c>
      <c r="P62" s="83">
        <f t="shared" si="14"/>
        <v>879.42829999999992</v>
      </c>
      <c r="Q62" s="83">
        <f t="shared" si="2"/>
        <v>5507.9982999999993</v>
      </c>
      <c r="R62" s="84">
        <f t="shared" si="3"/>
        <v>27771.42</v>
      </c>
      <c r="S62" s="84">
        <f t="shared" si="4"/>
        <v>33047.989799999996</v>
      </c>
      <c r="T62" s="85" t="s">
        <v>50</v>
      </c>
      <c r="U62" s="103">
        <v>4968.91</v>
      </c>
      <c r="V62" s="87">
        <f t="shared" si="19"/>
        <v>944.09289999999999</v>
      </c>
      <c r="W62" s="87">
        <f t="shared" si="16"/>
        <v>5913.0028999999995</v>
      </c>
      <c r="X62" s="88">
        <f t="shared" si="34"/>
        <v>29813.46</v>
      </c>
      <c r="Y62" s="88">
        <f t="shared" si="35"/>
        <v>35478.017399999997</v>
      </c>
      <c r="Z62" s="89">
        <f t="shared" si="8"/>
        <v>5951.9991999999993</v>
      </c>
      <c r="AA62" s="89">
        <f t="shared" si="9"/>
        <v>35711.995199999998</v>
      </c>
      <c r="AB62" s="89">
        <f t="shared" si="10"/>
        <v>2788.3666374424529</v>
      </c>
      <c r="AC62" s="90">
        <f t="shared" si="11"/>
        <v>7.807927341574164E-2</v>
      </c>
      <c r="AD62" s="5"/>
      <c r="BF62" s="7">
        <v>52</v>
      </c>
    </row>
    <row r="63" spans="1:58" s="7" customFormat="1" ht="409.5" x14ac:dyDescent="0.35">
      <c r="A63" s="138">
        <v>53</v>
      </c>
      <c r="B63" s="413" t="s">
        <v>153</v>
      </c>
      <c r="C63" s="413" t="s">
        <v>154</v>
      </c>
      <c r="D63" s="135" t="s">
        <v>155</v>
      </c>
      <c r="E63" s="413" t="s">
        <v>41</v>
      </c>
      <c r="F63" s="413">
        <v>60</v>
      </c>
      <c r="G63" s="413" t="s">
        <v>42</v>
      </c>
      <c r="H63" s="77" t="s">
        <v>53</v>
      </c>
      <c r="I63" s="78">
        <v>31000</v>
      </c>
      <c r="J63" s="79">
        <f t="shared" si="12"/>
        <v>5890</v>
      </c>
      <c r="K63" s="79">
        <f t="shared" si="13"/>
        <v>36890</v>
      </c>
      <c r="L63" s="80">
        <f t="shared" si="0"/>
        <v>1860000</v>
      </c>
      <c r="M63" s="80">
        <f t="shared" si="1"/>
        <v>2213400</v>
      </c>
      <c r="N63" s="81" t="s">
        <v>110</v>
      </c>
      <c r="O63" s="82">
        <v>32820</v>
      </c>
      <c r="P63" s="83">
        <f t="shared" si="14"/>
        <v>6235.8</v>
      </c>
      <c r="Q63" s="83">
        <f t="shared" si="2"/>
        <v>39055.800000000003</v>
      </c>
      <c r="R63" s="84">
        <f t="shared" si="3"/>
        <v>1969200</v>
      </c>
      <c r="S63" s="84">
        <f t="shared" si="4"/>
        <v>2343348</v>
      </c>
      <c r="T63" s="85" t="s">
        <v>156</v>
      </c>
      <c r="U63" s="86">
        <v>34200</v>
      </c>
      <c r="V63" s="87">
        <f t="shared" si="19"/>
        <v>6498</v>
      </c>
      <c r="W63" s="87">
        <f t="shared" si="16"/>
        <v>40698</v>
      </c>
      <c r="X63" s="88">
        <f t="shared" si="34"/>
        <v>2052000</v>
      </c>
      <c r="Y63" s="88">
        <f t="shared" si="35"/>
        <v>2441880</v>
      </c>
      <c r="Z63" s="89">
        <f t="shared" si="8"/>
        <v>38881.26666666667</v>
      </c>
      <c r="AA63" s="89">
        <f t="shared" si="9"/>
        <v>2332876</v>
      </c>
      <c r="AB63" s="89">
        <f t="shared" si="10"/>
        <v>114599.4096319872</v>
      </c>
      <c r="AC63" s="90">
        <f t="shared" si="11"/>
        <v>4.9123660936966733E-2</v>
      </c>
      <c r="AD63" s="5"/>
      <c r="BF63" s="7">
        <v>53</v>
      </c>
    </row>
    <row r="64" spans="1:58" s="7" customFormat="1" ht="105" x14ac:dyDescent="0.35">
      <c r="A64" s="138">
        <v>54</v>
      </c>
      <c r="B64" s="413" t="s">
        <v>153</v>
      </c>
      <c r="C64" s="100" t="s">
        <v>81</v>
      </c>
      <c r="D64" s="137" t="s">
        <v>82</v>
      </c>
      <c r="E64" s="413" t="s">
        <v>41</v>
      </c>
      <c r="F64" s="413">
        <v>60</v>
      </c>
      <c r="G64" s="413" t="s">
        <v>42</v>
      </c>
      <c r="H64" s="77" t="s">
        <v>48</v>
      </c>
      <c r="I64" s="78">
        <v>2200</v>
      </c>
      <c r="J64" s="79">
        <f t="shared" si="12"/>
        <v>418</v>
      </c>
      <c r="K64" s="79">
        <f t="shared" si="13"/>
        <v>2618</v>
      </c>
      <c r="L64" s="80">
        <f t="shared" si="0"/>
        <v>132000</v>
      </c>
      <c r="M64" s="80">
        <f t="shared" si="1"/>
        <v>157080</v>
      </c>
      <c r="N64" s="102" t="s">
        <v>83</v>
      </c>
      <c r="O64" s="102">
        <v>2689.08</v>
      </c>
      <c r="P64" s="83">
        <f t="shared" si="14"/>
        <v>510.92520000000002</v>
      </c>
      <c r="Q64" s="83">
        <f t="shared" si="2"/>
        <v>3200.0052000000001</v>
      </c>
      <c r="R64" s="84">
        <f t="shared" si="3"/>
        <v>161344.79999999999</v>
      </c>
      <c r="S64" s="84">
        <f t="shared" si="4"/>
        <v>192000.31200000001</v>
      </c>
      <c r="T64" s="85" t="s">
        <v>84</v>
      </c>
      <c r="U64" s="105">
        <v>3800</v>
      </c>
      <c r="V64" s="87"/>
      <c r="W64" s="87">
        <f t="shared" si="16"/>
        <v>3800</v>
      </c>
      <c r="X64" s="88">
        <f t="shared" si="34"/>
        <v>228000</v>
      </c>
      <c r="Y64" s="88">
        <f t="shared" si="35"/>
        <v>228000</v>
      </c>
      <c r="Z64" s="89">
        <f t="shared" si="8"/>
        <v>3206.001733333333</v>
      </c>
      <c r="AA64" s="89">
        <f t="shared" si="9"/>
        <v>192360.10399999999</v>
      </c>
      <c r="AB64" s="89">
        <f t="shared" si="10"/>
        <v>35461.368948652285</v>
      </c>
      <c r="AC64" s="90">
        <f t="shared" si="11"/>
        <v>0.18434887594286331</v>
      </c>
      <c r="AD64" s="143"/>
      <c r="BF64" s="7">
        <v>54</v>
      </c>
    </row>
    <row r="65" spans="1:58" s="7" customFormat="1" ht="189" x14ac:dyDescent="0.35">
      <c r="A65" s="140">
        <v>55</v>
      </c>
      <c r="B65" s="413" t="s">
        <v>153</v>
      </c>
      <c r="C65" s="100" t="s">
        <v>85</v>
      </c>
      <c r="D65" s="137" t="s">
        <v>86</v>
      </c>
      <c r="E65" s="109" t="s">
        <v>87</v>
      </c>
      <c r="F65" s="413">
        <v>108</v>
      </c>
      <c r="G65" s="413" t="s">
        <v>88</v>
      </c>
      <c r="H65" s="77" t="s">
        <v>89</v>
      </c>
      <c r="I65" s="78">
        <v>302522</v>
      </c>
      <c r="J65" s="127">
        <f t="shared" si="12"/>
        <v>57479.18</v>
      </c>
      <c r="K65" s="127">
        <f t="shared" si="13"/>
        <v>360001.18</v>
      </c>
      <c r="L65" s="128">
        <f t="shared" si="0"/>
        <v>32672376</v>
      </c>
      <c r="M65" s="128">
        <f t="shared" si="1"/>
        <v>38880127.439999998</v>
      </c>
      <c r="N65" s="81" t="s">
        <v>90</v>
      </c>
      <c r="O65" s="82">
        <v>252101</v>
      </c>
      <c r="P65" s="129">
        <f t="shared" si="14"/>
        <v>47899.19</v>
      </c>
      <c r="Q65" s="129">
        <f t="shared" si="2"/>
        <v>300000.19</v>
      </c>
      <c r="R65" s="130">
        <f t="shared" si="3"/>
        <v>27226908</v>
      </c>
      <c r="S65" s="130">
        <f t="shared" si="4"/>
        <v>32400020.52</v>
      </c>
      <c r="T65" s="85"/>
      <c r="U65" s="131"/>
      <c r="V65" s="132"/>
      <c r="W65" s="132"/>
      <c r="X65" s="133"/>
      <c r="Y65" s="133"/>
      <c r="Z65" s="134">
        <f t="shared" si="8"/>
        <v>330000.685</v>
      </c>
      <c r="AA65" s="134">
        <f t="shared" si="9"/>
        <v>35640073.979999997</v>
      </c>
      <c r="AB65" s="134">
        <f t="shared" si="10"/>
        <v>4582127.5459458707</v>
      </c>
      <c r="AC65" s="142">
        <f t="shared" si="11"/>
        <v>0.1285667237536377</v>
      </c>
      <c r="AD65" s="141"/>
      <c r="BF65" s="7">
        <v>55</v>
      </c>
    </row>
    <row r="66" spans="1:58" s="7" customFormat="1" ht="189" x14ac:dyDescent="0.35">
      <c r="A66" s="136">
        <v>56</v>
      </c>
      <c r="B66" s="413" t="s">
        <v>153</v>
      </c>
      <c r="C66" s="100" t="s">
        <v>91</v>
      </c>
      <c r="D66" s="137" t="s">
        <v>92</v>
      </c>
      <c r="E66" s="413" t="s">
        <v>87</v>
      </c>
      <c r="F66" s="413">
        <v>5</v>
      </c>
      <c r="G66" s="416" t="s">
        <v>88</v>
      </c>
      <c r="H66" s="77" t="s">
        <v>89</v>
      </c>
      <c r="I66" s="78">
        <v>302522</v>
      </c>
      <c r="J66" s="127">
        <f t="shared" si="12"/>
        <v>57479.18</v>
      </c>
      <c r="K66" s="127">
        <f t="shared" si="13"/>
        <v>360001.18</v>
      </c>
      <c r="L66" s="128">
        <f t="shared" si="0"/>
        <v>1512610</v>
      </c>
      <c r="M66" s="128">
        <f t="shared" si="1"/>
        <v>1800005.9</v>
      </c>
      <c r="N66" s="81" t="s">
        <v>90</v>
      </c>
      <c r="O66" s="82">
        <v>252101</v>
      </c>
      <c r="P66" s="129">
        <f t="shared" si="14"/>
        <v>47899.19</v>
      </c>
      <c r="Q66" s="129">
        <f t="shared" si="2"/>
        <v>300000.19</v>
      </c>
      <c r="R66" s="130">
        <f t="shared" si="3"/>
        <v>1260505</v>
      </c>
      <c r="S66" s="130">
        <f t="shared" si="4"/>
        <v>1500000.95</v>
      </c>
      <c r="T66" s="121"/>
      <c r="U66" s="122"/>
      <c r="V66" s="132"/>
      <c r="W66" s="132"/>
      <c r="X66" s="133"/>
      <c r="Y66" s="133"/>
      <c r="Z66" s="134">
        <f t="shared" si="8"/>
        <v>330000.685</v>
      </c>
      <c r="AA66" s="134">
        <f t="shared" si="9"/>
        <v>1650003.425</v>
      </c>
      <c r="AB66" s="134">
        <f t="shared" si="10"/>
        <v>212135.53453453109</v>
      </c>
      <c r="AC66" s="142">
        <f t="shared" si="11"/>
        <v>0.1285667237536377</v>
      </c>
      <c r="AD66" s="141"/>
    </row>
    <row r="67" spans="1:58" s="7" customFormat="1" ht="409.5" x14ac:dyDescent="0.35">
      <c r="A67" s="136">
        <v>57</v>
      </c>
      <c r="B67" s="413" t="s">
        <v>153</v>
      </c>
      <c r="C67" s="100" t="s">
        <v>93</v>
      </c>
      <c r="D67" s="137" t="s">
        <v>94</v>
      </c>
      <c r="E67" s="413" t="s">
        <v>41</v>
      </c>
      <c r="F67" s="413">
        <v>540</v>
      </c>
      <c r="G67" s="416" t="s">
        <v>42</v>
      </c>
      <c r="H67" s="77" t="s">
        <v>95</v>
      </c>
      <c r="I67" s="78">
        <v>11700</v>
      </c>
      <c r="J67" s="79">
        <f>I67*8%</f>
        <v>936</v>
      </c>
      <c r="K67" s="127">
        <f t="shared" si="13"/>
        <v>12636</v>
      </c>
      <c r="L67" s="128">
        <f t="shared" si="0"/>
        <v>6318000</v>
      </c>
      <c r="M67" s="128">
        <f t="shared" si="1"/>
        <v>6823440</v>
      </c>
      <c r="N67" s="81" t="s">
        <v>50</v>
      </c>
      <c r="O67" s="82">
        <v>8570</v>
      </c>
      <c r="P67" s="83">
        <f>O67*8%</f>
        <v>685.6</v>
      </c>
      <c r="Q67" s="129">
        <f t="shared" si="2"/>
        <v>9255.6</v>
      </c>
      <c r="R67" s="130">
        <f t="shared" si="3"/>
        <v>4627800</v>
      </c>
      <c r="S67" s="130">
        <f t="shared" si="4"/>
        <v>4998024</v>
      </c>
      <c r="T67" s="85" t="s">
        <v>96</v>
      </c>
      <c r="U67" s="86">
        <v>13871</v>
      </c>
      <c r="V67" s="132"/>
      <c r="W67" s="132">
        <f t="shared" si="16"/>
        <v>13871</v>
      </c>
      <c r="X67" s="133">
        <f>IF(B67="","",(U67*F67))</f>
        <v>7490340</v>
      </c>
      <c r="Y67" s="133">
        <f>IF(B67="","",(W67*F67))</f>
        <v>7490340</v>
      </c>
      <c r="Z67" s="134">
        <f t="shared" si="8"/>
        <v>11920.866666666667</v>
      </c>
      <c r="AA67" s="134">
        <f t="shared" si="9"/>
        <v>6437268</v>
      </c>
      <c r="AB67" s="134">
        <f t="shared" si="10"/>
        <v>1290254.3823417148</v>
      </c>
      <c r="AC67" s="142">
        <f t="shared" si="11"/>
        <v>0.20043508866520934</v>
      </c>
      <c r="AD67" s="141"/>
    </row>
    <row r="68" spans="1:58" s="7" customFormat="1" ht="409.5" x14ac:dyDescent="0.25">
      <c r="A68" s="136">
        <v>58</v>
      </c>
      <c r="B68" s="415" t="s">
        <v>153</v>
      </c>
      <c r="C68" s="100" t="s">
        <v>97</v>
      </c>
      <c r="D68" s="100" t="s">
        <v>98</v>
      </c>
      <c r="E68" s="415" t="s">
        <v>41</v>
      </c>
      <c r="F68" s="415">
        <v>65</v>
      </c>
      <c r="G68" s="416" t="s">
        <v>42</v>
      </c>
      <c r="H68" s="77" t="s">
        <v>99</v>
      </c>
      <c r="I68" s="101">
        <v>21600</v>
      </c>
      <c r="J68" s="79">
        <f>I68*8%</f>
        <v>1728</v>
      </c>
      <c r="K68" s="127">
        <f t="shared" si="13"/>
        <v>23328</v>
      </c>
      <c r="L68" s="128">
        <f t="shared" si="0"/>
        <v>1404000</v>
      </c>
      <c r="M68" s="128">
        <f t="shared" si="1"/>
        <v>1516320</v>
      </c>
      <c r="N68" s="81" t="s">
        <v>100</v>
      </c>
      <c r="O68" s="82">
        <v>25000</v>
      </c>
      <c r="P68" s="83">
        <f>O68*8%</f>
        <v>2000</v>
      </c>
      <c r="Q68" s="129">
        <f t="shared" si="2"/>
        <v>27000</v>
      </c>
      <c r="R68" s="130">
        <f t="shared" si="3"/>
        <v>1625000</v>
      </c>
      <c r="S68" s="130">
        <f t="shared" si="4"/>
        <v>1755000</v>
      </c>
      <c r="T68" s="85" t="s">
        <v>101</v>
      </c>
      <c r="U68" s="410">
        <v>26824</v>
      </c>
      <c r="V68" s="87">
        <f>U68*8%</f>
        <v>2145.92</v>
      </c>
      <c r="W68" s="132">
        <f t="shared" si="16"/>
        <v>28969.919999999998</v>
      </c>
      <c r="X68" s="133">
        <f>IF(B68="","",(U68*F68))</f>
        <v>1743560</v>
      </c>
      <c r="Y68" s="133">
        <f>IF(B68="","",(W68*F68))</f>
        <v>1883044.7999999998</v>
      </c>
      <c r="Z68" s="134">
        <f t="shared" si="8"/>
        <v>26432.639999999999</v>
      </c>
      <c r="AA68" s="134">
        <f t="shared" si="9"/>
        <v>1718121.5999999999</v>
      </c>
      <c r="AB68" s="134">
        <f t="shared" si="10"/>
        <v>186123.02926741756</v>
      </c>
      <c r="AC68" s="142">
        <f t="shared" si="11"/>
        <v>0.10832936927596834</v>
      </c>
      <c r="AD68" s="141"/>
    </row>
    <row r="69" spans="1:58" s="7" customFormat="1" ht="189" x14ac:dyDescent="0.35">
      <c r="A69" s="136">
        <v>59</v>
      </c>
      <c r="B69" s="413" t="s">
        <v>157</v>
      </c>
      <c r="C69" s="100" t="s">
        <v>158</v>
      </c>
      <c r="D69" s="137" t="s">
        <v>159</v>
      </c>
      <c r="E69" s="413" t="s">
        <v>41</v>
      </c>
      <c r="F69" s="413">
        <v>410</v>
      </c>
      <c r="G69" s="416" t="s">
        <v>42</v>
      </c>
      <c r="H69" s="113" t="s">
        <v>160</v>
      </c>
      <c r="I69" s="114">
        <v>95400</v>
      </c>
      <c r="J69" s="127">
        <f t="shared" si="12"/>
        <v>18126</v>
      </c>
      <c r="K69" s="127">
        <f t="shared" si="13"/>
        <v>113526</v>
      </c>
      <c r="L69" s="128">
        <f t="shared" si="0"/>
        <v>39114000</v>
      </c>
      <c r="M69" s="128">
        <f t="shared" si="1"/>
        <v>46545660</v>
      </c>
      <c r="N69" s="117" t="s">
        <v>53</v>
      </c>
      <c r="O69" s="118">
        <v>94000</v>
      </c>
      <c r="P69" s="129">
        <f t="shared" si="14"/>
        <v>17860</v>
      </c>
      <c r="Q69" s="129">
        <f t="shared" si="2"/>
        <v>111860</v>
      </c>
      <c r="R69" s="130">
        <f t="shared" si="3"/>
        <v>38540000</v>
      </c>
      <c r="S69" s="130">
        <f t="shared" si="4"/>
        <v>45862600</v>
      </c>
      <c r="T69" s="121" t="s">
        <v>156</v>
      </c>
      <c r="U69" s="122">
        <v>110400</v>
      </c>
      <c r="V69" s="132">
        <f t="shared" si="19"/>
        <v>20976</v>
      </c>
      <c r="W69" s="132">
        <f t="shared" si="16"/>
        <v>131376</v>
      </c>
      <c r="X69" s="133">
        <f>IF(B69="","",(U69*F69))</f>
        <v>45264000</v>
      </c>
      <c r="Y69" s="133">
        <f>IF(B69="","",(W69*F69))</f>
        <v>53864160</v>
      </c>
      <c r="Z69" s="134">
        <f t="shared" si="8"/>
        <v>118920.66666666667</v>
      </c>
      <c r="AA69" s="134">
        <f t="shared" si="9"/>
        <v>48757473.333333336</v>
      </c>
      <c r="AB69" s="134">
        <f t="shared" si="10"/>
        <v>4435688.1399094481</v>
      </c>
      <c r="AC69" s="142">
        <f t="shared" si="11"/>
        <v>9.0974528347369549E-2</v>
      </c>
      <c r="AD69" s="141"/>
    </row>
    <row r="70" spans="1:58" s="7" customFormat="1" ht="294" x14ac:dyDescent="0.35">
      <c r="A70" s="136">
        <v>60</v>
      </c>
      <c r="B70" s="413" t="s">
        <v>157</v>
      </c>
      <c r="C70" s="417" t="s">
        <v>161</v>
      </c>
      <c r="D70" s="135" t="s">
        <v>162</v>
      </c>
      <c r="E70" s="413" t="s">
        <v>41</v>
      </c>
      <c r="F70" s="413">
        <v>50</v>
      </c>
      <c r="G70" s="416" t="s">
        <v>42</v>
      </c>
      <c r="H70" s="113" t="s">
        <v>53</v>
      </c>
      <c r="I70" s="114">
        <v>14000</v>
      </c>
      <c r="J70" s="127">
        <f t="shared" si="12"/>
        <v>2660</v>
      </c>
      <c r="K70" s="127">
        <f t="shared" si="13"/>
        <v>16660</v>
      </c>
      <c r="L70" s="128">
        <f t="shared" si="0"/>
        <v>700000</v>
      </c>
      <c r="M70" s="128">
        <f t="shared" si="1"/>
        <v>833000</v>
      </c>
      <c r="N70" s="117" t="s">
        <v>50</v>
      </c>
      <c r="O70" s="118">
        <v>11890</v>
      </c>
      <c r="P70" s="129">
        <f t="shared" si="14"/>
        <v>2259.1</v>
      </c>
      <c r="Q70" s="129">
        <f t="shared" si="2"/>
        <v>14149.1</v>
      </c>
      <c r="R70" s="130">
        <f t="shared" si="3"/>
        <v>594500</v>
      </c>
      <c r="S70" s="130">
        <f t="shared" si="4"/>
        <v>707455</v>
      </c>
      <c r="T70" s="121" t="s">
        <v>137</v>
      </c>
      <c r="U70" s="122">
        <v>15000</v>
      </c>
      <c r="V70" s="132">
        <f t="shared" si="19"/>
        <v>2850</v>
      </c>
      <c r="W70" s="132">
        <f t="shared" si="16"/>
        <v>17850</v>
      </c>
      <c r="X70" s="133">
        <f>IF(B70="","",(U70*F70))</f>
        <v>750000</v>
      </c>
      <c r="Y70" s="133">
        <f>IF(B70="","",(W70*F70))</f>
        <v>892500</v>
      </c>
      <c r="Z70" s="134">
        <f t="shared" si="8"/>
        <v>16219.699999999999</v>
      </c>
      <c r="AA70" s="134">
        <f t="shared" si="9"/>
        <v>810985</v>
      </c>
      <c r="AB70" s="134">
        <f t="shared" si="10"/>
        <v>94466.439411041632</v>
      </c>
      <c r="AC70" s="142">
        <f t="shared" si="11"/>
        <v>0.1164835840503112</v>
      </c>
      <c r="AD70" s="141"/>
    </row>
    <row r="71" spans="1:58" s="7" customFormat="1" ht="252" x14ac:dyDescent="0.35">
      <c r="A71" s="136">
        <v>61</v>
      </c>
      <c r="B71" s="413" t="s">
        <v>157</v>
      </c>
      <c r="C71" s="100" t="s">
        <v>163</v>
      </c>
      <c r="D71" s="135" t="s">
        <v>164</v>
      </c>
      <c r="E71" s="413" t="s">
        <v>41</v>
      </c>
      <c r="F71" s="413">
        <v>10</v>
      </c>
      <c r="G71" s="416" t="s">
        <v>88</v>
      </c>
      <c r="H71" s="113" t="s">
        <v>165</v>
      </c>
      <c r="I71" s="114"/>
      <c r="J71" s="127">
        <f t="shared" si="12"/>
        <v>0</v>
      </c>
      <c r="K71" s="127">
        <v>459186</v>
      </c>
      <c r="L71" s="128">
        <v>0</v>
      </c>
      <c r="M71" s="128">
        <f t="shared" si="1"/>
        <v>4591860</v>
      </c>
      <c r="N71" s="117" t="s">
        <v>166</v>
      </c>
      <c r="O71" s="118">
        <v>380168</v>
      </c>
      <c r="P71" s="129">
        <f t="shared" si="14"/>
        <v>72231.92</v>
      </c>
      <c r="Q71" s="129">
        <f t="shared" si="2"/>
        <v>452399.92</v>
      </c>
      <c r="R71" s="130">
        <f t="shared" si="3"/>
        <v>3801680</v>
      </c>
      <c r="S71" s="130">
        <f t="shared" si="4"/>
        <v>4523999.2</v>
      </c>
      <c r="T71" s="121"/>
      <c r="U71" s="122"/>
      <c r="V71" s="132"/>
      <c r="W71" s="132"/>
      <c r="X71" s="133"/>
      <c r="Y71" s="133"/>
      <c r="Z71" s="134">
        <f t="shared" si="8"/>
        <v>455792.95999999996</v>
      </c>
      <c r="AA71" s="134">
        <f t="shared" si="9"/>
        <v>4557929.5999999996</v>
      </c>
      <c r="AB71" s="134">
        <f t="shared" si="10"/>
        <v>47984.831856743935</v>
      </c>
      <c r="AC71" s="142">
        <f t="shared" si="11"/>
        <v>1.0527769418980043E-2</v>
      </c>
      <c r="AD71" s="141"/>
    </row>
    <row r="72" spans="1:58" s="7" customFormat="1" ht="105" x14ac:dyDescent="0.25">
      <c r="A72" s="136">
        <v>62</v>
      </c>
      <c r="B72" s="413" t="s">
        <v>157</v>
      </c>
      <c r="C72" s="100" t="s">
        <v>167</v>
      </c>
      <c r="D72" s="100" t="s">
        <v>168</v>
      </c>
      <c r="E72" s="413" t="s">
        <v>169</v>
      </c>
      <c r="F72" s="413">
        <v>80</v>
      </c>
      <c r="G72" s="416" t="s">
        <v>88</v>
      </c>
      <c r="H72" s="113" t="s">
        <v>170</v>
      </c>
      <c r="I72" s="114">
        <v>4436.79</v>
      </c>
      <c r="J72" s="127">
        <f t="shared" si="12"/>
        <v>842.99009999999998</v>
      </c>
      <c r="K72" s="127">
        <f t="shared" si="13"/>
        <v>5279.7800999999999</v>
      </c>
      <c r="L72" s="128">
        <f t="shared" ref="L72:L81" si="36">IF(B72="","",(I72*F72))</f>
        <v>354943.2</v>
      </c>
      <c r="M72" s="128">
        <f t="shared" si="1"/>
        <v>422382.408</v>
      </c>
      <c r="N72" s="117" t="s">
        <v>166</v>
      </c>
      <c r="O72" s="118">
        <v>4997</v>
      </c>
      <c r="P72" s="129">
        <f t="shared" si="14"/>
        <v>949.43000000000006</v>
      </c>
      <c r="Q72" s="129">
        <f t="shared" si="2"/>
        <v>5946.43</v>
      </c>
      <c r="R72" s="130">
        <f t="shared" si="3"/>
        <v>399760</v>
      </c>
      <c r="S72" s="130">
        <f t="shared" si="4"/>
        <v>475714.4</v>
      </c>
      <c r="T72" s="121" t="s">
        <v>171</v>
      </c>
      <c r="U72" s="122">
        <v>4033.61</v>
      </c>
      <c r="V72" s="132">
        <f t="shared" si="19"/>
        <v>766.38589999999999</v>
      </c>
      <c r="W72" s="132">
        <f t="shared" si="16"/>
        <v>4799.9958999999999</v>
      </c>
      <c r="X72" s="133">
        <f>IF(B72="","",(U72*F72))</f>
        <v>322688.8</v>
      </c>
      <c r="Y72" s="133">
        <f>IF(B72="","",(W72*F72))</f>
        <v>383999.67200000002</v>
      </c>
      <c r="Z72" s="134">
        <f t="shared" si="8"/>
        <v>5342.068666666667</v>
      </c>
      <c r="AA72" s="134">
        <f t="shared" si="9"/>
        <v>427365.49333333335</v>
      </c>
      <c r="AB72" s="134">
        <f t="shared" si="10"/>
        <v>46059.973812497519</v>
      </c>
      <c r="AC72" s="142">
        <f t="shared" si="11"/>
        <v>0.1077765391240233</v>
      </c>
      <c r="AD72" s="141"/>
    </row>
    <row r="73" spans="1:58" s="7" customFormat="1" ht="252" x14ac:dyDescent="0.25">
      <c r="A73" s="136">
        <v>62</v>
      </c>
      <c r="B73" s="413" t="s">
        <v>157</v>
      </c>
      <c r="C73" s="343" t="s">
        <v>172</v>
      </c>
      <c r="D73" s="100" t="s">
        <v>173</v>
      </c>
      <c r="E73" s="413" t="s">
        <v>41</v>
      </c>
      <c r="F73" s="343">
        <v>20</v>
      </c>
      <c r="G73" s="416" t="s">
        <v>88</v>
      </c>
      <c r="H73" s="113" t="s">
        <v>165</v>
      </c>
      <c r="I73" s="114">
        <v>11508</v>
      </c>
      <c r="J73" s="127"/>
      <c r="K73" s="127">
        <f t="shared" si="13"/>
        <v>11508</v>
      </c>
      <c r="L73" s="128">
        <f t="shared" si="36"/>
        <v>230160</v>
      </c>
      <c r="M73" s="128">
        <f t="shared" si="1"/>
        <v>230160</v>
      </c>
      <c r="N73" s="117" t="s">
        <v>166</v>
      </c>
      <c r="O73" s="118">
        <v>9528</v>
      </c>
      <c r="P73" s="129">
        <f t="shared" si="14"/>
        <v>1810.32</v>
      </c>
      <c r="Q73" s="129">
        <f t="shared" si="2"/>
        <v>11338.32</v>
      </c>
      <c r="R73" s="130">
        <f t="shared" si="3"/>
        <v>190560</v>
      </c>
      <c r="S73" s="130">
        <f t="shared" si="4"/>
        <v>226766.4</v>
      </c>
      <c r="T73" s="121"/>
      <c r="U73" s="122"/>
      <c r="V73" s="132"/>
      <c r="W73" s="132"/>
      <c r="X73" s="133"/>
      <c r="Y73" s="133"/>
      <c r="Z73" s="134">
        <f t="shared" si="8"/>
        <v>11423.16</v>
      </c>
      <c r="AA73" s="134">
        <f t="shared" si="9"/>
        <v>228463.2</v>
      </c>
      <c r="AB73" s="134">
        <f t="shared" si="10"/>
        <v>2399.6375726346719</v>
      </c>
      <c r="AC73" s="142">
        <f t="shared" si="11"/>
        <v>1.0503387734368912E-2</v>
      </c>
      <c r="AD73" s="141"/>
    </row>
    <row r="74" spans="1:58" s="7" customFormat="1" ht="105" x14ac:dyDescent="0.25">
      <c r="A74" s="136">
        <v>63</v>
      </c>
      <c r="B74" s="413" t="s">
        <v>157</v>
      </c>
      <c r="C74" s="100" t="s">
        <v>174</v>
      </c>
      <c r="D74" s="100" t="s">
        <v>175</v>
      </c>
      <c r="E74" s="413" t="s">
        <v>176</v>
      </c>
      <c r="F74" s="413">
        <v>1</v>
      </c>
      <c r="G74" s="416" t="s">
        <v>88</v>
      </c>
      <c r="H74" s="113" t="s">
        <v>101</v>
      </c>
      <c r="I74" s="114">
        <v>1050000</v>
      </c>
      <c r="J74" s="127">
        <f t="shared" si="12"/>
        <v>199500</v>
      </c>
      <c r="K74" s="127">
        <f t="shared" si="13"/>
        <v>1249500</v>
      </c>
      <c r="L74" s="128">
        <f t="shared" si="36"/>
        <v>1050000</v>
      </c>
      <c r="M74" s="128">
        <f t="shared" si="1"/>
        <v>1249500</v>
      </c>
      <c r="N74" s="117" t="s">
        <v>177</v>
      </c>
      <c r="O74" s="118">
        <v>1500000</v>
      </c>
      <c r="P74" s="129">
        <f t="shared" si="14"/>
        <v>285000</v>
      </c>
      <c r="Q74" s="129">
        <f t="shared" si="2"/>
        <v>1785000</v>
      </c>
      <c r="R74" s="130">
        <f t="shared" si="3"/>
        <v>1500000</v>
      </c>
      <c r="S74" s="130">
        <f t="shared" si="4"/>
        <v>1785000</v>
      </c>
      <c r="T74" s="121" t="s">
        <v>178</v>
      </c>
      <c r="U74" s="122">
        <v>1260504</v>
      </c>
      <c r="V74" s="132">
        <f t="shared" si="19"/>
        <v>239495.76</v>
      </c>
      <c r="W74" s="132">
        <f t="shared" si="16"/>
        <v>1499999.76</v>
      </c>
      <c r="X74" s="133">
        <f t="shared" ref="X74:X81" si="37">IF(B74="","",(U74*F74))</f>
        <v>1260504</v>
      </c>
      <c r="Y74" s="133">
        <f t="shared" ref="Y74:Y81" si="38">IF(B74="","",(W74*F74))</f>
        <v>1499999.76</v>
      </c>
      <c r="Z74" s="134">
        <f t="shared" si="8"/>
        <v>1511499.92</v>
      </c>
      <c r="AA74" s="134">
        <f t="shared" si="9"/>
        <v>1511499.92</v>
      </c>
      <c r="AB74" s="134">
        <f t="shared" si="10"/>
        <v>267935.1652172957</v>
      </c>
      <c r="AC74" s="142">
        <f t="shared" si="11"/>
        <v>0.17726442566883874</v>
      </c>
      <c r="AD74" s="141"/>
    </row>
    <row r="75" spans="1:58" s="7" customFormat="1" ht="210" x14ac:dyDescent="0.25">
      <c r="A75" s="136">
        <v>64</v>
      </c>
      <c r="B75" s="413" t="s">
        <v>157</v>
      </c>
      <c r="C75" s="100" t="s">
        <v>179</v>
      </c>
      <c r="D75" s="100" t="s">
        <v>180</v>
      </c>
      <c r="E75" s="413" t="s">
        <v>41</v>
      </c>
      <c r="F75" s="413">
        <v>1</v>
      </c>
      <c r="G75" s="416" t="s">
        <v>88</v>
      </c>
      <c r="H75" s="113" t="s">
        <v>101</v>
      </c>
      <c r="I75" s="114">
        <v>1250000</v>
      </c>
      <c r="J75" s="127">
        <f t="shared" si="12"/>
        <v>237500</v>
      </c>
      <c r="K75" s="127">
        <f t="shared" si="13"/>
        <v>1487500</v>
      </c>
      <c r="L75" s="128">
        <f t="shared" si="36"/>
        <v>1250000</v>
      </c>
      <c r="M75" s="128">
        <f t="shared" ref="M75:M81" si="39">IF(B75="","",(K75*F75))</f>
        <v>1487500</v>
      </c>
      <c r="N75" s="117" t="s">
        <v>178</v>
      </c>
      <c r="O75" s="118">
        <v>1008403</v>
      </c>
      <c r="P75" s="129">
        <f t="shared" si="14"/>
        <v>191596.57</v>
      </c>
      <c r="Q75" s="129">
        <f t="shared" ref="Q75:Q94" si="40">O75+P75</f>
        <v>1199999.57</v>
      </c>
      <c r="R75" s="130">
        <f t="shared" ref="R75:R94" si="41">IF(B75="","",(O75*F75))</f>
        <v>1008403</v>
      </c>
      <c r="S75" s="130">
        <f t="shared" ref="S75:S94" si="42">IF(B75="","",(Q75*F75))</f>
        <v>1199999.57</v>
      </c>
      <c r="T75" s="121" t="s">
        <v>181</v>
      </c>
      <c r="U75" s="122">
        <v>1100000</v>
      </c>
      <c r="V75" s="132">
        <f t="shared" si="19"/>
        <v>209000</v>
      </c>
      <c r="W75" s="132">
        <f t="shared" si="16"/>
        <v>1309000</v>
      </c>
      <c r="X75" s="133">
        <f t="shared" si="37"/>
        <v>1100000</v>
      </c>
      <c r="Y75" s="133">
        <f t="shared" si="38"/>
        <v>1309000</v>
      </c>
      <c r="Z75" s="134">
        <f t="shared" ref="Z75:Z92" si="43">IF(A75="","",AVERAGE(K75,Q75,W75))</f>
        <v>1332166.5233333334</v>
      </c>
      <c r="AA75" s="134">
        <f t="shared" ref="AA75:AA93" si="44">IF(B75="","",Z75*F75)</f>
        <v>1332166.5233333334</v>
      </c>
      <c r="AB75" s="134">
        <f t="shared" ref="AB75:AB92" si="45">IF(B75="","",STDEV(M75,S75,Y75))</f>
        <v>145143.51575272533</v>
      </c>
      <c r="AC75" s="142">
        <f t="shared" ref="AC75:AC92" si="46">IF(B75="","",(AB75/AA75))</f>
        <v>0.10895298238657786</v>
      </c>
      <c r="AD75" s="141"/>
    </row>
    <row r="76" spans="1:58" s="7" customFormat="1" ht="105" x14ac:dyDescent="0.25">
      <c r="A76" s="136">
        <v>65</v>
      </c>
      <c r="B76" s="100" t="s">
        <v>157</v>
      </c>
      <c r="C76" s="100" t="s">
        <v>139</v>
      </c>
      <c r="D76" s="100" t="s">
        <v>140</v>
      </c>
      <c r="E76" s="409" t="s">
        <v>182</v>
      </c>
      <c r="F76" s="409">
        <v>40</v>
      </c>
      <c r="G76" s="411" t="s">
        <v>42</v>
      </c>
      <c r="H76" s="77" t="s">
        <v>43</v>
      </c>
      <c r="I76" s="101">
        <v>13277.31</v>
      </c>
      <c r="J76" s="127">
        <f t="shared" ref="J76:J94" si="47">I76*19%</f>
        <v>2522.6889000000001</v>
      </c>
      <c r="K76" s="127">
        <f t="shared" ref="K76:K94" si="48">I76+J76</f>
        <v>15799.998899999999</v>
      </c>
      <c r="L76" s="128">
        <f t="shared" si="36"/>
        <v>531092.4</v>
      </c>
      <c r="M76" s="128">
        <f t="shared" si="39"/>
        <v>631999.95600000001</v>
      </c>
      <c r="N76" s="81" t="s">
        <v>142</v>
      </c>
      <c r="O76" s="102">
        <v>16369.75</v>
      </c>
      <c r="P76" s="129">
        <f t="shared" ref="P76:P83" si="49">O76*19%</f>
        <v>3110.2525000000001</v>
      </c>
      <c r="Q76" s="129">
        <f t="shared" si="40"/>
        <v>19480.002499999999</v>
      </c>
      <c r="R76" s="130">
        <f t="shared" si="41"/>
        <v>654790</v>
      </c>
      <c r="S76" s="130">
        <f t="shared" si="42"/>
        <v>779200.1</v>
      </c>
      <c r="T76" s="85" t="s">
        <v>143</v>
      </c>
      <c r="U76" s="104">
        <v>14621.85</v>
      </c>
      <c r="V76" s="132">
        <f t="shared" si="19"/>
        <v>2778.1514999999999</v>
      </c>
      <c r="W76" s="132">
        <f t="shared" si="16"/>
        <v>17400.001499999998</v>
      </c>
      <c r="X76" s="133">
        <f t="shared" si="37"/>
        <v>584874</v>
      </c>
      <c r="Y76" s="133">
        <f t="shared" si="38"/>
        <v>696000.05999999994</v>
      </c>
      <c r="Z76" s="134">
        <f t="shared" si="43"/>
        <v>17560.000966666663</v>
      </c>
      <c r="AA76" s="134">
        <f t="shared" si="44"/>
        <v>702400.03866666649</v>
      </c>
      <c r="AB76" s="134">
        <f t="shared" si="45"/>
        <v>73808.47101522646</v>
      </c>
      <c r="AC76" s="142">
        <f t="shared" si="46"/>
        <v>0.10508039144663726</v>
      </c>
      <c r="AD76" s="141"/>
    </row>
    <row r="77" spans="1:58" s="7" customFormat="1" ht="126" x14ac:dyDescent="0.25">
      <c r="A77" s="136">
        <v>66</v>
      </c>
      <c r="B77" s="100" t="s">
        <v>157</v>
      </c>
      <c r="C77" s="100" t="s">
        <v>183</v>
      </c>
      <c r="D77" s="139" t="s">
        <v>184</v>
      </c>
      <c r="E77" s="100" t="s">
        <v>41</v>
      </c>
      <c r="F77" s="100">
        <v>410</v>
      </c>
      <c r="G77" s="411" t="s">
        <v>42</v>
      </c>
      <c r="H77" s="113" t="s">
        <v>101</v>
      </c>
      <c r="I77" s="114">
        <v>14500</v>
      </c>
      <c r="J77" s="127">
        <f>I77*8%</f>
        <v>1160</v>
      </c>
      <c r="K77" s="127">
        <f t="shared" si="48"/>
        <v>15660</v>
      </c>
      <c r="L77" s="128">
        <f t="shared" si="36"/>
        <v>5945000</v>
      </c>
      <c r="M77" s="128">
        <f t="shared" si="39"/>
        <v>6420600</v>
      </c>
      <c r="N77" s="117" t="s">
        <v>185</v>
      </c>
      <c r="O77" s="118">
        <v>16300</v>
      </c>
      <c r="P77" s="129">
        <f>O77*8%</f>
        <v>1304</v>
      </c>
      <c r="Q77" s="129">
        <f t="shared" si="40"/>
        <v>17604</v>
      </c>
      <c r="R77" s="130">
        <f t="shared" si="41"/>
        <v>6683000</v>
      </c>
      <c r="S77" s="130">
        <f t="shared" si="42"/>
        <v>7217640</v>
      </c>
      <c r="T77" s="121" t="s">
        <v>186</v>
      </c>
      <c r="U77" s="122">
        <v>15000</v>
      </c>
      <c r="V77" s="132">
        <f>U77*8%</f>
        <v>1200</v>
      </c>
      <c r="W77" s="132">
        <f t="shared" si="16"/>
        <v>16200</v>
      </c>
      <c r="X77" s="133">
        <f t="shared" si="37"/>
        <v>6150000</v>
      </c>
      <c r="Y77" s="133">
        <f t="shared" si="38"/>
        <v>6642000</v>
      </c>
      <c r="Z77" s="134">
        <f t="shared" si="43"/>
        <v>16488</v>
      </c>
      <c r="AA77" s="134">
        <f t="shared" si="44"/>
        <v>6760080</v>
      </c>
      <c r="AB77" s="134">
        <f t="shared" si="45"/>
        <v>411430.86320790276</v>
      </c>
      <c r="AC77" s="142">
        <f t="shared" si="46"/>
        <v>6.0861833470595428E-2</v>
      </c>
      <c r="AD77" s="141"/>
    </row>
    <row r="78" spans="1:58" s="7" customFormat="1" ht="409.5" x14ac:dyDescent="0.35">
      <c r="A78" s="136">
        <v>67</v>
      </c>
      <c r="B78" s="413" t="s">
        <v>157</v>
      </c>
      <c r="C78" s="100" t="s">
        <v>93</v>
      </c>
      <c r="D78" s="137" t="s">
        <v>94</v>
      </c>
      <c r="E78" s="413" t="s">
        <v>41</v>
      </c>
      <c r="F78" s="413">
        <v>50</v>
      </c>
      <c r="G78" s="416" t="s">
        <v>42</v>
      </c>
      <c r="H78" s="77" t="s">
        <v>95</v>
      </c>
      <c r="I78" s="78">
        <v>11700</v>
      </c>
      <c r="J78" s="79">
        <f>I78*8%</f>
        <v>936</v>
      </c>
      <c r="K78" s="127">
        <f t="shared" si="48"/>
        <v>12636</v>
      </c>
      <c r="L78" s="128">
        <f t="shared" si="36"/>
        <v>585000</v>
      </c>
      <c r="M78" s="128">
        <f t="shared" si="39"/>
        <v>631800</v>
      </c>
      <c r="N78" s="81" t="s">
        <v>50</v>
      </c>
      <c r="O78" s="82">
        <v>8570</v>
      </c>
      <c r="P78" s="83">
        <f>O78*8%</f>
        <v>685.6</v>
      </c>
      <c r="Q78" s="129">
        <f t="shared" si="40"/>
        <v>9255.6</v>
      </c>
      <c r="R78" s="130">
        <f t="shared" si="41"/>
        <v>428500</v>
      </c>
      <c r="S78" s="130">
        <f t="shared" si="42"/>
        <v>462780</v>
      </c>
      <c r="T78" s="85" t="s">
        <v>96</v>
      </c>
      <c r="U78" s="86">
        <v>13871</v>
      </c>
      <c r="V78" s="132"/>
      <c r="W78" s="132">
        <f t="shared" si="16"/>
        <v>13871</v>
      </c>
      <c r="X78" s="133">
        <f t="shared" si="37"/>
        <v>693550</v>
      </c>
      <c r="Y78" s="133">
        <f t="shared" si="38"/>
        <v>693550</v>
      </c>
      <c r="Z78" s="134">
        <f t="shared" si="43"/>
        <v>11920.866666666667</v>
      </c>
      <c r="AA78" s="134">
        <f t="shared" si="44"/>
        <v>596043.33333333337</v>
      </c>
      <c r="AB78" s="134">
        <f t="shared" si="45"/>
        <v>119467.99836497351</v>
      </c>
      <c r="AC78" s="142">
        <f t="shared" si="46"/>
        <v>0.20043508866520918</v>
      </c>
      <c r="AD78" s="141"/>
    </row>
    <row r="79" spans="1:58" s="7" customFormat="1" ht="189" x14ac:dyDescent="0.35">
      <c r="A79" s="136">
        <v>68</v>
      </c>
      <c r="B79" s="413" t="s">
        <v>157</v>
      </c>
      <c r="C79" s="343" t="s">
        <v>187</v>
      </c>
      <c r="D79" s="135" t="s">
        <v>188</v>
      </c>
      <c r="E79" s="418" t="s">
        <v>189</v>
      </c>
      <c r="F79" s="418">
        <v>1</v>
      </c>
      <c r="G79" s="416" t="s">
        <v>42</v>
      </c>
      <c r="H79" s="113" t="s">
        <v>53</v>
      </c>
      <c r="I79" s="114">
        <v>1050000</v>
      </c>
      <c r="J79" s="127">
        <f t="shared" si="47"/>
        <v>199500</v>
      </c>
      <c r="K79" s="127">
        <f t="shared" si="48"/>
        <v>1249500</v>
      </c>
      <c r="L79" s="128">
        <f t="shared" si="36"/>
        <v>1050000</v>
      </c>
      <c r="M79" s="128">
        <f t="shared" si="39"/>
        <v>1249500</v>
      </c>
      <c r="N79" s="117" t="s">
        <v>50</v>
      </c>
      <c r="O79" s="118">
        <v>1130500</v>
      </c>
      <c r="P79" s="129">
        <f t="shared" si="49"/>
        <v>214795</v>
      </c>
      <c r="Q79" s="129">
        <f t="shared" si="40"/>
        <v>1345295</v>
      </c>
      <c r="R79" s="130">
        <f t="shared" si="41"/>
        <v>1130500</v>
      </c>
      <c r="S79" s="130">
        <f t="shared" si="42"/>
        <v>1345295</v>
      </c>
      <c r="T79" s="121" t="s">
        <v>137</v>
      </c>
      <c r="U79" s="122">
        <v>1000000</v>
      </c>
      <c r="V79" s="132">
        <f t="shared" si="19"/>
        <v>190000</v>
      </c>
      <c r="W79" s="132">
        <f t="shared" si="16"/>
        <v>1190000</v>
      </c>
      <c r="X79" s="133">
        <f t="shared" si="37"/>
        <v>1000000</v>
      </c>
      <c r="Y79" s="133">
        <f t="shared" si="38"/>
        <v>1190000</v>
      </c>
      <c r="Z79" s="134">
        <f t="shared" si="43"/>
        <v>1261598.3333333333</v>
      </c>
      <c r="AA79" s="134">
        <f t="shared" si="44"/>
        <v>1261598.3333333333</v>
      </c>
      <c r="AB79" s="134">
        <f t="shared" si="45"/>
        <v>78351.206170251986</v>
      </c>
      <c r="AC79" s="142">
        <f t="shared" si="46"/>
        <v>6.2104715978211759E-2</v>
      </c>
      <c r="AD79" s="141"/>
    </row>
    <row r="80" spans="1:58" s="7" customFormat="1" ht="409.5" x14ac:dyDescent="0.35">
      <c r="A80" s="136">
        <v>69</v>
      </c>
      <c r="B80" s="413" t="s">
        <v>157</v>
      </c>
      <c r="C80" s="343" t="s">
        <v>190</v>
      </c>
      <c r="D80" s="135" t="s">
        <v>191</v>
      </c>
      <c r="E80" s="413" t="s">
        <v>176</v>
      </c>
      <c r="F80" s="413">
        <v>1</v>
      </c>
      <c r="G80" s="416" t="s">
        <v>42</v>
      </c>
      <c r="H80" s="113" t="s">
        <v>53</v>
      </c>
      <c r="I80" s="114">
        <v>4546000</v>
      </c>
      <c r="J80" s="127">
        <f t="shared" si="47"/>
        <v>863740</v>
      </c>
      <c r="K80" s="127">
        <f t="shared" si="48"/>
        <v>5409740</v>
      </c>
      <c r="L80" s="128">
        <f t="shared" si="36"/>
        <v>4546000</v>
      </c>
      <c r="M80" s="128">
        <f t="shared" si="39"/>
        <v>5409740</v>
      </c>
      <c r="N80" s="117" t="s">
        <v>99</v>
      </c>
      <c r="O80" s="118">
        <v>3850000</v>
      </c>
      <c r="P80" s="129">
        <f t="shared" si="49"/>
        <v>731500</v>
      </c>
      <c r="Q80" s="129">
        <f t="shared" si="40"/>
        <v>4581500</v>
      </c>
      <c r="R80" s="130">
        <f t="shared" si="41"/>
        <v>3850000</v>
      </c>
      <c r="S80" s="130">
        <f t="shared" si="42"/>
        <v>4581500</v>
      </c>
      <c r="T80" s="121" t="s">
        <v>192</v>
      </c>
      <c r="U80" s="122">
        <v>4100000</v>
      </c>
      <c r="V80" s="132">
        <f t="shared" si="19"/>
        <v>779000</v>
      </c>
      <c r="W80" s="132">
        <f t="shared" si="16"/>
        <v>4879000</v>
      </c>
      <c r="X80" s="133">
        <f t="shared" si="37"/>
        <v>4100000</v>
      </c>
      <c r="Y80" s="133">
        <f t="shared" si="38"/>
        <v>4879000</v>
      </c>
      <c r="Z80" s="134">
        <f t="shared" si="43"/>
        <v>4956746.666666667</v>
      </c>
      <c r="AA80" s="134">
        <f t="shared" si="44"/>
        <v>4956746.666666667</v>
      </c>
      <c r="AB80" s="134">
        <f t="shared" si="45"/>
        <v>419557.84170163394</v>
      </c>
      <c r="AC80" s="142">
        <f t="shared" si="46"/>
        <v>8.464379358402431E-2</v>
      </c>
      <c r="AD80" s="141"/>
    </row>
    <row r="81" spans="1:58" s="7" customFormat="1" ht="105" x14ac:dyDescent="0.35">
      <c r="A81" s="136">
        <v>70</v>
      </c>
      <c r="B81" s="413" t="s">
        <v>157</v>
      </c>
      <c r="C81" s="343" t="s">
        <v>193</v>
      </c>
      <c r="D81" s="135" t="s">
        <v>194</v>
      </c>
      <c r="E81" s="413" t="s">
        <v>176</v>
      </c>
      <c r="F81" s="413">
        <v>1</v>
      </c>
      <c r="G81" s="416" t="s">
        <v>195</v>
      </c>
      <c r="H81" s="113" t="s">
        <v>53</v>
      </c>
      <c r="I81" s="114">
        <v>1503500</v>
      </c>
      <c r="J81" s="127">
        <f t="shared" si="47"/>
        <v>285665</v>
      </c>
      <c r="K81" s="127">
        <f t="shared" si="48"/>
        <v>1789165</v>
      </c>
      <c r="L81" s="128">
        <f t="shared" si="36"/>
        <v>1503500</v>
      </c>
      <c r="M81" s="128">
        <f t="shared" si="39"/>
        <v>1789165</v>
      </c>
      <c r="N81" s="117" t="s">
        <v>196</v>
      </c>
      <c r="O81" s="118">
        <v>1150000</v>
      </c>
      <c r="P81" s="129">
        <f t="shared" si="49"/>
        <v>218500</v>
      </c>
      <c r="Q81" s="129">
        <f t="shared" si="40"/>
        <v>1368500</v>
      </c>
      <c r="R81" s="130">
        <f t="shared" si="41"/>
        <v>1150000</v>
      </c>
      <c r="S81" s="130">
        <f t="shared" si="42"/>
        <v>1368500</v>
      </c>
      <c r="T81" s="121" t="s">
        <v>197</v>
      </c>
      <c r="U81" s="122">
        <v>1500000</v>
      </c>
      <c r="V81" s="132">
        <f t="shared" si="19"/>
        <v>285000</v>
      </c>
      <c r="W81" s="132">
        <f t="shared" si="16"/>
        <v>1785000</v>
      </c>
      <c r="X81" s="133">
        <f t="shared" si="37"/>
        <v>1500000</v>
      </c>
      <c r="Y81" s="133">
        <f t="shared" si="38"/>
        <v>1785000</v>
      </c>
      <c r="Z81" s="134">
        <f t="shared" si="43"/>
        <v>1647555</v>
      </c>
      <c r="AA81" s="134">
        <f t="shared" si="44"/>
        <v>1647555</v>
      </c>
      <c r="AB81" s="134">
        <f t="shared" si="45"/>
        <v>241677.69151289077</v>
      </c>
      <c r="AC81" s="142">
        <f t="shared" si="46"/>
        <v>0.14668869416370972</v>
      </c>
      <c r="AD81" s="141"/>
    </row>
    <row r="82" spans="1:58" s="7" customFormat="1" ht="252.75" thickBot="1" x14ac:dyDescent="0.3">
      <c r="A82" s="136">
        <v>71</v>
      </c>
      <c r="B82" s="413" t="s">
        <v>157</v>
      </c>
      <c r="C82" s="343" t="s">
        <v>198</v>
      </c>
      <c r="D82" s="139" t="s">
        <v>199</v>
      </c>
      <c r="E82" s="413" t="s">
        <v>176</v>
      </c>
      <c r="F82" s="413">
        <v>4</v>
      </c>
      <c r="G82" s="416" t="s">
        <v>88</v>
      </c>
      <c r="H82" s="113" t="s">
        <v>165</v>
      </c>
      <c r="I82" s="114"/>
      <c r="J82" s="127"/>
      <c r="K82" s="127">
        <v>448270</v>
      </c>
      <c r="L82" s="128"/>
      <c r="M82" s="128">
        <v>1793080</v>
      </c>
      <c r="N82" s="117" t="s">
        <v>166</v>
      </c>
      <c r="O82" s="118">
        <v>395532</v>
      </c>
      <c r="P82" s="129">
        <f t="shared" si="49"/>
        <v>75151.08</v>
      </c>
      <c r="Q82" s="129">
        <f t="shared" si="40"/>
        <v>470683.08</v>
      </c>
      <c r="R82" s="130">
        <f t="shared" si="41"/>
        <v>1582128</v>
      </c>
      <c r="S82" s="130">
        <f t="shared" si="42"/>
        <v>1882732.32</v>
      </c>
      <c r="T82" s="121"/>
      <c r="U82" s="122"/>
      <c r="V82" s="132"/>
      <c r="W82" s="132"/>
      <c r="X82" s="133"/>
      <c r="Y82" s="133"/>
      <c r="Z82" s="134">
        <f t="shared" si="43"/>
        <v>459476.54000000004</v>
      </c>
      <c r="AA82" s="134">
        <f t="shared" si="44"/>
        <v>1837906.1600000001</v>
      </c>
      <c r="AB82" s="134">
        <f t="shared" si="45"/>
        <v>63393.763421106385</v>
      </c>
      <c r="AC82" s="142">
        <f t="shared" si="46"/>
        <v>3.4492383126408573E-2</v>
      </c>
      <c r="AD82" s="141"/>
    </row>
    <row r="83" spans="1:58" s="7" customFormat="1" ht="105.75" thickBot="1" x14ac:dyDescent="0.3">
      <c r="A83" s="136">
        <v>72</v>
      </c>
      <c r="B83" s="419" t="s">
        <v>157</v>
      </c>
      <c r="C83" s="420" t="s">
        <v>200</v>
      </c>
      <c r="D83" s="420" t="s">
        <v>201</v>
      </c>
      <c r="E83" s="419" t="s">
        <v>176</v>
      </c>
      <c r="F83" s="419">
        <v>1</v>
      </c>
      <c r="G83" s="411" t="s">
        <v>88</v>
      </c>
      <c r="H83" s="113" t="s">
        <v>202</v>
      </c>
      <c r="I83" s="114">
        <v>280000</v>
      </c>
      <c r="J83" s="127">
        <f t="shared" si="47"/>
        <v>53200</v>
      </c>
      <c r="K83" s="127">
        <f t="shared" si="48"/>
        <v>333200</v>
      </c>
      <c r="L83" s="128">
        <f t="shared" ref="L83:L94" si="50">IF(B83="","",(I83*F83))</f>
        <v>280000</v>
      </c>
      <c r="M83" s="128">
        <f t="shared" ref="M83:M94" si="51">IF(B83="","",(K83*F83))</f>
        <v>333200</v>
      </c>
      <c r="N83" s="117" t="s">
        <v>196</v>
      </c>
      <c r="O83" s="118">
        <v>250000</v>
      </c>
      <c r="P83" s="129">
        <f t="shared" si="49"/>
        <v>47500</v>
      </c>
      <c r="Q83" s="129">
        <f t="shared" si="40"/>
        <v>297500</v>
      </c>
      <c r="R83" s="130">
        <f t="shared" si="41"/>
        <v>250000</v>
      </c>
      <c r="S83" s="130">
        <f t="shared" si="42"/>
        <v>297500</v>
      </c>
      <c r="T83" s="121" t="s">
        <v>197</v>
      </c>
      <c r="U83" s="122">
        <v>290000</v>
      </c>
      <c r="V83" s="132">
        <f t="shared" si="19"/>
        <v>55100</v>
      </c>
      <c r="W83" s="132">
        <f t="shared" si="16"/>
        <v>345100</v>
      </c>
      <c r="X83" s="133">
        <f>IF(B83="","",(U83*F83))</f>
        <v>290000</v>
      </c>
      <c r="Y83" s="133">
        <f>IF(B83="","",(W83*F83))</f>
        <v>345100</v>
      </c>
      <c r="Z83" s="134">
        <f t="shared" si="43"/>
        <v>325266.66666666669</v>
      </c>
      <c r="AA83" s="134">
        <f t="shared" si="44"/>
        <v>325266.66666666669</v>
      </c>
      <c r="AB83" s="134">
        <f t="shared" si="45"/>
        <v>24771.825393646977</v>
      </c>
      <c r="AC83" s="142">
        <f t="shared" si="46"/>
        <v>7.6158512175590207E-2</v>
      </c>
      <c r="AD83" s="141"/>
    </row>
    <row r="84" spans="1:58" s="7" customFormat="1" ht="409.5" x14ac:dyDescent="0.35">
      <c r="A84" s="136">
        <v>73</v>
      </c>
      <c r="B84" s="413" t="s">
        <v>203</v>
      </c>
      <c r="C84" s="100" t="s">
        <v>93</v>
      </c>
      <c r="D84" s="137" t="s">
        <v>94</v>
      </c>
      <c r="E84" s="413" t="s">
        <v>169</v>
      </c>
      <c r="F84" s="413">
        <v>660</v>
      </c>
      <c r="G84" s="416" t="s">
        <v>42</v>
      </c>
      <c r="H84" s="77" t="s">
        <v>95</v>
      </c>
      <c r="I84" s="78">
        <v>11700</v>
      </c>
      <c r="J84" s="79">
        <f>I84*8%</f>
        <v>936</v>
      </c>
      <c r="K84" s="127">
        <f t="shared" si="48"/>
        <v>12636</v>
      </c>
      <c r="L84" s="128">
        <f t="shared" si="50"/>
        <v>7722000</v>
      </c>
      <c r="M84" s="128">
        <f t="shared" si="51"/>
        <v>8339760</v>
      </c>
      <c r="N84" s="81" t="s">
        <v>50</v>
      </c>
      <c r="O84" s="82">
        <v>8570</v>
      </c>
      <c r="P84" s="83">
        <f>O84*8%</f>
        <v>685.6</v>
      </c>
      <c r="Q84" s="129">
        <f t="shared" si="40"/>
        <v>9255.6</v>
      </c>
      <c r="R84" s="130">
        <f t="shared" si="41"/>
        <v>5656200</v>
      </c>
      <c r="S84" s="130">
        <f t="shared" si="42"/>
        <v>6108696</v>
      </c>
      <c r="T84" s="85" t="s">
        <v>96</v>
      </c>
      <c r="U84" s="86">
        <v>13871</v>
      </c>
      <c r="V84" s="132"/>
      <c r="W84" s="132">
        <f t="shared" si="16"/>
        <v>13871</v>
      </c>
      <c r="X84" s="133">
        <f>IF(B84="","",(U84*F84))</f>
        <v>9154860</v>
      </c>
      <c r="Y84" s="133">
        <f>IF(B84="","",(W84*F84))</f>
        <v>9154860</v>
      </c>
      <c r="Z84" s="134">
        <f t="shared" si="43"/>
        <v>11920.866666666667</v>
      </c>
      <c r="AA84" s="134">
        <f t="shared" si="44"/>
        <v>7867772</v>
      </c>
      <c r="AB84" s="134">
        <f t="shared" si="45"/>
        <v>1576977.5784176514</v>
      </c>
      <c r="AC84" s="142">
        <f t="shared" si="46"/>
        <v>0.20043508866520934</v>
      </c>
      <c r="AD84" s="141"/>
    </row>
    <row r="85" spans="1:58" s="7" customFormat="1" ht="189" x14ac:dyDescent="0.35">
      <c r="A85" s="136">
        <v>74</v>
      </c>
      <c r="B85" s="413" t="s">
        <v>203</v>
      </c>
      <c r="C85" s="100" t="s">
        <v>85</v>
      </c>
      <c r="D85" s="137" t="s">
        <v>86</v>
      </c>
      <c r="E85" s="413" t="s">
        <v>204</v>
      </c>
      <c r="F85" s="413">
        <v>80</v>
      </c>
      <c r="G85" s="416" t="s">
        <v>88</v>
      </c>
      <c r="H85" s="77" t="s">
        <v>89</v>
      </c>
      <c r="I85" s="78">
        <v>302522</v>
      </c>
      <c r="J85" s="127">
        <f t="shared" si="47"/>
        <v>57479.18</v>
      </c>
      <c r="K85" s="127">
        <f t="shared" si="48"/>
        <v>360001.18</v>
      </c>
      <c r="L85" s="128">
        <f t="shared" si="50"/>
        <v>24201760</v>
      </c>
      <c r="M85" s="128">
        <f t="shared" si="51"/>
        <v>28800094.399999999</v>
      </c>
      <c r="N85" s="81" t="s">
        <v>90</v>
      </c>
      <c r="O85" s="82">
        <v>252101</v>
      </c>
      <c r="P85" s="129">
        <f t="shared" ref="P85:P94" si="52">O85*19%</f>
        <v>47899.19</v>
      </c>
      <c r="Q85" s="129">
        <f t="shared" si="40"/>
        <v>300000.19</v>
      </c>
      <c r="R85" s="130">
        <f t="shared" si="41"/>
        <v>20168080</v>
      </c>
      <c r="S85" s="130">
        <f t="shared" si="42"/>
        <v>24000015.199999999</v>
      </c>
      <c r="T85" s="85"/>
      <c r="U85" s="122"/>
      <c r="V85" s="132"/>
      <c r="W85" s="132"/>
      <c r="X85" s="133"/>
      <c r="Y85" s="133"/>
      <c r="Z85" s="134">
        <f t="shared" si="43"/>
        <v>330000.685</v>
      </c>
      <c r="AA85" s="134">
        <f t="shared" si="44"/>
        <v>26400054.800000001</v>
      </c>
      <c r="AB85" s="134">
        <f t="shared" si="45"/>
        <v>3394168.5525524975</v>
      </c>
      <c r="AC85" s="142">
        <f t="shared" si="46"/>
        <v>0.1285667237536377</v>
      </c>
      <c r="AD85" s="141"/>
    </row>
    <row r="86" spans="1:58" s="7" customFormat="1" ht="210" x14ac:dyDescent="0.25">
      <c r="A86" s="136">
        <v>75</v>
      </c>
      <c r="B86" s="109" t="s">
        <v>203</v>
      </c>
      <c r="C86" s="100" t="s">
        <v>205</v>
      </c>
      <c r="D86" s="100" t="s">
        <v>206</v>
      </c>
      <c r="E86" s="109" t="s">
        <v>41</v>
      </c>
      <c r="F86" s="413">
        <v>70</v>
      </c>
      <c r="G86" s="411" t="s">
        <v>42</v>
      </c>
      <c r="H86" s="113" t="s">
        <v>73</v>
      </c>
      <c r="I86" s="114">
        <v>28000</v>
      </c>
      <c r="J86" s="127">
        <f t="shared" si="47"/>
        <v>5320</v>
      </c>
      <c r="K86" s="127">
        <f t="shared" si="48"/>
        <v>33320</v>
      </c>
      <c r="L86" s="128">
        <f t="shared" si="50"/>
        <v>1960000</v>
      </c>
      <c r="M86" s="128">
        <f t="shared" si="51"/>
        <v>2332400</v>
      </c>
      <c r="N86" s="117" t="s">
        <v>83</v>
      </c>
      <c r="O86" s="118">
        <v>26554.62</v>
      </c>
      <c r="P86" s="129">
        <f t="shared" si="52"/>
        <v>5045.3778000000002</v>
      </c>
      <c r="Q86" s="129">
        <f t="shared" si="40"/>
        <v>31599.997799999997</v>
      </c>
      <c r="R86" s="130">
        <f t="shared" si="41"/>
        <v>1858823.4</v>
      </c>
      <c r="S86" s="130">
        <f t="shared" si="42"/>
        <v>2211999.8459999999</v>
      </c>
      <c r="T86" s="121" t="s">
        <v>129</v>
      </c>
      <c r="U86" s="122">
        <v>30000</v>
      </c>
      <c r="V86" s="132"/>
      <c r="W86" s="132">
        <f t="shared" ref="W86:W94" si="53">U86+V86</f>
        <v>30000</v>
      </c>
      <c r="X86" s="133">
        <f t="shared" ref="X86:X94" si="54">IF(B86="","",(U86*F86))</f>
        <v>2100000</v>
      </c>
      <c r="Y86" s="133">
        <f t="shared" ref="Y86:Y94" si="55">IF(B86="","",(W86*F86))</f>
        <v>2100000</v>
      </c>
      <c r="Z86" s="134">
        <f t="shared" si="43"/>
        <v>31639.999266666666</v>
      </c>
      <c r="AA86" s="134">
        <f t="shared" si="44"/>
        <v>2214799.9486666666</v>
      </c>
      <c r="AB86" s="134">
        <f t="shared" si="45"/>
        <v>116225.30030594846</v>
      </c>
      <c r="AC86" s="142">
        <f t="shared" si="46"/>
        <v>5.2476658388906562E-2</v>
      </c>
      <c r="AD86" s="141"/>
    </row>
    <row r="87" spans="1:58" s="7" customFormat="1" ht="409.5" x14ac:dyDescent="0.25">
      <c r="A87" s="136">
        <v>76</v>
      </c>
      <c r="B87" s="109" t="s">
        <v>203</v>
      </c>
      <c r="C87" s="100" t="s">
        <v>97</v>
      </c>
      <c r="D87" s="100" t="s">
        <v>98</v>
      </c>
      <c r="E87" s="109" t="s">
        <v>41</v>
      </c>
      <c r="F87" s="413">
        <v>80</v>
      </c>
      <c r="G87" s="416" t="s">
        <v>42</v>
      </c>
      <c r="H87" s="77" t="s">
        <v>99</v>
      </c>
      <c r="I87" s="101">
        <v>21600</v>
      </c>
      <c r="J87" s="79">
        <f>I87*8%</f>
        <v>1728</v>
      </c>
      <c r="K87" s="127">
        <f t="shared" si="48"/>
        <v>23328</v>
      </c>
      <c r="L87" s="128">
        <f t="shared" si="50"/>
        <v>1728000</v>
      </c>
      <c r="M87" s="128">
        <f t="shared" si="51"/>
        <v>1866240</v>
      </c>
      <c r="N87" s="81" t="s">
        <v>100</v>
      </c>
      <c r="O87" s="82">
        <v>25000</v>
      </c>
      <c r="P87" s="83">
        <f>O87*8%</f>
        <v>2000</v>
      </c>
      <c r="Q87" s="129">
        <f t="shared" si="40"/>
        <v>27000</v>
      </c>
      <c r="R87" s="130">
        <f t="shared" si="41"/>
        <v>2000000</v>
      </c>
      <c r="S87" s="130">
        <f t="shared" si="42"/>
        <v>2160000</v>
      </c>
      <c r="T87" s="85" t="s">
        <v>101</v>
      </c>
      <c r="U87" s="410">
        <v>26824</v>
      </c>
      <c r="V87" s="87">
        <f>U87*8%</f>
        <v>2145.92</v>
      </c>
      <c r="W87" s="132">
        <f t="shared" si="53"/>
        <v>28969.919999999998</v>
      </c>
      <c r="X87" s="133">
        <f t="shared" si="54"/>
        <v>2145920</v>
      </c>
      <c r="Y87" s="133">
        <f t="shared" si="55"/>
        <v>2317593.5999999996</v>
      </c>
      <c r="Z87" s="134">
        <f t="shared" si="43"/>
        <v>26432.639999999999</v>
      </c>
      <c r="AA87" s="134">
        <f t="shared" si="44"/>
        <v>2114611.2000000002</v>
      </c>
      <c r="AB87" s="134">
        <f t="shared" si="45"/>
        <v>229074.49755989845</v>
      </c>
      <c r="AC87" s="142">
        <f t="shared" si="46"/>
        <v>0.10832936927596828</v>
      </c>
      <c r="AD87" s="141"/>
    </row>
    <row r="88" spans="1:58" s="7" customFormat="1" ht="169.5" customHeight="1" x14ac:dyDescent="0.35">
      <c r="A88" s="136">
        <v>77</v>
      </c>
      <c r="B88" s="109" t="s">
        <v>203</v>
      </c>
      <c r="C88" s="413" t="s">
        <v>207</v>
      </c>
      <c r="D88" s="135" t="s">
        <v>208</v>
      </c>
      <c r="E88" s="109" t="s">
        <v>41</v>
      </c>
      <c r="F88" s="413">
        <v>70</v>
      </c>
      <c r="G88" s="416" t="s">
        <v>42</v>
      </c>
      <c r="H88" s="113" t="s">
        <v>209</v>
      </c>
      <c r="I88" s="114">
        <v>92500</v>
      </c>
      <c r="J88" s="127">
        <f t="shared" si="47"/>
        <v>17575</v>
      </c>
      <c r="K88" s="127">
        <f t="shared" si="48"/>
        <v>110075</v>
      </c>
      <c r="L88" s="128">
        <f t="shared" si="50"/>
        <v>6475000</v>
      </c>
      <c r="M88" s="128">
        <f t="shared" si="51"/>
        <v>7705250</v>
      </c>
      <c r="N88" s="117" t="s">
        <v>210</v>
      </c>
      <c r="O88" s="118">
        <v>93000</v>
      </c>
      <c r="P88" s="129">
        <f>O88*19%</f>
        <v>17670</v>
      </c>
      <c r="Q88" s="129">
        <f t="shared" si="40"/>
        <v>110670</v>
      </c>
      <c r="R88" s="130">
        <f t="shared" si="41"/>
        <v>6510000</v>
      </c>
      <c r="S88" s="130">
        <f t="shared" si="42"/>
        <v>7746900</v>
      </c>
      <c r="T88" s="121" t="s">
        <v>48</v>
      </c>
      <c r="U88" s="122">
        <v>117600</v>
      </c>
      <c r="V88" s="132">
        <f t="shared" ref="V88:V94" si="56">U88*19%</f>
        <v>22344</v>
      </c>
      <c r="W88" s="132">
        <f t="shared" si="53"/>
        <v>139944</v>
      </c>
      <c r="X88" s="133">
        <f t="shared" si="54"/>
        <v>8232000</v>
      </c>
      <c r="Y88" s="133">
        <f t="shared" si="55"/>
        <v>9796080</v>
      </c>
      <c r="Z88" s="134">
        <f t="shared" si="43"/>
        <v>120229.66666666667</v>
      </c>
      <c r="AA88" s="134">
        <f t="shared" si="44"/>
        <v>8416076.6666666679</v>
      </c>
      <c r="AB88" s="134">
        <f t="shared" si="45"/>
        <v>1195299.3686241652</v>
      </c>
      <c r="AC88" s="142">
        <f t="shared" si="46"/>
        <v>0.14202572243173067</v>
      </c>
      <c r="AD88" s="141"/>
    </row>
    <row r="89" spans="1:58" s="7" customFormat="1" ht="105" x14ac:dyDescent="0.25">
      <c r="A89" s="136">
        <v>78</v>
      </c>
      <c r="B89" s="413" t="s">
        <v>203</v>
      </c>
      <c r="C89" s="413" t="s">
        <v>211</v>
      </c>
      <c r="D89" s="413" t="s">
        <v>212</v>
      </c>
      <c r="E89" s="413" t="s">
        <v>189</v>
      </c>
      <c r="F89" s="413">
        <v>2</v>
      </c>
      <c r="G89" s="416" t="s">
        <v>42</v>
      </c>
      <c r="H89" s="113" t="s">
        <v>53</v>
      </c>
      <c r="I89" s="114">
        <v>1008700</v>
      </c>
      <c r="J89" s="127">
        <f t="shared" si="47"/>
        <v>191653</v>
      </c>
      <c r="K89" s="127">
        <f t="shared" si="48"/>
        <v>1200353</v>
      </c>
      <c r="L89" s="128">
        <f t="shared" si="50"/>
        <v>2017400</v>
      </c>
      <c r="M89" s="128">
        <f t="shared" si="51"/>
        <v>2400706</v>
      </c>
      <c r="N89" s="117" t="s">
        <v>50</v>
      </c>
      <c r="O89" s="118">
        <v>1008403</v>
      </c>
      <c r="P89" s="129">
        <f t="shared" si="52"/>
        <v>191596.57</v>
      </c>
      <c r="Q89" s="129">
        <f t="shared" si="40"/>
        <v>1199999.57</v>
      </c>
      <c r="R89" s="130">
        <f t="shared" si="41"/>
        <v>2016806</v>
      </c>
      <c r="S89" s="130">
        <f t="shared" si="42"/>
        <v>2399999.14</v>
      </c>
      <c r="T89" s="121" t="s">
        <v>137</v>
      </c>
      <c r="U89" s="122">
        <v>1120000</v>
      </c>
      <c r="V89" s="132">
        <f t="shared" si="56"/>
        <v>212800</v>
      </c>
      <c r="W89" s="132">
        <f t="shared" si="53"/>
        <v>1332800</v>
      </c>
      <c r="X89" s="133">
        <f t="shared" si="54"/>
        <v>2240000</v>
      </c>
      <c r="Y89" s="133">
        <f t="shared" si="55"/>
        <v>2665600</v>
      </c>
      <c r="Z89" s="134">
        <f t="shared" si="43"/>
        <v>1244384.1900000002</v>
      </c>
      <c r="AA89" s="134">
        <f t="shared" si="44"/>
        <v>2488768.3800000004</v>
      </c>
      <c r="AB89" s="134">
        <f t="shared" si="45"/>
        <v>153141.08294847986</v>
      </c>
      <c r="AC89" s="142">
        <f t="shared" si="46"/>
        <v>6.153287874401548E-2</v>
      </c>
      <c r="AD89" s="141"/>
    </row>
    <row r="90" spans="1:58" s="7" customFormat="1" ht="104.25" customHeight="1" x14ac:dyDescent="0.35">
      <c r="A90" s="136">
        <v>79</v>
      </c>
      <c r="B90" s="413" t="s">
        <v>203</v>
      </c>
      <c r="C90" s="413" t="s">
        <v>213</v>
      </c>
      <c r="D90" s="135" t="s">
        <v>214</v>
      </c>
      <c r="E90" s="413" t="s">
        <v>41</v>
      </c>
      <c r="F90" s="413">
        <v>70</v>
      </c>
      <c r="G90" s="416" t="s">
        <v>42</v>
      </c>
      <c r="H90" s="113" t="s">
        <v>53</v>
      </c>
      <c r="I90" s="114">
        <v>48000</v>
      </c>
      <c r="J90" s="127">
        <f t="shared" si="47"/>
        <v>9120</v>
      </c>
      <c r="K90" s="127">
        <f t="shared" si="48"/>
        <v>57120</v>
      </c>
      <c r="L90" s="128">
        <f t="shared" si="50"/>
        <v>3360000</v>
      </c>
      <c r="M90" s="128">
        <f t="shared" si="51"/>
        <v>3998400</v>
      </c>
      <c r="N90" s="117" t="s">
        <v>50</v>
      </c>
      <c r="O90" s="118">
        <v>32000</v>
      </c>
      <c r="P90" s="129">
        <f t="shared" si="52"/>
        <v>6080</v>
      </c>
      <c r="Q90" s="129">
        <f t="shared" si="40"/>
        <v>38080</v>
      </c>
      <c r="R90" s="130">
        <f t="shared" si="41"/>
        <v>2240000</v>
      </c>
      <c r="S90" s="130">
        <f t="shared" si="42"/>
        <v>2665600</v>
      </c>
      <c r="T90" s="121" t="s">
        <v>160</v>
      </c>
      <c r="U90" s="122">
        <v>49070</v>
      </c>
      <c r="V90" s="132">
        <f t="shared" si="56"/>
        <v>9323.2999999999993</v>
      </c>
      <c r="W90" s="132">
        <f t="shared" si="53"/>
        <v>58393.3</v>
      </c>
      <c r="X90" s="133">
        <f t="shared" si="54"/>
        <v>3434900</v>
      </c>
      <c r="Y90" s="133">
        <f t="shared" si="55"/>
        <v>4087531</v>
      </c>
      <c r="Z90" s="134">
        <f t="shared" si="43"/>
        <v>51197.766666666663</v>
      </c>
      <c r="AA90" s="134">
        <f t="shared" si="44"/>
        <v>3583843.6666666665</v>
      </c>
      <c r="AB90" s="134">
        <f t="shared" si="45"/>
        <v>796470.1233067892</v>
      </c>
      <c r="AC90" s="142">
        <f t="shared" si="46"/>
        <v>0.22223908110578555</v>
      </c>
      <c r="AD90" s="141"/>
    </row>
    <row r="91" spans="1:58" s="7" customFormat="1" ht="105" x14ac:dyDescent="0.35">
      <c r="A91" s="136">
        <v>80</v>
      </c>
      <c r="B91" s="413" t="s">
        <v>203</v>
      </c>
      <c r="C91" s="100" t="s">
        <v>81</v>
      </c>
      <c r="D91" s="137" t="s">
        <v>82</v>
      </c>
      <c r="E91" s="413" t="s">
        <v>41</v>
      </c>
      <c r="F91" s="413">
        <v>70</v>
      </c>
      <c r="G91" s="416" t="s">
        <v>42</v>
      </c>
      <c r="H91" s="77" t="s">
        <v>48</v>
      </c>
      <c r="I91" s="78">
        <v>2200</v>
      </c>
      <c r="J91" s="127">
        <f t="shared" si="47"/>
        <v>418</v>
      </c>
      <c r="K91" s="127">
        <f t="shared" si="48"/>
        <v>2618</v>
      </c>
      <c r="L91" s="128">
        <f t="shared" si="50"/>
        <v>154000</v>
      </c>
      <c r="M91" s="128">
        <f t="shared" si="51"/>
        <v>183260</v>
      </c>
      <c r="N91" s="102" t="s">
        <v>83</v>
      </c>
      <c r="O91" s="102">
        <v>2689.08</v>
      </c>
      <c r="P91" s="129">
        <f t="shared" si="52"/>
        <v>510.92520000000002</v>
      </c>
      <c r="Q91" s="129">
        <f t="shared" si="40"/>
        <v>3200.0052000000001</v>
      </c>
      <c r="R91" s="130">
        <f t="shared" si="41"/>
        <v>188235.6</v>
      </c>
      <c r="S91" s="130">
        <f t="shared" si="42"/>
        <v>224000.364</v>
      </c>
      <c r="T91" s="85" t="s">
        <v>84</v>
      </c>
      <c r="U91" s="105">
        <v>3800</v>
      </c>
      <c r="V91" s="132"/>
      <c r="W91" s="132">
        <f t="shared" si="53"/>
        <v>3800</v>
      </c>
      <c r="X91" s="133">
        <f t="shared" si="54"/>
        <v>266000</v>
      </c>
      <c r="Y91" s="133">
        <f t="shared" si="55"/>
        <v>266000</v>
      </c>
      <c r="Z91" s="134">
        <f t="shared" si="43"/>
        <v>3206.001733333333</v>
      </c>
      <c r="AA91" s="134">
        <f t="shared" si="44"/>
        <v>224420.12133333331</v>
      </c>
      <c r="AB91" s="134">
        <f t="shared" si="45"/>
        <v>41371.597106760986</v>
      </c>
      <c r="AC91" s="142">
        <f t="shared" si="46"/>
        <v>0.18434887594286328</v>
      </c>
      <c r="AD91" s="141"/>
    </row>
    <row r="92" spans="1:58" s="7" customFormat="1" ht="84" x14ac:dyDescent="0.35">
      <c r="A92" s="136">
        <v>81</v>
      </c>
      <c r="B92" s="415" t="s">
        <v>203</v>
      </c>
      <c r="C92" s="415" t="s">
        <v>215</v>
      </c>
      <c r="D92" s="146" t="s">
        <v>216</v>
      </c>
      <c r="E92" s="415" t="s">
        <v>217</v>
      </c>
      <c r="F92" s="415">
        <v>2</v>
      </c>
      <c r="G92" s="421" t="s">
        <v>42</v>
      </c>
      <c r="H92" s="147" t="s">
        <v>53</v>
      </c>
      <c r="I92" s="148">
        <v>705600</v>
      </c>
      <c r="J92" s="127">
        <f t="shared" si="47"/>
        <v>134064</v>
      </c>
      <c r="K92" s="127">
        <f t="shared" si="48"/>
        <v>839664</v>
      </c>
      <c r="L92" s="128">
        <f t="shared" si="50"/>
        <v>1411200</v>
      </c>
      <c r="M92" s="128">
        <f t="shared" si="51"/>
        <v>1679328</v>
      </c>
      <c r="N92" s="149" t="s">
        <v>50</v>
      </c>
      <c r="O92" s="150">
        <v>563026</v>
      </c>
      <c r="P92" s="129">
        <f t="shared" si="52"/>
        <v>106974.94</v>
      </c>
      <c r="Q92" s="129">
        <f t="shared" si="40"/>
        <v>670000.93999999994</v>
      </c>
      <c r="R92" s="130">
        <f t="shared" si="41"/>
        <v>1126052</v>
      </c>
      <c r="S92" s="130">
        <f t="shared" si="42"/>
        <v>1340001.8799999999</v>
      </c>
      <c r="T92" s="151" t="s">
        <v>160</v>
      </c>
      <c r="U92" s="152">
        <v>706500</v>
      </c>
      <c r="V92" s="132">
        <f t="shared" si="56"/>
        <v>134235</v>
      </c>
      <c r="W92" s="132">
        <f t="shared" si="53"/>
        <v>840735</v>
      </c>
      <c r="X92" s="133">
        <f t="shared" si="54"/>
        <v>1413000</v>
      </c>
      <c r="Y92" s="133">
        <f t="shared" si="55"/>
        <v>1681470</v>
      </c>
      <c r="Z92" s="134">
        <f t="shared" si="43"/>
        <v>783466.64666666661</v>
      </c>
      <c r="AA92" s="134">
        <f t="shared" si="44"/>
        <v>1566933.2933333332</v>
      </c>
      <c r="AB92" s="134">
        <f t="shared" si="45"/>
        <v>196531.28709978631</v>
      </c>
      <c r="AC92" s="142">
        <f t="shared" si="46"/>
        <v>0.12542415681378866</v>
      </c>
      <c r="AD92" s="153"/>
    </row>
    <row r="93" spans="1:58" s="7" customFormat="1" ht="84" x14ac:dyDescent="0.35">
      <c r="A93" s="144">
        <v>82</v>
      </c>
      <c r="B93" s="413" t="s">
        <v>203</v>
      </c>
      <c r="C93" s="422" t="s">
        <v>218</v>
      </c>
      <c r="D93" s="190" t="s">
        <v>219</v>
      </c>
      <c r="E93" s="422" t="s">
        <v>41</v>
      </c>
      <c r="F93" s="422">
        <v>70</v>
      </c>
      <c r="G93" s="423"/>
      <c r="H93" s="147"/>
      <c r="I93" s="148"/>
      <c r="J93" s="191">
        <f t="shared" si="47"/>
        <v>0</v>
      </c>
      <c r="K93" s="115">
        <f t="shared" si="48"/>
        <v>0</v>
      </c>
      <c r="L93" s="116">
        <f t="shared" si="50"/>
        <v>0</v>
      </c>
      <c r="M93" s="116">
        <f t="shared" si="51"/>
        <v>0</v>
      </c>
      <c r="N93" s="117"/>
      <c r="O93" s="118"/>
      <c r="P93" s="119">
        <f t="shared" si="52"/>
        <v>0</v>
      </c>
      <c r="Q93" s="119">
        <f t="shared" si="40"/>
        <v>0</v>
      </c>
      <c r="R93" s="120">
        <f t="shared" si="41"/>
        <v>0</v>
      </c>
      <c r="S93" s="120">
        <f t="shared" si="42"/>
        <v>0</v>
      </c>
      <c r="T93" s="121"/>
      <c r="U93" s="122"/>
      <c r="V93" s="123">
        <f t="shared" si="56"/>
        <v>0</v>
      </c>
      <c r="W93" s="123">
        <f t="shared" si="53"/>
        <v>0</v>
      </c>
      <c r="X93" s="124">
        <f t="shared" si="54"/>
        <v>0</v>
      </c>
      <c r="Y93" s="124">
        <f t="shared" si="55"/>
        <v>0</v>
      </c>
      <c r="Z93" s="194">
        <v>2737000</v>
      </c>
      <c r="AA93" s="125">
        <f t="shared" si="44"/>
        <v>191590000</v>
      </c>
      <c r="AB93" s="125"/>
      <c r="AC93" s="126"/>
      <c r="AD93" s="172"/>
    </row>
    <row r="94" spans="1:58" s="7" customFormat="1" ht="105" x14ac:dyDescent="0.35">
      <c r="A94" s="188">
        <v>83</v>
      </c>
      <c r="B94" s="416" t="s">
        <v>157</v>
      </c>
      <c r="C94" s="424" t="s">
        <v>220</v>
      </c>
      <c r="D94" s="145" t="s">
        <v>221</v>
      </c>
      <c r="E94" s="424" t="s">
        <v>41</v>
      </c>
      <c r="F94" s="424">
        <v>1</v>
      </c>
      <c r="G94" s="424"/>
      <c r="H94" s="113"/>
      <c r="I94" s="114"/>
      <c r="J94" s="115">
        <f t="shared" si="47"/>
        <v>0</v>
      </c>
      <c r="K94" s="189">
        <f t="shared" si="48"/>
        <v>0</v>
      </c>
      <c r="L94" s="116">
        <f t="shared" si="50"/>
        <v>0</v>
      </c>
      <c r="M94" s="116">
        <f t="shared" si="51"/>
        <v>0</v>
      </c>
      <c r="N94" s="161"/>
      <c r="O94" s="162"/>
      <c r="P94" s="119">
        <f t="shared" si="52"/>
        <v>0</v>
      </c>
      <c r="Q94" s="119">
        <f t="shared" si="40"/>
        <v>0</v>
      </c>
      <c r="R94" s="120">
        <f t="shared" si="41"/>
        <v>0</v>
      </c>
      <c r="S94" s="120">
        <f t="shared" si="42"/>
        <v>0</v>
      </c>
      <c r="T94" s="165"/>
      <c r="U94" s="166"/>
      <c r="V94" s="123">
        <f t="shared" si="56"/>
        <v>0</v>
      </c>
      <c r="W94" s="123">
        <f t="shared" si="53"/>
        <v>0</v>
      </c>
      <c r="X94" s="124">
        <f t="shared" si="54"/>
        <v>0</v>
      </c>
      <c r="Y94" s="192">
        <f t="shared" si="55"/>
        <v>0</v>
      </c>
      <c r="Z94" s="125">
        <v>7761487</v>
      </c>
      <c r="AA94" s="193">
        <v>7761487</v>
      </c>
      <c r="AB94" s="169"/>
      <c r="AC94" s="170"/>
    </row>
    <row r="95" spans="1:58" s="7" customFormat="1" ht="21" x14ac:dyDescent="0.25">
      <c r="A95" s="154"/>
      <c r="B95" s="155"/>
      <c r="C95" s="154"/>
      <c r="D95" s="154"/>
      <c r="E95" s="155"/>
      <c r="F95" s="156"/>
      <c r="G95" s="110"/>
      <c r="H95" s="157"/>
      <c r="I95" s="158"/>
      <c r="J95" s="159"/>
      <c r="K95" s="159"/>
      <c r="L95" s="160"/>
      <c r="M95" s="160"/>
      <c r="N95" s="161"/>
      <c r="O95" s="162"/>
      <c r="P95" s="163"/>
      <c r="Q95" s="163"/>
      <c r="R95" s="164"/>
      <c r="S95" s="164"/>
      <c r="T95" s="165"/>
      <c r="U95" s="166"/>
      <c r="V95" s="167"/>
      <c r="W95" s="171"/>
      <c r="X95" s="168"/>
      <c r="Y95" s="168"/>
      <c r="Z95" s="173" t="str">
        <f>IF(A95="","",AVERAGE(K95,Q95,W95))</f>
        <v/>
      </c>
      <c r="AA95" s="169"/>
      <c r="AB95" s="169"/>
      <c r="AC95" s="170"/>
    </row>
    <row r="96" spans="1:58" s="7" customFormat="1" ht="21" x14ac:dyDescent="0.25">
      <c r="A96" s="486" t="s">
        <v>222</v>
      </c>
      <c r="B96" s="486"/>
      <c r="C96" s="486"/>
      <c r="D96" s="486"/>
      <c r="E96" s="486"/>
      <c r="F96" s="487"/>
      <c r="G96" s="486"/>
      <c r="H96" s="487"/>
      <c r="I96" s="487"/>
      <c r="J96" s="487"/>
      <c r="K96" s="487"/>
      <c r="L96" s="487"/>
      <c r="M96" s="487"/>
      <c r="N96" s="487"/>
      <c r="O96" s="487"/>
      <c r="P96" s="487"/>
      <c r="Q96" s="487"/>
      <c r="R96" s="487"/>
      <c r="S96" s="487"/>
      <c r="T96" s="487"/>
      <c r="U96" s="487"/>
      <c r="V96" s="487"/>
      <c r="W96" s="487"/>
      <c r="X96" s="487"/>
      <c r="Y96" s="487"/>
      <c r="Z96" s="487"/>
      <c r="AA96" s="91">
        <f>SUM(AA11:AA95)</f>
        <v>610400905.48636699</v>
      </c>
      <c r="BF96" s="7">
        <v>56</v>
      </c>
    </row>
    <row r="97" spans="1:58" s="7" customFormat="1" x14ac:dyDescent="0.25">
      <c r="A97" s="488" t="s">
        <v>223</v>
      </c>
      <c r="B97" s="488"/>
      <c r="C97" s="488"/>
      <c r="D97" s="488"/>
      <c r="E97" s="488"/>
      <c r="F97" s="488"/>
      <c r="G97" s="488"/>
      <c r="H97" s="488"/>
      <c r="I97" s="488"/>
      <c r="J97" s="488"/>
      <c r="K97" s="488"/>
      <c r="L97" s="488"/>
      <c r="M97" s="488"/>
      <c r="N97" s="488"/>
      <c r="O97" s="488"/>
      <c r="P97" s="488"/>
      <c r="Q97" s="488"/>
      <c r="R97" s="488"/>
      <c r="S97" s="488"/>
      <c r="T97" s="488"/>
      <c r="U97" s="488"/>
      <c r="V97" s="488"/>
      <c r="W97" s="488"/>
      <c r="X97" s="488"/>
      <c r="Y97" s="488"/>
      <c r="Z97" s="488"/>
      <c r="AA97" s="488"/>
      <c r="AB97" s="488"/>
      <c r="AC97" s="488"/>
      <c r="AD97" s="488"/>
      <c r="BF97" s="7">
        <v>57</v>
      </c>
    </row>
    <row r="98" spans="1:58" s="7" customFormat="1" ht="72" x14ac:dyDescent="0.25">
      <c r="A98" s="92" t="s">
        <v>18</v>
      </c>
      <c r="B98" s="92" t="s">
        <v>19</v>
      </c>
      <c r="C98" s="92" t="s">
        <v>224</v>
      </c>
      <c r="D98" s="92" t="s">
        <v>225</v>
      </c>
      <c r="E98" s="92" t="s">
        <v>22</v>
      </c>
      <c r="F98" s="92" t="s">
        <v>23</v>
      </c>
      <c r="G98" s="92" t="s">
        <v>226</v>
      </c>
      <c r="H98" s="93" t="s">
        <v>25</v>
      </c>
      <c r="I98" s="93" t="s">
        <v>227</v>
      </c>
      <c r="J98" s="93" t="s">
        <v>228</v>
      </c>
      <c r="K98" s="93" t="s">
        <v>227</v>
      </c>
      <c r="L98" s="93" t="s">
        <v>229</v>
      </c>
      <c r="M98" s="489" t="s">
        <v>37</v>
      </c>
      <c r="N98" s="490"/>
      <c r="O98" s="490"/>
      <c r="P98" s="183"/>
      <c r="Q98" s="70"/>
      <c r="R98" s="70"/>
      <c r="S98" s="70"/>
      <c r="T98" s="70"/>
      <c r="U98" s="10"/>
      <c r="V98" s="10"/>
      <c r="W98" s="10"/>
      <c r="X98" s="10"/>
      <c r="Y98" s="10"/>
      <c r="Z98" s="10"/>
      <c r="AA98" s="10"/>
      <c r="AB98" s="10"/>
      <c r="AC98" s="10"/>
      <c r="AD98" s="10"/>
      <c r="BF98" s="7">
        <v>58</v>
      </c>
    </row>
    <row r="99" spans="1:58" s="7" customFormat="1" ht="409.5" x14ac:dyDescent="0.25">
      <c r="A99" s="178">
        <v>1</v>
      </c>
      <c r="B99" s="174" t="s">
        <v>230</v>
      </c>
      <c r="C99" s="179" t="s">
        <v>231</v>
      </c>
      <c r="D99" s="180" t="s">
        <v>232</v>
      </c>
      <c r="E99" s="75" t="s">
        <v>233</v>
      </c>
      <c r="F99" s="180">
        <v>1</v>
      </c>
      <c r="G99" s="76" t="s">
        <v>234</v>
      </c>
      <c r="H99" s="77" t="s">
        <v>235</v>
      </c>
      <c r="I99" s="78">
        <v>9170000</v>
      </c>
      <c r="J99" s="80">
        <f>I99*9</f>
        <v>82530000</v>
      </c>
      <c r="K99" s="97">
        <f>I99</f>
        <v>9170000</v>
      </c>
      <c r="L99" s="98">
        <f>J99</f>
        <v>82530000</v>
      </c>
      <c r="M99" s="469"/>
      <c r="N99" s="470"/>
      <c r="O99" s="470"/>
      <c r="P99" s="184"/>
      <c r="Q99" s="70"/>
      <c r="R99" s="70"/>
      <c r="S99" s="70"/>
      <c r="T99" s="70"/>
      <c r="AQ99" s="471" t="s">
        <v>236</v>
      </c>
      <c r="AR99" s="472"/>
      <c r="AS99" s="472"/>
      <c r="AT99" s="472"/>
      <c r="AU99" s="472"/>
      <c r="AV99" s="472"/>
      <c r="AW99" s="472"/>
      <c r="AX99" s="473"/>
      <c r="AY99" s="483" t="s">
        <v>237</v>
      </c>
      <c r="AZ99" s="476" t="e">
        <f>SUM(#REF!,#REF!)</f>
        <v>#REF!</v>
      </c>
      <c r="BA99" s="477"/>
      <c r="BF99" s="7">
        <v>59</v>
      </c>
    </row>
    <row r="100" spans="1:58" s="7" customFormat="1" ht="399" x14ac:dyDescent="0.25">
      <c r="A100" s="178">
        <v>2</v>
      </c>
      <c r="B100" s="174" t="s">
        <v>238</v>
      </c>
      <c r="C100" s="180" t="s">
        <v>239</v>
      </c>
      <c r="D100" s="181" t="s">
        <v>240</v>
      </c>
      <c r="E100" s="75" t="s">
        <v>233</v>
      </c>
      <c r="F100" s="181">
        <v>2</v>
      </c>
      <c r="G100" s="76" t="s">
        <v>234</v>
      </c>
      <c r="H100" s="77" t="s">
        <v>235</v>
      </c>
      <c r="I100" s="78">
        <v>7996000</v>
      </c>
      <c r="J100" s="80">
        <f>I100*18</f>
        <v>143928000</v>
      </c>
      <c r="K100" s="97">
        <f>I100</f>
        <v>7996000</v>
      </c>
      <c r="L100" s="98">
        <f t="shared" ref="L100:L135" si="57">J100</f>
        <v>143928000</v>
      </c>
      <c r="M100" s="469"/>
      <c r="N100" s="470"/>
      <c r="O100" s="470"/>
      <c r="P100" s="184"/>
      <c r="Q100" s="70"/>
      <c r="R100" s="70"/>
      <c r="S100" s="70"/>
      <c r="T100" s="70"/>
      <c r="AQ100" s="482" t="s">
        <v>241</v>
      </c>
      <c r="AR100" s="482"/>
      <c r="AS100" s="482"/>
      <c r="AT100" s="482"/>
      <c r="AU100" s="482"/>
      <c r="AV100" s="482"/>
      <c r="AW100" s="482"/>
      <c r="AX100" s="482"/>
      <c r="AY100" s="484"/>
      <c r="AZ100" s="478"/>
      <c r="BA100" s="479"/>
      <c r="BF100" s="7">
        <v>60</v>
      </c>
    </row>
    <row r="101" spans="1:58" s="7" customFormat="1" ht="409.5" x14ac:dyDescent="0.25">
      <c r="A101" s="178">
        <v>3</v>
      </c>
      <c r="B101" s="174" t="s">
        <v>242</v>
      </c>
      <c r="C101" s="181" t="s">
        <v>243</v>
      </c>
      <c r="D101" s="181" t="s">
        <v>244</v>
      </c>
      <c r="E101" s="75" t="s">
        <v>233</v>
      </c>
      <c r="F101" s="181">
        <v>1</v>
      </c>
      <c r="G101" s="106" t="s">
        <v>234</v>
      </c>
      <c r="H101" s="77" t="s">
        <v>235</v>
      </c>
      <c r="I101" s="78">
        <v>7996000</v>
      </c>
      <c r="J101" s="80">
        <f>I101*9</f>
        <v>71964000</v>
      </c>
      <c r="K101" s="97">
        <f>I101</f>
        <v>7996000</v>
      </c>
      <c r="L101" s="98">
        <f t="shared" si="57"/>
        <v>71964000</v>
      </c>
      <c r="M101" s="469"/>
      <c r="N101" s="470"/>
      <c r="O101" s="470"/>
      <c r="P101" s="184"/>
      <c r="Q101" s="70"/>
      <c r="R101" s="70"/>
      <c r="S101" s="70"/>
      <c r="T101" s="70"/>
      <c r="AQ101" s="482"/>
      <c r="AR101" s="482"/>
      <c r="AS101" s="482"/>
      <c r="AT101" s="482"/>
      <c r="AU101" s="482"/>
      <c r="AV101" s="482"/>
      <c r="AW101" s="482"/>
      <c r="AX101" s="482"/>
      <c r="AY101" s="484"/>
      <c r="AZ101" s="478"/>
      <c r="BA101" s="479"/>
      <c r="BF101" s="7">
        <v>61</v>
      </c>
    </row>
    <row r="102" spans="1:58" s="7" customFormat="1" ht="409.5" x14ac:dyDescent="0.25">
      <c r="A102" s="178">
        <v>4</v>
      </c>
      <c r="B102" s="174" t="s">
        <v>245</v>
      </c>
      <c r="C102" s="182" t="s">
        <v>246</v>
      </c>
      <c r="D102" s="181" t="s">
        <v>247</v>
      </c>
      <c r="E102" s="75" t="s">
        <v>233</v>
      </c>
      <c r="F102" s="181">
        <v>1</v>
      </c>
      <c r="G102" s="76" t="s">
        <v>234</v>
      </c>
      <c r="H102" s="77" t="s">
        <v>235</v>
      </c>
      <c r="I102" s="78">
        <v>7996000</v>
      </c>
      <c r="J102" s="80">
        <f>I102*9</f>
        <v>71964000</v>
      </c>
      <c r="K102" s="97">
        <f>I102</f>
        <v>7996000</v>
      </c>
      <c r="L102" s="98">
        <f t="shared" si="57"/>
        <v>71964000</v>
      </c>
      <c r="M102" s="469"/>
      <c r="N102" s="470"/>
      <c r="O102" s="470"/>
      <c r="P102" s="184"/>
      <c r="Q102" s="70"/>
      <c r="R102" s="70"/>
      <c r="S102" s="70"/>
      <c r="T102" s="70"/>
      <c r="AQ102" s="482"/>
      <c r="AR102" s="482"/>
      <c r="AS102" s="482"/>
      <c r="AT102" s="482"/>
      <c r="AU102" s="482"/>
      <c r="AV102" s="482"/>
      <c r="AW102" s="482"/>
      <c r="AX102" s="482"/>
      <c r="AY102" s="484"/>
      <c r="AZ102" s="478"/>
      <c r="BA102" s="479"/>
      <c r="BF102" s="7">
        <v>62</v>
      </c>
    </row>
    <row r="103" spans="1:58" s="7" customFormat="1" ht="378" x14ac:dyDescent="0.25">
      <c r="A103" s="178">
        <v>5</v>
      </c>
      <c r="B103" s="174" t="s">
        <v>248</v>
      </c>
      <c r="C103" s="180" t="s">
        <v>249</v>
      </c>
      <c r="D103" s="181" t="s">
        <v>250</v>
      </c>
      <c r="E103" s="75" t="s">
        <v>233</v>
      </c>
      <c r="F103" s="181">
        <v>1</v>
      </c>
      <c r="G103" s="76" t="s">
        <v>234</v>
      </c>
      <c r="H103" s="77" t="s">
        <v>235</v>
      </c>
      <c r="I103" s="78">
        <v>7996000</v>
      </c>
      <c r="J103" s="80">
        <f>I103*9</f>
        <v>71964000</v>
      </c>
      <c r="K103" s="97">
        <f>I103</f>
        <v>7996000</v>
      </c>
      <c r="L103" s="98">
        <f t="shared" si="57"/>
        <v>71964000</v>
      </c>
      <c r="M103" s="469"/>
      <c r="N103" s="470"/>
      <c r="O103" s="470"/>
      <c r="P103" s="184"/>
      <c r="Q103" s="70"/>
      <c r="R103" s="70"/>
      <c r="S103" s="70"/>
      <c r="T103" s="70"/>
      <c r="AQ103" s="482"/>
      <c r="AR103" s="482"/>
      <c r="AS103" s="482"/>
      <c r="AT103" s="482"/>
      <c r="AU103" s="482"/>
      <c r="AV103" s="482"/>
      <c r="AW103" s="482"/>
      <c r="AX103" s="482"/>
      <c r="AY103" s="484"/>
      <c r="AZ103" s="478"/>
      <c r="BA103" s="479"/>
      <c r="BF103" s="7">
        <v>63</v>
      </c>
    </row>
    <row r="104" spans="1:58" s="7" customFormat="1" ht="105" x14ac:dyDescent="0.25">
      <c r="A104" s="178">
        <v>6</v>
      </c>
      <c r="B104" s="174" t="s">
        <v>251</v>
      </c>
      <c r="C104" s="182" t="s">
        <v>252</v>
      </c>
      <c r="D104" s="181" t="s">
        <v>253</v>
      </c>
      <c r="E104" s="75" t="s">
        <v>233</v>
      </c>
      <c r="F104" s="181">
        <v>1</v>
      </c>
      <c r="G104" s="76" t="s">
        <v>234</v>
      </c>
      <c r="H104" s="77" t="s">
        <v>235</v>
      </c>
      <c r="I104" s="78">
        <v>4687000</v>
      </c>
      <c r="J104" s="80">
        <f>I104*9</f>
        <v>42183000</v>
      </c>
      <c r="K104" s="97">
        <f>I104</f>
        <v>4687000</v>
      </c>
      <c r="L104" s="98">
        <f t="shared" si="57"/>
        <v>42183000</v>
      </c>
      <c r="M104" s="469"/>
      <c r="N104" s="470"/>
      <c r="O104" s="470"/>
      <c r="P104" s="184"/>
      <c r="Q104" s="70"/>
      <c r="R104" s="70"/>
      <c r="S104" s="70"/>
      <c r="T104" s="70"/>
      <c r="AQ104" s="482"/>
      <c r="AR104" s="482"/>
      <c r="AS104" s="482"/>
      <c r="AT104" s="482"/>
      <c r="AU104" s="482"/>
      <c r="AV104" s="482"/>
      <c r="AW104" s="482"/>
      <c r="AX104" s="482"/>
      <c r="AY104" s="484"/>
      <c r="AZ104" s="478"/>
      <c r="BA104" s="479"/>
      <c r="BF104" s="7">
        <v>64</v>
      </c>
    </row>
    <row r="105" spans="1:58" s="7" customFormat="1" ht="105" x14ac:dyDescent="0.25">
      <c r="A105" s="178">
        <v>7</v>
      </c>
      <c r="B105" s="174" t="s">
        <v>254</v>
      </c>
      <c r="C105" s="179" t="s">
        <v>255</v>
      </c>
      <c r="D105" s="181" t="s">
        <v>256</v>
      </c>
      <c r="E105" s="75" t="s">
        <v>233</v>
      </c>
      <c r="F105" s="181">
        <v>1</v>
      </c>
      <c r="G105" s="76" t="s">
        <v>234</v>
      </c>
      <c r="H105" s="77" t="s">
        <v>235</v>
      </c>
      <c r="I105" s="78">
        <v>3095000</v>
      </c>
      <c r="J105" s="80">
        <f>I105*9</f>
        <v>27855000</v>
      </c>
      <c r="K105" s="97">
        <f t="shared" ref="K105:K135" si="58">I105</f>
        <v>3095000</v>
      </c>
      <c r="L105" s="98">
        <f t="shared" si="57"/>
        <v>27855000</v>
      </c>
      <c r="M105" s="469"/>
      <c r="N105" s="470"/>
      <c r="O105" s="470"/>
      <c r="P105" s="184"/>
      <c r="Q105" s="70"/>
      <c r="R105" s="70"/>
      <c r="S105" s="70"/>
      <c r="T105" s="70"/>
      <c r="AQ105" s="482"/>
      <c r="AR105" s="482"/>
      <c r="AS105" s="482"/>
      <c r="AT105" s="482"/>
      <c r="AU105" s="482"/>
      <c r="AV105" s="482"/>
      <c r="AW105" s="482"/>
      <c r="AX105" s="482"/>
      <c r="AY105" s="484"/>
      <c r="AZ105" s="478"/>
      <c r="BA105" s="479"/>
    </row>
    <row r="106" spans="1:58" s="7" customFormat="1" ht="357" x14ac:dyDescent="0.25">
      <c r="A106" s="178">
        <v>8</v>
      </c>
      <c r="B106" s="174" t="s">
        <v>257</v>
      </c>
      <c r="C106" s="180" t="s">
        <v>258</v>
      </c>
      <c r="D106" s="181" t="s">
        <v>259</v>
      </c>
      <c r="E106" s="75" t="s">
        <v>233</v>
      </c>
      <c r="F106" s="181">
        <v>1</v>
      </c>
      <c r="G106" s="76" t="s">
        <v>260</v>
      </c>
      <c r="H106" s="77" t="s">
        <v>235</v>
      </c>
      <c r="I106" s="78">
        <v>2665333</v>
      </c>
      <c r="J106" s="185">
        <v>2665333</v>
      </c>
      <c r="K106" s="97">
        <f t="shared" si="58"/>
        <v>2665333</v>
      </c>
      <c r="L106" s="98">
        <f t="shared" si="57"/>
        <v>2665333</v>
      </c>
      <c r="M106" s="469" t="s">
        <v>261</v>
      </c>
      <c r="N106" s="470"/>
      <c r="O106" s="470"/>
      <c r="P106" s="184"/>
      <c r="Q106" s="70"/>
      <c r="R106" s="70"/>
      <c r="S106" s="70"/>
      <c r="T106" s="70"/>
      <c r="AQ106" s="482"/>
      <c r="AR106" s="482"/>
      <c r="AS106" s="482"/>
      <c r="AT106" s="482"/>
      <c r="AU106" s="482"/>
      <c r="AV106" s="482"/>
      <c r="AW106" s="482"/>
      <c r="AX106" s="482"/>
      <c r="AY106" s="484"/>
      <c r="AZ106" s="478"/>
      <c r="BA106" s="479"/>
    </row>
    <row r="107" spans="1:58" s="7" customFormat="1" ht="399" x14ac:dyDescent="0.25">
      <c r="A107" s="178">
        <v>9</v>
      </c>
      <c r="B107" s="174" t="s">
        <v>257</v>
      </c>
      <c r="C107" s="181" t="s">
        <v>262</v>
      </c>
      <c r="D107" s="181" t="s">
        <v>263</v>
      </c>
      <c r="E107" s="75" t="s">
        <v>233</v>
      </c>
      <c r="F107" s="181">
        <v>1</v>
      </c>
      <c r="G107" s="76" t="s">
        <v>260</v>
      </c>
      <c r="H107" s="77" t="s">
        <v>235</v>
      </c>
      <c r="I107" s="78">
        <v>2665333</v>
      </c>
      <c r="J107" s="185">
        <v>2665333</v>
      </c>
      <c r="K107" s="97">
        <f t="shared" si="58"/>
        <v>2665333</v>
      </c>
      <c r="L107" s="98">
        <f t="shared" si="57"/>
        <v>2665333</v>
      </c>
      <c r="M107" s="469" t="s">
        <v>261</v>
      </c>
      <c r="N107" s="470"/>
      <c r="O107" s="470"/>
      <c r="P107" s="184"/>
      <c r="Q107" s="70"/>
      <c r="R107" s="70"/>
      <c r="S107" s="70"/>
      <c r="T107" s="70"/>
      <c r="AQ107" s="482"/>
      <c r="AR107" s="482"/>
      <c r="AS107" s="482"/>
      <c r="AT107" s="482"/>
      <c r="AU107" s="482"/>
      <c r="AV107" s="482"/>
      <c r="AW107" s="482"/>
      <c r="AX107" s="482"/>
      <c r="AY107" s="484"/>
      <c r="AZ107" s="478"/>
      <c r="BA107" s="479"/>
    </row>
    <row r="108" spans="1:58" s="7" customFormat="1" ht="378" x14ac:dyDescent="0.25">
      <c r="A108" s="178">
        <v>10</v>
      </c>
      <c r="B108" s="174" t="s">
        <v>257</v>
      </c>
      <c r="C108" s="182" t="s">
        <v>264</v>
      </c>
      <c r="D108" s="181" t="s">
        <v>265</v>
      </c>
      <c r="E108" s="75" t="s">
        <v>233</v>
      </c>
      <c r="F108" s="181">
        <v>1</v>
      </c>
      <c r="G108" s="76" t="s">
        <v>260</v>
      </c>
      <c r="H108" s="77" t="s">
        <v>235</v>
      </c>
      <c r="I108" s="78">
        <v>2665333</v>
      </c>
      <c r="J108" s="185">
        <v>2665333</v>
      </c>
      <c r="K108" s="97">
        <f t="shared" si="58"/>
        <v>2665333</v>
      </c>
      <c r="L108" s="98">
        <f t="shared" si="57"/>
        <v>2665333</v>
      </c>
      <c r="M108" s="469" t="s">
        <v>261</v>
      </c>
      <c r="N108" s="470"/>
      <c r="O108" s="470"/>
      <c r="P108" s="184"/>
      <c r="Q108" s="70"/>
      <c r="R108" s="70"/>
      <c r="S108" s="70"/>
      <c r="T108" s="70"/>
      <c r="AQ108" s="482"/>
      <c r="AR108" s="482"/>
      <c r="AS108" s="482"/>
      <c r="AT108" s="482"/>
      <c r="AU108" s="482"/>
      <c r="AV108" s="482"/>
      <c r="AW108" s="482"/>
      <c r="AX108" s="482"/>
      <c r="AY108" s="484"/>
      <c r="AZ108" s="478"/>
      <c r="BA108" s="479"/>
    </row>
    <row r="109" spans="1:58" s="7" customFormat="1" ht="399" x14ac:dyDescent="0.25">
      <c r="A109" s="178">
        <v>11</v>
      </c>
      <c r="B109" s="174" t="s">
        <v>257</v>
      </c>
      <c r="C109" s="182" t="s">
        <v>266</v>
      </c>
      <c r="D109" s="181" t="s">
        <v>240</v>
      </c>
      <c r="E109" s="75" t="s">
        <v>233</v>
      </c>
      <c r="F109" s="181">
        <v>1</v>
      </c>
      <c r="G109" s="76" t="s">
        <v>260</v>
      </c>
      <c r="H109" s="77" t="s">
        <v>235</v>
      </c>
      <c r="I109" s="78">
        <v>2665333</v>
      </c>
      <c r="J109" s="185">
        <v>2665333</v>
      </c>
      <c r="K109" s="97">
        <f t="shared" si="58"/>
        <v>2665333</v>
      </c>
      <c r="L109" s="98">
        <f t="shared" si="57"/>
        <v>2665333</v>
      </c>
      <c r="M109" s="186"/>
      <c r="N109" s="187"/>
      <c r="O109" s="187"/>
      <c r="P109" s="184"/>
      <c r="Q109" s="70"/>
      <c r="R109" s="70"/>
      <c r="S109" s="70"/>
      <c r="T109" s="70"/>
      <c r="AQ109" s="482"/>
      <c r="AR109" s="482"/>
      <c r="AS109" s="482"/>
      <c r="AT109" s="482"/>
      <c r="AU109" s="482"/>
      <c r="AV109" s="482"/>
      <c r="AW109" s="482"/>
      <c r="AX109" s="482"/>
      <c r="AY109" s="484"/>
      <c r="AZ109" s="478"/>
      <c r="BA109" s="479"/>
    </row>
    <row r="110" spans="1:58" s="7" customFormat="1" ht="210" x14ac:dyDescent="0.25">
      <c r="A110" s="178">
        <v>12</v>
      </c>
      <c r="B110" s="174" t="s">
        <v>257</v>
      </c>
      <c r="C110" s="180" t="s">
        <v>267</v>
      </c>
      <c r="D110" s="181" t="s">
        <v>268</v>
      </c>
      <c r="E110" s="75" t="s">
        <v>233</v>
      </c>
      <c r="F110" s="181">
        <v>1</v>
      </c>
      <c r="G110" s="76" t="s">
        <v>260</v>
      </c>
      <c r="H110" s="77" t="s">
        <v>235</v>
      </c>
      <c r="I110" s="78">
        <v>1031666</v>
      </c>
      <c r="J110" s="80">
        <v>1031666</v>
      </c>
      <c r="K110" s="97">
        <f t="shared" si="58"/>
        <v>1031666</v>
      </c>
      <c r="L110" s="98">
        <f t="shared" si="57"/>
        <v>1031666</v>
      </c>
      <c r="M110" s="469" t="s">
        <v>261</v>
      </c>
      <c r="N110" s="470"/>
      <c r="O110" s="470"/>
      <c r="P110" s="184"/>
      <c r="Q110" s="70"/>
      <c r="R110" s="70"/>
      <c r="S110" s="70"/>
      <c r="T110" s="70"/>
      <c r="AQ110" s="482"/>
      <c r="AR110" s="482"/>
      <c r="AS110" s="482"/>
      <c r="AT110" s="482"/>
      <c r="AU110" s="482"/>
      <c r="AV110" s="482"/>
      <c r="AW110" s="482"/>
      <c r="AX110" s="482"/>
      <c r="AY110" s="484"/>
      <c r="AZ110" s="478"/>
      <c r="BA110" s="479"/>
    </row>
    <row r="111" spans="1:58" s="7" customFormat="1" ht="409.5" x14ac:dyDescent="0.25">
      <c r="A111" s="178">
        <v>13</v>
      </c>
      <c r="B111" s="174" t="s">
        <v>269</v>
      </c>
      <c r="C111" s="181" t="s">
        <v>270</v>
      </c>
      <c r="D111" s="181" t="s">
        <v>271</v>
      </c>
      <c r="E111" s="75" t="s">
        <v>233</v>
      </c>
      <c r="F111" s="181">
        <v>1</v>
      </c>
      <c r="G111" s="76" t="s">
        <v>272</v>
      </c>
      <c r="H111" s="77" t="s">
        <v>235</v>
      </c>
      <c r="I111" s="78">
        <v>7462933</v>
      </c>
      <c r="J111" s="80">
        <v>7462933</v>
      </c>
      <c r="K111" s="97">
        <f t="shared" si="58"/>
        <v>7462933</v>
      </c>
      <c r="L111" s="98">
        <f t="shared" si="57"/>
        <v>7462933</v>
      </c>
      <c r="M111" s="469" t="s">
        <v>273</v>
      </c>
      <c r="N111" s="470"/>
      <c r="O111" s="470"/>
      <c r="P111" s="184"/>
      <c r="Q111" s="70"/>
      <c r="R111" s="70"/>
      <c r="S111" s="70"/>
      <c r="T111" s="70"/>
      <c r="AQ111" s="482"/>
      <c r="AR111" s="482"/>
      <c r="AS111" s="482"/>
      <c r="AT111" s="482"/>
      <c r="AU111" s="482"/>
      <c r="AV111" s="482"/>
      <c r="AW111" s="482"/>
      <c r="AX111" s="482"/>
      <c r="AY111" s="484"/>
      <c r="AZ111" s="478"/>
      <c r="BA111" s="479"/>
    </row>
    <row r="112" spans="1:58" s="7" customFormat="1" ht="399" x14ac:dyDescent="0.25">
      <c r="A112" s="178">
        <v>14</v>
      </c>
      <c r="B112" s="174" t="s">
        <v>269</v>
      </c>
      <c r="C112" s="181" t="s">
        <v>274</v>
      </c>
      <c r="D112" s="181" t="s">
        <v>275</v>
      </c>
      <c r="E112" s="75" t="s">
        <v>233</v>
      </c>
      <c r="F112" s="181">
        <v>1</v>
      </c>
      <c r="G112" s="76" t="s">
        <v>272</v>
      </c>
      <c r="H112" s="77" t="s">
        <v>235</v>
      </c>
      <c r="I112" s="78">
        <v>4374533</v>
      </c>
      <c r="J112" s="185">
        <v>4374533</v>
      </c>
      <c r="K112" s="97">
        <f t="shared" si="58"/>
        <v>4374533</v>
      </c>
      <c r="L112" s="98">
        <f t="shared" si="57"/>
        <v>4374533</v>
      </c>
      <c r="M112" s="469" t="s">
        <v>273</v>
      </c>
      <c r="N112" s="470"/>
      <c r="O112" s="470"/>
      <c r="P112" s="184"/>
      <c r="Q112" s="70"/>
      <c r="R112" s="70"/>
      <c r="S112" s="70"/>
      <c r="T112" s="70"/>
      <c r="AQ112" s="482"/>
      <c r="AR112" s="482"/>
      <c r="AS112" s="482"/>
      <c r="AT112" s="482"/>
      <c r="AU112" s="482"/>
      <c r="AV112" s="482"/>
      <c r="AW112" s="482"/>
      <c r="AX112" s="482"/>
      <c r="AY112" s="484"/>
      <c r="AZ112" s="478"/>
      <c r="BA112" s="479"/>
    </row>
    <row r="113" spans="1:53" s="7" customFormat="1" ht="273" x14ac:dyDescent="0.25">
      <c r="A113" s="178">
        <v>15</v>
      </c>
      <c r="B113" s="174" t="s">
        <v>269</v>
      </c>
      <c r="C113" s="181" t="s">
        <v>276</v>
      </c>
      <c r="D113" s="181" t="s">
        <v>277</v>
      </c>
      <c r="E113" s="75" t="s">
        <v>233</v>
      </c>
      <c r="F113" s="181">
        <v>1</v>
      </c>
      <c r="G113" s="76" t="s">
        <v>260</v>
      </c>
      <c r="H113" s="77" t="s">
        <v>235</v>
      </c>
      <c r="I113" s="78">
        <v>4374533</v>
      </c>
      <c r="J113" s="185">
        <v>4374533</v>
      </c>
      <c r="K113" s="97">
        <f t="shared" si="58"/>
        <v>4374533</v>
      </c>
      <c r="L113" s="98">
        <f t="shared" si="57"/>
        <v>4374533</v>
      </c>
      <c r="M113" s="469" t="s">
        <v>261</v>
      </c>
      <c r="N113" s="470"/>
      <c r="O113" s="470"/>
      <c r="P113" s="184"/>
      <c r="Q113" s="70"/>
      <c r="R113" s="70"/>
      <c r="S113" s="70"/>
      <c r="T113" s="70"/>
      <c r="AQ113" s="482"/>
      <c r="AR113" s="482"/>
      <c r="AS113" s="482"/>
      <c r="AT113" s="482"/>
      <c r="AU113" s="482"/>
      <c r="AV113" s="482"/>
      <c r="AW113" s="482"/>
      <c r="AX113" s="482"/>
      <c r="AY113" s="484"/>
      <c r="AZ113" s="478"/>
      <c r="BA113" s="479"/>
    </row>
    <row r="114" spans="1:53" s="7" customFormat="1" ht="231" x14ac:dyDescent="0.25">
      <c r="A114" s="178">
        <v>16</v>
      </c>
      <c r="B114" s="174" t="s">
        <v>269</v>
      </c>
      <c r="C114" s="181" t="s">
        <v>267</v>
      </c>
      <c r="D114" s="181" t="s">
        <v>278</v>
      </c>
      <c r="E114" s="75" t="s">
        <v>233</v>
      </c>
      <c r="F114" s="181">
        <v>3</v>
      </c>
      <c r="G114" s="76" t="s">
        <v>260</v>
      </c>
      <c r="H114" s="77" t="s">
        <v>235</v>
      </c>
      <c r="I114" s="78">
        <v>1031666</v>
      </c>
      <c r="J114" s="80">
        <f>I114*3</f>
        <v>3094998</v>
      </c>
      <c r="K114" s="97">
        <f t="shared" si="58"/>
        <v>1031666</v>
      </c>
      <c r="L114" s="98">
        <f t="shared" si="57"/>
        <v>3094998</v>
      </c>
      <c r="M114" s="469" t="s">
        <v>273</v>
      </c>
      <c r="N114" s="470"/>
      <c r="O114" s="470"/>
      <c r="P114" s="184"/>
      <c r="Q114" s="70"/>
      <c r="R114" s="70"/>
      <c r="S114" s="70"/>
      <c r="T114" s="70"/>
      <c r="AQ114" s="482"/>
      <c r="AR114" s="482"/>
      <c r="AS114" s="482"/>
      <c r="AT114" s="482"/>
      <c r="AU114" s="482"/>
      <c r="AV114" s="482"/>
      <c r="AW114" s="482"/>
      <c r="AX114" s="482"/>
      <c r="AY114" s="484"/>
      <c r="AZ114" s="478"/>
      <c r="BA114" s="479"/>
    </row>
    <row r="115" spans="1:53" s="7" customFormat="1" ht="409.5" x14ac:dyDescent="0.25">
      <c r="A115" s="178">
        <v>17</v>
      </c>
      <c r="B115" s="174" t="s">
        <v>279</v>
      </c>
      <c r="C115" s="181" t="s">
        <v>280</v>
      </c>
      <c r="D115" s="181" t="s">
        <v>281</v>
      </c>
      <c r="E115" s="75" t="s">
        <v>233</v>
      </c>
      <c r="F115" s="181">
        <v>1</v>
      </c>
      <c r="G115" s="76" t="s">
        <v>272</v>
      </c>
      <c r="H115" s="77" t="s">
        <v>235</v>
      </c>
      <c r="I115" s="78">
        <v>7462933</v>
      </c>
      <c r="J115" s="80">
        <v>7462933</v>
      </c>
      <c r="K115" s="97">
        <f t="shared" si="58"/>
        <v>7462933</v>
      </c>
      <c r="L115" s="98">
        <f t="shared" si="57"/>
        <v>7462933</v>
      </c>
      <c r="M115" s="469" t="s">
        <v>273</v>
      </c>
      <c r="N115" s="470"/>
      <c r="O115" s="470"/>
      <c r="P115" s="184"/>
      <c r="Q115" s="70"/>
      <c r="R115" s="70"/>
      <c r="S115" s="70"/>
      <c r="T115" s="70"/>
      <c r="AQ115" s="482"/>
      <c r="AR115" s="482"/>
      <c r="AS115" s="482"/>
      <c r="AT115" s="482"/>
      <c r="AU115" s="482"/>
      <c r="AV115" s="482"/>
      <c r="AW115" s="482"/>
      <c r="AX115" s="482"/>
      <c r="AY115" s="484"/>
      <c r="AZ115" s="478"/>
      <c r="BA115" s="479"/>
    </row>
    <row r="116" spans="1:53" s="7" customFormat="1" ht="147" x14ac:dyDescent="0.25">
      <c r="A116" s="178">
        <v>18</v>
      </c>
      <c r="B116" s="174" t="s">
        <v>279</v>
      </c>
      <c r="C116" s="181" t="s">
        <v>282</v>
      </c>
      <c r="D116" s="181" t="s">
        <v>283</v>
      </c>
      <c r="E116" s="75" t="s">
        <v>233</v>
      </c>
      <c r="F116" s="181">
        <v>2</v>
      </c>
      <c r="G116" s="76" t="s">
        <v>272</v>
      </c>
      <c r="H116" s="77" t="s">
        <v>235</v>
      </c>
      <c r="I116" s="78">
        <v>2888666</v>
      </c>
      <c r="J116" s="80">
        <f>I116*2</f>
        <v>5777332</v>
      </c>
      <c r="K116" s="97">
        <f t="shared" si="58"/>
        <v>2888666</v>
      </c>
      <c r="L116" s="98">
        <f t="shared" si="57"/>
        <v>5777332</v>
      </c>
      <c r="M116" s="469" t="s">
        <v>273</v>
      </c>
      <c r="N116" s="470"/>
      <c r="O116" s="470"/>
      <c r="P116" s="184"/>
      <c r="Q116" s="70"/>
      <c r="R116" s="70"/>
      <c r="S116" s="70"/>
      <c r="T116" s="70"/>
      <c r="AQ116" s="482"/>
      <c r="AR116" s="482"/>
      <c r="AS116" s="482"/>
      <c r="AT116" s="482"/>
      <c r="AU116" s="482"/>
      <c r="AV116" s="482"/>
      <c r="AW116" s="482"/>
      <c r="AX116" s="482"/>
      <c r="AY116" s="484"/>
      <c r="AZ116" s="478"/>
      <c r="BA116" s="479"/>
    </row>
    <row r="117" spans="1:53" s="7" customFormat="1" ht="357" x14ac:dyDescent="0.25">
      <c r="A117" s="178">
        <v>19</v>
      </c>
      <c r="B117" s="174" t="s">
        <v>284</v>
      </c>
      <c r="C117" s="181" t="s">
        <v>285</v>
      </c>
      <c r="D117" s="181" t="s">
        <v>286</v>
      </c>
      <c r="E117" s="75" t="s">
        <v>233</v>
      </c>
      <c r="F117" s="181">
        <v>1</v>
      </c>
      <c r="G117" s="76" t="s">
        <v>287</v>
      </c>
      <c r="H117" s="77" t="s">
        <v>235</v>
      </c>
      <c r="I117" s="78">
        <v>9861733</v>
      </c>
      <c r="J117" s="80">
        <v>9861733</v>
      </c>
      <c r="K117" s="97">
        <f t="shared" si="58"/>
        <v>9861733</v>
      </c>
      <c r="L117" s="98">
        <f t="shared" si="57"/>
        <v>9861733</v>
      </c>
      <c r="M117" s="469" t="s">
        <v>288</v>
      </c>
      <c r="N117" s="470"/>
      <c r="O117" s="470"/>
      <c r="P117" s="184"/>
      <c r="Q117" s="70"/>
      <c r="R117" s="70"/>
      <c r="S117" s="70"/>
      <c r="T117" s="70"/>
      <c r="AQ117" s="482"/>
      <c r="AR117" s="482"/>
      <c r="AS117" s="482"/>
      <c r="AT117" s="482"/>
      <c r="AU117" s="482"/>
      <c r="AV117" s="482"/>
      <c r="AW117" s="482"/>
      <c r="AX117" s="482"/>
      <c r="AY117" s="484"/>
      <c r="AZ117" s="478"/>
      <c r="BA117" s="479"/>
    </row>
    <row r="118" spans="1:53" s="7" customFormat="1" ht="294" x14ac:dyDescent="0.25">
      <c r="A118" s="178">
        <v>20</v>
      </c>
      <c r="B118" s="174" t="s">
        <v>284</v>
      </c>
      <c r="C118" s="181" t="s">
        <v>289</v>
      </c>
      <c r="D118" s="181" t="s">
        <v>290</v>
      </c>
      <c r="E118" s="75" t="s">
        <v>233</v>
      </c>
      <c r="F118" s="181">
        <v>1</v>
      </c>
      <c r="G118" s="76" t="s">
        <v>287</v>
      </c>
      <c r="H118" s="77" t="s">
        <v>235</v>
      </c>
      <c r="I118" s="78">
        <v>9861733</v>
      </c>
      <c r="J118" s="80">
        <v>9861733</v>
      </c>
      <c r="K118" s="97">
        <f t="shared" si="58"/>
        <v>9861733</v>
      </c>
      <c r="L118" s="98">
        <f t="shared" si="57"/>
        <v>9861733</v>
      </c>
      <c r="M118" s="469" t="s">
        <v>288</v>
      </c>
      <c r="N118" s="470"/>
      <c r="O118" s="470"/>
      <c r="P118" s="184"/>
      <c r="Q118" s="70"/>
      <c r="R118" s="70"/>
      <c r="S118" s="70"/>
      <c r="T118" s="70"/>
      <c r="AQ118" s="482"/>
      <c r="AR118" s="482"/>
      <c r="AS118" s="482"/>
      <c r="AT118" s="482"/>
      <c r="AU118" s="482"/>
      <c r="AV118" s="482"/>
      <c r="AW118" s="482"/>
      <c r="AX118" s="482"/>
      <c r="AY118" s="484"/>
      <c r="AZ118" s="478"/>
      <c r="BA118" s="479"/>
    </row>
    <row r="119" spans="1:53" s="7" customFormat="1" ht="231" x14ac:dyDescent="0.25">
      <c r="A119" s="178">
        <v>21</v>
      </c>
      <c r="B119" s="174" t="s">
        <v>284</v>
      </c>
      <c r="C119" s="181" t="s">
        <v>267</v>
      </c>
      <c r="D119" s="181" t="s">
        <v>291</v>
      </c>
      <c r="E119" s="75" t="s">
        <v>233</v>
      </c>
      <c r="F119" s="181">
        <v>4</v>
      </c>
      <c r="G119" s="76" t="s">
        <v>287</v>
      </c>
      <c r="H119" s="77" t="s">
        <v>235</v>
      </c>
      <c r="I119" s="78">
        <v>3817166</v>
      </c>
      <c r="J119" s="80">
        <f>I119*4</f>
        <v>15268664</v>
      </c>
      <c r="K119" s="97">
        <f t="shared" si="58"/>
        <v>3817166</v>
      </c>
      <c r="L119" s="98">
        <f t="shared" si="57"/>
        <v>15268664</v>
      </c>
      <c r="M119" s="469" t="s">
        <v>288</v>
      </c>
      <c r="N119" s="470"/>
      <c r="O119" s="470"/>
      <c r="P119" s="184"/>
      <c r="Q119" s="70"/>
      <c r="R119" s="70"/>
      <c r="S119" s="70"/>
      <c r="T119" s="70"/>
      <c r="AQ119" s="482"/>
      <c r="AR119" s="482"/>
      <c r="AS119" s="482"/>
      <c r="AT119" s="482"/>
      <c r="AU119" s="482"/>
      <c r="AV119" s="482"/>
      <c r="AW119" s="482"/>
      <c r="AX119" s="482"/>
      <c r="AY119" s="484"/>
      <c r="AZ119" s="478"/>
      <c r="BA119" s="479"/>
    </row>
    <row r="120" spans="1:53" s="7" customFormat="1" ht="273" x14ac:dyDescent="0.25">
      <c r="A120" s="178">
        <v>22</v>
      </c>
      <c r="B120" s="174" t="s">
        <v>292</v>
      </c>
      <c r="C120" s="181" t="s">
        <v>293</v>
      </c>
      <c r="D120" s="181" t="s">
        <v>294</v>
      </c>
      <c r="E120" s="75" t="s">
        <v>233</v>
      </c>
      <c r="F120" s="181">
        <v>1</v>
      </c>
      <c r="G120" s="76" t="s">
        <v>272</v>
      </c>
      <c r="H120" s="77" t="s">
        <v>235</v>
      </c>
      <c r="I120" s="78">
        <v>4374533</v>
      </c>
      <c r="J120" s="80">
        <v>4374533</v>
      </c>
      <c r="K120" s="97">
        <f t="shared" si="58"/>
        <v>4374533</v>
      </c>
      <c r="L120" s="98">
        <f t="shared" si="57"/>
        <v>4374533</v>
      </c>
      <c r="M120" s="469" t="s">
        <v>295</v>
      </c>
      <c r="N120" s="470"/>
      <c r="O120" s="470"/>
      <c r="P120" s="184"/>
      <c r="Q120" s="70"/>
      <c r="R120" s="70"/>
      <c r="S120" s="70"/>
      <c r="T120" s="70"/>
      <c r="AQ120" s="482"/>
      <c r="AR120" s="482"/>
      <c r="AS120" s="482"/>
      <c r="AT120" s="482"/>
      <c r="AU120" s="482"/>
      <c r="AV120" s="482"/>
      <c r="AW120" s="482"/>
      <c r="AX120" s="482"/>
      <c r="AY120" s="484"/>
      <c r="AZ120" s="478"/>
      <c r="BA120" s="479"/>
    </row>
    <row r="121" spans="1:53" s="7" customFormat="1" ht="378" x14ac:dyDescent="0.25">
      <c r="A121" s="178">
        <v>23</v>
      </c>
      <c r="B121" s="174" t="s">
        <v>292</v>
      </c>
      <c r="C121" s="181" t="s">
        <v>296</v>
      </c>
      <c r="D121" s="181" t="s">
        <v>297</v>
      </c>
      <c r="E121" s="75" t="s">
        <v>233</v>
      </c>
      <c r="F121" s="181">
        <v>1</v>
      </c>
      <c r="G121" s="76" t="s">
        <v>272</v>
      </c>
      <c r="H121" s="77" t="s">
        <v>235</v>
      </c>
      <c r="I121" s="78">
        <v>7462933</v>
      </c>
      <c r="J121" s="185">
        <v>7462933</v>
      </c>
      <c r="K121" s="97">
        <f t="shared" si="58"/>
        <v>7462933</v>
      </c>
      <c r="L121" s="98">
        <f t="shared" si="57"/>
        <v>7462933</v>
      </c>
      <c r="M121" s="469" t="s">
        <v>295</v>
      </c>
      <c r="N121" s="470"/>
      <c r="O121" s="470"/>
      <c r="P121" s="184"/>
      <c r="Q121" s="70"/>
      <c r="R121" s="70"/>
      <c r="S121" s="70"/>
      <c r="T121" s="70"/>
      <c r="AQ121" s="482"/>
      <c r="AR121" s="482"/>
      <c r="AS121" s="482"/>
      <c r="AT121" s="482"/>
      <c r="AU121" s="482"/>
      <c r="AV121" s="482"/>
      <c r="AW121" s="482"/>
      <c r="AX121" s="482"/>
      <c r="AY121" s="484"/>
      <c r="AZ121" s="478"/>
      <c r="BA121" s="479"/>
    </row>
    <row r="122" spans="1:53" s="7" customFormat="1" ht="336" x14ac:dyDescent="0.25">
      <c r="A122" s="178">
        <v>24</v>
      </c>
      <c r="B122" s="174" t="s">
        <v>292</v>
      </c>
      <c r="C122" s="182" t="s">
        <v>298</v>
      </c>
      <c r="D122" s="181" t="s">
        <v>299</v>
      </c>
      <c r="E122" s="75" t="s">
        <v>233</v>
      </c>
      <c r="F122" s="181">
        <v>1</v>
      </c>
      <c r="G122" s="76" t="s">
        <v>300</v>
      </c>
      <c r="H122" s="77" t="s">
        <v>235</v>
      </c>
      <c r="I122" s="78">
        <v>2398800</v>
      </c>
      <c r="J122" s="185">
        <v>2398800</v>
      </c>
      <c r="K122" s="97">
        <f t="shared" si="58"/>
        <v>2398800</v>
      </c>
      <c r="L122" s="98">
        <f t="shared" si="57"/>
        <v>2398800</v>
      </c>
      <c r="M122" s="469" t="s">
        <v>301</v>
      </c>
      <c r="N122" s="470"/>
      <c r="O122" s="470"/>
      <c r="P122" s="184"/>
      <c r="Q122" s="70"/>
      <c r="R122" s="70"/>
      <c r="S122" s="70"/>
      <c r="T122" s="70"/>
      <c r="AQ122" s="482"/>
      <c r="AR122" s="482"/>
      <c r="AS122" s="482"/>
      <c r="AT122" s="482"/>
      <c r="AU122" s="482"/>
      <c r="AV122" s="482"/>
      <c r="AW122" s="482"/>
      <c r="AX122" s="482"/>
      <c r="AY122" s="484"/>
      <c r="AZ122" s="478"/>
      <c r="BA122" s="479"/>
    </row>
    <row r="123" spans="1:53" s="7" customFormat="1" ht="399" x14ac:dyDescent="0.25">
      <c r="A123" s="178">
        <v>25</v>
      </c>
      <c r="B123" s="174" t="s">
        <v>292</v>
      </c>
      <c r="C123" s="182" t="s">
        <v>266</v>
      </c>
      <c r="D123" s="181" t="s">
        <v>240</v>
      </c>
      <c r="E123" s="75" t="s">
        <v>233</v>
      </c>
      <c r="F123" s="181">
        <v>1</v>
      </c>
      <c r="G123" s="76" t="s">
        <v>272</v>
      </c>
      <c r="H123" s="77" t="s">
        <v>235</v>
      </c>
      <c r="I123" s="78">
        <v>7462933</v>
      </c>
      <c r="J123" s="185">
        <v>7462933</v>
      </c>
      <c r="K123" s="97">
        <f t="shared" si="58"/>
        <v>7462933</v>
      </c>
      <c r="L123" s="98">
        <f t="shared" si="57"/>
        <v>7462933</v>
      </c>
      <c r="M123" s="186"/>
      <c r="N123" s="187"/>
      <c r="O123" s="187"/>
      <c r="P123" s="184"/>
      <c r="Q123" s="70"/>
      <c r="R123" s="70"/>
      <c r="S123" s="70"/>
      <c r="T123" s="70"/>
      <c r="AQ123" s="482"/>
      <c r="AR123" s="482"/>
      <c r="AS123" s="482"/>
      <c r="AT123" s="482"/>
      <c r="AU123" s="482"/>
      <c r="AV123" s="482"/>
      <c r="AW123" s="482"/>
      <c r="AX123" s="482"/>
      <c r="AY123" s="484"/>
      <c r="AZ123" s="478"/>
      <c r="BA123" s="479"/>
    </row>
    <row r="124" spans="1:53" s="7" customFormat="1" ht="210" x14ac:dyDescent="0.25">
      <c r="A124" s="178">
        <v>26</v>
      </c>
      <c r="B124" s="174" t="s">
        <v>292</v>
      </c>
      <c r="C124" s="180" t="s">
        <v>282</v>
      </c>
      <c r="D124" s="181" t="s">
        <v>302</v>
      </c>
      <c r="E124" s="75" t="s">
        <v>233</v>
      </c>
      <c r="F124" s="181">
        <v>3</v>
      </c>
      <c r="G124" s="76" t="s">
        <v>260</v>
      </c>
      <c r="H124" s="77" t="s">
        <v>235</v>
      </c>
      <c r="I124" s="78">
        <v>1031666</v>
      </c>
      <c r="J124" s="80">
        <f>I124*3</f>
        <v>3094998</v>
      </c>
      <c r="K124" s="97">
        <f t="shared" si="58"/>
        <v>1031666</v>
      </c>
      <c r="L124" s="98">
        <f t="shared" si="57"/>
        <v>3094998</v>
      </c>
      <c r="M124" s="469" t="s">
        <v>303</v>
      </c>
      <c r="N124" s="470"/>
      <c r="O124" s="470"/>
      <c r="P124" s="184"/>
      <c r="Q124" s="70"/>
      <c r="R124" s="70"/>
      <c r="S124" s="70"/>
      <c r="T124" s="70"/>
      <c r="AQ124" s="482"/>
      <c r="AR124" s="482"/>
      <c r="AS124" s="482"/>
      <c r="AT124" s="482"/>
      <c r="AU124" s="482"/>
      <c r="AV124" s="482"/>
      <c r="AW124" s="482"/>
      <c r="AX124" s="482"/>
      <c r="AY124" s="484"/>
      <c r="AZ124" s="478"/>
      <c r="BA124" s="479"/>
    </row>
    <row r="125" spans="1:53" s="7" customFormat="1" ht="273" x14ac:dyDescent="0.25">
      <c r="A125" s="178">
        <v>27</v>
      </c>
      <c r="B125" s="174" t="s">
        <v>304</v>
      </c>
      <c r="C125" s="182" t="s">
        <v>305</v>
      </c>
      <c r="D125" s="181" t="s">
        <v>306</v>
      </c>
      <c r="E125" s="75" t="s">
        <v>233</v>
      </c>
      <c r="F125" s="181">
        <v>1</v>
      </c>
      <c r="G125" s="76" t="s">
        <v>307</v>
      </c>
      <c r="H125" s="77" t="s">
        <v>235</v>
      </c>
      <c r="I125" s="78">
        <v>7996001</v>
      </c>
      <c r="J125" s="80">
        <f>I125*2</f>
        <v>15992002</v>
      </c>
      <c r="K125" s="97">
        <f t="shared" si="58"/>
        <v>7996001</v>
      </c>
      <c r="L125" s="98">
        <f t="shared" si="57"/>
        <v>15992002</v>
      </c>
      <c r="M125" s="469"/>
      <c r="N125" s="470"/>
      <c r="O125" s="470"/>
      <c r="P125" s="184"/>
      <c r="Q125" s="70"/>
      <c r="R125" s="70"/>
      <c r="S125" s="70"/>
      <c r="T125" s="70"/>
      <c r="AQ125" s="482"/>
      <c r="AR125" s="482"/>
      <c r="AS125" s="482"/>
      <c r="AT125" s="482"/>
      <c r="AU125" s="482"/>
      <c r="AV125" s="482"/>
      <c r="AW125" s="482"/>
      <c r="AX125" s="482"/>
      <c r="AY125" s="484"/>
      <c r="AZ125" s="478"/>
      <c r="BA125" s="479"/>
    </row>
    <row r="126" spans="1:53" s="7" customFormat="1" ht="252" x14ac:dyDescent="0.25">
      <c r="A126" s="178">
        <v>28</v>
      </c>
      <c r="B126" s="174" t="s">
        <v>304</v>
      </c>
      <c r="C126" s="180" t="s">
        <v>308</v>
      </c>
      <c r="D126" s="181" t="s">
        <v>309</v>
      </c>
      <c r="E126" s="75" t="s">
        <v>233</v>
      </c>
      <c r="F126" s="181">
        <v>5</v>
      </c>
      <c r="G126" s="76" t="s">
        <v>310</v>
      </c>
      <c r="H126" s="77" t="s">
        <v>235</v>
      </c>
      <c r="I126" s="78">
        <v>7996001</v>
      </c>
      <c r="J126" s="80">
        <f>I126*5</f>
        <v>39980005</v>
      </c>
      <c r="K126" s="97">
        <f t="shared" si="58"/>
        <v>7996001</v>
      </c>
      <c r="L126" s="98">
        <f t="shared" si="57"/>
        <v>39980005</v>
      </c>
      <c r="M126" s="469"/>
      <c r="N126" s="470"/>
      <c r="O126" s="470"/>
      <c r="P126" s="184"/>
      <c r="Q126" s="70"/>
      <c r="R126" s="70"/>
      <c r="S126" s="70"/>
      <c r="T126" s="70"/>
      <c r="AQ126" s="482"/>
      <c r="AR126" s="482"/>
      <c r="AS126" s="482"/>
      <c r="AT126" s="482"/>
      <c r="AU126" s="482"/>
      <c r="AV126" s="482"/>
      <c r="AW126" s="482"/>
      <c r="AX126" s="482"/>
      <c r="AY126" s="484"/>
      <c r="AZ126" s="478"/>
      <c r="BA126" s="479"/>
    </row>
    <row r="127" spans="1:53" s="7" customFormat="1" ht="399" x14ac:dyDescent="0.25">
      <c r="A127" s="178">
        <v>29</v>
      </c>
      <c r="B127" s="174" t="s">
        <v>304</v>
      </c>
      <c r="C127" s="181" t="s">
        <v>266</v>
      </c>
      <c r="D127" s="181" t="s">
        <v>240</v>
      </c>
      <c r="E127" s="75" t="s">
        <v>233</v>
      </c>
      <c r="F127" s="181">
        <v>1</v>
      </c>
      <c r="G127" s="76" t="s">
        <v>310</v>
      </c>
      <c r="H127" s="77" t="s">
        <v>235</v>
      </c>
      <c r="I127" s="78">
        <v>7996001</v>
      </c>
      <c r="J127" s="80">
        <f>I127*1</f>
        <v>7996001</v>
      </c>
      <c r="K127" s="97">
        <f t="shared" si="58"/>
        <v>7996001</v>
      </c>
      <c r="L127" s="98">
        <f t="shared" si="57"/>
        <v>7996001</v>
      </c>
      <c r="M127" s="186"/>
      <c r="N127" s="187"/>
      <c r="O127" s="187"/>
      <c r="P127" s="184"/>
      <c r="Q127" s="70"/>
      <c r="R127" s="70"/>
      <c r="S127" s="70"/>
      <c r="T127" s="70"/>
      <c r="AQ127" s="482"/>
      <c r="AR127" s="482"/>
      <c r="AS127" s="482"/>
      <c r="AT127" s="482"/>
      <c r="AU127" s="482"/>
      <c r="AV127" s="482"/>
      <c r="AW127" s="482"/>
      <c r="AX127" s="482"/>
      <c r="AY127" s="484"/>
      <c r="AZ127" s="478"/>
      <c r="BA127" s="479"/>
    </row>
    <row r="128" spans="1:53" s="7" customFormat="1" ht="231" x14ac:dyDescent="0.25">
      <c r="A128" s="178">
        <v>30</v>
      </c>
      <c r="B128" s="174" t="s">
        <v>304</v>
      </c>
      <c r="C128" s="181" t="s">
        <v>311</v>
      </c>
      <c r="D128" s="181" t="s">
        <v>312</v>
      </c>
      <c r="E128" s="75" t="s">
        <v>233</v>
      </c>
      <c r="F128" s="181">
        <v>1</v>
      </c>
      <c r="G128" s="76" t="s">
        <v>310</v>
      </c>
      <c r="H128" s="77" t="s">
        <v>235</v>
      </c>
      <c r="I128" s="78">
        <v>5860000</v>
      </c>
      <c r="J128" s="80">
        <f>I128*1</f>
        <v>5860000</v>
      </c>
      <c r="K128" s="97">
        <f t="shared" si="58"/>
        <v>5860000</v>
      </c>
      <c r="L128" s="98">
        <f t="shared" si="57"/>
        <v>5860000</v>
      </c>
      <c r="M128" s="469"/>
      <c r="N128" s="470"/>
      <c r="O128" s="470"/>
      <c r="P128" s="184"/>
      <c r="Q128" s="70"/>
      <c r="R128" s="70"/>
      <c r="S128" s="70"/>
      <c r="T128" s="70"/>
      <c r="AQ128" s="482"/>
      <c r="AR128" s="482"/>
      <c r="AS128" s="482"/>
      <c r="AT128" s="482"/>
      <c r="AU128" s="482"/>
      <c r="AV128" s="482"/>
      <c r="AW128" s="482"/>
      <c r="AX128" s="482"/>
      <c r="AY128" s="484"/>
      <c r="AZ128" s="478"/>
      <c r="BA128" s="479"/>
    </row>
    <row r="129" spans="1:58" s="7" customFormat="1" ht="189" x14ac:dyDescent="0.25">
      <c r="A129" s="178">
        <v>31</v>
      </c>
      <c r="B129" s="174" t="s">
        <v>304</v>
      </c>
      <c r="C129" s="181" t="s">
        <v>313</v>
      </c>
      <c r="D129" s="181" t="s">
        <v>314</v>
      </c>
      <c r="E129" s="75" t="s">
        <v>233</v>
      </c>
      <c r="F129" s="181">
        <v>2</v>
      </c>
      <c r="G129" s="76" t="s">
        <v>307</v>
      </c>
      <c r="H129" s="77" t="s">
        <v>235</v>
      </c>
      <c r="I129" s="78">
        <v>3095000</v>
      </c>
      <c r="J129" s="80">
        <f>I129*4</f>
        <v>12380000</v>
      </c>
      <c r="K129" s="97">
        <f t="shared" si="58"/>
        <v>3095000</v>
      </c>
      <c r="L129" s="98">
        <f t="shared" si="57"/>
        <v>12380000</v>
      </c>
      <c r="M129" s="469"/>
      <c r="N129" s="470"/>
      <c r="O129" s="470"/>
      <c r="P129" s="184"/>
      <c r="Q129" s="70"/>
      <c r="R129" s="70"/>
      <c r="S129" s="70"/>
      <c r="T129" s="70"/>
      <c r="AQ129" s="482"/>
      <c r="AR129" s="482"/>
      <c r="AS129" s="482"/>
      <c r="AT129" s="482"/>
      <c r="AU129" s="482"/>
      <c r="AV129" s="482"/>
      <c r="AW129" s="482"/>
      <c r="AX129" s="482"/>
      <c r="AY129" s="484"/>
      <c r="AZ129" s="478"/>
      <c r="BA129" s="479"/>
    </row>
    <row r="130" spans="1:58" s="7" customFormat="1" ht="126" x14ac:dyDescent="0.25">
      <c r="A130" s="178">
        <v>32</v>
      </c>
      <c r="B130" s="174" t="s">
        <v>304</v>
      </c>
      <c r="C130" s="181" t="s">
        <v>315</v>
      </c>
      <c r="D130" s="181" t="s">
        <v>316</v>
      </c>
      <c r="E130" s="75" t="s">
        <v>233</v>
      </c>
      <c r="F130" s="181">
        <v>30</v>
      </c>
      <c r="G130" s="76" t="s">
        <v>310</v>
      </c>
      <c r="H130" s="77" t="s">
        <v>235</v>
      </c>
      <c r="I130" s="78">
        <v>3095000</v>
      </c>
      <c r="J130" s="80">
        <f>I130*30</f>
        <v>92850000</v>
      </c>
      <c r="K130" s="97">
        <f t="shared" si="58"/>
        <v>3095000</v>
      </c>
      <c r="L130" s="98">
        <f t="shared" si="57"/>
        <v>92850000</v>
      </c>
      <c r="M130" s="469"/>
      <c r="N130" s="470"/>
      <c r="O130" s="470"/>
      <c r="P130" s="184"/>
      <c r="Q130" s="70"/>
      <c r="R130" s="70"/>
      <c r="S130" s="70"/>
      <c r="T130" s="70"/>
      <c r="AQ130" s="482"/>
      <c r="AR130" s="482"/>
      <c r="AS130" s="482"/>
      <c r="AT130" s="482"/>
      <c r="AU130" s="482"/>
      <c r="AV130" s="482"/>
      <c r="AW130" s="482"/>
      <c r="AX130" s="482"/>
      <c r="AY130" s="484"/>
      <c r="AZ130" s="478"/>
      <c r="BA130" s="479"/>
    </row>
    <row r="131" spans="1:58" s="7" customFormat="1" ht="315" x14ac:dyDescent="0.25">
      <c r="A131" s="178">
        <v>33</v>
      </c>
      <c r="B131" s="174" t="s">
        <v>317</v>
      </c>
      <c r="C131" s="181" t="s">
        <v>318</v>
      </c>
      <c r="D131" s="181" t="s">
        <v>319</v>
      </c>
      <c r="E131" s="75" t="s">
        <v>233</v>
      </c>
      <c r="F131" s="181">
        <v>1</v>
      </c>
      <c r="G131" s="76" t="s">
        <v>320</v>
      </c>
      <c r="H131" s="77" t="s">
        <v>235</v>
      </c>
      <c r="I131" s="78">
        <v>7996000</v>
      </c>
      <c r="J131" s="80">
        <f>I131*4</f>
        <v>31984000</v>
      </c>
      <c r="K131" s="97">
        <f t="shared" si="58"/>
        <v>7996000</v>
      </c>
      <c r="L131" s="98">
        <f t="shared" si="57"/>
        <v>31984000</v>
      </c>
      <c r="M131" s="469"/>
      <c r="N131" s="470"/>
      <c r="O131" s="470"/>
      <c r="P131" s="184"/>
      <c r="Q131" s="70"/>
      <c r="R131" s="70"/>
      <c r="S131" s="70"/>
      <c r="T131" s="70"/>
      <c r="AQ131" s="482"/>
      <c r="AR131" s="482"/>
      <c r="AS131" s="482"/>
      <c r="AT131" s="482"/>
      <c r="AU131" s="482"/>
      <c r="AV131" s="482"/>
      <c r="AW131" s="482"/>
      <c r="AX131" s="482"/>
      <c r="AY131" s="484"/>
      <c r="AZ131" s="478"/>
      <c r="BA131" s="479"/>
    </row>
    <row r="132" spans="1:58" s="7" customFormat="1" ht="252" x14ac:dyDescent="0.25">
      <c r="A132" s="178">
        <v>34</v>
      </c>
      <c r="B132" s="174" t="s">
        <v>317</v>
      </c>
      <c r="C132" s="181" t="s">
        <v>321</v>
      </c>
      <c r="D132" s="181" t="s">
        <v>322</v>
      </c>
      <c r="E132" s="75" t="s">
        <v>233</v>
      </c>
      <c r="F132" s="181">
        <v>1</v>
      </c>
      <c r="G132" s="76" t="s">
        <v>320</v>
      </c>
      <c r="H132" s="77" t="s">
        <v>235</v>
      </c>
      <c r="I132" s="78">
        <v>7996000</v>
      </c>
      <c r="J132" s="80">
        <f>I132*4</f>
        <v>31984000</v>
      </c>
      <c r="K132" s="97">
        <f t="shared" si="58"/>
        <v>7996000</v>
      </c>
      <c r="L132" s="98">
        <f t="shared" si="57"/>
        <v>31984000</v>
      </c>
      <c r="M132" s="469"/>
      <c r="N132" s="470"/>
      <c r="O132" s="470"/>
      <c r="P132" s="184"/>
      <c r="Q132" s="70"/>
      <c r="R132" s="70"/>
      <c r="S132" s="70"/>
      <c r="T132" s="70"/>
      <c r="AQ132" s="482"/>
      <c r="AR132" s="482"/>
      <c r="AS132" s="482"/>
      <c r="AT132" s="482"/>
      <c r="AU132" s="482"/>
      <c r="AV132" s="482"/>
      <c r="AW132" s="482"/>
      <c r="AX132" s="482"/>
      <c r="AY132" s="484"/>
      <c r="AZ132" s="478"/>
      <c r="BA132" s="479"/>
    </row>
    <row r="133" spans="1:58" s="7" customFormat="1" ht="252" x14ac:dyDescent="0.25">
      <c r="A133" s="178">
        <v>35</v>
      </c>
      <c r="B133" s="174" t="s">
        <v>317</v>
      </c>
      <c r="C133" s="181" t="s">
        <v>323</v>
      </c>
      <c r="D133" s="181" t="s">
        <v>324</v>
      </c>
      <c r="E133" s="75" t="s">
        <v>233</v>
      </c>
      <c r="F133" s="181">
        <v>1</v>
      </c>
      <c r="G133" s="76" t="s">
        <v>325</v>
      </c>
      <c r="H133" s="77" t="s">
        <v>235</v>
      </c>
      <c r="I133" s="78">
        <v>7996000</v>
      </c>
      <c r="J133" s="80">
        <f>I133*3</f>
        <v>23988000</v>
      </c>
      <c r="K133" s="97">
        <f t="shared" si="58"/>
        <v>7996000</v>
      </c>
      <c r="L133" s="98">
        <f t="shared" si="57"/>
        <v>23988000</v>
      </c>
      <c r="M133" s="469"/>
      <c r="N133" s="470"/>
      <c r="O133" s="470"/>
      <c r="P133" s="184"/>
      <c r="Q133" s="70"/>
      <c r="R133" s="70"/>
      <c r="S133" s="70"/>
      <c r="T133" s="70"/>
      <c r="AQ133" s="482"/>
      <c r="AR133" s="482"/>
      <c r="AS133" s="482"/>
      <c r="AT133" s="482"/>
      <c r="AU133" s="482"/>
      <c r="AV133" s="482"/>
      <c r="AW133" s="482"/>
      <c r="AX133" s="482"/>
      <c r="AY133" s="484"/>
      <c r="AZ133" s="478"/>
      <c r="BA133" s="479"/>
    </row>
    <row r="134" spans="1:58" s="7" customFormat="1" ht="189" x14ac:dyDescent="0.25">
      <c r="A134" s="178">
        <v>36</v>
      </c>
      <c r="B134" s="174" t="s">
        <v>317</v>
      </c>
      <c r="C134" s="181" t="s">
        <v>313</v>
      </c>
      <c r="D134" s="181" t="s">
        <v>314</v>
      </c>
      <c r="E134" s="75" t="s">
        <v>233</v>
      </c>
      <c r="F134" s="181">
        <v>2</v>
      </c>
      <c r="G134" s="76" t="s">
        <v>320</v>
      </c>
      <c r="H134" s="77" t="s">
        <v>235</v>
      </c>
      <c r="I134" s="78">
        <v>3640000</v>
      </c>
      <c r="J134" s="80">
        <f>I134*8</f>
        <v>29120000</v>
      </c>
      <c r="K134" s="97">
        <f t="shared" si="58"/>
        <v>3640000</v>
      </c>
      <c r="L134" s="98">
        <f t="shared" si="57"/>
        <v>29120000</v>
      </c>
      <c r="M134" s="469"/>
      <c r="N134" s="470"/>
      <c r="O134" s="470"/>
      <c r="P134" s="184"/>
      <c r="Q134" s="70"/>
      <c r="R134" s="70"/>
      <c r="S134" s="70"/>
      <c r="T134" s="70"/>
      <c r="AQ134" s="482"/>
      <c r="AR134" s="482"/>
      <c r="AS134" s="482"/>
      <c r="AT134" s="482"/>
      <c r="AU134" s="482"/>
      <c r="AV134" s="482"/>
      <c r="AW134" s="482"/>
      <c r="AX134" s="482"/>
      <c r="AY134" s="484"/>
      <c r="AZ134" s="478"/>
      <c r="BA134" s="479"/>
    </row>
    <row r="135" spans="1:58" s="7" customFormat="1" ht="126" x14ac:dyDescent="0.25">
      <c r="A135" s="178">
        <v>37</v>
      </c>
      <c r="B135" s="174" t="s">
        <v>317</v>
      </c>
      <c r="C135" s="181" t="s">
        <v>326</v>
      </c>
      <c r="D135" s="181" t="s">
        <v>316</v>
      </c>
      <c r="E135" s="75" t="s">
        <v>233</v>
      </c>
      <c r="F135" s="181">
        <v>2</v>
      </c>
      <c r="G135" s="76" t="s">
        <v>325</v>
      </c>
      <c r="H135" s="77" t="s">
        <v>235</v>
      </c>
      <c r="I135" s="78">
        <v>3095000</v>
      </c>
      <c r="J135" s="80">
        <f>I135*6</f>
        <v>18570000</v>
      </c>
      <c r="K135" s="97">
        <f t="shared" si="58"/>
        <v>3095000</v>
      </c>
      <c r="L135" s="98">
        <f t="shared" si="57"/>
        <v>18570000</v>
      </c>
      <c r="M135" s="469"/>
      <c r="N135" s="470"/>
      <c r="O135" s="470"/>
      <c r="P135" s="184"/>
      <c r="Q135" s="70"/>
      <c r="R135" s="70"/>
      <c r="S135" s="70"/>
      <c r="T135" s="471" t="s">
        <v>236</v>
      </c>
      <c r="U135" s="472"/>
      <c r="V135" s="472"/>
      <c r="W135" s="472"/>
      <c r="X135" s="472"/>
      <c r="Y135" s="473"/>
      <c r="Z135" s="474" t="s">
        <v>237</v>
      </c>
      <c r="AA135" s="475">
        <f>SUM(AA96,L136)</f>
        <v>1537519500.486367</v>
      </c>
      <c r="AQ135" s="482"/>
      <c r="AR135" s="482"/>
      <c r="AS135" s="482"/>
      <c r="AT135" s="482"/>
      <c r="AU135" s="482"/>
      <c r="AV135" s="482"/>
      <c r="AW135" s="482"/>
      <c r="AX135" s="482"/>
      <c r="AY135" s="484"/>
      <c r="AZ135" s="478"/>
      <c r="BA135" s="479"/>
      <c r="BF135" s="7">
        <v>65</v>
      </c>
    </row>
    <row r="136" spans="1:58" s="7" customFormat="1" ht="14.45" customHeight="1" x14ac:dyDescent="0.25">
      <c r="A136" s="467" t="s">
        <v>235</v>
      </c>
      <c r="B136" s="467"/>
      <c r="C136" s="467"/>
      <c r="D136" s="467"/>
      <c r="E136" s="467"/>
      <c r="F136" s="467"/>
      <c r="G136" s="467"/>
      <c r="H136" s="467"/>
      <c r="I136" s="467"/>
      <c r="L136" s="91">
        <f>SUM(L99:L135)</f>
        <v>927118595</v>
      </c>
      <c r="P136" s="70"/>
      <c r="Q136" s="70"/>
      <c r="R136" s="70"/>
      <c r="S136" s="70"/>
      <c r="T136" s="468" t="s">
        <v>241</v>
      </c>
      <c r="U136" s="468"/>
      <c r="V136" s="468"/>
      <c r="W136" s="468"/>
      <c r="X136" s="468"/>
      <c r="Y136" s="468"/>
      <c r="Z136" s="474"/>
      <c r="AA136" s="475"/>
      <c r="AQ136" s="482"/>
      <c r="AR136" s="482"/>
      <c r="AS136" s="482"/>
      <c r="AT136" s="482"/>
      <c r="AU136" s="482"/>
      <c r="AV136" s="482"/>
      <c r="AW136" s="482"/>
      <c r="AX136" s="482"/>
      <c r="AY136" s="484"/>
      <c r="AZ136" s="478"/>
      <c r="BA136" s="479"/>
      <c r="BF136" s="7">
        <v>66</v>
      </c>
    </row>
    <row r="137" spans="1:58" s="7" customFormat="1" ht="14.45" customHeight="1" x14ac:dyDescent="0.25">
      <c r="A137" s="3"/>
      <c r="B137" s="3"/>
      <c r="C137" s="3"/>
      <c r="D137" s="3"/>
      <c r="E137" s="3"/>
      <c r="F137" s="3"/>
      <c r="G137" s="3"/>
      <c r="H137" s="3"/>
      <c r="I137" s="3"/>
      <c r="J137" s="3"/>
      <c r="K137" s="3"/>
      <c r="L137" s="3"/>
      <c r="M137" s="3"/>
      <c r="N137" s="3"/>
      <c r="O137" s="3"/>
      <c r="P137" s="70"/>
      <c r="Q137" s="70"/>
      <c r="R137" s="70"/>
      <c r="S137" s="70"/>
      <c r="T137" s="468"/>
      <c r="U137" s="468"/>
      <c r="V137" s="468"/>
      <c r="W137" s="468"/>
      <c r="X137" s="468"/>
      <c r="Y137" s="468"/>
      <c r="Z137" s="474"/>
      <c r="AA137" s="475"/>
      <c r="AQ137" s="482"/>
      <c r="AR137" s="482"/>
      <c r="AS137" s="482"/>
      <c r="AT137" s="482"/>
      <c r="AU137" s="482"/>
      <c r="AV137" s="482"/>
      <c r="AW137" s="482"/>
      <c r="AX137" s="482"/>
      <c r="AY137" s="484"/>
      <c r="AZ137" s="478"/>
      <c r="BA137" s="479"/>
      <c r="BF137" s="7">
        <v>67</v>
      </c>
    </row>
    <row r="138" spans="1:58" s="7" customFormat="1" ht="14.45" customHeight="1" x14ac:dyDescent="0.25">
      <c r="A138" s="3"/>
      <c r="B138" s="3"/>
      <c r="C138" s="3"/>
      <c r="D138" s="3"/>
      <c r="E138" s="3"/>
      <c r="F138" s="3"/>
      <c r="G138" s="3"/>
      <c r="H138" s="3"/>
      <c r="I138" s="3"/>
      <c r="J138" s="3"/>
      <c r="K138" s="3"/>
      <c r="L138" s="3"/>
      <c r="M138" s="3"/>
      <c r="N138" s="3"/>
      <c r="O138" s="3"/>
      <c r="P138" s="70"/>
      <c r="Q138" s="70"/>
      <c r="R138" s="70"/>
      <c r="S138" s="70"/>
      <c r="T138" s="468"/>
      <c r="U138" s="468"/>
      <c r="V138" s="468"/>
      <c r="W138" s="468"/>
      <c r="X138" s="468"/>
      <c r="Y138" s="468"/>
      <c r="Z138" s="474"/>
      <c r="AA138" s="475"/>
      <c r="AQ138" s="482"/>
      <c r="AR138" s="482"/>
      <c r="AS138" s="482"/>
      <c r="AT138" s="482"/>
      <c r="AU138" s="482"/>
      <c r="AV138" s="482"/>
      <c r="AW138" s="482"/>
      <c r="AX138" s="482"/>
      <c r="AY138" s="484"/>
      <c r="AZ138" s="478"/>
      <c r="BA138" s="479"/>
      <c r="BF138" s="7">
        <v>68</v>
      </c>
    </row>
    <row r="139" spans="1:58" s="7" customFormat="1" ht="14.45" customHeight="1" x14ac:dyDescent="0.25">
      <c r="A139" s="3"/>
      <c r="B139" s="3"/>
      <c r="C139" s="3"/>
      <c r="D139" s="3"/>
      <c r="E139" s="3"/>
      <c r="F139" s="3"/>
      <c r="G139" s="3"/>
      <c r="H139" s="3"/>
      <c r="I139" s="3"/>
      <c r="J139" s="3"/>
      <c r="K139" s="3"/>
      <c r="L139" s="3"/>
      <c r="M139" s="3"/>
      <c r="N139" s="3"/>
      <c r="O139" s="3"/>
      <c r="P139" s="70"/>
      <c r="Q139" s="70"/>
      <c r="R139" s="70"/>
      <c r="S139" s="70"/>
      <c r="T139" s="468"/>
      <c r="U139" s="468"/>
      <c r="V139" s="468"/>
      <c r="W139" s="468"/>
      <c r="X139" s="468"/>
      <c r="Y139" s="468"/>
      <c r="Z139" s="474"/>
      <c r="AA139" s="475"/>
      <c r="AQ139" s="482"/>
      <c r="AR139" s="482"/>
      <c r="AS139" s="482"/>
      <c r="AT139" s="482"/>
      <c r="AU139" s="482"/>
      <c r="AV139" s="482"/>
      <c r="AW139" s="482"/>
      <c r="AX139" s="482"/>
      <c r="AY139" s="484"/>
      <c r="AZ139" s="478"/>
      <c r="BA139" s="479"/>
      <c r="BF139" s="7">
        <v>69</v>
      </c>
    </row>
    <row r="140" spans="1:58" s="7" customFormat="1" ht="14.45" customHeight="1" x14ac:dyDescent="0.25">
      <c r="A140" s="3"/>
      <c r="B140" s="3"/>
      <c r="C140" s="3"/>
      <c r="D140" s="3"/>
      <c r="E140" s="3"/>
      <c r="F140" s="3"/>
      <c r="G140" s="3"/>
      <c r="H140" s="3"/>
      <c r="I140" s="3"/>
      <c r="J140" s="3"/>
      <c r="K140" s="3"/>
      <c r="L140" s="3"/>
      <c r="M140" s="3"/>
      <c r="N140" s="3"/>
      <c r="O140" s="3"/>
      <c r="P140" s="70"/>
      <c r="Q140" s="70"/>
      <c r="R140" s="70"/>
      <c r="S140" s="70"/>
      <c r="T140" s="468"/>
      <c r="U140" s="468"/>
      <c r="V140" s="468"/>
      <c r="W140" s="468"/>
      <c r="X140" s="468"/>
      <c r="Y140" s="468"/>
      <c r="Z140" s="474"/>
      <c r="AA140" s="475"/>
      <c r="AQ140" s="482"/>
      <c r="AR140" s="482"/>
      <c r="AS140" s="482"/>
      <c r="AT140" s="482"/>
      <c r="AU140" s="482"/>
      <c r="AV140" s="482"/>
      <c r="AW140" s="482"/>
      <c r="AX140" s="482"/>
      <c r="AY140" s="484"/>
      <c r="AZ140" s="478"/>
      <c r="BA140" s="479"/>
      <c r="BF140" s="7">
        <v>70</v>
      </c>
    </row>
    <row r="141" spans="1:58" s="7" customFormat="1" x14ac:dyDescent="0.25">
      <c r="A141" s="3"/>
      <c r="B141" s="3"/>
      <c r="C141" s="3"/>
      <c r="D141" s="3"/>
      <c r="E141" s="3"/>
      <c r="F141" s="3"/>
      <c r="G141" s="3"/>
      <c r="H141" s="3"/>
      <c r="I141" s="3"/>
      <c r="J141" s="3"/>
      <c r="K141" s="3"/>
      <c r="L141" s="3"/>
      <c r="M141" s="3"/>
      <c r="N141" s="3"/>
      <c r="O141" s="3"/>
      <c r="P141" s="70"/>
      <c r="Q141" s="70"/>
      <c r="R141" s="70"/>
      <c r="S141" s="70"/>
      <c r="T141" s="468"/>
      <c r="U141" s="468"/>
      <c r="V141" s="468"/>
      <c r="W141" s="468"/>
      <c r="X141" s="468"/>
      <c r="Y141" s="468"/>
      <c r="Z141" s="474"/>
      <c r="AA141" s="475"/>
      <c r="AQ141" s="482"/>
      <c r="AR141" s="482"/>
      <c r="AS141" s="482"/>
      <c r="AT141" s="482"/>
      <c r="AU141" s="482"/>
      <c r="AV141" s="482"/>
      <c r="AW141" s="482"/>
      <c r="AX141" s="482"/>
      <c r="AY141" s="484"/>
      <c r="AZ141" s="478"/>
      <c r="BA141" s="479"/>
      <c r="BF141" s="7">
        <v>71</v>
      </c>
    </row>
    <row r="142" spans="1:58" s="7" customFormat="1" x14ac:dyDescent="0.25">
      <c r="A142" s="3"/>
      <c r="B142" s="3"/>
      <c r="C142" s="3"/>
      <c r="D142" s="3"/>
      <c r="E142" s="3"/>
      <c r="F142" s="3"/>
      <c r="G142" s="3"/>
      <c r="H142" s="3"/>
      <c r="I142" s="3"/>
      <c r="J142" s="3"/>
      <c r="K142" s="3"/>
      <c r="L142" s="3"/>
      <c r="M142" s="3"/>
      <c r="N142" s="3"/>
      <c r="O142" s="3"/>
      <c r="P142" s="70"/>
      <c r="Q142" s="70"/>
      <c r="R142" s="70"/>
      <c r="S142" s="70"/>
      <c r="T142" s="468"/>
      <c r="U142" s="468"/>
      <c r="V142" s="468"/>
      <c r="W142" s="468"/>
      <c r="X142" s="468"/>
      <c r="Y142" s="468"/>
      <c r="Z142" s="474"/>
      <c r="AA142" s="475"/>
      <c r="AQ142" s="482"/>
      <c r="AR142" s="482"/>
      <c r="AS142" s="482"/>
      <c r="AT142" s="482"/>
      <c r="AU142" s="482"/>
      <c r="AV142" s="482"/>
      <c r="AW142" s="482"/>
      <c r="AX142" s="482"/>
      <c r="AY142" s="484"/>
      <c r="AZ142" s="478"/>
      <c r="BA142" s="479"/>
      <c r="BF142" s="7">
        <v>72</v>
      </c>
    </row>
    <row r="143" spans="1:58" s="7" customFormat="1" x14ac:dyDescent="0.25">
      <c r="A143" s="3"/>
      <c r="B143" s="3"/>
      <c r="C143" s="3"/>
      <c r="D143" s="3"/>
      <c r="E143" s="3"/>
      <c r="F143" s="3"/>
      <c r="G143" s="3"/>
      <c r="H143" s="3"/>
      <c r="I143" s="3"/>
      <c r="J143" s="3"/>
      <c r="K143" s="3"/>
      <c r="L143" s="3"/>
      <c r="M143" s="3"/>
      <c r="N143" s="3"/>
      <c r="O143" s="3"/>
      <c r="P143" s="70"/>
      <c r="Q143" s="70"/>
      <c r="R143" s="70"/>
      <c r="S143" s="70"/>
      <c r="T143" s="468"/>
      <c r="U143" s="468"/>
      <c r="V143" s="468"/>
      <c r="W143" s="468"/>
      <c r="X143" s="468"/>
      <c r="Y143" s="468"/>
      <c r="Z143" s="474"/>
      <c r="AA143" s="475"/>
      <c r="AQ143" s="482"/>
      <c r="AR143" s="482"/>
      <c r="AS143" s="482"/>
      <c r="AT143" s="482"/>
      <c r="AU143" s="482"/>
      <c r="AV143" s="482"/>
      <c r="AW143" s="482"/>
      <c r="AX143" s="482"/>
      <c r="AY143" s="484"/>
      <c r="AZ143" s="478"/>
      <c r="BA143" s="479"/>
      <c r="BF143" s="7">
        <v>73</v>
      </c>
    </row>
    <row r="144" spans="1:58" s="7" customFormat="1" x14ac:dyDescent="0.25">
      <c r="A144" s="3"/>
      <c r="B144" s="3"/>
      <c r="C144" s="3"/>
      <c r="D144" s="3"/>
      <c r="E144" s="3"/>
      <c r="F144" s="3"/>
      <c r="G144" s="3"/>
      <c r="H144" s="3"/>
      <c r="I144" s="3"/>
      <c r="J144" s="3"/>
      <c r="K144" s="3"/>
      <c r="L144" s="3"/>
      <c r="M144" s="3"/>
      <c r="N144" s="3"/>
      <c r="O144" s="3"/>
      <c r="P144" s="70"/>
      <c r="Q144" s="70"/>
      <c r="R144" s="70"/>
      <c r="S144" s="70"/>
      <c r="T144" s="468"/>
      <c r="U144" s="468"/>
      <c r="V144" s="468"/>
      <c r="W144" s="468"/>
      <c r="X144" s="468"/>
      <c r="Y144" s="468"/>
      <c r="Z144" s="474"/>
      <c r="AA144" s="475"/>
      <c r="AQ144" s="482"/>
      <c r="AR144" s="482"/>
      <c r="AS144" s="482"/>
      <c r="AT144" s="482"/>
      <c r="AU144" s="482"/>
      <c r="AV144" s="482"/>
      <c r="AW144" s="482"/>
      <c r="AX144" s="482"/>
      <c r="AY144" s="484"/>
      <c r="AZ144" s="478"/>
      <c r="BA144" s="479"/>
      <c r="BF144" s="7">
        <v>74</v>
      </c>
    </row>
    <row r="145" spans="1:58" s="7" customFormat="1" x14ac:dyDescent="0.25">
      <c r="A145" s="3"/>
      <c r="B145" s="3"/>
      <c r="C145" s="3"/>
      <c r="D145" s="3"/>
      <c r="E145" s="3"/>
      <c r="F145" s="3"/>
      <c r="G145" s="3"/>
      <c r="H145" s="3"/>
      <c r="I145" s="3"/>
      <c r="J145" s="3"/>
      <c r="K145" s="3"/>
      <c r="L145" s="3"/>
      <c r="M145" s="3"/>
      <c r="N145" s="3"/>
      <c r="O145" s="3"/>
      <c r="P145" s="70"/>
      <c r="Q145" s="70"/>
      <c r="R145" s="70"/>
      <c r="S145" s="70"/>
      <c r="T145" s="468"/>
      <c r="U145" s="468"/>
      <c r="V145" s="468"/>
      <c r="W145" s="468"/>
      <c r="X145" s="468"/>
      <c r="Y145" s="468"/>
      <c r="Z145" s="474"/>
      <c r="AA145" s="475"/>
      <c r="AQ145" s="482"/>
      <c r="AR145" s="482"/>
      <c r="AS145" s="482"/>
      <c r="AT145" s="482"/>
      <c r="AU145" s="482"/>
      <c r="AV145" s="482"/>
      <c r="AW145" s="482"/>
      <c r="AX145" s="482"/>
      <c r="AY145" s="484"/>
      <c r="AZ145" s="478"/>
      <c r="BA145" s="479"/>
      <c r="BF145" s="7">
        <v>75</v>
      </c>
    </row>
    <row r="146" spans="1:58" s="7" customFormat="1" x14ac:dyDescent="0.25">
      <c r="A146" s="3"/>
      <c r="B146" s="3"/>
      <c r="C146" s="3"/>
      <c r="D146" s="3"/>
      <c r="E146" s="3"/>
      <c r="F146" s="3"/>
      <c r="G146" s="3"/>
      <c r="H146" s="3"/>
      <c r="I146" s="3"/>
      <c r="J146" s="3"/>
      <c r="K146" s="3"/>
      <c r="L146" s="3"/>
      <c r="M146" s="3"/>
      <c r="N146" s="3"/>
      <c r="O146" s="3"/>
      <c r="P146" s="70"/>
      <c r="Q146" s="70"/>
      <c r="R146" s="70"/>
      <c r="S146" s="70"/>
      <c r="T146" s="468"/>
      <c r="U146" s="468"/>
      <c r="V146" s="468"/>
      <c r="W146" s="468"/>
      <c r="X146" s="468"/>
      <c r="Y146" s="468"/>
      <c r="Z146" s="474"/>
      <c r="AA146" s="475"/>
      <c r="AQ146" s="482"/>
      <c r="AR146" s="482"/>
      <c r="AS146" s="482"/>
      <c r="AT146" s="482"/>
      <c r="AU146" s="482"/>
      <c r="AV146" s="482"/>
      <c r="AW146" s="482"/>
      <c r="AX146" s="482"/>
      <c r="AY146" s="484"/>
      <c r="AZ146" s="478"/>
      <c r="BA146" s="479"/>
      <c r="BF146" s="7">
        <v>76</v>
      </c>
    </row>
    <row r="147" spans="1:58" s="7" customFormat="1" x14ac:dyDescent="0.25">
      <c r="A147" s="3"/>
      <c r="B147" s="3"/>
      <c r="C147" s="3"/>
      <c r="D147" s="3"/>
      <c r="E147" s="3"/>
      <c r="F147" s="3"/>
      <c r="G147" s="3"/>
      <c r="H147" s="3"/>
      <c r="I147" s="3"/>
      <c r="J147" s="3"/>
      <c r="K147" s="3"/>
      <c r="L147" s="3"/>
      <c r="M147" s="3"/>
      <c r="N147" s="3"/>
      <c r="O147" s="3"/>
      <c r="P147" s="70"/>
      <c r="Q147" s="70"/>
      <c r="R147" s="70"/>
      <c r="S147" s="70"/>
      <c r="T147" s="468"/>
      <c r="U147" s="468"/>
      <c r="V147" s="468"/>
      <c r="W147" s="468"/>
      <c r="X147" s="468"/>
      <c r="Y147" s="468"/>
      <c r="Z147" s="474"/>
      <c r="AA147" s="475"/>
      <c r="AQ147" s="482"/>
      <c r="AR147" s="482"/>
      <c r="AS147" s="482"/>
      <c r="AT147" s="482"/>
      <c r="AU147" s="482"/>
      <c r="AV147" s="482"/>
      <c r="AW147" s="482"/>
      <c r="AX147" s="482"/>
      <c r="AY147" s="484"/>
      <c r="AZ147" s="478"/>
      <c r="BA147" s="479"/>
      <c r="BF147" s="7">
        <v>77</v>
      </c>
    </row>
    <row r="148" spans="1:58" s="7" customFormat="1" x14ac:dyDescent="0.25">
      <c r="A148" s="3"/>
      <c r="B148" s="3"/>
      <c r="C148" s="3"/>
      <c r="D148" s="3"/>
      <c r="E148" s="3"/>
      <c r="F148" s="3"/>
      <c r="G148" s="3"/>
      <c r="H148" s="3"/>
      <c r="I148" s="3"/>
      <c r="J148" s="3"/>
      <c r="K148" s="3"/>
      <c r="L148" s="3"/>
      <c r="M148" s="3"/>
      <c r="N148" s="3"/>
      <c r="O148" s="3"/>
      <c r="P148" s="70"/>
      <c r="Q148" s="70"/>
      <c r="R148" s="70"/>
      <c r="S148" s="70"/>
      <c r="T148" s="468"/>
      <c r="U148" s="468"/>
      <c r="V148" s="468"/>
      <c r="W148" s="468"/>
      <c r="X148" s="468"/>
      <c r="Y148" s="468"/>
      <c r="Z148" s="474"/>
      <c r="AA148" s="475"/>
      <c r="AQ148" s="482"/>
      <c r="AR148" s="482"/>
      <c r="AS148" s="482"/>
      <c r="AT148" s="482"/>
      <c r="AU148" s="482"/>
      <c r="AV148" s="482"/>
      <c r="AW148" s="482"/>
      <c r="AX148" s="482"/>
      <c r="AY148" s="484"/>
      <c r="AZ148" s="478"/>
      <c r="BA148" s="479"/>
      <c r="BF148" s="7">
        <v>78</v>
      </c>
    </row>
    <row r="149" spans="1:58" s="7" customFormat="1" ht="24" x14ac:dyDescent="0.25">
      <c r="A149" s="3"/>
      <c r="B149" s="3"/>
      <c r="C149" s="3"/>
      <c r="D149" s="3"/>
      <c r="E149" s="3"/>
      <c r="F149" s="3"/>
      <c r="G149" s="3"/>
      <c r="H149" s="3"/>
      <c r="I149" s="3"/>
      <c r="J149" s="3"/>
      <c r="K149" s="3"/>
      <c r="L149" s="3"/>
      <c r="M149" s="3"/>
      <c r="N149" s="3"/>
      <c r="O149" s="3"/>
      <c r="P149" s="70"/>
      <c r="Q149" s="70"/>
      <c r="R149" s="70"/>
      <c r="S149" s="70"/>
      <c r="T149" s="175"/>
      <c r="U149" s="175"/>
      <c r="V149" s="175"/>
      <c r="W149" s="175"/>
      <c r="X149" s="175"/>
      <c r="Y149" s="175"/>
      <c r="Z149" s="176"/>
      <c r="AA149" s="177"/>
      <c r="AQ149" s="482"/>
      <c r="AR149" s="482"/>
      <c r="AS149" s="482"/>
      <c r="AT149" s="482"/>
      <c r="AU149" s="482"/>
      <c r="AV149" s="482"/>
      <c r="AW149" s="482"/>
      <c r="AX149" s="482"/>
      <c r="AY149" s="484"/>
      <c r="AZ149" s="478"/>
      <c r="BA149" s="479"/>
    </row>
    <row r="150" spans="1:58" s="7" customFormat="1" ht="24" x14ac:dyDescent="0.25">
      <c r="A150" s="3"/>
      <c r="B150" s="3"/>
      <c r="C150" s="3"/>
      <c r="D150" s="3"/>
      <c r="E150" s="3"/>
      <c r="F150" s="3"/>
      <c r="G150" s="3"/>
      <c r="H150" s="3"/>
      <c r="I150" s="3"/>
      <c r="J150" s="3"/>
      <c r="K150" s="3"/>
      <c r="L150" s="3"/>
      <c r="M150" s="3"/>
      <c r="N150" s="3"/>
      <c r="O150" s="3"/>
      <c r="P150" s="70"/>
      <c r="Q150" s="70"/>
      <c r="R150" s="70"/>
      <c r="S150" s="70"/>
      <c r="T150" s="175"/>
      <c r="U150" s="175"/>
      <c r="V150" s="175"/>
      <c r="W150" s="175"/>
      <c r="X150" s="175"/>
      <c r="Y150" s="175"/>
      <c r="Z150" s="176"/>
      <c r="AA150" s="177"/>
      <c r="AQ150" s="482"/>
      <c r="AR150" s="482"/>
      <c r="AS150" s="482"/>
      <c r="AT150" s="482"/>
      <c r="AU150" s="482"/>
      <c r="AV150" s="482"/>
      <c r="AW150" s="482"/>
      <c r="AX150" s="482"/>
      <c r="AY150" s="484"/>
      <c r="AZ150" s="478"/>
      <c r="BA150" s="479"/>
    </row>
    <row r="151" spans="1:58" s="7" customFormat="1" ht="24" x14ac:dyDescent="0.25">
      <c r="A151" s="3"/>
      <c r="B151" s="3"/>
      <c r="C151" s="3"/>
      <c r="D151" s="3"/>
      <c r="E151" s="3"/>
      <c r="F151" s="3"/>
      <c r="G151" s="3"/>
      <c r="H151" s="3"/>
      <c r="I151" s="3"/>
      <c r="J151" s="3"/>
      <c r="K151" s="3"/>
      <c r="L151" s="3"/>
      <c r="M151" s="3"/>
      <c r="N151" s="3"/>
      <c r="O151" s="3"/>
      <c r="P151" s="70"/>
      <c r="Q151" s="70"/>
      <c r="R151" s="70"/>
      <c r="S151" s="70"/>
      <c r="T151" s="175"/>
      <c r="U151" s="175"/>
      <c r="V151" s="175"/>
      <c r="W151" s="175"/>
      <c r="X151" s="175"/>
      <c r="Y151" s="175"/>
      <c r="Z151" s="176"/>
      <c r="AA151" s="177"/>
      <c r="AQ151" s="482"/>
      <c r="AR151" s="482"/>
      <c r="AS151" s="482"/>
      <c r="AT151" s="482"/>
      <c r="AU151" s="482"/>
      <c r="AV151" s="482"/>
      <c r="AW151" s="482"/>
      <c r="AX151" s="482"/>
      <c r="AY151" s="484"/>
      <c r="AZ151" s="478"/>
      <c r="BA151" s="479"/>
    </row>
    <row r="152" spans="1:58" s="7" customFormat="1" ht="24" x14ac:dyDescent="0.25">
      <c r="A152" s="3"/>
      <c r="B152" s="3"/>
      <c r="C152" s="3"/>
      <c r="D152" s="3"/>
      <c r="E152" s="3"/>
      <c r="F152" s="3"/>
      <c r="G152" s="3"/>
      <c r="H152" s="3"/>
      <c r="I152" s="3"/>
      <c r="J152" s="3"/>
      <c r="K152" s="3"/>
      <c r="L152" s="3"/>
      <c r="M152" s="3"/>
      <c r="N152" s="3"/>
      <c r="O152" s="3"/>
      <c r="P152" s="70"/>
      <c r="Q152" s="70"/>
      <c r="R152" s="70"/>
      <c r="S152" s="70"/>
      <c r="T152" s="175"/>
      <c r="U152" s="175"/>
      <c r="V152" s="175"/>
      <c r="W152" s="175"/>
      <c r="X152" s="175"/>
      <c r="Y152" s="175"/>
      <c r="Z152" s="176"/>
      <c r="AA152" s="177"/>
      <c r="AQ152" s="482"/>
      <c r="AR152" s="482"/>
      <c r="AS152" s="482"/>
      <c r="AT152" s="482"/>
      <c r="AU152" s="482"/>
      <c r="AV152" s="482"/>
      <c r="AW152" s="482"/>
      <c r="AX152" s="482"/>
      <c r="AY152" s="484"/>
      <c r="AZ152" s="478"/>
      <c r="BA152" s="479"/>
    </row>
    <row r="153" spans="1:58" s="7" customFormat="1" ht="26.25" x14ac:dyDescent="0.25">
      <c r="A153" s="3"/>
      <c r="B153" s="3"/>
      <c r="C153" s="3"/>
      <c r="D153" s="3"/>
      <c r="E153" s="3"/>
      <c r="F153" s="3"/>
      <c r="G153" s="3"/>
      <c r="H153" s="3"/>
      <c r="I153" s="265">
        <v>42813.333333333336</v>
      </c>
      <c r="J153" s="3" t="s">
        <v>71</v>
      </c>
      <c r="K153" s="3"/>
      <c r="L153" s="3"/>
      <c r="M153" s="3"/>
      <c r="N153" s="3"/>
      <c r="O153" s="3"/>
      <c r="P153" s="70"/>
      <c r="Q153" s="70"/>
      <c r="R153" s="70"/>
      <c r="S153" s="70"/>
      <c r="T153" s="175"/>
      <c r="U153" s="175"/>
      <c r="V153" s="175"/>
      <c r="W153" s="175"/>
      <c r="X153" s="175"/>
      <c r="Y153" s="175"/>
      <c r="Z153" s="176"/>
      <c r="AA153" s="177"/>
      <c r="AQ153" s="482"/>
      <c r="AR153" s="482"/>
      <c r="AS153" s="482"/>
      <c r="AT153" s="482"/>
      <c r="AU153" s="482"/>
      <c r="AV153" s="482"/>
      <c r="AW153" s="482"/>
      <c r="AX153" s="482"/>
      <c r="AY153" s="484"/>
      <c r="AZ153" s="478"/>
      <c r="BA153" s="479"/>
    </row>
    <row r="154" spans="1:58" s="7" customFormat="1" ht="26.25" x14ac:dyDescent="0.4">
      <c r="A154" s="3"/>
      <c r="B154" s="3"/>
      <c r="C154" s="3"/>
      <c r="D154" s="3"/>
      <c r="E154" s="3"/>
      <c r="F154" s="3"/>
      <c r="G154" s="3"/>
      <c r="H154" s="3"/>
      <c r="I154" s="266">
        <v>14640</v>
      </c>
      <c r="J154" s="3" t="s">
        <v>327</v>
      </c>
      <c r="K154" s="3"/>
      <c r="L154" s="3"/>
      <c r="M154" s="3"/>
      <c r="N154" s="3"/>
      <c r="O154" s="3"/>
      <c r="P154" s="70"/>
      <c r="Q154" s="70"/>
      <c r="R154" s="70"/>
      <c r="S154" s="70"/>
      <c r="T154" s="175"/>
      <c r="U154" s="175"/>
      <c r="V154" s="175"/>
      <c r="W154" s="175"/>
      <c r="X154" s="175"/>
      <c r="Y154" s="175"/>
      <c r="Z154" s="176"/>
      <c r="AA154" s="177"/>
      <c r="AQ154" s="482"/>
      <c r="AR154" s="482"/>
      <c r="AS154" s="482"/>
      <c r="AT154" s="482"/>
      <c r="AU154" s="482"/>
      <c r="AV154" s="482"/>
      <c r="AW154" s="482"/>
      <c r="AX154" s="482"/>
      <c r="AY154" s="484"/>
      <c r="AZ154" s="478"/>
      <c r="BA154" s="479"/>
    </row>
    <row r="155" spans="1:58" s="7" customFormat="1" ht="26.25" x14ac:dyDescent="0.4">
      <c r="A155" s="3"/>
      <c r="B155" s="3"/>
      <c r="C155" s="3"/>
      <c r="D155" s="3"/>
      <c r="E155" s="3"/>
      <c r="F155" s="3"/>
      <c r="G155" s="3"/>
      <c r="H155" s="3"/>
      <c r="I155" s="266">
        <v>17000</v>
      </c>
      <c r="J155" s="3" t="s">
        <v>328</v>
      </c>
      <c r="K155" s="3"/>
      <c r="L155" s="3"/>
      <c r="M155" s="3"/>
      <c r="N155" s="3"/>
      <c r="O155" s="3"/>
      <c r="P155" s="70"/>
      <c r="Q155" s="70"/>
      <c r="R155" s="70"/>
      <c r="S155" s="70"/>
      <c r="T155" s="175"/>
      <c r="U155" s="175"/>
      <c r="V155" s="175"/>
      <c r="W155" s="175"/>
      <c r="X155" s="175"/>
      <c r="Y155" s="175"/>
      <c r="Z155" s="176"/>
      <c r="AA155" s="177"/>
      <c r="AQ155" s="482"/>
      <c r="AR155" s="482"/>
      <c r="AS155" s="482"/>
      <c r="AT155" s="482"/>
      <c r="AU155" s="482"/>
      <c r="AV155" s="482"/>
      <c r="AW155" s="482"/>
      <c r="AX155" s="482"/>
      <c r="AY155" s="484"/>
      <c r="AZ155" s="478"/>
      <c r="BA155" s="479"/>
    </row>
    <row r="156" spans="1:58" s="7" customFormat="1" ht="26.25" x14ac:dyDescent="0.4">
      <c r="A156" s="3"/>
      <c r="B156" s="3"/>
      <c r="C156" s="3"/>
      <c r="D156" s="3"/>
      <c r="E156" s="3"/>
      <c r="F156" s="3"/>
      <c r="G156" s="3"/>
      <c r="H156" s="3"/>
      <c r="I156" s="266"/>
      <c r="J156" s="3"/>
      <c r="K156" s="3"/>
      <c r="L156" s="3"/>
      <c r="M156" s="3"/>
      <c r="N156" s="3"/>
      <c r="O156" s="3"/>
      <c r="P156" s="70"/>
      <c r="Q156" s="70"/>
      <c r="R156" s="70"/>
      <c r="S156" s="70"/>
      <c r="T156" s="175"/>
      <c r="U156" s="175"/>
      <c r="V156" s="175"/>
      <c r="W156" s="175"/>
      <c r="X156" s="175"/>
      <c r="Y156" s="175"/>
      <c r="Z156" s="176"/>
      <c r="AA156" s="177"/>
      <c r="AQ156" s="482"/>
      <c r="AR156" s="482"/>
      <c r="AS156" s="482"/>
      <c r="AT156" s="482"/>
      <c r="AU156" s="482"/>
      <c r="AV156" s="482"/>
      <c r="AW156" s="482"/>
      <c r="AX156" s="482"/>
      <c r="AY156" s="484"/>
      <c r="AZ156" s="478"/>
      <c r="BA156" s="479"/>
    </row>
    <row r="157" spans="1:58" s="7" customFormat="1" ht="26.25" x14ac:dyDescent="0.4">
      <c r="A157" s="3"/>
      <c r="B157" s="3"/>
      <c r="C157" s="3"/>
      <c r="D157" s="3"/>
      <c r="E157" s="3"/>
      <c r="F157" s="3"/>
      <c r="G157" s="3"/>
      <c r="H157" s="3"/>
      <c r="I157" s="266"/>
      <c r="J157" s="3"/>
      <c r="K157" s="3"/>
      <c r="L157" s="3"/>
      <c r="M157" s="3"/>
      <c r="N157" s="3"/>
      <c r="O157" s="3"/>
      <c r="P157" s="70"/>
      <c r="Q157" s="70"/>
      <c r="R157" s="70"/>
      <c r="S157" s="70"/>
      <c r="T157" s="175"/>
      <c r="U157" s="175"/>
      <c r="V157" s="175"/>
      <c r="W157" s="175"/>
      <c r="X157" s="175"/>
      <c r="Y157" s="175"/>
      <c r="Z157" s="176"/>
      <c r="AA157" s="177"/>
      <c r="AQ157" s="482"/>
      <c r="AR157" s="482"/>
      <c r="AS157" s="482"/>
      <c r="AT157" s="482"/>
      <c r="AU157" s="482"/>
      <c r="AV157" s="482"/>
      <c r="AW157" s="482"/>
      <c r="AX157" s="482"/>
      <c r="AY157" s="484"/>
      <c r="AZ157" s="478"/>
      <c r="BA157" s="479"/>
    </row>
    <row r="158" spans="1:58" s="7" customFormat="1" ht="32.25" x14ac:dyDescent="0.4">
      <c r="A158" s="3"/>
      <c r="B158" s="3"/>
      <c r="C158" s="3"/>
      <c r="D158" s="3"/>
      <c r="E158" s="3"/>
      <c r="F158" s="3"/>
      <c r="G158" s="3"/>
      <c r="H158" s="3"/>
      <c r="I158" s="266">
        <f>SUBTOTAL(9,I153:I157)</f>
        <v>74453.333333333343</v>
      </c>
      <c r="J158" s="3" t="s">
        <v>329</v>
      </c>
      <c r="K158" s="3"/>
      <c r="L158" s="3"/>
      <c r="M158" s="3"/>
      <c r="N158" s="3"/>
      <c r="O158" s="3"/>
      <c r="P158" s="70"/>
      <c r="Q158" s="70"/>
      <c r="R158" s="70"/>
      <c r="S158" s="70"/>
      <c r="T158" s="175"/>
      <c r="U158" s="175"/>
      <c r="V158" s="175"/>
      <c r="W158" s="175"/>
      <c r="X158" s="175"/>
      <c r="Y158" s="175"/>
      <c r="Z158" s="176"/>
      <c r="AA158" s="177"/>
      <c r="AQ158" s="482"/>
      <c r="AR158" s="482"/>
      <c r="AS158" s="482"/>
      <c r="AT158" s="482"/>
      <c r="AU158" s="482"/>
      <c r="AV158" s="482"/>
      <c r="AW158" s="482"/>
      <c r="AX158" s="482"/>
      <c r="AY158" s="484"/>
      <c r="AZ158" s="478"/>
      <c r="BA158" s="479"/>
    </row>
    <row r="159" spans="1:58" s="7" customFormat="1" ht="26.25" x14ac:dyDescent="0.4">
      <c r="A159" s="3"/>
      <c r="B159" s="3"/>
      <c r="C159" s="3"/>
      <c r="D159" s="3"/>
      <c r="E159" s="3"/>
      <c r="F159" s="3"/>
      <c r="G159" s="3"/>
      <c r="H159" s="3"/>
      <c r="I159" s="266"/>
      <c r="J159" s="3"/>
      <c r="K159" s="3"/>
      <c r="L159" s="3"/>
      <c r="M159" s="3"/>
      <c r="N159" s="3"/>
      <c r="O159" s="3"/>
      <c r="P159" s="70"/>
      <c r="Q159" s="70"/>
      <c r="R159" s="70"/>
      <c r="S159" s="70"/>
      <c r="T159" s="175"/>
      <c r="U159" s="175"/>
      <c r="V159" s="175"/>
      <c r="W159" s="175"/>
      <c r="X159" s="175"/>
      <c r="Y159" s="175"/>
      <c r="Z159" s="176"/>
      <c r="AA159" s="177"/>
      <c r="AQ159" s="482"/>
      <c r="AR159" s="482"/>
      <c r="AS159" s="482"/>
      <c r="AT159" s="482"/>
      <c r="AU159" s="482"/>
      <c r="AV159" s="482"/>
      <c r="AW159" s="482"/>
      <c r="AX159" s="482"/>
      <c r="AY159" s="484"/>
      <c r="AZ159" s="478"/>
      <c r="BA159" s="479"/>
    </row>
    <row r="160" spans="1:58" s="7" customFormat="1" ht="24" x14ac:dyDescent="0.25">
      <c r="A160" s="3"/>
      <c r="B160" s="3"/>
      <c r="C160" s="3"/>
      <c r="D160" s="3"/>
      <c r="E160" s="3"/>
      <c r="F160" s="3"/>
      <c r="G160" s="3"/>
      <c r="H160" s="3"/>
      <c r="I160" s="3"/>
      <c r="J160" s="3"/>
      <c r="K160" s="3"/>
      <c r="L160" s="3"/>
      <c r="M160" s="3"/>
      <c r="N160" s="3"/>
      <c r="O160" s="3"/>
      <c r="P160" s="70"/>
      <c r="Q160" s="70"/>
      <c r="R160" s="70"/>
      <c r="S160" s="70"/>
      <c r="T160" s="175"/>
      <c r="U160" s="175"/>
      <c r="V160" s="175"/>
      <c r="W160" s="175"/>
      <c r="X160" s="175"/>
      <c r="Y160" s="175"/>
      <c r="Z160" s="176"/>
      <c r="AA160" s="177"/>
      <c r="AQ160" s="482"/>
      <c r="AR160" s="482"/>
      <c r="AS160" s="482"/>
      <c r="AT160" s="482"/>
      <c r="AU160" s="482"/>
      <c r="AV160" s="482"/>
      <c r="AW160" s="482"/>
      <c r="AX160" s="482"/>
      <c r="AY160" s="484"/>
      <c r="AZ160" s="478"/>
      <c r="BA160" s="479"/>
    </row>
    <row r="161" spans="1:58" s="7" customFormat="1" ht="24" x14ac:dyDescent="0.25">
      <c r="A161" s="3"/>
      <c r="B161" s="3"/>
      <c r="C161" s="3"/>
      <c r="D161" s="3"/>
      <c r="E161" s="3"/>
      <c r="F161" s="3"/>
      <c r="G161" s="3"/>
      <c r="H161" s="3"/>
      <c r="I161" s="3"/>
      <c r="J161" s="3"/>
      <c r="K161" s="3"/>
      <c r="L161" s="3"/>
      <c r="M161" s="3"/>
      <c r="N161" s="3"/>
      <c r="O161" s="3"/>
      <c r="P161" s="70"/>
      <c r="Q161" s="70"/>
      <c r="R161" s="70"/>
      <c r="S161" s="70"/>
      <c r="T161" s="175"/>
      <c r="U161" s="175"/>
      <c r="V161" s="175"/>
      <c r="W161" s="175"/>
      <c r="X161" s="175"/>
      <c r="Y161" s="175"/>
      <c r="Z161" s="176"/>
      <c r="AA161" s="177"/>
      <c r="AQ161" s="482"/>
      <c r="AR161" s="482"/>
      <c r="AS161" s="482"/>
      <c r="AT161" s="482"/>
      <c r="AU161" s="482"/>
      <c r="AV161" s="482"/>
      <c r="AW161" s="482"/>
      <c r="AX161" s="482"/>
      <c r="AY161" s="484"/>
      <c r="AZ161" s="478"/>
      <c r="BA161" s="479"/>
    </row>
    <row r="162" spans="1:58" s="7" customFormat="1" ht="24" x14ac:dyDescent="0.25">
      <c r="A162" s="3"/>
      <c r="B162" s="3"/>
      <c r="C162" s="3"/>
      <c r="D162" s="3"/>
      <c r="E162" s="3"/>
      <c r="F162" s="3"/>
      <c r="G162" s="3"/>
      <c r="H162" s="3"/>
      <c r="I162" s="3"/>
      <c r="J162" s="3"/>
      <c r="K162" s="3"/>
      <c r="L162" s="3"/>
      <c r="M162" s="3"/>
      <c r="N162" s="3"/>
      <c r="O162" s="3"/>
      <c r="P162" s="70"/>
      <c r="Q162" s="70"/>
      <c r="R162" s="70"/>
      <c r="S162" s="70"/>
      <c r="T162" s="175"/>
      <c r="U162" s="175"/>
      <c r="V162" s="175"/>
      <c r="W162" s="175"/>
      <c r="X162" s="175"/>
      <c r="Y162" s="175"/>
      <c r="Z162" s="176"/>
      <c r="AA162" s="177"/>
      <c r="AQ162" s="482"/>
      <c r="AR162" s="482"/>
      <c r="AS162" s="482"/>
      <c r="AT162" s="482"/>
      <c r="AU162" s="482"/>
      <c r="AV162" s="482"/>
      <c r="AW162" s="482"/>
      <c r="AX162" s="482"/>
      <c r="AY162" s="484"/>
      <c r="AZ162" s="478"/>
      <c r="BA162" s="479"/>
    </row>
    <row r="163" spans="1:58" s="7" customFormat="1" ht="26.25" x14ac:dyDescent="0.4">
      <c r="A163" s="3"/>
      <c r="B163" s="3"/>
      <c r="C163" s="3"/>
      <c r="D163" s="3"/>
      <c r="E163" s="3"/>
      <c r="F163" s="3"/>
      <c r="G163" s="3"/>
      <c r="H163" s="3"/>
      <c r="I163" s="266">
        <v>118920.66666666667</v>
      </c>
      <c r="J163" s="3" t="s">
        <v>330</v>
      </c>
      <c r="K163" s="3"/>
      <c r="L163" s="3"/>
      <c r="M163" s="3"/>
      <c r="N163" s="3"/>
      <c r="O163" s="3"/>
      <c r="P163" s="70"/>
      <c r="Q163" s="70"/>
      <c r="R163" s="70"/>
      <c r="S163" s="70"/>
      <c r="T163" s="70"/>
      <c r="AQ163" s="482"/>
      <c r="AR163" s="482"/>
      <c r="AS163" s="482"/>
      <c r="AT163" s="482"/>
      <c r="AU163" s="482"/>
      <c r="AV163" s="482"/>
      <c r="AW163" s="482"/>
      <c r="AX163" s="482"/>
      <c r="AY163" s="484"/>
      <c r="AZ163" s="478"/>
      <c r="BA163" s="479"/>
      <c r="BF163" s="7">
        <v>79</v>
      </c>
    </row>
    <row r="164" spans="1:58" s="7" customFormat="1" ht="21" x14ac:dyDescent="0.35">
      <c r="A164" s="3"/>
      <c r="B164" s="3"/>
      <c r="C164" s="3"/>
      <c r="D164" s="3"/>
      <c r="E164" s="3"/>
      <c r="F164" s="3"/>
      <c r="G164" s="3"/>
      <c r="H164" s="3"/>
      <c r="I164" s="267">
        <f>I158/I163</f>
        <v>0.62607564707003549</v>
      </c>
      <c r="J164" s="3"/>
      <c r="K164" s="3"/>
      <c r="L164" s="3"/>
      <c r="M164" s="3"/>
      <c r="N164" s="3"/>
      <c r="O164" s="3"/>
      <c r="P164" s="70"/>
      <c r="Q164" s="70"/>
      <c r="R164" s="70"/>
      <c r="S164" s="70"/>
      <c r="T164" s="70"/>
      <c r="AQ164" s="482"/>
      <c r="AR164" s="482"/>
      <c r="AS164" s="482"/>
      <c r="AT164" s="482"/>
      <c r="AU164" s="482"/>
      <c r="AV164" s="482"/>
      <c r="AW164" s="482"/>
      <c r="AX164" s="482"/>
      <c r="AY164" s="484"/>
      <c r="AZ164" s="478"/>
      <c r="BA164" s="479"/>
      <c r="BF164" s="7">
        <v>80</v>
      </c>
    </row>
    <row r="165" spans="1:58" s="7" customFormat="1" x14ac:dyDescent="0.25">
      <c r="A165" s="3"/>
      <c r="B165" s="3"/>
      <c r="C165" s="3"/>
      <c r="D165" s="3"/>
      <c r="E165" s="3"/>
      <c r="F165" s="3"/>
      <c r="G165" s="3"/>
      <c r="H165" s="3"/>
      <c r="I165" s="3"/>
      <c r="J165" s="3"/>
      <c r="K165" s="3"/>
      <c r="L165" s="3"/>
      <c r="M165" s="3"/>
      <c r="N165" s="3"/>
      <c r="O165" s="3"/>
      <c r="P165" s="70"/>
      <c r="Q165" s="70"/>
      <c r="R165" s="70"/>
      <c r="S165" s="70"/>
      <c r="T165" s="70"/>
      <c r="AQ165" s="482"/>
      <c r="AR165" s="482"/>
      <c r="AS165" s="482"/>
      <c r="AT165" s="482"/>
      <c r="AU165" s="482"/>
      <c r="AV165" s="482"/>
      <c r="AW165" s="482"/>
      <c r="AX165" s="482"/>
      <c r="AY165" s="484"/>
      <c r="AZ165" s="478"/>
      <c r="BA165" s="479"/>
      <c r="BF165" s="7">
        <v>81</v>
      </c>
    </row>
    <row r="166" spans="1:58" s="7" customFormat="1" x14ac:dyDescent="0.25">
      <c r="A166" s="3"/>
      <c r="B166" s="3"/>
      <c r="C166" s="3"/>
      <c r="D166" s="3"/>
      <c r="E166" s="3"/>
      <c r="F166" s="3"/>
      <c r="G166" s="3"/>
      <c r="H166" s="3"/>
      <c r="I166" s="3"/>
      <c r="J166" s="3"/>
      <c r="K166" s="3"/>
      <c r="L166" s="3"/>
      <c r="M166" s="3"/>
      <c r="N166" s="3"/>
      <c r="O166" s="3"/>
      <c r="P166" s="70"/>
      <c r="Q166" s="70"/>
      <c r="R166" s="70"/>
      <c r="S166" s="70"/>
      <c r="T166" s="70"/>
      <c r="AQ166" s="482"/>
      <c r="AR166" s="482"/>
      <c r="AS166" s="482"/>
      <c r="AT166" s="482"/>
      <c r="AU166" s="482"/>
      <c r="AV166" s="482"/>
      <c r="AW166" s="482"/>
      <c r="AX166" s="482"/>
      <c r="AY166" s="484"/>
      <c r="AZ166" s="478"/>
      <c r="BA166" s="479"/>
      <c r="BF166" s="7">
        <v>82</v>
      </c>
    </row>
    <row r="167" spans="1:58" s="7" customFormat="1" x14ac:dyDescent="0.25">
      <c r="A167" s="3"/>
      <c r="B167" s="3"/>
      <c r="C167" s="3"/>
      <c r="D167" s="3"/>
      <c r="E167" s="3"/>
      <c r="F167" s="3"/>
      <c r="G167" s="3"/>
      <c r="H167" s="3"/>
      <c r="I167" s="3"/>
      <c r="J167" s="3"/>
      <c r="K167" s="3"/>
      <c r="L167" s="3"/>
      <c r="M167" s="3"/>
      <c r="N167" s="3"/>
      <c r="O167" s="3"/>
      <c r="P167" s="70"/>
      <c r="Q167" s="70"/>
      <c r="R167" s="70"/>
      <c r="S167" s="70"/>
      <c r="T167" s="70"/>
      <c r="AQ167" s="482"/>
      <c r="AR167" s="482"/>
      <c r="AS167" s="482"/>
      <c r="AT167" s="482"/>
      <c r="AU167" s="482"/>
      <c r="AV167" s="482"/>
      <c r="AW167" s="482"/>
      <c r="AX167" s="482"/>
      <c r="AY167" s="484"/>
      <c r="AZ167" s="478"/>
      <c r="BA167" s="479"/>
      <c r="BF167" s="7">
        <v>83</v>
      </c>
    </row>
    <row r="168" spans="1:58" s="7" customFormat="1" x14ac:dyDescent="0.25">
      <c r="A168" s="3"/>
      <c r="B168" s="3"/>
      <c r="C168" s="3"/>
      <c r="D168" s="3"/>
      <c r="E168" s="3"/>
      <c r="F168" s="3"/>
      <c r="G168" s="3"/>
      <c r="H168" s="3"/>
      <c r="I168" s="3"/>
      <c r="J168" s="3"/>
      <c r="K168" s="3"/>
      <c r="L168" s="3"/>
      <c r="M168" s="3"/>
      <c r="N168" s="3"/>
      <c r="O168" s="3"/>
      <c r="P168" s="70"/>
      <c r="Q168" s="70"/>
      <c r="R168" s="70"/>
      <c r="S168" s="70"/>
      <c r="T168" s="70"/>
      <c r="AQ168" s="482"/>
      <c r="AR168" s="482"/>
      <c r="AS168" s="482"/>
      <c r="AT168" s="482"/>
      <c r="AU168" s="482"/>
      <c r="AV168" s="482"/>
      <c r="AW168" s="482"/>
      <c r="AX168" s="482"/>
      <c r="AY168" s="484"/>
      <c r="AZ168" s="478"/>
      <c r="BA168" s="479"/>
      <c r="BF168" s="7">
        <v>84</v>
      </c>
    </row>
    <row r="169" spans="1:58" s="7" customFormat="1" x14ac:dyDescent="0.25">
      <c r="A169" s="3"/>
      <c r="B169" s="3"/>
      <c r="C169" s="3"/>
      <c r="D169" s="3"/>
      <c r="E169" s="3"/>
      <c r="F169" s="3"/>
      <c r="G169" s="3"/>
      <c r="H169" s="3"/>
      <c r="I169" s="3"/>
      <c r="J169" s="3"/>
      <c r="K169" s="3"/>
      <c r="L169" s="3"/>
      <c r="M169" s="3"/>
      <c r="N169" s="3"/>
      <c r="O169" s="3"/>
      <c r="P169" s="70"/>
      <c r="Q169" s="70"/>
      <c r="R169" s="70"/>
      <c r="S169" s="70"/>
      <c r="T169" s="70"/>
      <c r="AQ169" s="482"/>
      <c r="AR169" s="482"/>
      <c r="AS169" s="482"/>
      <c r="AT169" s="482"/>
      <c r="AU169" s="482"/>
      <c r="AV169" s="482"/>
      <c r="AW169" s="482"/>
      <c r="AX169" s="482"/>
      <c r="AY169" s="484"/>
      <c r="AZ169" s="478"/>
      <c r="BA169" s="479"/>
      <c r="BF169" s="7">
        <v>85</v>
      </c>
    </row>
    <row r="170" spans="1:58" s="7" customFormat="1" x14ac:dyDescent="0.25">
      <c r="A170" s="3"/>
      <c r="B170" s="3"/>
      <c r="C170" s="3"/>
      <c r="D170" s="3"/>
      <c r="E170" s="3"/>
      <c r="F170" s="3"/>
      <c r="G170" s="3"/>
      <c r="H170" s="3"/>
      <c r="I170" s="3"/>
      <c r="J170" s="3"/>
      <c r="K170" s="3"/>
      <c r="L170" s="3"/>
      <c r="M170" s="3"/>
      <c r="N170" s="3"/>
      <c r="O170" s="3"/>
      <c r="P170" s="70"/>
      <c r="Q170" s="70"/>
      <c r="R170" s="70"/>
      <c r="S170" s="70"/>
      <c r="T170" s="70"/>
      <c r="AQ170" s="482"/>
      <c r="AR170" s="482"/>
      <c r="AS170" s="482"/>
      <c r="AT170" s="482"/>
      <c r="AU170" s="482"/>
      <c r="AV170" s="482"/>
      <c r="AW170" s="482"/>
      <c r="AX170" s="482"/>
      <c r="AY170" s="484"/>
      <c r="AZ170" s="478"/>
      <c r="BA170" s="479"/>
      <c r="BF170" s="7">
        <v>86</v>
      </c>
    </row>
    <row r="171" spans="1:58" s="7" customFormat="1" x14ac:dyDescent="0.25">
      <c r="A171" s="3"/>
      <c r="B171" s="3"/>
      <c r="C171" s="3"/>
      <c r="D171" s="3"/>
      <c r="E171" s="3"/>
      <c r="F171" s="3"/>
      <c r="G171" s="3"/>
      <c r="H171" s="3"/>
      <c r="I171" s="3"/>
      <c r="J171" s="3"/>
      <c r="K171" s="3"/>
      <c r="L171" s="3"/>
      <c r="M171" s="3"/>
      <c r="N171" s="3"/>
      <c r="O171" s="3"/>
      <c r="P171" s="70"/>
      <c r="Q171" s="70"/>
      <c r="R171" s="70"/>
      <c r="S171" s="70"/>
      <c r="T171" s="70"/>
      <c r="AQ171" s="482"/>
      <c r="AR171" s="482"/>
      <c r="AS171" s="482"/>
      <c r="AT171" s="482"/>
      <c r="AU171" s="482"/>
      <c r="AV171" s="482"/>
      <c r="AW171" s="482"/>
      <c r="AX171" s="482"/>
      <c r="AY171" s="484"/>
      <c r="AZ171" s="478"/>
      <c r="BA171" s="479"/>
      <c r="BF171" s="7">
        <v>87</v>
      </c>
    </row>
    <row r="172" spans="1:58" s="7" customFormat="1" x14ac:dyDescent="0.25">
      <c r="A172" s="3"/>
      <c r="B172" s="3"/>
      <c r="C172" s="3"/>
      <c r="D172" s="3"/>
      <c r="E172" s="3"/>
      <c r="F172" s="3"/>
      <c r="G172" s="3"/>
      <c r="H172" s="3"/>
      <c r="I172" s="3"/>
      <c r="J172" s="3"/>
      <c r="K172" s="3"/>
      <c r="L172" s="3"/>
      <c r="M172" s="3"/>
      <c r="N172" s="3"/>
      <c r="O172" s="3"/>
      <c r="P172" s="70"/>
      <c r="Q172" s="70"/>
      <c r="R172" s="70"/>
      <c r="S172" s="70"/>
      <c r="T172" s="70"/>
      <c r="AQ172" s="482"/>
      <c r="AR172" s="482"/>
      <c r="AS172" s="482"/>
      <c r="AT172" s="482"/>
      <c r="AU172" s="482"/>
      <c r="AV172" s="482"/>
      <c r="AW172" s="482"/>
      <c r="AX172" s="482"/>
      <c r="AY172" s="484"/>
      <c r="AZ172" s="478"/>
      <c r="BA172" s="479"/>
      <c r="BF172" s="7">
        <v>88</v>
      </c>
    </row>
    <row r="173" spans="1:58" s="7" customFormat="1" x14ac:dyDescent="0.25">
      <c r="A173" s="3"/>
      <c r="B173" s="3"/>
      <c r="C173" s="3"/>
      <c r="D173" s="3"/>
      <c r="E173" s="3"/>
      <c r="F173" s="3"/>
      <c r="G173" s="3"/>
      <c r="H173" s="3"/>
      <c r="I173" s="3"/>
      <c r="J173" s="3"/>
      <c r="K173" s="3"/>
      <c r="L173" s="3"/>
      <c r="M173" s="3"/>
      <c r="N173" s="3"/>
      <c r="O173" s="3"/>
      <c r="AQ173" s="482"/>
      <c r="AR173" s="482"/>
      <c r="AS173" s="482"/>
      <c r="AT173" s="482"/>
      <c r="AU173" s="482"/>
      <c r="AV173" s="482"/>
      <c r="AW173" s="482"/>
      <c r="AX173" s="482"/>
      <c r="AY173" s="484"/>
      <c r="AZ173" s="478"/>
      <c r="BA173" s="479"/>
      <c r="BF173" s="7">
        <v>89</v>
      </c>
    </row>
    <row r="174" spans="1:58" s="7" customFormat="1" x14ac:dyDescent="0.25">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Q174" s="482"/>
      <c r="AR174" s="482"/>
      <c r="AS174" s="482"/>
      <c r="AT174" s="482"/>
      <c r="AU174" s="482"/>
      <c r="AV174" s="482"/>
      <c r="AW174" s="482"/>
      <c r="AX174" s="482"/>
      <c r="AY174" s="484"/>
      <c r="AZ174" s="478"/>
      <c r="BA174" s="479"/>
      <c r="BF174" s="7">
        <v>90</v>
      </c>
    </row>
    <row r="175" spans="1:58" s="7" customFormat="1" x14ac:dyDescent="0.25">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Q175" s="482"/>
      <c r="AR175" s="482"/>
      <c r="AS175" s="482"/>
      <c r="AT175" s="482"/>
      <c r="AU175" s="482"/>
      <c r="AV175" s="482"/>
      <c r="AW175" s="482"/>
      <c r="AX175" s="482"/>
      <c r="AY175" s="484"/>
      <c r="AZ175" s="478"/>
      <c r="BA175" s="479"/>
      <c r="BF175" s="7">
        <v>91</v>
      </c>
    </row>
    <row r="176" spans="1:58" s="7" customFormat="1" x14ac:dyDescent="0.25">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Q176" s="482"/>
      <c r="AR176" s="482"/>
      <c r="AS176" s="482"/>
      <c r="AT176" s="482"/>
      <c r="AU176" s="482"/>
      <c r="AV176" s="482"/>
      <c r="AW176" s="482"/>
      <c r="AX176" s="482"/>
      <c r="AY176" s="484"/>
      <c r="AZ176" s="478"/>
      <c r="BA176" s="479"/>
      <c r="BF176" s="7">
        <v>92</v>
      </c>
    </row>
    <row r="177" spans="1:58" s="7" customFormat="1" x14ac:dyDescent="0.25">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Q177" s="482"/>
      <c r="AR177" s="482"/>
      <c r="AS177" s="482"/>
      <c r="AT177" s="482"/>
      <c r="AU177" s="482"/>
      <c r="AV177" s="482"/>
      <c r="AW177" s="482"/>
      <c r="AX177" s="482"/>
      <c r="AY177" s="484"/>
      <c r="AZ177" s="478"/>
      <c r="BA177" s="479"/>
      <c r="BF177" s="7">
        <v>93</v>
      </c>
    </row>
    <row r="178" spans="1:58" s="7" customFormat="1" x14ac:dyDescent="0.25">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Q178" s="482"/>
      <c r="AR178" s="482"/>
      <c r="AS178" s="482"/>
      <c r="AT178" s="482"/>
      <c r="AU178" s="482"/>
      <c r="AV178" s="482"/>
      <c r="AW178" s="482"/>
      <c r="AX178" s="482"/>
      <c r="AY178" s="484"/>
      <c r="AZ178" s="478"/>
      <c r="BA178" s="479"/>
      <c r="BF178" s="7">
        <v>94</v>
      </c>
    </row>
    <row r="179" spans="1:58" s="7" customFormat="1" x14ac:dyDescent="0.25">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Q179" s="482"/>
      <c r="AR179" s="482"/>
      <c r="AS179" s="482"/>
      <c r="AT179" s="482"/>
      <c r="AU179" s="482"/>
      <c r="AV179" s="482"/>
      <c r="AW179" s="482"/>
      <c r="AX179" s="482"/>
      <c r="AY179" s="484"/>
      <c r="AZ179" s="478"/>
      <c r="BA179" s="479"/>
      <c r="BF179" s="7">
        <v>95</v>
      </c>
    </row>
    <row r="180" spans="1:58" s="7" customFormat="1" x14ac:dyDescent="0.25">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Q180" s="482"/>
      <c r="AR180" s="482"/>
      <c r="AS180" s="482"/>
      <c r="AT180" s="482"/>
      <c r="AU180" s="482"/>
      <c r="AV180" s="482"/>
      <c r="AW180" s="482"/>
      <c r="AX180" s="482"/>
      <c r="AY180" s="484"/>
      <c r="AZ180" s="478"/>
      <c r="BA180" s="479"/>
      <c r="BF180" s="7">
        <v>96</v>
      </c>
    </row>
    <row r="181" spans="1:58" s="7" customFormat="1" x14ac:dyDescent="0.25">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Q181" s="482"/>
      <c r="AR181" s="482"/>
      <c r="AS181" s="482"/>
      <c r="AT181" s="482"/>
      <c r="AU181" s="482"/>
      <c r="AV181" s="482"/>
      <c r="AW181" s="482"/>
      <c r="AX181" s="482"/>
      <c r="AY181" s="484"/>
      <c r="AZ181" s="478"/>
      <c r="BA181" s="479"/>
      <c r="BF181" s="7">
        <v>97</v>
      </c>
    </row>
    <row r="182" spans="1:58" s="7" customFormat="1" x14ac:dyDescent="0.25">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Q182" s="482"/>
      <c r="AR182" s="482"/>
      <c r="AS182" s="482"/>
      <c r="AT182" s="482"/>
      <c r="AU182" s="482"/>
      <c r="AV182" s="482"/>
      <c r="AW182" s="482"/>
      <c r="AX182" s="482"/>
      <c r="AY182" s="484"/>
      <c r="AZ182" s="478"/>
      <c r="BA182" s="479"/>
      <c r="BF182" s="7">
        <v>98</v>
      </c>
    </row>
    <row r="183" spans="1:58" s="7" customFormat="1" x14ac:dyDescent="0.25">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Q183" s="482"/>
      <c r="AR183" s="482"/>
      <c r="AS183" s="482"/>
      <c r="AT183" s="482"/>
      <c r="AU183" s="482"/>
      <c r="AV183" s="482"/>
      <c r="AW183" s="482"/>
      <c r="AX183" s="482"/>
      <c r="AY183" s="484"/>
      <c r="AZ183" s="478"/>
      <c r="BA183" s="479"/>
      <c r="BF183" s="7">
        <v>99</v>
      </c>
    </row>
    <row r="184" spans="1:58" s="7" customFormat="1" x14ac:dyDescent="0.25">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Q184" s="482"/>
      <c r="AR184" s="482"/>
      <c r="AS184" s="482"/>
      <c r="AT184" s="482"/>
      <c r="AU184" s="482"/>
      <c r="AV184" s="482"/>
      <c r="AW184" s="482"/>
      <c r="AX184" s="482"/>
      <c r="AY184" s="484"/>
      <c r="AZ184" s="478"/>
      <c r="BA184" s="479"/>
      <c r="BF184" s="7">
        <v>100</v>
      </c>
    </row>
    <row r="185" spans="1:58" s="7" customFormat="1" x14ac:dyDescent="0.25">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Q185" s="482"/>
      <c r="AR185" s="482"/>
      <c r="AS185" s="482"/>
      <c r="AT185" s="482"/>
      <c r="AU185" s="482"/>
      <c r="AV185" s="482"/>
      <c r="AW185" s="482"/>
      <c r="AX185" s="482"/>
      <c r="AY185" s="484"/>
      <c r="AZ185" s="478"/>
      <c r="BA185" s="479"/>
      <c r="BF185" s="7">
        <v>101</v>
      </c>
    </row>
    <row r="186" spans="1:58" s="7" customFormat="1" x14ac:dyDescent="0.25">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Q186" s="482"/>
      <c r="AR186" s="482"/>
      <c r="AS186" s="482"/>
      <c r="AT186" s="482"/>
      <c r="AU186" s="482"/>
      <c r="AV186" s="482"/>
      <c r="AW186" s="482"/>
      <c r="AX186" s="482"/>
      <c r="AY186" s="484"/>
      <c r="AZ186" s="478"/>
      <c r="BA186" s="479"/>
      <c r="BF186" s="7">
        <v>102</v>
      </c>
    </row>
    <row r="187" spans="1:58" s="7" customFormat="1" x14ac:dyDescent="0.25">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Q187" s="482"/>
      <c r="AR187" s="482"/>
      <c r="AS187" s="482"/>
      <c r="AT187" s="482"/>
      <c r="AU187" s="482"/>
      <c r="AV187" s="482"/>
      <c r="AW187" s="482"/>
      <c r="AX187" s="482"/>
      <c r="AY187" s="484"/>
      <c r="AZ187" s="478"/>
      <c r="BA187" s="479"/>
      <c r="BF187" s="7">
        <v>103</v>
      </c>
    </row>
    <row r="188" spans="1:58" s="7" customFormat="1" x14ac:dyDescent="0.25">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Q188" s="482"/>
      <c r="AR188" s="482"/>
      <c r="AS188" s="482"/>
      <c r="AT188" s="482"/>
      <c r="AU188" s="482"/>
      <c r="AV188" s="482"/>
      <c r="AW188" s="482"/>
      <c r="AX188" s="482"/>
      <c r="AY188" s="484"/>
      <c r="AZ188" s="478"/>
      <c r="BA188" s="479"/>
      <c r="BF188" s="7">
        <v>104</v>
      </c>
    </row>
    <row r="189" spans="1:58" s="7" customFormat="1" x14ac:dyDescent="0.25">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Q189" s="482"/>
      <c r="AR189" s="482"/>
      <c r="AS189" s="482"/>
      <c r="AT189" s="482"/>
      <c r="AU189" s="482"/>
      <c r="AV189" s="482"/>
      <c r="AW189" s="482"/>
      <c r="AX189" s="482"/>
      <c r="AY189" s="484"/>
      <c r="AZ189" s="478"/>
      <c r="BA189" s="479"/>
      <c r="BF189" s="7">
        <v>105</v>
      </c>
    </row>
    <row r="190" spans="1:58" s="7" customFormat="1" x14ac:dyDescent="0.25">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Q190" s="482"/>
      <c r="AR190" s="482"/>
      <c r="AS190" s="482"/>
      <c r="AT190" s="482"/>
      <c r="AU190" s="482"/>
      <c r="AV190" s="482"/>
      <c r="AW190" s="482"/>
      <c r="AX190" s="482"/>
      <c r="AY190" s="484"/>
      <c r="AZ190" s="478"/>
      <c r="BA190" s="479"/>
      <c r="BF190" s="7">
        <v>106</v>
      </c>
    </row>
    <row r="191" spans="1:58" s="7" customFormat="1" x14ac:dyDescent="0.25">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Q191" s="482"/>
      <c r="AR191" s="482"/>
      <c r="AS191" s="482"/>
      <c r="AT191" s="482"/>
      <c r="AU191" s="482"/>
      <c r="AV191" s="482"/>
      <c r="AW191" s="482"/>
      <c r="AX191" s="482"/>
      <c r="AY191" s="484"/>
      <c r="AZ191" s="478"/>
      <c r="BA191" s="479"/>
      <c r="BF191" s="7">
        <v>107</v>
      </c>
    </row>
    <row r="192" spans="1:58" s="7" customFormat="1" x14ac:dyDescent="0.25">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Q192" s="482"/>
      <c r="AR192" s="482"/>
      <c r="AS192" s="482"/>
      <c r="AT192" s="482"/>
      <c r="AU192" s="482"/>
      <c r="AV192" s="482"/>
      <c r="AW192" s="482"/>
      <c r="AX192" s="482"/>
      <c r="AY192" s="484"/>
      <c r="AZ192" s="478"/>
      <c r="BA192" s="479"/>
      <c r="BF192" s="7">
        <v>108</v>
      </c>
    </row>
    <row r="193" spans="1:58" s="7" customFormat="1" x14ac:dyDescent="0.25">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Q193" s="482"/>
      <c r="AR193" s="482"/>
      <c r="AS193" s="482"/>
      <c r="AT193" s="482"/>
      <c r="AU193" s="482"/>
      <c r="AV193" s="482"/>
      <c r="AW193" s="482"/>
      <c r="AX193" s="482"/>
      <c r="AY193" s="484"/>
      <c r="AZ193" s="478"/>
      <c r="BA193" s="479"/>
      <c r="BF193" s="7">
        <v>109</v>
      </c>
    </row>
    <row r="194" spans="1:58" s="7" customFormat="1" x14ac:dyDescent="0.25">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Q194" s="482"/>
      <c r="AR194" s="482"/>
      <c r="AS194" s="482"/>
      <c r="AT194" s="482"/>
      <c r="AU194" s="482"/>
      <c r="AV194" s="482"/>
      <c r="AW194" s="482"/>
      <c r="AX194" s="482"/>
      <c r="AY194" s="484"/>
      <c r="AZ194" s="478"/>
      <c r="BA194" s="479"/>
      <c r="BF194" s="7">
        <v>110</v>
      </c>
    </row>
    <row r="195" spans="1:58" s="7" customFormat="1" x14ac:dyDescent="0.25">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Q195" s="482"/>
      <c r="AR195" s="482"/>
      <c r="AS195" s="482"/>
      <c r="AT195" s="482"/>
      <c r="AU195" s="482"/>
      <c r="AV195" s="482"/>
      <c r="AW195" s="482"/>
      <c r="AX195" s="482"/>
      <c r="AY195" s="484"/>
      <c r="AZ195" s="478"/>
      <c r="BA195" s="479"/>
      <c r="BF195" s="7">
        <v>111</v>
      </c>
    </row>
    <row r="196" spans="1:58" s="7" customFormat="1" x14ac:dyDescent="0.25">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Q196" s="482"/>
      <c r="AR196" s="482"/>
      <c r="AS196" s="482"/>
      <c r="AT196" s="482"/>
      <c r="AU196" s="482"/>
      <c r="AV196" s="482"/>
      <c r="AW196" s="482"/>
      <c r="AX196" s="482"/>
      <c r="AY196" s="484"/>
      <c r="AZ196" s="478"/>
      <c r="BA196" s="479"/>
      <c r="BF196" s="7">
        <v>112</v>
      </c>
    </row>
    <row r="197" spans="1:58" s="7" customFormat="1" x14ac:dyDescent="0.25">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Q197" s="482"/>
      <c r="AR197" s="482"/>
      <c r="AS197" s="482"/>
      <c r="AT197" s="482"/>
      <c r="AU197" s="482"/>
      <c r="AV197" s="482"/>
      <c r="AW197" s="482"/>
      <c r="AX197" s="482"/>
      <c r="AY197" s="484"/>
      <c r="AZ197" s="478"/>
      <c r="BA197" s="479"/>
      <c r="BF197" s="7">
        <v>113</v>
      </c>
    </row>
    <row r="198" spans="1:58" s="7" customFormat="1" x14ac:dyDescent="0.25">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Q198" s="482"/>
      <c r="AR198" s="482"/>
      <c r="AS198" s="482"/>
      <c r="AT198" s="482"/>
      <c r="AU198" s="482"/>
      <c r="AV198" s="482"/>
      <c r="AW198" s="482"/>
      <c r="AX198" s="482"/>
      <c r="AY198" s="484"/>
      <c r="AZ198" s="478"/>
      <c r="BA198" s="479"/>
      <c r="BF198" s="7">
        <v>114</v>
      </c>
    </row>
    <row r="199" spans="1:58" s="7" customFormat="1" x14ac:dyDescent="0.25">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Q199" s="482"/>
      <c r="AR199" s="482"/>
      <c r="AS199" s="482"/>
      <c r="AT199" s="482"/>
      <c r="AU199" s="482"/>
      <c r="AV199" s="482"/>
      <c r="AW199" s="482"/>
      <c r="AX199" s="482"/>
      <c r="AY199" s="484"/>
      <c r="AZ199" s="478"/>
      <c r="BA199" s="479"/>
      <c r="BF199" s="7">
        <v>115</v>
      </c>
    </row>
    <row r="200" spans="1:58" s="7" customFormat="1" x14ac:dyDescent="0.25">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Q200" s="482"/>
      <c r="AR200" s="482"/>
      <c r="AS200" s="482"/>
      <c r="AT200" s="482"/>
      <c r="AU200" s="482"/>
      <c r="AV200" s="482"/>
      <c r="AW200" s="482"/>
      <c r="AX200" s="482"/>
      <c r="AY200" s="484"/>
      <c r="AZ200" s="478"/>
      <c r="BA200" s="479"/>
      <c r="BF200" s="7">
        <v>116</v>
      </c>
    </row>
    <row r="201" spans="1:58" s="7" customFormat="1" x14ac:dyDescent="0.25">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c r="AA201" s="3"/>
      <c r="AB201" s="3"/>
      <c r="AC201" s="3"/>
      <c r="AD201" s="3"/>
      <c r="AQ201" s="482"/>
      <c r="AR201" s="482"/>
      <c r="AS201" s="482"/>
      <c r="AT201" s="482"/>
      <c r="AU201" s="482"/>
      <c r="AV201" s="482"/>
      <c r="AW201" s="482"/>
      <c r="AX201" s="482"/>
      <c r="AY201" s="484"/>
      <c r="AZ201" s="478"/>
      <c r="BA201" s="479"/>
      <c r="BF201" s="7">
        <v>117</v>
      </c>
    </row>
    <row r="202" spans="1:58" s="7" customFormat="1" x14ac:dyDescent="0.25">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c r="AA202" s="3"/>
      <c r="AB202" s="3"/>
      <c r="AC202" s="3"/>
      <c r="AD202" s="3"/>
      <c r="AQ202" s="482"/>
      <c r="AR202" s="482"/>
      <c r="AS202" s="482"/>
      <c r="AT202" s="482"/>
      <c r="AU202" s="482"/>
      <c r="AV202" s="482"/>
      <c r="AW202" s="482"/>
      <c r="AX202" s="482"/>
      <c r="AY202" s="484"/>
      <c r="AZ202" s="478"/>
      <c r="BA202" s="479"/>
      <c r="BF202" s="7">
        <v>118</v>
      </c>
    </row>
    <row r="203" spans="1:58" s="7" customFormat="1" x14ac:dyDescent="0.25">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c r="AA203" s="3"/>
      <c r="AB203" s="3"/>
      <c r="AC203" s="3"/>
      <c r="AD203" s="3"/>
      <c r="AQ203" s="482"/>
      <c r="AR203" s="482"/>
      <c r="AS203" s="482"/>
      <c r="AT203" s="482"/>
      <c r="AU203" s="482"/>
      <c r="AV203" s="482"/>
      <c r="AW203" s="482"/>
      <c r="AX203" s="482"/>
      <c r="AY203" s="484"/>
      <c r="AZ203" s="478"/>
      <c r="BA203" s="479"/>
      <c r="BF203" s="7">
        <v>119</v>
      </c>
    </row>
    <row r="204" spans="1:58" s="7" customFormat="1" x14ac:dyDescent="0.25">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c r="AA204" s="3"/>
      <c r="AB204" s="3"/>
      <c r="AC204" s="3"/>
      <c r="AD204" s="3"/>
      <c r="AQ204" s="482"/>
      <c r="AR204" s="482"/>
      <c r="AS204" s="482"/>
      <c r="AT204" s="482"/>
      <c r="AU204" s="482"/>
      <c r="AV204" s="482"/>
      <c r="AW204" s="482"/>
      <c r="AX204" s="482"/>
      <c r="AY204" s="484"/>
      <c r="AZ204" s="478"/>
      <c r="BA204" s="479"/>
      <c r="BF204" s="7">
        <v>120</v>
      </c>
    </row>
    <row r="205" spans="1:58" s="7" customFormat="1" x14ac:dyDescent="0.25">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c r="AA205" s="3"/>
      <c r="AB205" s="3"/>
      <c r="AC205" s="3"/>
      <c r="AD205" s="3"/>
      <c r="AQ205" s="482"/>
      <c r="AR205" s="482"/>
      <c r="AS205" s="482"/>
      <c r="AT205" s="482"/>
      <c r="AU205" s="482"/>
      <c r="AV205" s="482"/>
      <c r="AW205" s="482"/>
      <c r="AX205" s="482"/>
      <c r="AY205" s="484"/>
      <c r="AZ205" s="478"/>
      <c r="BA205" s="479"/>
      <c r="BF205" s="7">
        <v>121</v>
      </c>
    </row>
    <row r="206" spans="1:58" s="7" customFormat="1" x14ac:dyDescent="0.25">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c r="AA206" s="3"/>
      <c r="AB206" s="3"/>
      <c r="AC206" s="3"/>
      <c r="AD206" s="3"/>
      <c r="AQ206" s="482"/>
      <c r="AR206" s="482"/>
      <c r="AS206" s="482"/>
      <c r="AT206" s="482"/>
      <c r="AU206" s="482"/>
      <c r="AV206" s="482"/>
      <c r="AW206" s="482"/>
      <c r="AX206" s="482"/>
      <c r="AY206" s="484"/>
      <c r="AZ206" s="478"/>
      <c r="BA206" s="479"/>
      <c r="BF206" s="7">
        <v>122</v>
      </c>
    </row>
    <row r="207" spans="1:58" s="7" customFormat="1" x14ac:dyDescent="0.25">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c r="AA207" s="3"/>
      <c r="AB207" s="3"/>
      <c r="AC207" s="3"/>
      <c r="AD207" s="3"/>
      <c r="AQ207" s="482"/>
      <c r="AR207" s="482"/>
      <c r="AS207" s="482"/>
      <c r="AT207" s="482"/>
      <c r="AU207" s="482"/>
      <c r="AV207" s="482"/>
      <c r="AW207" s="482"/>
      <c r="AX207" s="482"/>
      <c r="AY207" s="484"/>
      <c r="AZ207" s="478"/>
      <c r="BA207" s="479"/>
      <c r="BF207" s="7">
        <v>123</v>
      </c>
    </row>
    <row r="208" spans="1:58" s="7" customFormat="1" x14ac:dyDescent="0.25">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c r="AA208" s="3"/>
      <c r="AB208" s="3"/>
      <c r="AC208" s="3"/>
      <c r="AD208" s="3"/>
      <c r="AQ208" s="482"/>
      <c r="AR208" s="482"/>
      <c r="AS208" s="482"/>
      <c r="AT208" s="482"/>
      <c r="AU208" s="482"/>
      <c r="AV208" s="482"/>
      <c r="AW208" s="482"/>
      <c r="AX208" s="482"/>
      <c r="AY208" s="484"/>
      <c r="AZ208" s="478"/>
      <c r="BA208" s="479"/>
      <c r="BF208" s="7">
        <v>124</v>
      </c>
    </row>
    <row r="209" spans="1:58" s="7" customFormat="1" x14ac:dyDescent="0.25">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c r="AA209" s="3"/>
      <c r="AB209" s="3"/>
      <c r="AC209" s="3"/>
      <c r="AD209" s="3"/>
      <c r="AQ209" s="482"/>
      <c r="AR209" s="482"/>
      <c r="AS209" s="482"/>
      <c r="AT209" s="482"/>
      <c r="AU209" s="482"/>
      <c r="AV209" s="482"/>
      <c r="AW209" s="482"/>
      <c r="AX209" s="482"/>
      <c r="AY209" s="484"/>
      <c r="AZ209" s="478"/>
      <c r="BA209" s="479"/>
      <c r="BF209" s="7">
        <v>125</v>
      </c>
    </row>
    <row r="210" spans="1:58" s="7" customFormat="1" x14ac:dyDescent="0.25">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c r="AA210" s="3"/>
      <c r="AB210" s="3"/>
      <c r="AC210" s="3"/>
      <c r="AD210" s="3"/>
      <c r="AQ210" s="482"/>
      <c r="AR210" s="482"/>
      <c r="AS210" s="482"/>
      <c r="AT210" s="482"/>
      <c r="AU210" s="482"/>
      <c r="AV210" s="482"/>
      <c r="AW210" s="482"/>
      <c r="AX210" s="482"/>
      <c r="AY210" s="484"/>
      <c r="AZ210" s="478"/>
      <c r="BA210" s="479"/>
      <c r="BF210" s="7">
        <v>126</v>
      </c>
    </row>
    <row r="211" spans="1:58" s="7" customFormat="1" x14ac:dyDescent="0.25">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c r="AA211" s="3"/>
      <c r="AB211" s="3"/>
      <c r="AC211" s="3"/>
      <c r="AD211" s="3"/>
      <c r="AQ211" s="482"/>
      <c r="AR211" s="482"/>
      <c r="AS211" s="482"/>
      <c r="AT211" s="482"/>
      <c r="AU211" s="482"/>
      <c r="AV211" s="482"/>
      <c r="AW211" s="482"/>
      <c r="AX211" s="482"/>
      <c r="AY211" s="484"/>
      <c r="AZ211" s="478"/>
      <c r="BA211" s="479"/>
      <c r="BF211" s="7">
        <v>127</v>
      </c>
    </row>
    <row r="212" spans="1:58" s="7" customFormat="1" x14ac:dyDescent="0.25">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c r="AA212" s="3"/>
      <c r="AB212" s="3"/>
      <c r="AC212" s="3"/>
      <c r="AD212" s="3"/>
      <c r="AQ212" s="482"/>
      <c r="AR212" s="482"/>
      <c r="AS212" s="482"/>
      <c r="AT212" s="482"/>
      <c r="AU212" s="482"/>
      <c r="AV212" s="482"/>
      <c r="AW212" s="482"/>
      <c r="AX212" s="482"/>
      <c r="AY212" s="484"/>
      <c r="AZ212" s="478"/>
      <c r="BA212" s="479"/>
      <c r="BF212" s="7">
        <v>128</v>
      </c>
    </row>
    <row r="213" spans="1:58" s="7" customFormat="1" x14ac:dyDescent="0.25">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c r="AA213" s="3"/>
      <c r="AB213" s="3"/>
      <c r="AC213" s="3"/>
      <c r="AD213" s="3"/>
      <c r="AQ213" s="482"/>
      <c r="AR213" s="482"/>
      <c r="AS213" s="482"/>
      <c r="AT213" s="482"/>
      <c r="AU213" s="482"/>
      <c r="AV213" s="482"/>
      <c r="AW213" s="482"/>
      <c r="AX213" s="482"/>
      <c r="AY213" s="484"/>
      <c r="AZ213" s="478"/>
      <c r="BA213" s="479"/>
      <c r="BF213" s="7">
        <v>129</v>
      </c>
    </row>
    <row r="214" spans="1:58" s="7" customFormat="1" x14ac:dyDescent="0.25">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c r="AA214" s="3"/>
      <c r="AB214" s="3"/>
      <c r="AC214" s="3"/>
      <c r="AD214" s="3"/>
      <c r="AQ214" s="482"/>
      <c r="AR214" s="482"/>
      <c r="AS214" s="482"/>
      <c r="AT214" s="482"/>
      <c r="AU214" s="482"/>
      <c r="AV214" s="482"/>
      <c r="AW214" s="482"/>
      <c r="AX214" s="482"/>
      <c r="AY214" s="484"/>
      <c r="AZ214" s="478"/>
      <c r="BA214" s="479"/>
      <c r="BF214" s="7">
        <v>130</v>
      </c>
    </row>
    <row r="215" spans="1:58" s="7" customFormat="1" x14ac:dyDescent="0.25">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c r="AA215" s="3"/>
      <c r="AB215" s="3"/>
      <c r="AC215" s="3"/>
      <c r="AD215" s="3"/>
      <c r="AQ215" s="482"/>
      <c r="AR215" s="482"/>
      <c r="AS215" s="482"/>
      <c r="AT215" s="482"/>
      <c r="AU215" s="482"/>
      <c r="AV215" s="482"/>
      <c r="AW215" s="482"/>
      <c r="AX215" s="482"/>
      <c r="AY215" s="484"/>
      <c r="AZ215" s="478"/>
      <c r="BA215" s="479"/>
      <c r="BF215" s="7">
        <v>131</v>
      </c>
    </row>
    <row r="216" spans="1:58" s="7" customFormat="1" x14ac:dyDescent="0.25">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c r="AA216" s="3"/>
      <c r="AB216" s="3"/>
      <c r="AC216" s="3"/>
      <c r="AD216" s="3"/>
      <c r="AQ216" s="482"/>
      <c r="AR216" s="482"/>
      <c r="AS216" s="482"/>
      <c r="AT216" s="482"/>
      <c r="AU216" s="482"/>
      <c r="AV216" s="482"/>
      <c r="AW216" s="482"/>
      <c r="AX216" s="482"/>
      <c r="AY216" s="484"/>
      <c r="AZ216" s="478"/>
      <c r="BA216" s="479"/>
      <c r="BF216" s="7">
        <v>132</v>
      </c>
    </row>
    <row r="217" spans="1:58" s="7" customFormat="1" x14ac:dyDescent="0.25">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c r="AA217" s="3"/>
      <c r="AB217" s="3"/>
      <c r="AC217" s="3"/>
      <c r="AD217" s="3"/>
      <c r="AQ217" s="482"/>
      <c r="AR217" s="482"/>
      <c r="AS217" s="482"/>
      <c r="AT217" s="482"/>
      <c r="AU217" s="482"/>
      <c r="AV217" s="482"/>
      <c r="AW217" s="482"/>
      <c r="AX217" s="482"/>
      <c r="AY217" s="484"/>
      <c r="AZ217" s="478"/>
      <c r="BA217" s="479"/>
      <c r="BF217" s="7">
        <v>133</v>
      </c>
    </row>
    <row r="218" spans="1:58" s="7" customFormat="1" x14ac:dyDescent="0.25">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c r="AA218" s="3"/>
      <c r="AB218" s="3"/>
      <c r="AC218" s="3"/>
      <c r="AD218" s="3"/>
      <c r="AQ218" s="482"/>
      <c r="AR218" s="482"/>
      <c r="AS218" s="482"/>
      <c r="AT218" s="482"/>
      <c r="AU218" s="482"/>
      <c r="AV218" s="482"/>
      <c r="AW218" s="482"/>
      <c r="AX218" s="482"/>
      <c r="AY218" s="484"/>
      <c r="AZ218" s="478"/>
      <c r="BA218" s="479"/>
      <c r="BF218" s="7">
        <v>134</v>
      </c>
    </row>
    <row r="219" spans="1:58" s="7" customFormat="1" x14ac:dyDescent="0.25">
      <c r="A219" s="3"/>
      <c r="B219" s="3"/>
      <c r="C219" s="3"/>
      <c r="D219" s="3"/>
      <c r="E219" s="3"/>
      <c r="F219" s="3"/>
      <c r="G219" s="3"/>
      <c r="H219" s="3"/>
      <c r="I219" s="3"/>
      <c r="J219" s="3"/>
      <c r="K219" s="3"/>
      <c r="L219" s="3"/>
      <c r="M219" s="3"/>
      <c r="N219" s="3"/>
      <c r="O219" s="3"/>
      <c r="P219" s="3"/>
      <c r="Q219" s="3"/>
      <c r="R219" s="3"/>
      <c r="S219" s="3"/>
      <c r="T219" s="3"/>
      <c r="U219" s="3"/>
      <c r="V219" s="3"/>
      <c r="W219" s="3"/>
      <c r="X219" s="3"/>
      <c r="Y219" s="3"/>
      <c r="Z219" s="3"/>
      <c r="AA219" s="3"/>
      <c r="AB219" s="3"/>
      <c r="AC219" s="3"/>
      <c r="AD219" s="3"/>
      <c r="AQ219" s="482"/>
      <c r="AR219" s="482"/>
      <c r="AS219" s="482"/>
      <c r="AT219" s="482"/>
      <c r="AU219" s="482"/>
      <c r="AV219" s="482"/>
      <c r="AW219" s="482"/>
      <c r="AX219" s="482"/>
      <c r="AY219" s="484"/>
      <c r="AZ219" s="478"/>
      <c r="BA219" s="479"/>
      <c r="BF219" s="7">
        <v>135</v>
      </c>
    </row>
    <row r="220" spans="1:58" s="7" customFormat="1" x14ac:dyDescent="0.25">
      <c r="A220" s="3"/>
      <c r="B220" s="3"/>
      <c r="C220" s="3"/>
      <c r="D220" s="3"/>
      <c r="E220" s="3"/>
      <c r="F220" s="3"/>
      <c r="G220" s="3"/>
      <c r="H220" s="3"/>
      <c r="I220" s="3"/>
      <c r="J220" s="3"/>
      <c r="K220" s="3"/>
      <c r="L220" s="3"/>
      <c r="M220" s="3"/>
      <c r="N220" s="3"/>
      <c r="O220" s="3"/>
      <c r="P220" s="3"/>
      <c r="Q220" s="3"/>
      <c r="R220" s="3"/>
      <c r="S220" s="3"/>
      <c r="T220" s="3"/>
      <c r="U220" s="3"/>
      <c r="V220" s="3"/>
      <c r="W220" s="3"/>
      <c r="X220" s="3"/>
      <c r="Y220" s="3"/>
      <c r="Z220" s="3"/>
      <c r="AA220" s="3"/>
      <c r="AB220" s="3"/>
      <c r="AC220" s="3"/>
      <c r="AD220" s="3"/>
      <c r="AQ220" s="482"/>
      <c r="AR220" s="482"/>
      <c r="AS220" s="482"/>
      <c r="AT220" s="482"/>
      <c r="AU220" s="482"/>
      <c r="AV220" s="482"/>
      <c r="AW220" s="482"/>
      <c r="AX220" s="482"/>
      <c r="AY220" s="484"/>
      <c r="AZ220" s="478"/>
      <c r="BA220" s="479"/>
      <c r="BF220" s="7">
        <v>136</v>
      </c>
    </row>
    <row r="221" spans="1:58" s="7" customFormat="1" x14ac:dyDescent="0.25">
      <c r="A221" s="3"/>
      <c r="B221" s="3"/>
      <c r="C221" s="3"/>
      <c r="D221" s="3"/>
      <c r="E221" s="3"/>
      <c r="F221" s="3"/>
      <c r="G221" s="3"/>
      <c r="H221" s="3"/>
      <c r="I221" s="3"/>
      <c r="J221" s="3"/>
      <c r="K221" s="3"/>
      <c r="L221" s="3"/>
      <c r="M221" s="3"/>
      <c r="N221" s="3"/>
      <c r="O221" s="3"/>
      <c r="P221" s="3"/>
      <c r="Q221" s="3"/>
      <c r="R221" s="3"/>
      <c r="S221" s="3"/>
      <c r="T221" s="3"/>
      <c r="U221" s="3"/>
      <c r="V221" s="3"/>
      <c r="W221" s="3"/>
      <c r="X221" s="3"/>
      <c r="Y221" s="3"/>
      <c r="Z221" s="3"/>
      <c r="AA221" s="3"/>
      <c r="AB221" s="3"/>
      <c r="AC221" s="3"/>
      <c r="AD221" s="3"/>
      <c r="AQ221" s="482"/>
      <c r="AR221" s="482"/>
      <c r="AS221" s="482"/>
      <c r="AT221" s="482"/>
      <c r="AU221" s="482"/>
      <c r="AV221" s="482"/>
      <c r="AW221" s="482"/>
      <c r="AX221" s="482"/>
      <c r="AY221" s="484"/>
      <c r="AZ221" s="478"/>
      <c r="BA221" s="479"/>
      <c r="BF221" s="7">
        <v>137</v>
      </c>
    </row>
    <row r="222" spans="1:58" s="7" customFormat="1" x14ac:dyDescent="0.25">
      <c r="A222" s="3"/>
      <c r="B222" s="3"/>
      <c r="C222" s="3"/>
      <c r="D222" s="3"/>
      <c r="E222" s="3"/>
      <c r="F222" s="3"/>
      <c r="G222" s="3"/>
      <c r="H222" s="3"/>
      <c r="I222" s="3"/>
      <c r="J222" s="3"/>
      <c r="K222" s="3"/>
      <c r="L222" s="3"/>
      <c r="M222" s="3"/>
      <c r="N222" s="3"/>
      <c r="O222" s="3"/>
      <c r="P222" s="3"/>
      <c r="Q222" s="3"/>
      <c r="R222" s="3"/>
      <c r="S222" s="3"/>
      <c r="T222" s="3"/>
      <c r="U222" s="3"/>
      <c r="V222" s="3"/>
      <c r="W222" s="3"/>
      <c r="X222" s="3"/>
      <c r="Y222" s="3"/>
      <c r="Z222" s="3"/>
      <c r="AA222" s="3"/>
      <c r="AB222" s="3"/>
      <c r="AC222" s="3"/>
      <c r="AD222" s="3"/>
      <c r="AQ222" s="482"/>
      <c r="AR222" s="482"/>
      <c r="AS222" s="482"/>
      <c r="AT222" s="482"/>
      <c r="AU222" s="482"/>
      <c r="AV222" s="482"/>
      <c r="AW222" s="482"/>
      <c r="AX222" s="482"/>
      <c r="AY222" s="484"/>
      <c r="AZ222" s="478"/>
      <c r="BA222" s="479"/>
      <c r="BF222" s="7">
        <v>138</v>
      </c>
    </row>
    <row r="223" spans="1:58" s="7" customFormat="1" x14ac:dyDescent="0.25">
      <c r="A223" s="3"/>
      <c r="B223" s="3"/>
      <c r="C223" s="3"/>
      <c r="D223" s="3"/>
      <c r="E223" s="3"/>
      <c r="F223" s="3"/>
      <c r="G223" s="3"/>
      <c r="H223" s="3"/>
      <c r="I223" s="3"/>
      <c r="J223" s="3"/>
      <c r="K223" s="3"/>
      <c r="L223" s="3"/>
      <c r="M223" s="3"/>
      <c r="N223" s="3"/>
      <c r="O223" s="3"/>
      <c r="P223" s="3"/>
      <c r="Q223" s="3"/>
      <c r="R223" s="3"/>
      <c r="S223" s="3"/>
      <c r="T223" s="3"/>
      <c r="U223" s="3"/>
      <c r="V223" s="3"/>
      <c r="W223" s="3"/>
      <c r="X223" s="3"/>
      <c r="Y223" s="3"/>
      <c r="Z223" s="3"/>
      <c r="AA223" s="3"/>
      <c r="AB223" s="3"/>
      <c r="AC223" s="3"/>
      <c r="AD223" s="3"/>
      <c r="AQ223" s="482"/>
      <c r="AR223" s="482"/>
      <c r="AS223" s="482"/>
      <c r="AT223" s="482"/>
      <c r="AU223" s="482"/>
      <c r="AV223" s="482"/>
      <c r="AW223" s="482"/>
      <c r="AX223" s="482"/>
      <c r="AY223" s="484"/>
      <c r="AZ223" s="478"/>
      <c r="BA223" s="479"/>
      <c r="BF223" s="7">
        <v>139</v>
      </c>
    </row>
    <row r="224" spans="1:58" s="7" customFormat="1" x14ac:dyDescent="0.25">
      <c r="A224" s="3"/>
      <c r="B224" s="3"/>
      <c r="C224" s="3"/>
      <c r="D224" s="3"/>
      <c r="E224" s="3"/>
      <c r="F224" s="3"/>
      <c r="G224" s="3"/>
      <c r="H224" s="3"/>
      <c r="I224" s="3"/>
      <c r="J224" s="3"/>
      <c r="K224" s="3"/>
      <c r="L224" s="3"/>
      <c r="M224" s="3"/>
      <c r="N224" s="3"/>
      <c r="O224" s="3"/>
      <c r="P224" s="3"/>
      <c r="Q224" s="3"/>
      <c r="R224" s="3"/>
      <c r="S224" s="3"/>
      <c r="T224" s="3"/>
      <c r="U224" s="3"/>
      <c r="V224" s="3"/>
      <c r="W224" s="3"/>
      <c r="X224" s="3"/>
      <c r="Y224" s="3"/>
      <c r="Z224" s="3"/>
      <c r="AA224" s="3"/>
      <c r="AB224" s="3"/>
      <c r="AC224" s="3"/>
      <c r="AD224" s="3"/>
      <c r="AQ224" s="482"/>
      <c r="AR224" s="482"/>
      <c r="AS224" s="482"/>
      <c r="AT224" s="482"/>
      <c r="AU224" s="482"/>
      <c r="AV224" s="482"/>
      <c r="AW224" s="482"/>
      <c r="AX224" s="482"/>
      <c r="AY224" s="484"/>
      <c r="AZ224" s="478"/>
      <c r="BA224" s="479"/>
      <c r="BF224" s="7">
        <v>140</v>
      </c>
    </row>
    <row r="225" spans="1:58" s="7" customFormat="1" x14ac:dyDescent="0.25">
      <c r="A225" s="3"/>
      <c r="B225" s="3"/>
      <c r="C225" s="3"/>
      <c r="D225" s="3"/>
      <c r="E225" s="3"/>
      <c r="F225" s="3"/>
      <c r="G225" s="3"/>
      <c r="H225" s="3"/>
      <c r="I225" s="3"/>
      <c r="J225" s="3"/>
      <c r="K225" s="3"/>
      <c r="L225" s="3"/>
      <c r="M225" s="3"/>
      <c r="N225" s="3"/>
      <c r="O225" s="3"/>
      <c r="P225" s="3"/>
      <c r="Q225" s="3"/>
      <c r="R225" s="3"/>
      <c r="S225" s="3"/>
      <c r="T225" s="3"/>
      <c r="U225" s="3"/>
      <c r="V225" s="3"/>
      <c r="W225" s="3"/>
      <c r="X225" s="3"/>
      <c r="Y225" s="3"/>
      <c r="Z225" s="3"/>
      <c r="AA225" s="3"/>
      <c r="AB225" s="3"/>
      <c r="AC225" s="3"/>
      <c r="AD225" s="3"/>
      <c r="AQ225" s="482"/>
      <c r="AR225" s="482"/>
      <c r="AS225" s="482"/>
      <c r="AT225" s="482"/>
      <c r="AU225" s="482"/>
      <c r="AV225" s="482"/>
      <c r="AW225" s="482"/>
      <c r="AX225" s="482"/>
      <c r="AY225" s="484"/>
      <c r="AZ225" s="478"/>
      <c r="BA225" s="479"/>
      <c r="BF225" s="7">
        <v>141</v>
      </c>
    </row>
    <row r="226" spans="1:58" s="7" customFormat="1" x14ac:dyDescent="0.25">
      <c r="A226" s="3"/>
      <c r="B226" s="3"/>
      <c r="C226" s="3"/>
      <c r="D226" s="3"/>
      <c r="E226" s="3"/>
      <c r="F226" s="3"/>
      <c r="G226" s="3"/>
      <c r="H226" s="3"/>
      <c r="I226" s="3"/>
      <c r="J226" s="3"/>
      <c r="K226" s="3"/>
      <c r="L226" s="3"/>
      <c r="M226" s="3"/>
      <c r="N226" s="3"/>
      <c r="O226" s="3"/>
      <c r="P226" s="3"/>
      <c r="Q226" s="3"/>
      <c r="R226" s="3"/>
      <c r="S226" s="3"/>
      <c r="T226" s="3"/>
      <c r="U226" s="3"/>
      <c r="V226" s="3"/>
      <c r="W226" s="3"/>
      <c r="X226" s="3"/>
      <c r="Y226" s="3"/>
      <c r="Z226" s="3"/>
      <c r="AA226" s="3"/>
      <c r="AB226" s="3"/>
      <c r="AC226" s="3"/>
      <c r="AD226" s="3"/>
      <c r="AQ226" s="482"/>
      <c r="AR226" s="482"/>
      <c r="AS226" s="482"/>
      <c r="AT226" s="482"/>
      <c r="AU226" s="482"/>
      <c r="AV226" s="482"/>
      <c r="AW226" s="482"/>
      <c r="AX226" s="482"/>
      <c r="AY226" s="484"/>
      <c r="AZ226" s="478"/>
      <c r="BA226" s="479"/>
      <c r="BF226" s="7">
        <v>142</v>
      </c>
    </row>
    <row r="227" spans="1:58" s="7" customFormat="1" x14ac:dyDescent="0.25">
      <c r="A227" s="3"/>
      <c r="B227" s="3"/>
      <c r="C227" s="3"/>
      <c r="D227" s="3"/>
      <c r="E227" s="3"/>
      <c r="F227" s="3"/>
      <c r="G227" s="3"/>
      <c r="H227" s="3"/>
      <c r="I227" s="3"/>
      <c r="J227" s="3"/>
      <c r="K227" s="3"/>
      <c r="L227" s="3"/>
      <c r="M227" s="3"/>
      <c r="N227" s="3"/>
      <c r="O227" s="3"/>
      <c r="P227" s="3"/>
      <c r="Q227" s="3"/>
      <c r="R227" s="3"/>
      <c r="S227" s="3"/>
      <c r="T227" s="3"/>
      <c r="U227" s="3"/>
      <c r="V227" s="3"/>
      <c r="W227" s="3"/>
      <c r="X227" s="3"/>
      <c r="Y227" s="3"/>
      <c r="Z227" s="3"/>
      <c r="AA227" s="3"/>
      <c r="AB227" s="3"/>
      <c r="AC227" s="3"/>
      <c r="AD227" s="3"/>
      <c r="AQ227" s="482"/>
      <c r="AR227" s="482"/>
      <c r="AS227" s="482"/>
      <c r="AT227" s="482"/>
      <c r="AU227" s="482"/>
      <c r="AV227" s="482"/>
      <c r="AW227" s="482"/>
      <c r="AX227" s="482"/>
      <c r="AY227" s="484"/>
      <c r="AZ227" s="478"/>
      <c r="BA227" s="479"/>
      <c r="BF227" s="7">
        <v>143</v>
      </c>
    </row>
    <row r="228" spans="1:58" s="7" customFormat="1" x14ac:dyDescent="0.25">
      <c r="A228" s="3"/>
      <c r="B228" s="3"/>
      <c r="C228" s="3"/>
      <c r="D228" s="3"/>
      <c r="E228" s="3"/>
      <c r="F228" s="3"/>
      <c r="G228" s="3"/>
      <c r="H228" s="3"/>
      <c r="I228" s="3"/>
      <c r="J228" s="3"/>
      <c r="K228" s="3"/>
      <c r="L228" s="3"/>
      <c r="M228" s="3"/>
      <c r="N228" s="3"/>
      <c r="O228" s="3"/>
      <c r="P228" s="3"/>
      <c r="Q228" s="3"/>
      <c r="R228" s="3"/>
      <c r="S228" s="3"/>
      <c r="T228" s="3"/>
      <c r="U228" s="3"/>
      <c r="V228" s="3"/>
      <c r="W228" s="3"/>
      <c r="X228" s="3"/>
      <c r="Y228" s="3"/>
      <c r="Z228" s="3"/>
      <c r="AA228" s="3"/>
      <c r="AB228" s="3"/>
      <c r="AC228" s="3"/>
      <c r="AD228" s="3"/>
      <c r="AQ228" s="482"/>
      <c r="AR228" s="482"/>
      <c r="AS228" s="482"/>
      <c r="AT228" s="482"/>
      <c r="AU228" s="482"/>
      <c r="AV228" s="482"/>
      <c r="AW228" s="482"/>
      <c r="AX228" s="482"/>
      <c r="AY228" s="484"/>
      <c r="AZ228" s="478"/>
      <c r="BA228" s="479"/>
      <c r="BF228" s="7">
        <v>144</v>
      </c>
    </row>
    <row r="229" spans="1:58" s="7" customFormat="1" x14ac:dyDescent="0.25">
      <c r="A229" s="3"/>
      <c r="B229" s="3"/>
      <c r="C229" s="3"/>
      <c r="D229" s="3"/>
      <c r="E229" s="3"/>
      <c r="F229" s="3"/>
      <c r="G229" s="3"/>
      <c r="H229" s="3"/>
      <c r="I229" s="3"/>
      <c r="J229" s="3"/>
      <c r="K229" s="3"/>
      <c r="L229" s="3"/>
      <c r="M229" s="3"/>
      <c r="N229" s="3"/>
      <c r="O229" s="3"/>
      <c r="P229" s="3"/>
      <c r="Q229" s="3"/>
      <c r="R229" s="3"/>
      <c r="S229" s="3"/>
      <c r="T229" s="3"/>
      <c r="U229" s="3"/>
      <c r="V229" s="3"/>
      <c r="W229" s="3"/>
      <c r="X229" s="3"/>
      <c r="Y229" s="3"/>
      <c r="Z229" s="3"/>
      <c r="AA229" s="3"/>
      <c r="AB229" s="3"/>
      <c r="AC229" s="3"/>
      <c r="AD229" s="3"/>
      <c r="AQ229" s="482"/>
      <c r="AR229" s="482"/>
      <c r="AS229" s="482"/>
      <c r="AT229" s="482"/>
      <c r="AU229" s="482"/>
      <c r="AV229" s="482"/>
      <c r="AW229" s="482"/>
      <c r="AX229" s="482"/>
      <c r="AY229" s="484"/>
      <c r="AZ229" s="478"/>
      <c r="BA229" s="479"/>
      <c r="BF229" s="7">
        <v>145</v>
      </c>
    </row>
    <row r="230" spans="1:58" s="7" customFormat="1" x14ac:dyDescent="0.25">
      <c r="A230" s="3"/>
      <c r="B230" s="3"/>
      <c r="C230" s="3"/>
      <c r="D230" s="3"/>
      <c r="E230" s="3"/>
      <c r="F230" s="3"/>
      <c r="G230" s="3"/>
      <c r="H230" s="3"/>
      <c r="I230" s="3"/>
      <c r="J230" s="3"/>
      <c r="K230" s="3"/>
      <c r="L230" s="3"/>
      <c r="M230" s="3"/>
      <c r="N230" s="3"/>
      <c r="O230" s="3"/>
      <c r="P230" s="3"/>
      <c r="Q230" s="3"/>
      <c r="R230" s="3"/>
      <c r="S230" s="3"/>
      <c r="T230" s="3"/>
      <c r="U230" s="3"/>
      <c r="V230" s="3"/>
      <c r="W230" s="3"/>
      <c r="X230" s="3"/>
      <c r="Y230" s="3"/>
      <c r="Z230" s="3"/>
      <c r="AA230" s="3"/>
      <c r="AB230" s="3"/>
      <c r="AC230" s="3"/>
      <c r="AD230" s="3"/>
      <c r="AQ230" s="482"/>
      <c r="AR230" s="482"/>
      <c r="AS230" s="482"/>
      <c r="AT230" s="482"/>
      <c r="AU230" s="482"/>
      <c r="AV230" s="482"/>
      <c r="AW230" s="482"/>
      <c r="AX230" s="482"/>
      <c r="AY230" s="484"/>
      <c r="AZ230" s="478"/>
      <c r="BA230" s="479"/>
      <c r="BF230" s="7">
        <v>146</v>
      </c>
    </row>
    <row r="231" spans="1:58" s="7" customFormat="1" x14ac:dyDescent="0.25">
      <c r="A231" s="3"/>
      <c r="B231" s="3"/>
      <c r="C231" s="3"/>
      <c r="D231" s="3"/>
      <c r="E231" s="3"/>
      <c r="F231" s="3"/>
      <c r="G231" s="3"/>
      <c r="H231" s="3"/>
      <c r="I231" s="3"/>
      <c r="J231" s="3"/>
      <c r="K231" s="3"/>
      <c r="L231" s="3"/>
      <c r="M231" s="3"/>
      <c r="N231" s="3"/>
      <c r="O231" s="3"/>
      <c r="P231" s="3"/>
      <c r="Q231" s="3"/>
      <c r="R231" s="3"/>
      <c r="S231" s="3"/>
      <c r="T231" s="3"/>
      <c r="U231" s="3"/>
      <c r="V231" s="3"/>
      <c r="W231" s="3"/>
      <c r="X231" s="3"/>
      <c r="Y231" s="3"/>
      <c r="Z231" s="3"/>
      <c r="AA231" s="3"/>
      <c r="AB231" s="3"/>
      <c r="AC231" s="3"/>
      <c r="AD231" s="3"/>
      <c r="AQ231" s="482"/>
      <c r="AR231" s="482"/>
      <c r="AS231" s="482"/>
      <c r="AT231" s="482"/>
      <c r="AU231" s="482"/>
      <c r="AV231" s="482"/>
      <c r="AW231" s="482"/>
      <c r="AX231" s="482"/>
      <c r="AY231" s="484"/>
      <c r="AZ231" s="478"/>
      <c r="BA231" s="479"/>
      <c r="BF231" s="7">
        <v>147</v>
      </c>
    </row>
    <row r="232" spans="1:58" s="7" customFormat="1" x14ac:dyDescent="0.25">
      <c r="A232" s="3"/>
      <c r="B232" s="3"/>
      <c r="C232" s="3"/>
      <c r="D232" s="3"/>
      <c r="E232" s="3"/>
      <c r="F232" s="3"/>
      <c r="G232" s="3"/>
      <c r="H232" s="3"/>
      <c r="I232" s="3"/>
      <c r="J232" s="3"/>
      <c r="K232" s="3"/>
      <c r="L232" s="3"/>
      <c r="M232" s="3"/>
      <c r="N232" s="3"/>
      <c r="O232" s="3"/>
      <c r="P232" s="3"/>
      <c r="Q232" s="3"/>
      <c r="R232" s="3"/>
      <c r="S232" s="3"/>
      <c r="T232" s="3"/>
      <c r="U232" s="3"/>
      <c r="V232" s="3"/>
      <c r="W232" s="3"/>
      <c r="X232" s="3"/>
      <c r="Y232" s="3"/>
      <c r="Z232" s="3"/>
      <c r="AA232" s="3"/>
      <c r="AB232" s="3"/>
      <c r="AC232" s="3"/>
      <c r="AD232" s="3"/>
      <c r="AQ232" s="482"/>
      <c r="AR232" s="482"/>
      <c r="AS232" s="482"/>
      <c r="AT232" s="482"/>
      <c r="AU232" s="482"/>
      <c r="AV232" s="482"/>
      <c r="AW232" s="482"/>
      <c r="AX232" s="482"/>
      <c r="AY232" s="484"/>
      <c r="AZ232" s="478"/>
      <c r="BA232" s="479"/>
      <c r="BF232" s="7">
        <v>148</v>
      </c>
    </row>
    <row r="233" spans="1:58" s="7" customFormat="1" x14ac:dyDescent="0.25">
      <c r="A233" s="3"/>
      <c r="B233" s="3"/>
      <c r="C233" s="3"/>
      <c r="D233" s="3"/>
      <c r="E233" s="3"/>
      <c r="F233" s="3"/>
      <c r="G233" s="3"/>
      <c r="H233" s="3"/>
      <c r="I233" s="3"/>
      <c r="J233" s="3"/>
      <c r="K233" s="3"/>
      <c r="L233" s="3"/>
      <c r="M233" s="3"/>
      <c r="N233" s="3"/>
      <c r="O233" s="3"/>
      <c r="P233" s="3"/>
      <c r="Q233" s="3"/>
      <c r="R233" s="3"/>
      <c r="S233" s="3"/>
      <c r="T233" s="3"/>
      <c r="U233" s="3"/>
      <c r="V233" s="3"/>
      <c r="W233" s="3"/>
      <c r="X233" s="3"/>
      <c r="Y233" s="3"/>
      <c r="Z233" s="3"/>
      <c r="AA233" s="3"/>
      <c r="AB233" s="3"/>
      <c r="AC233" s="3"/>
      <c r="AD233" s="3"/>
      <c r="AQ233" s="482"/>
      <c r="AR233" s="482"/>
      <c r="AS233" s="482"/>
      <c r="AT233" s="482"/>
      <c r="AU233" s="482"/>
      <c r="AV233" s="482"/>
      <c r="AW233" s="482"/>
      <c r="AX233" s="482"/>
      <c r="AY233" s="484"/>
      <c r="AZ233" s="478"/>
      <c r="BA233" s="479"/>
      <c r="BF233" s="7">
        <v>149</v>
      </c>
    </row>
    <row r="234" spans="1:58" s="7" customFormat="1" x14ac:dyDescent="0.25">
      <c r="A234" s="3"/>
      <c r="B234" s="3"/>
      <c r="C234" s="3"/>
      <c r="D234" s="3"/>
      <c r="E234" s="3"/>
      <c r="F234" s="3"/>
      <c r="G234" s="3"/>
      <c r="H234" s="3"/>
      <c r="I234" s="3"/>
      <c r="J234" s="3"/>
      <c r="K234" s="3"/>
      <c r="L234" s="3"/>
      <c r="M234" s="3"/>
      <c r="N234" s="3"/>
      <c r="O234" s="3"/>
      <c r="P234" s="3"/>
      <c r="Q234" s="3"/>
      <c r="R234" s="3"/>
      <c r="S234" s="3"/>
      <c r="T234" s="3"/>
      <c r="U234" s="3"/>
      <c r="V234" s="3"/>
      <c r="W234" s="3"/>
      <c r="X234" s="3"/>
      <c r="Y234" s="3"/>
      <c r="Z234" s="3"/>
      <c r="AA234" s="3"/>
      <c r="AB234" s="3"/>
      <c r="AC234" s="3"/>
      <c r="AD234" s="3"/>
      <c r="AQ234" s="482"/>
      <c r="AR234" s="482"/>
      <c r="AS234" s="482"/>
      <c r="AT234" s="482"/>
      <c r="AU234" s="482"/>
      <c r="AV234" s="482"/>
      <c r="AW234" s="482"/>
      <c r="AX234" s="482"/>
      <c r="AY234" s="484"/>
      <c r="AZ234" s="478"/>
      <c r="BA234" s="479"/>
      <c r="BF234" s="7">
        <v>150</v>
      </c>
    </row>
    <row r="235" spans="1:58" s="7" customFormat="1" x14ac:dyDescent="0.25">
      <c r="A235" s="3"/>
      <c r="B235" s="3"/>
      <c r="C235" s="3"/>
      <c r="D235" s="3"/>
      <c r="E235" s="3"/>
      <c r="F235" s="3"/>
      <c r="G235" s="3"/>
      <c r="H235" s="3"/>
      <c r="I235" s="3"/>
      <c r="J235" s="3"/>
      <c r="K235" s="3"/>
      <c r="L235" s="3"/>
      <c r="M235" s="3"/>
      <c r="N235" s="3"/>
      <c r="O235" s="3"/>
      <c r="P235" s="3"/>
      <c r="Q235" s="3"/>
      <c r="R235" s="3"/>
      <c r="S235" s="3"/>
      <c r="T235" s="3"/>
      <c r="U235" s="3"/>
      <c r="V235" s="3"/>
      <c r="W235" s="3"/>
      <c r="X235" s="3"/>
      <c r="Y235" s="3"/>
      <c r="Z235" s="3"/>
      <c r="AA235" s="3"/>
      <c r="AB235" s="3"/>
      <c r="AC235" s="3"/>
      <c r="AD235" s="3"/>
      <c r="AQ235" s="482"/>
      <c r="AR235" s="482"/>
      <c r="AS235" s="482"/>
      <c r="AT235" s="482"/>
      <c r="AU235" s="482"/>
      <c r="AV235" s="482"/>
      <c r="AW235" s="482"/>
      <c r="AX235" s="482"/>
      <c r="AY235" s="484"/>
      <c r="AZ235" s="478"/>
      <c r="BA235" s="479"/>
      <c r="BF235" s="7">
        <v>151</v>
      </c>
    </row>
    <row r="236" spans="1:58" s="7" customFormat="1" x14ac:dyDescent="0.25">
      <c r="A236" s="3"/>
      <c r="B236" s="3"/>
      <c r="C236" s="3"/>
      <c r="D236" s="3"/>
      <c r="E236" s="3"/>
      <c r="F236" s="3"/>
      <c r="G236" s="3"/>
      <c r="H236" s="3"/>
      <c r="I236" s="3"/>
      <c r="J236" s="3"/>
      <c r="K236" s="3"/>
      <c r="L236" s="3"/>
      <c r="M236" s="3"/>
      <c r="N236" s="3"/>
      <c r="O236" s="3"/>
      <c r="P236" s="3"/>
      <c r="Q236" s="3"/>
      <c r="R236" s="3"/>
      <c r="S236" s="3"/>
      <c r="T236" s="3"/>
      <c r="U236" s="3"/>
      <c r="V236" s="3"/>
      <c r="W236" s="3"/>
      <c r="X236" s="3"/>
      <c r="Y236" s="3"/>
      <c r="Z236" s="3"/>
      <c r="AA236" s="3"/>
      <c r="AB236" s="3"/>
      <c r="AC236" s="3"/>
      <c r="AD236" s="3"/>
      <c r="AQ236" s="482"/>
      <c r="AR236" s="482"/>
      <c r="AS236" s="482"/>
      <c r="AT236" s="482"/>
      <c r="AU236" s="482"/>
      <c r="AV236" s="482"/>
      <c r="AW236" s="482"/>
      <c r="AX236" s="482"/>
      <c r="AY236" s="484"/>
      <c r="AZ236" s="478"/>
      <c r="BA236" s="479"/>
      <c r="BF236" s="7">
        <v>152</v>
      </c>
    </row>
    <row r="237" spans="1:58" s="7" customFormat="1" x14ac:dyDescent="0.25">
      <c r="A237" s="3"/>
      <c r="B237" s="3"/>
      <c r="C237" s="3"/>
      <c r="D237" s="3"/>
      <c r="E237" s="3"/>
      <c r="F237" s="3"/>
      <c r="G237" s="3"/>
      <c r="H237" s="3"/>
      <c r="I237" s="3"/>
      <c r="J237" s="3"/>
      <c r="K237" s="3"/>
      <c r="L237" s="3"/>
      <c r="M237" s="3"/>
      <c r="N237" s="3"/>
      <c r="O237" s="3"/>
      <c r="P237" s="3"/>
      <c r="Q237" s="3"/>
      <c r="R237" s="3"/>
      <c r="S237" s="3"/>
      <c r="T237" s="3"/>
      <c r="U237" s="3"/>
      <c r="V237" s="3"/>
      <c r="W237" s="3"/>
      <c r="X237" s="3"/>
      <c r="Y237" s="3"/>
      <c r="Z237" s="3"/>
      <c r="AA237" s="3"/>
      <c r="AB237" s="3"/>
      <c r="AC237" s="3"/>
      <c r="AD237" s="3"/>
      <c r="AQ237" s="482"/>
      <c r="AR237" s="482"/>
      <c r="AS237" s="482"/>
      <c r="AT237" s="482"/>
      <c r="AU237" s="482"/>
      <c r="AV237" s="482"/>
      <c r="AW237" s="482"/>
      <c r="AX237" s="482"/>
      <c r="AY237" s="484"/>
      <c r="AZ237" s="478"/>
      <c r="BA237" s="479"/>
      <c r="BF237" s="7">
        <v>153</v>
      </c>
    </row>
    <row r="238" spans="1:58" s="7" customFormat="1" x14ac:dyDescent="0.25">
      <c r="A238" s="3"/>
      <c r="B238" s="3"/>
      <c r="C238" s="3"/>
      <c r="D238" s="3"/>
      <c r="E238" s="3"/>
      <c r="F238" s="3"/>
      <c r="G238" s="3"/>
      <c r="H238" s="3"/>
      <c r="I238" s="3"/>
      <c r="J238" s="3"/>
      <c r="K238" s="3"/>
      <c r="L238" s="3"/>
      <c r="M238" s="3"/>
      <c r="N238" s="3"/>
      <c r="O238" s="3"/>
      <c r="P238" s="3"/>
      <c r="Q238" s="3"/>
      <c r="R238" s="3"/>
      <c r="S238" s="3"/>
      <c r="T238" s="3"/>
      <c r="U238" s="3"/>
      <c r="V238" s="3"/>
      <c r="W238" s="3"/>
      <c r="X238" s="3"/>
      <c r="Y238" s="3"/>
      <c r="Z238" s="3"/>
      <c r="AA238" s="3"/>
      <c r="AB238" s="3"/>
      <c r="AC238" s="3"/>
      <c r="AD238" s="3"/>
      <c r="AQ238" s="482"/>
      <c r="AR238" s="482"/>
      <c r="AS238" s="482"/>
      <c r="AT238" s="482"/>
      <c r="AU238" s="482"/>
      <c r="AV238" s="482"/>
      <c r="AW238" s="482"/>
      <c r="AX238" s="482"/>
      <c r="AY238" s="484"/>
      <c r="AZ238" s="478"/>
      <c r="BA238" s="479"/>
      <c r="BF238" s="7">
        <v>154</v>
      </c>
    </row>
    <row r="239" spans="1:58" s="7" customFormat="1" x14ac:dyDescent="0.25">
      <c r="A239" s="3"/>
      <c r="B239" s="3"/>
      <c r="C239" s="3"/>
      <c r="D239" s="3"/>
      <c r="E239" s="3"/>
      <c r="F239" s="3"/>
      <c r="G239" s="3"/>
      <c r="H239" s="3"/>
      <c r="I239" s="3"/>
      <c r="J239" s="3"/>
      <c r="K239" s="3"/>
      <c r="L239" s="3"/>
      <c r="M239" s="3"/>
      <c r="N239" s="3"/>
      <c r="O239" s="3"/>
      <c r="P239" s="3"/>
      <c r="Q239" s="3"/>
      <c r="R239" s="3"/>
      <c r="S239" s="3"/>
      <c r="T239" s="3"/>
      <c r="U239" s="3"/>
      <c r="V239" s="3"/>
      <c r="W239" s="3"/>
      <c r="X239" s="3"/>
      <c r="Y239" s="3"/>
      <c r="Z239" s="3"/>
      <c r="AA239" s="3"/>
      <c r="AB239" s="3"/>
      <c r="AC239" s="3"/>
      <c r="AD239" s="3"/>
      <c r="AQ239" s="482"/>
      <c r="AR239" s="482"/>
      <c r="AS239" s="482"/>
      <c r="AT239" s="482"/>
      <c r="AU239" s="482"/>
      <c r="AV239" s="482"/>
      <c r="AW239" s="482"/>
      <c r="AX239" s="482"/>
      <c r="AY239" s="484"/>
      <c r="AZ239" s="478"/>
      <c r="BA239" s="479"/>
      <c r="BF239" s="7">
        <v>155</v>
      </c>
    </row>
    <row r="240" spans="1:58" s="7" customFormat="1" x14ac:dyDescent="0.25">
      <c r="A240" s="3"/>
      <c r="B240" s="3"/>
      <c r="C240" s="3"/>
      <c r="D240" s="3"/>
      <c r="E240" s="3"/>
      <c r="F240" s="3"/>
      <c r="G240" s="3"/>
      <c r="H240" s="3"/>
      <c r="I240" s="3"/>
      <c r="J240" s="3"/>
      <c r="K240" s="3"/>
      <c r="L240" s="3"/>
      <c r="M240" s="3"/>
      <c r="N240" s="3"/>
      <c r="O240" s="3"/>
      <c r="P240" s="3"/>
      <c r="Q240" s="3"/>
      <c r="R240" s="3"/>
      <c r="S240" s="3"/>
      <c r="T240" s="3"/>
      <c r="U240" s="3"/>
      <c r="V240" s="3"/>
      <c r="W240" s="3"/>
      <c r="X240" s="3"/>
      <c r="Y240" s="3"/>
      <c r="Z240" s="3"/>
      <c r="AA240" s="3"/>
      <c r="AB240" s="3"/>
      <c r="AC240" s="3"/>
      <c r="AD240" s="3"/>
      <c r="AQ240" s="482"/>
      <c r="AR240" s="482"/>
      <c r="AS240" s="482"/>
      <c r="AT240" s="482"/>
      <c r="AU240" s="482"/>
      <c r="AV240" s="482"/>
      <c r="AW240" s="482"/>
      <c r="AX240" s="482"/>
      <c r="AY240" s="484"/>
      <c r="AZ240" s="478"/>
      <c r="BA240" s="479"/>
      <c r="BF240" s="7">
        <v>156</v>
      </c>
    </row>
    <row r="241" spans="1:58" s="7" customFormat="1" x14ac:dyDescent="0.25">
      <c r="A241" s="3"/>
      <c r="B241" s="3"/>
      <c r="C241" s="3"/>
      <c r="D241" s="3"/>
      <c r="E241" s="3"/>
      <c r="F241" s="3"/>
      <c r="G241" s="3"/>
      <c r="H241" s="3"/>
      <c r="I241" s="3"/>
      <c r="J241" s="3"/>
      <c r="K241" s="3"/>
      <c r="L241" s="3"/>
      <c r="M241" s="3"/>
      <c r="N241" s="3"/>
      <c r="O241" s="3"/>
      <c r="P241" s="3"/>
      <c r="Q241" s="3"/>
      <c r="R241" s="3"/>
      <c r="S241" s="3"/>
      <c r="T241" s="3"/>
      <c r="U241" s="3"/>
      <c r="V241" s="3"/>
      <c r="W241" s="3"/>
      <c r="X241" s="3"/>
      <c r="Y241" s="3"/>
      <c r="Z241" s="3"/>
      <c r="AA241" s="3"/>
      <c r="AB241" s="3"/>
      <c r="AC241" s="3"/>
      <c r="AD241" s="3"/>
      <c r="AQ241" s="482"/>
      <c r="AR241" s="482"/>
      <c r="AS241" s="482"/>
      <c r="AT241" s="482"/>
      <c r="AU241" s="482"/>
      <c r="AV241" s="482"/>
      <c r="AW241" s="482"/>
      <c r="AX241" s="482"/>
      <c r="AY241" s="484"/>
      <c r="AZ241" s="478"/>
      <c r="BA241" s="479"/>
      <c r="BF241" s="7">
        <v>157</v>
      </c>
    </row>
    <row r="242" spans="1:58" s="7" customFormat="1" x14ac:dyDescent="0.25">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c r="AA242" s="3"/>
      <c r="AB242" s="3"/>
      <c r="AC242" s="3"/>
      <c r="AD242" s="3"/>
      <c r="AQ242" s="482"/>
      <c r="AR242" s="482"/>
      <c r="AS242" s="482"/>
      <c r="AT242" s="482"/>
      <c r="AU242" s="482"/>
      <c r="AV242" s="482"/>
      <c r="AW242" s="482"/>
      <c r="AX242" s="482"/>
      <c r="AY242" s="484"/>
      <c r="AZ242" s="478"/>
      <c r="BA242" s="479"/>
      <c r="BF242" s="7">
        <v>158</v>
      </c>
    </row>
    <row r="243" spans="1:58" s="7" customFormat="1" x14ac:dyDescent="0.25">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c r="AA243" s="3"/>
      <c r="AB243" s="3"/>
      <c r="AC243" s="3"/>
      <c r="AD243" s="3"/>
      <c r="AQ243" s="482"/>
      <c r="AR243" s="482"/>
      <c r="AS243" s="482"/>
      <c r="AT243" s="482"/>
      <c r="AU243" s="482"/>
      <c r="AV243" s="482"/>
      <c r="AW243" s="482"/>
      <c r="AX243" s="482"/>
      <c r="AY243" s="484"/>
      <c r="AZ243" s="478"/>
      <c r="BA243" s="479"/>
      <c r="BF243" s="7">
        <v>159</v>
      </c>
    </row>
    <row r="244" spans="1:58" s="7" customFormat="1" x14ac:dyDescent="0.25">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c r="AA244" s="3"/>
      <c r="AB244" s="3"/>
      <c r="AC244" s="3"/>
      <c r="AD244" s="3"/>
      <c r="AQ244" s="482"/>
      <c r="AR244" s="482"/>
      <c r="AS244" s="482"/>
      <c r="AT244" s="482"/>
      <c r="AU244" s="482"/>
      <c r="AV244" s="482"/>
      <c r="AW244" s="482"/>
      <c r="AX244" s="482"/>
      <c r="AY244" s="484"/>
      <c r="AZ244" s="478"/>
      <c r="BA244" s="479"/>
      <c r="BF244" s="7">
        <v>160</v>
      </c>
    </row>
    <row r="245" spans="1:58" s="7" customFormat="1" x14ac:dyDescent="0.25">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c r="AA245" s="3"/>
      <c r="AB245" s="3"/>
      <c r="AC245" s="3"/>
      <c r="AD245" s="3"/>
      <c r="AQ245" s="482"/>
      <c r="AR245" s="482"/>
      <c r="AS245" s="482"/>
      <c r="AT245" s="482"/>
      <c r="AU245" s="482"/>
      <c r="AV245" s="482"/>
      <c r="AW245" s="482"/>
      <c r="AX245" s="482"/>
      <c r="AY245" s="484"/>
      <c r="AZ245" s="478"/>
      <c r="BA245" s="479"/>
      <c r="BF245" s="7">
        <v>161</v>
      </c>
    </row>
    <row r="246" spans="1:58" s="7" customFormat="1" x14ac:dyDescent="0.25">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c r="AA246" s="3"/>
      <c r="AB246" s="3"/>
      <c r="AC246" s="3"/>
      <c r="AD246" s="3"/>
      <c r="AQ246" s="482"/>
      <c r="AR246" s="482"/>
      <c r="AS246" s="482"/>
      <c r="AT246" s="482"/>
      <c r="AU246" s="482"/>
      <c r="AV246" s="482"/>
      <c r="AW246" s="482"/>
      <c r="AX246" s="482"/>
      <c r="AY246" s="484"/>
      <c r="AZ246" s="478"/>
      <c r="BA246" s="479"/>
      <c r="BF246" s="7">
        <v>162</v>
      </c>
    </row>
    <row r="247" spans="1:58" s="7" customFormat="1" x14ac:dyDescent="0.25">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c r="AA247" s="3"/>
      <c r="AB247" s="3"/>
      <c r="AC247" s="3"/>
      <c r="AD247" s="3"/>
      <c r="AQ247" s="482"/>
      <c r="AR247" s="482"/>
      <c r="AS247" s="482"/>
      <c r="AT247" s="482"/>
      <c r="AU247" s="482"/>
      <c r="AV247" s="482"/>
      <c r="AW247" s="482"/>
      <c r="AX247" s="482"/>
      <c r="AY247" s="484"/>
      <c r="AZ247" s="478"/>
      <c r="BA247" s="479"/>
      <c r="BF247" s="7">
        <v>163</v>
      </c>
    </row>
    <row r="248" spans="1:58" s="7" customFormat="1" x14ac:dyDescent="0.25">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c r="AA248" s="3"/>
      <c r="AB248" s="3"/>
      <c r="AC248" s="3"/>
      <c r="AD248" s="3"/>
      <c r="AQ248" s="482"/>
      <c r="AR248" s="482"/>
      <c r="AS248" s="482"/>
      <c r="AT248" s="482"/>
      <c r="AU248" s="482"/>
      <c r="AV248" s="482"/>
      <c r="AW248" s="482"/>
      <c r="AX248" s="482"/>
      <c r="AY248" s="484"/>
      <c r="AZ248" s="478"/>
      <c r="BA248" s="479"/>
      <c r="BF248" s="7">
        <v>164</v>
      </c>
    </row>
    <row r="249" spans="1:58" s="7" customFormat="1" x14ac:dyDescent="0.25">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c r="AA249" s="3"/>
      <c r="AB249" s="3"/>
      <c r="AC249" s="3"/>
      <c r="AD249" s="3"/>
      <c r="AQ249" s="482"/>
      <c r="AR249" s="482"/>
      <c r="AS249" s="482"/>
      <c r="AT249" s="482"/>
      <c r="AU249" s="482"/>
      <c r="AV249" s="482"/>
      <c r="AW249" s="482"/>
      <c r="AX249" s="482"/>
      <c r="AY249" s="484"/>
      <c r="AZ249" s="478"/>
      <c r="BA249" s="479"/>
      <c r="BF249" s="7">
        <v>165</v>
      </c>
    </row>
    <row r="250" spans="1:58" s="7" customFormat="1" x14ac:dyDescent="0.25">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c r="AA250" s="3"/>
      <c r="AB250" s="3"/>
      <c r="AC250" s="3"/>
      <c r="AD250" s="3"/>
      <c r="AQ250" s="482"/>
      <c r="AR250" s="482"/>
      <c r="AS250" s="482"/>
      <c r="AT250" s="482"/>
      <c r="AU250" s="482"/>
      <c r="AV250" s="482"/>
      <c r="AW250" s="482"/>
      <c r="AX250" s="482"/>
      <c r="AY250" s="484"/>
      <c r="AZ250" s="478"/>
      <c r="BA250" s="479"/>
      <c r="BF250" s="7">
        <v>166</v>
      </c>
    </row>
    <row r="251" spans="1:58" s="7" customFormat="1" x14ac:dyDescent="0.25">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c r="AA251" s="3"/>
      <c r="AB251" s="3"/>
      <c r="AC251" s="3"/>
      <c r="AD251" s="3"/>
      <c r="AQ251" s="482"/>
      <c r="AR251" s="482"/>
      <c r="AS251" s="482"/>
      <c r="AT251" s="482"/>
      <c r="AU251" s="482"/>
      <c r="AV251" s="482"/>
      <c r="AW251" s="482"/>
      <c r="AX251" s="482"/>
      <c r="AY251" s="484"/>
      <c r="AZ251" s="478"/>
      <c r="BA251" s="479"/>
      <c r="BF251" s="7">
        <v>167</v>
      </c>
    </row>
    <row r="252" spans="1:58" s="7" customFormat="1" x14ac:dyDescent="0.25">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c r="AA252" s="3"/>
      <c r="AB252" s="3"/>
      <c r="AC252" s="3"/>
      <c r="AD252" s="3"/>
      <c r="AQ252" s="482"/>
      <c r="AR252" s="482"/>
      <c r="AS252" s="482"/>
      <c r="AT252" s="482"/>
      <c r="AU252" s="482"/>
      <c r="AV252" s="482"/>
      <c r="AW252" s="482"/>
      <c r="AX252" s="482"/>
      <c r="AY252" s="484"/>
      <c r="AZ252" s="478"/>
      <c r="BA252" s="479"/>
      <c r="BF252" s="7">
        <v>168</v>
      </c>
    </row>
    <row r="253" spans="1:58" s="7" customFormat="1" x14ac:dyDescent="0.25">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c r="AA253" s="3"/>
      <c r="AB253" s="3"/>
      <c r="AC253" s="3"/>
      <c r="AD253" s="3"/>
      <c r="AQ253" s="482"/>
      <c r="AR253" s="482"/>
      <c r="AS253" s="482"/>
      <c r="AT253" s="482"/>
      <c r="AU253" s="482"/>
      <c r="AV253" s="482"/>
      <c r="AW253" s="482"/>
      <c r="AX253" s="482"/>
      <c r="AY253" s="484"/>
      <c r="AZ253" s="478"/>
      <c r="BA253" s="479"/>
      <c r="BF253" s="7">
        <v>169</v>
      </c>
    </row>
    <row r="254" spans="1:58" s="7" customFormat="1" x14ac:dyDescent="0.25">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c r="AA254" s="3"/>
      <c r="AB254" s="3"/>
      <c r="AC254" s="3"/>
      <c r="AD254" s="3"/>
      <c r="AQ254" s="482"/>
      <c r="AR254" s="482"/>
      <c r="AS254" s="482"/>
      <c r="AT254" s="482"/>
      <c r="AU254" s="482"/>
      <c r="AV254" s="482"/>
      <c r="AW254" s="482"/>
      <c r="AX254" s="482"/>
      <c r="AY254" s="484"/>
      <c r="AZ254" s="478"/>
      <c r="BA254" s="479"/>
      <c r="BF254" s="7">
        <v>170</v>
      </c>
    </row>
    <row r="255" spans="1:58" s="7" customFormat="1" x14ac:dyDescent="0.25">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c r="AA255" s="3"/>
      <c r="AB255" s="3"/>
      <c r="AC255" s="3"/>
      <c r="AD255" s="3"/>
      <c r="AQ255" s="482"/>
      <c r="AR255" s="482"/>
      <c r="AS255" s="482"/>
      <c r="AT255" s="482"/>
      <c r="AU255" s="482"/>
      <c r="AV255" s="482"/>
      <c r="AW255" s="482"/>
      <c r="AX255" s="482"/>
      <c r="AY255" s="484"/>
      <c r="AZ255" s="478"/>
      <c r="BA255" s="479"/>
      <c r="BF255" s="7">
        <v>171</v>
      </c>
    </row>
    <row r="256" spans="1:58" s="7" customFormat="1" x14ac:dyDescent="0.25">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c r="AA256" s="3"/>
      <c r="AB256" s="3"/>
      <c r="AC256" s="3"/>
      <c r="AD256" s="3"/>
      <c r="AQ256" s="482"/>
      <c r="AR256" s="482"/>
      <c r="AS256" s="482"/>
      <c r="AT256" s="482"/>
      <c r="AU256" s="482"/>
      <c r="AV256" s="482"/>
      <c r="AW256" s="482"/>
      <c r="AX256" s="482"/>
      <c r="AY256" s="484"/>
      <c r="AZ256" s="478"/>
      <c r="BA256" s="479"/>
      <c r="BF256" s="7">
        <v>172</v>
      </c>
    </row>
    <row r="257" spans="1:58" s="7" customFormat="1" x14ac:dyDescent="0.25">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c r="AA257" s="3"/>
      <c r="AB257" s="3"/>
      <c r="AC257" s="3"/>
      <c r="AD257" s="3"/>
      <c r="AQ257" s="482"/>
      <c r="AR257" s="482"/>
      <c r="AS257" s="482"/>
      <c r="AT257" s="482"/>
      <c r="AU257" s="482"/>
      <c r="AV257" s="482"/>
      <c r="AW257" s="482"/>
      <c r="AX257" s="482"/>
      <c r="AY257" s="484"/>
      <c r="AZ257" s="478"/>
      <c r="BA257" s="479"/>
      <c r="BF257" s="7">
        <v>173</v>
      </c>
    </row>
    <row r="258" spans="1:58" s="7" customFormat="1" x14ac:dyDescent="0.25">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c r="AA258" s="3"/>
      <c r="AB258" s="3"/>
      <c r="AC258" s="3"/>
      <c r="AD258" s="3"/>
      <c r="AQ258" s="482"/>
      <c r="AR258" s="482"/>
      <c r="AS258" s="482"/>
      <c r="AT258" s="482"/>
      <c r="AU258" s="482"/>
      <c r="AV258" s="482"/>
      <c r="AW258" s="482"/>
      <c r="AX258" s="482"/>
      <c r="AY258" s="484"/>
      <c r="AZ258" s="478"/>
      <c r="BA258" s="479"/>
      <c r="BF258" s="7">
        <v>174</v>
      </c>
    </row>
    <row r="259" spans="1:58" s="7" customFormat="1" x14ac:dyDescent="0.25">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c r="AA259" s="3"/>
      <c r="AB259" s="3"/>
      <c r="AC259" s="3"/>
      <c r="AD259" s="3"/>
      <c r="AQ259" s="482"/>
      <c r="AR259" s="482"/>
      <c r="AS259" s="482"/>
      <c r="AT259" s="482"/>
      <c r="AU259" s="482"/>
      <c r="AV259" s="482"/>
      <c r="AW259" s="482"/>
      <c r="AX259" s="482"/>
      <c r="AY259" s="484"/>
      <c r="AZ259" s="478"/>
      <c r="BA259" s="479"/>
      <c r="BF259" s="7">
        <v>175</v>
      </c>
    </row>
    <row r="260" spans="1:58" s="7" customFormat="1" x14ac:dyDescent="0.25">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c r="AA260" s="3"/>
      <c r="AB260" s="3"/>
      <c r="AC260" s="3"/>
      <c r="AD260" s="3"/>
      <c r="AQ260" s="482"/>
      <c r="AR260" s="482"/>
      <c r="AS260" s="482"/>
      <c r="AT260" s="482"/>
      <c r="AU260" s="482"/>
      <c r="AV260" s="482"/>
      <c r="AW260" s="482"/>
      <c r="AX260" s="482"/>
      <c r="AY260" s="484"/>
      <c r="AZ260" s="478"/>
      <c r="BA260" s="479"/>
      <c r="BF260" s="7">
        <v>176</v>
      </c>
    </row>
    <row r="261" spans="1:58" s="7" customFormat="1" x14ac:dyDescent="0.25">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c r="AA261" s="3"/>
      <c r="AB261" s="3"/>
      <c r="AC261" s="3"/>
      <c r="AD261" s="3"/>
      <c r="AQ261" s="482"/>
      <c r="AR261" s="482"/>
      <c r="AS261" s="482"/>
      <c r="AT261" s="482"/>
      <c r="AU261" s="482"/>
      <c r="AV261" s="482"/>
      <c r="AW261" s="482"/>
      <c r="AX261" s="482"/>
      <c r="AY261" s="484"/>
      <c r="AZ261" s="478"/>
      <c r="BA261" s="479"/>
      <c r="BF261" s="7">
        <v>177</v>
      </c>
    </row>
    <row r="262" spans="1:58" s="7" customFormat="1" x14ac:dyDescent="0.25">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c r="AA262" s="3"/>
      <c r="AB262" s="3"/>
      <c r="AC262" s="3"/>
      <c r="AD262" s="3"/>
      <c r="AQ262" s="482"/>
      <c r="AR262" s="482"/>
      <c r="AS262" s="482"/>
      <c r="AT262" s="482"/>
      <c r="AU262" s="482"/>
      <c r="AV262" s="482"/>
      <c r="AW262" s="482"/>
      <c r="AX262" s="482"/>
      <c r="AY262" s="484"/>
      <c r="AZ262" s="478"/>
      <c r="BA262" s="479"/>
      <c r="BF262" s="7">
        <v>178</v>
      </c>
    </row>
    <row r="263" spans="1:58" s="7" customFormat="1" x14ac:dyDescent="0.25">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c r="AA263" s="3"/>
      <c r="AB263" s="3"/>
      <c r="AC263" s="3"/>
      <c r="AD263" s="3"/>
      <c r="AQ263" s="482"/>
      <c r="AR263" s="482"/>
      <c r="AS263" s="482"/>
      <c r="AT263" s="482"/>
      <c r="AU263" s="482"/>
      <c r="AV263" s="482"/>
      <c r="AW263" s="482"/>
      <c r="AX263" s="482"/>
      <c r="AY263" s="484"/>
      <c r="AZ263" s="478"/>
      <c r="BA263" s="479"/>
      <c r="BF263" s="7">
        <v>179</v>
      </c>
    </row>
    <row r="264" spans="1:58" s="7" customFormat="1" x14ac:dyDescent="0.25">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c r="AA264" s="3"/>
      <c r="AB264" s="3"/>
      <c r="AC264" s="3"/>
      <c r="AD264" s="3"/>
      <c r="AQ264" s="482"/>
      <c r="AR264" s="482"/>
      <c r="AS264" s="482"/>
      <c r="AT264" s="482"/>
      <c r="AU264" s="482"/>
      <c r="AV264" s="482"/>
      <c r="AW264" s="482"/>
      <c r="AX264" s="482"/>
      <c r="AY264" s="484"/>
      <c r="AZ264" s="478"/>
      <c r="BA264" s="479"/>
      <c r="BF264" s="7">
        <v>180</v>
      </c>
    </row>
    <row r="265" spans="1:58" s="7" customFormat="1" x14ac:dyDescent="0.25">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c r="AA265" s="3"/>
      <c r="AB265" s="3"/>
      <c r="AC265" s="3"/>
      <c r="AD265" s="3"/>
      <c r="AQ265" s="482"/>
      <c r="AR265" s="482"/>
      <c r="AS265" s="482"/>
      <c r="AT265" s="482"/>
      <c r="AU265" s="482"/>
      <c r="AV265" s="482"/>
      <c r="AW265" s="482"/>
      <c r="AX265" s="482"/>
      <c r="AY265" s="484"/>
      <c r="AZ265" s="478"/>
      <c r="BA265" s="479"/>
      <c r="BF265" s="7">
        <v>181</v>
      </c>
    </row>
    <row r="266" spans="1:58" s="7" customFormat="1" x14ac:dyDescent="0.25">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c r="AA266" s="3"/>
      <c r="AB266" s="3"/>
      <c r="AC266" s="3"/>
      <c r="AD266" s="3"/>
      <c r="AQ266" s="482"/>
      <c r="AR266" s="482"/>
      <c r="AS266" s="482"/>
      <c r="AT266" s="482"/>
      <c r="AU266" s="482"/>
      <c r="AV266" s="482"/>
      <c r="AW266" s="482"/>
      <c r="AX266" s="482"/>
      <c r="AY266" s="484"/>
      <c r="AZ266" s="478"/>
      <c r="BA266" s="479"/>
      <c r="BF266" s="7">
        <v>182</v>
      </c>
    </row>
    <row r="267" spans="1:58" s="7" customFormat="1" x14ac:dyDescent="0.25">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c r="AA267" s="3"/>
      <c r="AB267" s="3"/>
      <c r="AC267" s="3"/>
      <c r="AD267" s="3"/>
      <c r="AQ267" s="482"/>
      <c r="AR267" s="482"/>
      <c r="AS267" s="482"/>
      <c r="AT267" s="482"/>
      <c r="AU267" s="482"/>
      <c r="AV267" s="482"/>
      <c r="AW267" s="482"/>
      <c r="AX267" s="482"/>
      <c r="AY267" s="484"/>
      <c r="AZ267" s="478"/>
      <c r="BA267" s="479"/>
      <c r="BF267" s="7">
        <v>183</v>
      </c>
    </row>
    <row r="268" spans="1:58" s="7" customFormat="1" x14ac:dyDescent="0.25">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c r="AA268" s="3"/>
      <c r="AB268" s="3"/>
      <c r="AC268" s="3"/>
      <c r="AD268" s="3"/>
      <c r="AQ268" s="482"/>
      <c r="AR268" s="482"/>
      <c r="AS268" s="482"/>
      <c r="AT268" s="482"/>
      <c r="AU268" s="482"/>
      <c r="AV268" s="482"/>
      <c r="AW268" s="482"/>
      <c r="AX268" s="482"/>
      <c r="AY268" s="484"/>
      <c r="AZ268" s="478"/>
      <c r="BA268" s="479"/>
      <c r="BF268" s="7">
        <v>184</v>
      </c>
    </row>
    <row r="269" spans="1:58" s="7" customFormat="1" x14ac:dyDescent="0.25">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c r="AA269" s="3"/>
      <c r="AB269" s="3"/>
      <c r="AC269" s="3"/>
      <c r="AD269" s="3"/>
      <c r="AQ269" s="482"/>
      <c r="AR269" s="482"/>
      <c r="AS269" s="482"/>
      <c r="AT269" s="482"/>
      <c r="AU269" s="482"/>
      <c r="AV269" s="482"/>
      <c r="AW269" s="482"/>
      <c r="AX269" s="482"/>
      <c r="AY269" s="484"/>
      <c r="AZ269" s="478"/>
      <c r="BA269" s="479"/>
      <c r="BF269" s="7">
        <v>185</v>
      </c>
    </row>
    <row r="270" spans="1:58" s="7" customFormat="1" ht="14.45" customHeight="1" x14ac:dyDescent="0.25">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c r="AA270" s="3"/>
      <c r="AB270" s="3"/>
      <c r="AC270" s="3"/>
      <c r="AD270" s="3"/>
      <c r="AQ270" s="482"/>
      <c r="AR270" s="482"/>
      <c r="AS270" s="482"/>
      <c r="AT270" s="482"/>
      <c r="AU270" s="482"/>
      <c r="AV270" s="482"/>
      <c r="AW270" s="482"/>
      <c r="AX270" s="482"/>
      <c r="AY270" s="484"/>
      <c r="AZ270" s="478"/>
      <c r="BA270" s="479"/>
      <c r="BF270" s="7">
        <v>186</v>
      </c>
    </row>
    <row r="271" spans="1:58" s="7" customFormat="1" x14ac:dyDescent="0.25">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c r="AA271" s="3"/>
      <c r="AB271" s="3"/>
      <c r="AC271" s="3"/>
      <c r="AD271" s="3"/>
      <c r="AQ271" s="482"/>
      <c r="AR271" s="482"/>
      <c r="AS271" s="482"/>
      <c r="AT271" s="482"/>
      <c r="AU271" s="482"/>
      <c r="AV271" s="482"/>
      <c r="AW271" s="482"/>
      <c r="AX271" s="482"/>
      <c r="AY271" s="484"/>
      <c r="AZ271" s="478"/>
      <c r="BA271" s="479"/>
      <c r="BF271" s="7">
        <v>187</v>
      </c>
    </row>
    <row r="272" spans="1:58" s="7" customFormat="1" x14ac:dyDescent="0.25">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c r="AA272" s="3"/>
      <c r="AB272" s="3"/>
      <c r="AC272" s="3"/>
      <c r="AD272" s="3"/>
      <c r="AQ272" s="482"/>
      <c r="AR272" s="482"/>
      <c r="AS272" s="482"/>
      <c r="AT272" s="482"/>
      <c r="AU272" s="482"/>
      <c r="AV272" s="482"/>
      <c r="AW272" s="482"/>
      <c r="AX272" s="482"/>
      <c r="AY272" s="485"/>
      <c r="AZ272" s="480"/>
      <c r="BA272" s="481"/>
      <c r="BF272" s="7">
        <v>188</v>
      </c>
    </row>
    <row r="273" spans="1:58" s="7" customFormat="1" x14ac:dyDescent="0.25">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c r="AA273" s="3"/>
      <c r="AB273" s="3"/>
      <c r="AC273" s="3"/>
      <c r="AD273" s="3"/>
      <c r="BF273" s="7">
        <v>189</v>
      </c>
    </row>
    <row r="274" spans="1:58" s="7" customFormat="1" x14ac:dyDescent="0.25">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c r="AA274" s="3"/>
      <c r="AB274" s="3"/>
      <c r="AC274" s="3"/>
      <c r="AD274" s="3"/>
      <c r="BF274" s="7">
        <v>190</v>
      </c>
    </row>
    <row r="275" spans="1:58" s="7" customFormat="1" x14ac:dyDescent="0.25">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c r="AA275" s="3"/>
      <c r="AB275" s="3"/>
      <c r="AC275" s="3"/>
      <c r="AD275" s="3"/>
      <c r="BF275" s="7">
        <v>191</v>
      </c>
    </row>
    <row r="276" spans="1:58" s="7" customFormat="1" x14ac:dyDescent="0.25">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c r="AA276" s="3"/>
      <c r="AB276" s="3"/>
      <c r="AC276" s="3"/>
      <c r="AD276" s="3"/>
      <c r="BF276" s="7">
        <v>192</v>
      </c>
    </row>
    <row r="277" spans="1:58" s="7" customFormat="1" x14ac:dyDescent="0.25">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c r="AA277" s="3"/>
      <c r="AB277" s="3"/>
      <c r="AC277" s="3"/>
      <c r="AD277" s="3"/>
      <c r="BF277" s="7">
        <v>193</v>
      </c>
    </row>
    <row r="278" spans="1:58" s="7" customFormat="1" x14ac:dyDescent="0.25">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c r="AA278" s="3"/>
      <c r="AB278" s="3"/>
      <c r="AC278" s="3"/>
      <c r="AD278" s="3"/>
      <c r="BF278" s="7">
        <v>194</v>
      </c>
    </row>
    <row r="279" spans="1:58" s="7" customFormat="1" x14ac:dyDescent="0.25">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c r="AA279" s="3"/>
      <c r="AB279" s="3"/>
      <c r="AC279" s="3"/>
      <c r="AD279" s="3"/>
      <c r="BF279" s="7">
        <v>195</v>
      </c>
    </row>
    <row r="280" spans="1:58" s="7" customFormat="1" x14ac:dyDescent="0.25">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c r="AA280" s="3"/>
      <c r="AB280" s="3"/>
      <c r="AC280" s="3"/>
      <c r="AD280" s="3"/>
      <c r="BF280" s="7">
        <v>196</v>
      </c>
    </row>
    <row r="281" spans="1:58" s="7" customFormat="1" x14ac:dyDescent="0.25">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c r="AA281" s="3"/>
      <c r="AB281" s="3"/>
      <c r="AC281" s="3"/>
      <c r="AD281" s="3"/>
      <c r="BF281" s="7">
        <v>197</v>
      </c>
    </row>
    <row r="282" spans="1:58" s="7" customFormat="1" x14ac:dyDescent="0.25">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c r="AA282" s="3"/>
      <c r="AB282" s="3"/>
      <c r="AC282" s="3"/>
      <c r="AD282" s="3"/>
      <c r="BF282" s="7">
        <v>198</v>
      </c>
    </row>
    <row r="283" spans="1:58" s="7" customFormat="1" x14ac:dyDescent="0.25">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c r="AA283" s="3"/>
      <c r="AB283" s="3"/>
      <c r="AC283" s="3"/>
      <c r="AD283" s="3"/>
      <c r="BF283" s="7">
        <v>199</v>
      </c>
    </row>
    <row r="284" spans="1:58" s="7" customFormat="1" x14ac:dyDescent="0.25">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c r="AA284" s="3"/>
      <c r="AB284" s="3"/>
      <c r="AC284" s="3"/>
      <c r="AD284" s="3"/>
      <c r="BF284" s="7">
        <v>200</v>
      </c>
    </row>
    <row r="285" spans="1:58" s="7" customFormat="1" x14ac:dyDescent="0.25">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c r="AA285" s="3"/>
      <c r="AB285" s="3"/>
      <c r="AC285" s="3"/>
      <c r="AD285" s="3"/>
      <c r="BF285" s="7">
        <v>201</v>
      </c>
    </row>
    <row r="286" spans="1:58" s="7" customFormat="1" x14ac:dyDescent="0.25">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c r="AA286" s="3"/>
      <c r="AB286" s="3"/>
      <c r="AC286" s="3"/>
      <c r="AD286" s="3"/>
      <c r="BF286" s="7">
        <v>202</v>
      </c>
    </row>
    <row r="287" spans="1:58" s="7" customFormat="1" x14ac:dyDescent="0.25">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c r="AA287" s="3"/>
      <c r="AB287" s="3"/>
      <c r="AC287" s="3"/>
      <c r="AD287" s="3"/>
      <c r="BF287" s="7">
        <v>203</v>
      </c>
    </row>
    <row r="288" spans="1:58" s="7" customFormat="1" x14ac:dyDescent="0.25">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c r="AA288" s="3"/>
      <c r="AB288" s="3"/>
      <c r="AC288" s="3"/>
      <c r="AD288" s="3"/>
      <c r="BF288" s="7">
        <v>204</v>
      </c>
    </row>
    <row r="289" spans="1:58" s="7" customFormat="1" x14ac:dyDescent="0.25">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c r="AA289" s="3"/>
      <c r="AB289" s="3"/>
      <c r="AC289" s="3"/>
      <c r="AD289" s="3"/>
      <c r="BF289" s="7">
        <v>205</v>
      </c>
    </row>
    <row r="290" spans="1:58" s="7" customFormat="1" x14ac:dyDescent="0.25">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c r="AA290" s="3"/>
      <c r="AB290" s="3"/>
      <c r="AC290" s="3"/>
      <c r="AD290" s="3"/>
      <c r="BF290" s="7">
        <v>206</v>
      </c>
    </row>
    <row r="291" spans="1:58" s="7" customFormat="1" x14ac:dyDescent="0.25">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c r="AA291" s="3"/>
      <c r="AB291" s="3"/>
      <c r="AC291" s="3"/>
      <c r="AD291" s="3"/>
      <c r="BF291" s="7">
        <v>207</v>
      </c>
    </row>
    <row r="292" spans="1:58" s="7" customFormat="1" x14ac:dyDescent="0.25">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c r="AA292" s="3"/>
      <c r="AB292" s="3"/>
      <c r="AC292" s="3"/>
      <c r="AD292" s="3"/>
      <c r="BF292" s="7">
        <v>208</v>
      </c>
    </row>
    <row r="293" spans="1:58" s="7" customFormat="1" x14ac:dyDescent="0.25">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c r="AA293" s="3"/>
      <c r="AB293" s="3"/>
      <c r="AC293" s="3"/>
      <c r="AD293" s="3"/>
      <c r="BF293" s="7">
        <v>209</v>
      </c>
    </row>
    <row r="294" spans="1:58" s="7" customFormat="1" x14ac:dyDescent="0.25">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c r="AA294" s="3"/>
      <c r="AB294" s="3"/>
      <c r="AC294" s="3"/>
      <c r="AD294" s="3"/>
      <c r="BF294" s="7">
        <v>210</v>
      </c>
    </row>
    <row r="295" spans="1:58" s="7" customFormat="1" x14ac:dyDescent="0.25">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c r="AA295" s="3"/>
      <c r="AB295" s="3"/>
      <c r="AC295" s="3"/>
      <c r="AD295" s="3"/>
      <c r="BF295" s="7">
        <v>211</v>
      </c>
    </row>
    <row r="296" spans="1:58" s="7" customFormat="1" x14ac:dyDescent="0.25">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c r="AA296" s="3"/>
      <c r="AB296" s="3"/>
      <c r="AC296" s="3"/>
      <c r="AD296" s="3"/>
      <c r="BF296" s="7">
        <v>212</v>
      </c>
    </row>
    <row r="297" spans="1:58" s="7" customFormat="1" x14ac:dyDescent="0.25">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c r="AA297" s="3"/>
      <c r="AB297" s="3"/>
      <c r="AC297" s="3"/>
      <c r="AD297" s="3"/>
      <c r="BF297" s="7">
        <v>213</v>
      </c>
    </row>
    <row r="298" spans="1:58" s="7" customFormat="1" x14ac:dyDescent="0.25">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c r="AA298" s="3"/>
      <c r="AB298" s="3"/>
      <c r="AC298" s="3"/>
      <c r="AD298" s="3"/>
      <c r="BF298" s="7">
        <v>214</v>
      </c>
    </row>
    <row r="299" spans="1:58" s="7" customFormat="1" x14ac:dyDescent="0.25">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c r="AA299" s="3"/>
      <c r="AB299" s="3"/>
      <c r="AC299" s="3"/>
      <c r="AD299" s="3"/>
      <c r="BF299" s="7">
        <v>215</v>
      </c>
    </row>
    <row r="300" spans="1:58" s="7" customFormat="1" x14ac:dyDescent="0.25">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c r="AA300" s="3"/>
      <c r="AB300" s="3"/>
      <c r="AC300" s="3"/>
      <c r="AD300" s="3"/>
      <c r="BF300" s="7">
        <v>216</v>
      </c>
    </row>
    <row r="301" spans="1:58" s="7" customFormat="1" x14ac:dyDescent="0.25">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c r="AA301" s="3"/>
      <c r="AB301" s="3"/>
      <c r="AC301" s="3"/>
      <c r="AD301" s="3"/>
      <c r="BF301" s="7">
        <v>217</v>
      </c>
    </row>
    <row r="302" spans="1:58" s="7" customFormat="1" x14ac:dyDescent="0.25">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c r="AA302" s="3"/>
      <c r="AB302" s="3"/>
      <c r="AC302" s="3"/>
      <c r="AD302" s="3"/>
      <c r="BF302" s="7">
        <v>218</v>
      </c>
    </row>
    <row r="303" spans="1:58" s="7" customFormat="1" x14ac:dyDescent="0.25">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c r="AA303" s="3"/>
      <c r="AB303" s="3"/>
      <c r="AC303" s="3"/>
      <c r="AD303" s="3"/>
      <c r="BF303" s="7">
        <v>219</v>
      </c>
    </row>
    <row r="304" spans="1:58" s="7" customFormat="1" x14ac:dyDescent="0.25">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c r="AA304" s="3"/>
      <c r="AB304" s="3"/>
      <c r="AC304" s="3"/>
      <c r="AD304" s="3"/>
      <c r="BF304" s="7">
        <v>220</v>
      </c>
    </row>
    <row r="305" spans="1:58" s="7" customFormat="1" x14ac:dyDescent="0.25">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c r="AA305" s="3"/>
      <c r="AB305" s="3"/>
      <c r="AC305" s="3"/>
      <c r="AD305" s="3"/>
      <c r="BF305" s="7">
        <v>221</v>
      </c>
    </row>
    <row r="306" spans="1:58" s="7" customFormat="1" x14ac:dyDescent="0.25">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c r="AA306" s="3"/>
      <c r="AB306" s="3"/>
      <c r="AC306" s="3"/>
      <c r="AD306" s="3"/>
      <c r="BF306" s="7">
        <v>222</v>
      </c>
    </row>
    <row r="307" spans="1:58" s="7" customFormat="1" x14ac:dyDescent="0.25">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c r="AA307" s="3"/>
      <c r="AB307" s="3"/>
      <c r="AC307" s="3"/>
      <c r="AD307" s="3"/>
      <c r="BF307" s="7">
        <v>223</v>
      </c>
    </row>
    <row r="308" spans="1:58" s="7" customFormat="1" x14ac:dyDescent="0.25">
      <c r="A308" s="3"/>
      <c r="B308" s="3"/>
      <c r="C308" s="3"/>
      <c r="D308" s="3"/>
      <c r="E308" s="3"/>
      <c r="F308" s="3"/>
      <c r="G308" s="3"/>
      <c r="H308" s="3"/>
      <c r="I308" s="3"/>
      <c r="J308" s="3"/>
      <c r="K308" s="3"/>
      <c r="L308" s="3"/>
      <c r="M308" s="3"/>
      <c r="N308" s="3"/>
      <c r="O308" s="3"/>
      <c r="P308" s="3"/>
      <c r="Q308" s="3"/>
      <c r="R308" s="3"/>
      <c r="S308" s="3"/>
      <c r="T308" s="3"/>
      <c r="U308" s="3"/>
      <c r="V308" s="3"/>
      <c r="W308" s="3"/>
      <c r="X308" s="3"/>
      <c r="Y308" s="3"/>
      <c r="Z308" s="3"/>
      <c r="AA308" s="3"/>
      <c r="AB308" s="3"/>
      <c r="AC308" s="3"/>
      <c r="AD308" s="3"/>
      <c r="BF308" s="7">
        <v>224</v>
      </c>
    </row>
    <row r="309" spans="1:58" s="7" customFormat="1" x14ac:dyDescent="0.25">
      <c r="A309" s="3"/>
      <c r="B309" s="3"/>
      <c r="C309" s="3"/>
      <c r="D309" s="3"/>
      <c r="E309" s="3"/>
      <c r="F309" s="3"/>
      <c r="G309" s="3"/>
      <c r="H309" s="3"/>
      <c r="I309" s="3"/>
      <c r="J309" s="3"/>
      <c r="K309" s="3"/>
      <c r="L309" s="3"/>
      <c r="M309" s="3"/>
      <c r="N309" s="3"/>
      <c r="O309" s="3"/>
      <c r="P309" s="3"/>
      <c r="Q309" s="3"/>
      <c r="R309" s="3"/>
      <c r="S309" s="3"/>
      <c r="T309" s="3"/>
      <c r="U309" s="3"/>
      <c r="V309" s="3"/>
      <c r="W309" s="3"/>
      <c r="X309" s="3"/>
      <c r="Y309" s="3"/>
      <c r="Z309" s="3"/>
      <c r="AA309" s="3"/>
      <c r="AB309" s="3"/>
      <c r="AC309" s="3"/>
      <c r="AD309" s="3"/>
      <c r="BF309" s="7">
        <v>225</v>
      </c>
    </row>
    <row r="310" spans="1:58" s="7" customFormat="1" x14ac:dyDescent="0.25">
      <c r="A310" s="3"/>
      <c r="B310" s="3"/>
      <c r="C310" s="3"/>
      <c r="D310" s="3"/>
      <c r="E310" s="3"/>
      <c r="F310" s="3"/>
      <c r="G310" s="3"/>
      <c r="H310" s="3"/>
      <c r="I310" s="3"/>
      <c r="J310" s="3"/>
      <c r="K310" s="3"/>
      <c r="L310" s="3"/>
      <c r="M310" s="3"/>
      <c r="N310" s="3"/>
      <c r="O310" s="3"/>
      <c r="P310" s="3"/>
      <c r="Q310" s="3"/>
      <c r="R310" s="3"/>
      <c r="S310" s="3"/>
      <c r="T310" s="3"/>
      <c r="U310" s="3"/>
      <c r="V310" s="3"/>
      <c r="W310" s="3"/>
      <c r="X310" s="3"/>
      <c r="Y310" s="3"/>
      <c r="Z310" s="3"/>
      <c r="AA310" s="3"/>
      <c r="AB310" s="3"/>
      <c r="AC310" s="3"/>
      <c r="AD310" s="3"/>
      <c r="BF310" s="7">
        <v>226</v>
      </c>
    </row>
    <row r="311" spans="1:58" s="7" customFormat="1" x14ac:dyDescent="0.25">
      <c r="A311" s="3"/>
      <c r="B311" s="3"/>
      <c r="C311" s="3"/>
      <c r="D311" s="3"/>
      <c r="E311" s="3"/>
      <c r="F311" s="3"/>
      <c r="G311" s="3"/>
      <c r="H311" s="3"/>
      <c r="I311" s="3"/>
      <c r="J311" s="3"/>
      <c r="K311" s="3"/>
      <c r="L311" s="3"/>
      <c r="M311" s="3"/>
      <c r="N311" s="3"/>
      <c r="O311" s="3"/>
      <c r="P311" s="3"/>
      <c r="Q311" s="3"/>
      <c r="R311" s="3"/>
      <c r="S311" s="3"/>
      <c r="T311" s="3"/>
      <c r="U311" s="3"/>
      <c r="V311" s="3"/>
      <c r="W311" s="3"/>
      <c r="X311" s="3"/>
      <c r="Y311" s="3"/>
      <c r="Z311" s="3"/>
      <c r="AA311" s="3"/>
      <c r="AB311" s="3"/>
      <c r="AC311" s="3"/>
      <c r="AD311" s="3"/>
      <c r="BF311" s="7">
        <v>227</v>
      </c>
    </row>
    <row r="312" spans="1:58" s="7" customFormat="1" x14ac:dyDescent="0.25">
      <c r="A312" s="3"/>
      <c r="B312" s="3"/>
      <c r="C312" s="3"/>
      <c r="D312" s="3"/>
      <c r="E312" s="3"/>
      <c r="F312" s="3"/>
      <c r="G312" s="3"/>
      <c r="H312" s="3"/>
      <c r="I312" s="3"/>
      <c r="J312" s="3"/>
      <c r="K312" s="3"/>
      <c r="L312" s="3"/>
      <c r="M312" s="3"/>
      <c r="N312" s="3"/>
      <c r="O312" s="3"/>
      <c r="P312" s="3"/>
      <c r="Q312" s="3"/>
      <c r="R312" s="3"/>
      <c r="S312" s="3"/>
      <c r="T312" s="3"/>
      <c r="U312" s="3"/>
      <c r="V312" s="3"/>
      <c r="W312" s="3"/>
      <c r="X312" s="3"/>
      <c r="Y312" s="3"/>
      <c r="Z312" s="3"/>
      <c r="AA312" s="3"/>
      <c r="AB312" s="3"/>
      <c r="AC312" s="3"/>
      <c r="AD312" s="3"/>
      <c r="BF312" s="7">
        <v>228</v>
      </c>
    </row>
    <row r="313" spans="1:58" s="7" customFormat="1" x14ac:dyDescent="0.25">
      <c r="A313" s="3"/>
      <c r="B313" s="3"/>
      <c r="C313" s="3"/>
      <c r="D313" s="3"/>
      <c r="E313" s="3"/>
      <c r="F313" s="3"/>
      <c r="G313" s="3"/>
      <c r="H313" s="3"/>
      <c r="I313" s="3"/>
      <c r="J313" s="3"/>
      <c r="K313" s="3"/>
      <c r="L313" s="3"/>
      <c r="M313" s="3"/>
      <c r="N313" s="3"/>
      <c r="O313" s="3"/>
      <c r="P313" s="3"/>
      <c r="Q313" s="3"/>
      <c r="R313" s="3"/>
      <c r="S313" s="3"/>
      <c r="T313" s="3"/>
      <c r="U313" s="3"/>
      <c r="V313" s="3"/>
      <c r="W313" s="3"/>
      <c r="X313" s="3"/>
      <c r="Y313" s="3"/>
      <c r="Z313" s="3"/>
      <c r="AA313" s="3"/>
      <c r="AB313" s="3"/>
      <c r="AC313" s="3"/>
      <c r="AD313" s="3"/>
      <c r="BF313" s="7">
        <v>229</v>
      </c>
    </row>
    <row r="314" spans="1:58" s="7" customFormat="1" x14ac:dyDescent="0.25">
      <c r="A314" s="3"/>
      <c r="B314" s="3"/>
      <c r="C314" s="3"/>
      <c r="D314" s="3"/>
      <c r="E314" s="3"/>
      <c r="F314" s="3"/>
      <c r="G314" s="3"/>
      <c r="H314" s="3"/>
      <c r="I314" s="3"/>
      <c r="J314" s="3"/>
      <c r="K314" s="3"/>
      <c r="L314" s="3"/>
      <c r="M314" s="3"/>
      <c r="N314" s="3"/>
      <c r="O314" s="3"/>
      <c r="P314" s="3"/>
      <c r="Q314" s="3"/>
      <c r="R314" s="3"/>
      <c r="S314" s="3"/>
      <c r="T314" s="3"/>
      <c r="U314" s="3"/>
      <c r="V314" s="3"/>
      <c r="W314" s="3"/>
      <c r="X314" s="3"/>
      <c r="Y314" s="3"/>
      <c r="Z314" s="3"/>
      <c r="AA314" s="3"/>
      <c r="AB314" s="3"/>
      <c r="AC314" s="3"/>
      <c r="AD314" s="3"/>
      <c r="BF314" s="7">
        <v>230</v>
      </c>
    </row>
    <row r="315" spans="1:58" s="7" customFormat="1" x14ac:dyDescent="0.25">
      <c r="A315" s="3"/>
      <c r="B315" s="3"/>
      <c r="C315" s="3"/>
      <c r="D315" s="3"/>
      <c r="E315" s="3"/>
      <c r="F315" s="3"/>
      <c r="G315" s="3"/>
      <c r="H315" s="3"/>
      <c r="I315" s="3"/>
      <c r="J315" s="3"/>
      <c r="K315" s="3"/>
      <c r="L315" s="3"/>
      <c r="M315" s="3"/>
      <c r="N315" s="3"/>
      <c r="O315" s="3"/>
      <c r="P315" s="3"/>
      <c r="Q315" s="3"/>
      <c r="R315" s="3"/>
      <c r="S315" s="3"/>
      <c r="T315" s="3"/>
      <c r="U315" s="3"/>
      <c r="V315" s="3"/>
      <c r="W315" s="3"/>
      <c r="X315" s="3"/>
      <c r="Y315" s="3"/>
      <c r="Z315" s="3"/>
      <c r="AA315" s="3"/>
      <c r="AB315" s="3"/>
      <c r="AC315" s="3"/>
      <c r="AD315" s="3"/>
      <c r="BF315" s="7">
        <v>231</v>
      </c>
    </row>
    <row r="316" spans="1:58" s="7" customFormat="1" x14ac:dyDescent="0.25">
      <c r="A316" s="3"/>
      <c r="B316" s="3"/>
      <c r="C316" s="3"/>
      <c r="D316" s="3"/>
      <c r="E316" s="3"/>
      <c r="F316" s="3"/>
      <c r="G316" s="3"/>
      <c r="H316" s="3"/>
      <c r="I316" s="3"/>
      <c r="J316" s="3"/>
      <c r="K316" s="3"/>
      <c r="L316" s="3"/>
      <c r="M316" s="3"/>
      <c r="N316" s="3"/>
      <c r="O316" s="3"/>
      <c r="P316" s="3"/>
      <c r="Q316" s="3"/>
      <c r="R316" s="3"/>
      <c r="S316" s="3"/>
      <c r="T316" s="3"/>
      <c r="U316" s="3"/>
      <c r="V316" s="3"/>
      <c r="W316" s="3"/>
      <c r="X316" s="3"/>
      <c r="Y316" s="3"/>
      <c r="Z316" s="3"/>
      <c r="AA316" s="3"/>
      <c r="AB316" s="3"/>
      <c r="AC316" s="3"/>
      <c r="AD316" s="3"/>
      <c r="BF316" s="7">
        <v>232</v>
      </c>
    </row>
    <row r="317" spans="1:58" s="7" customFormat="1" x14ac:dyDescent="0.25">
      <c r="A317" s="3"/>
      <c r="B317" s="3"/>
      <c r="C317" s="3"/>
      <c r="D317" s="3"/>
      <c r="E317" s="3"/>
      <c r="F317" s="3"/>
      <c r="G317" s="3"/>
      <c r="H317" s="3"/>
      <c r="I317" s="3"/>
      <c r="J317" s="3"/>
      <c r="K317" s="3"/>
      <c r="L317" s="3"/>
      <c r="M317" s="3"/>
      <c r="N317" s="3"/>
      <c r="O317" s="3"/>
      <c r="P317" s="3"/>
      <c r="Q317" s="3"/>
      <c r="R317" s="3"/>
      <c r="S317" s="3"/>
      <c r="T317" s="3"/>
      <c r="U317" s="3"/>
      <c r="V317" s="3"/>
      <c r="W317" s="3"/>
      <c r="X317" s="3"/>
      <c r="Y317" s="3"/>
      <c r="Z317" s="3"/>
      <c r="AA317" s="3"/>
      <c r="AB317" s="3"/>
      <c r="AC317" s="3"/>
      <c r="AD317" s="3"/>
      <c r="BF317" s="7">
        <v>233</v>
      </c>
    </row>
    <row r="318" spans="1:58" s="7" customFormat="1" x14ac:dyDescent="0.25">
      <c r="A318" s="3"/>
      <c r="B318" s="3"/>
      <c r="C318" s="3"/>
      <c r="D318" s="3"/>
      <c r="E318" s="3"/>
      <c r="F318" s="3"/>
      <c r="G318" s="3"/>
      <c r="H318" s="3"/>
      <c r="I318" s="3"/>
      <c r="J318" s="3"/>
      <c r="K318" s="3"/>
      <c r="L318" s="3"/>
      <c r="M318" s="3"/>
      <c r="N318" s="3"/>
      <c r="O318" s="3"/>
      <c r="P318" s="3"/>
      <c r="Q318" s="3"/>
      <c r="R318" s="3"/>
      <c r="S318" s="3"/>
      <c r="T318" s="3"/>
      <c r="U318" s="3"/>
      <c r="V318" s="3"/>
      <c r="W318" s="3"/>
      <c r="X318" s="3"/>
      <c r="Y318" s="3"/>
      <c r="Z318" s="3"/>
      <c r="AA318" s="3"/>
      <c r="AB318" s="3"/>
      <c r="AC318" s="3"/>
      <c r="AD318" s="3"/>
      <c r="BF318" s="7">
        <v>234</v>
      </c>
    </row>
    <row r="319" spans="1:58" s="7" customFormat="1" x14ac:dyDescent="0.25">
      <c r="A319" s="3"/>
      <c r="B319" s="3"/>
      <c r="C319" s="3"/>
      <c r="D319" s="3"/>
      <c r="E319" s="3"/>
      <c r="F319" s="3"/>
      <c r="G319" s="3"/>
      <c r="H319" s="3"/>
      <c r="I319" s="3"/>
      <c r="J319" s="3"/>
      <c r="K319" s="3"/>
      <c r="L319" s="3"/>
      <c r="M319" s="3"/>
      <c r="N319" s="3"/>
      <c r="O319" s="3"/>
      <c r="P319" s="3"/>
      <c r="Q319" s="3"/>
      <c r="R319" s="3"/>
      <c r="S319" s="3"/>
      <c r="T319" s="3"/>
      <c r="U319" s="3"/>
      <c r="V319" s="3"/>
      <c r="W319" s="3"/>
      <c r="X319" s="3"/>
      <c r="Y319" s="3"/>
      <c r="Z319" s="3"/>
      <c r="AA319" s="3"/>
      <c r="AB319" s="3"/>
      <c r="AC319" s="3"/>
      <c r="AD319" s="3"/>
      <c r="BF319" s="7">
        <v>235</v>
      </c>
    </row>
    <row r="320" spans="1:58" s="7" customFormat="1" x14ac:dyDescent="0.25">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c r="AA320" s="3"/>
      <c r="AB320" s="3"/>
      <c r="AC320" s="3"/>
      <c r="AD320" s="3"/>
      <c r="BF320" s="7">
        <v>236</v>
      </c>
    </row>
    <row r="321" spans="1:58" s="7" customFormat="1" x14ac:dyDescent="0.25">
      <c r="A321" s="3"/>
      <c r="B321" s="3"/>
      <c r="C321" s="3"/>
      <c r="D321" s="3"/>
      <c r="E321" s="3"/>
      <c r="F321" s="3"/>
      <c r="G321" s="3"/>
      <c r="H321" s="3"/>
      <c r="I321" s="3"/>
      <c r="J321" s="3"/>
      <c r="K321" s="3"/>
      <c r="L321" s="3"/>
      <c r="M321" s="3"/>
      <c r="N321" s="3"/>
      <c r="O321" s="3"/>
      <c r="P321" s="3"/>
      <c r="Q321" s="3"/>
      <c r="R321" s="3"/>
      <c r="S321" s="3"/>
      <c r="T321" s="3"/>
      <c r="U321" s="3"/>
      <c r="V321" s="3"/>
      <c r="W321" s="3"/>
      <c r="X321" s="3"/>
      <c r="Y321" s="3"/>
      <c r="Z321" s="3"/>
      <c r="AA321" s="3"/>
      <c r="AB321" s="3"/>
      <c r="AC321" s="3"/>
      <c r="AD321" s="3"/>
      <c r="BF321" s="7">
        <v>237</v>
      </c>
    </row>
    <row r="322" spans="1:58" s="7" customFormat="1" x14ac:dyDescent="0.25">
      <c r="A322" s="3"/>
      <c r="B322" s="3"/>
      <c r="C322" s="3"/>
      <c r="D322" s="3"/>
      <c r="E322" s="3"/>
      <c r="F322" s="3"/>
      <c r="G322" s="3"/>
      <c r="H322" s="3"/>
      <c r="I322" s="3"/>
      <c r="J322" s="3"/>
      <c r="K322" s="3"/>
      <c r="L322" s="3"/>
      <c r="M322" s="3"/>
      <c r="N322" s="3"/>
      <c r="O322" s="3"/>
      <c r="P322" s="3"/>
      <c r="Q322" s="3"/>
      <c r="R322" s="3"/>
      <c r="S322" s="3"/>
      <c r="T322" s="3"/>
      <c r="U322" s="3"/>
      <c r="V322" s="3"/>
      <c r="W322" s="3"/>
      <c r="X322" s="3"/>
      <c r="Y322" s="3"/>
      <c r="Z322" s="3"/>
      <c r="AA322" s="3"/>
      <c r="AB322" s="3"/>
      <c r="AC322" s="3"/>
      <c r="AD322" s="3"/>
      <c r="BF322" s="7">
        <v>238</v>
      </c>
    </row>
    <row r="323" spans="1:58" s="7" customFormat="1" x14ac:dyDescent="0.25">
      <c r="A323" s="3"/>
      <c r="B323" s="3"/>
      <c r="C323" s="3"/>
      <c r="D323" s="3"/>
      <c r="E323" s="3"/>
      <c r="F323" s="3"/>
      <c r="G323" s="3"/>
      <c r="H323" s="3"/>
      <c r="I323" s="3"/>
      <c r="J323" s="3"/>
      <c r="K323" s="3"/>
      <c r="L323" s="3"/>
      <c r="M323" s="3"/>
      <c r="N323" s="3"/>
      <c r="O323" s="3"/>
      <c r="P323" s="3"/>
      <c r="Q323" s="3"/>
      <c r="R323" s="3"/>
      <c r="S323" s="3"/>
      <c r="T323" s="3"/>
      <c r="U323" s="3"/>
      <c r="V323" s="3"/>
      <c r="W323" s="3"/>
      <c r="X323" s="3"/>
      <c r="Y323" s="3"/>
      <c r="Z323" s="3"/>
      <c r="AA323" s="3"/>
      <c r="AB323" s="3"/>
      <c r="AC323" s="3"/>
      <c r="AD323" s="3"/>
      <c r="BF323" s="7">
        <v>239</v>
      </c>
    </row>
    <row r="324" spans="1:58" s="7" customFormat="1" x14ac:dyDescent="0.25">
      <c r="A324" s="3"/>
      <c r="B324" s="3"/>
      <c r="C324" s="3"/>
      <c r="D324" s="3"/>
      <c r="E324" s="3"/>
      <c r="F324" s="3"/>
      <c r="G324" s="3"/>
      <c r="H324" s="3"/>
      <c r="I324" s="3"/>
      <c r="J324" s="3"/>
      <c r="K324" s="3"/>
      <c r="L324" s="3"/>
      <c r="M324" s="3"/>
      <c r="N324" s="3"/>
      <c r="O324" s="3"/>
      <c r="P324" s="3"/>
      <c r="Q324" s="3"/>
      <c r="R324" s="3"/>
      <c r="S324" s="3"/>
      <c r="T324" s="3"/>
      <c r="U324" s="3"/>
      <c r="V324" s="3"/>
      <c r="W324" s="3"/>
      <c r="X324" s="3"/>
      <c r="Y324" s="3"/>
      <c r="Z324" s="3"/>
      <c r="AA324" s="3"/>
      <c r="AB324" s="3"/>
      <c r="AC324" s="3"/>
      <c r="AD324" s="3"/>
      <c r="BF324" s="7">
        <v>240</v>
      </c>
    </row>
    <row r="325" spans="1:58" s="7" customFormat="1" x14ac:dyDescent="0.25">
      <c r="A325" s="3"/>
      <c r="B325" s="3"/>
      <c r="C325" s="3"/>
      <c r="D325" s="3"/>
      <c r="E325" s="3"/>
      <c r="F325" s="3"/>
      <c r="G325" s="3"/>
      <c r="H325" s="3"/>
      <c r="I325" s="3"/>
      <c r="J325" s="3"/>
      <c r="K325" s="3"/>
      <c r="L325" s="3"/>
      <c r="M325" s="3"/>
      <c r="N325" s="3"/>
      <c r="O325" s="3"/>
      <c r="P325" s="3"/>
      <c r="Q325" s="3"/>
      <c r="R325" s="3"/>
      <c r="S325" s="3"/>
      <c r="T325" s="3"/>
      <c r="U325" s="3"/>
      <c r="V325" s="3"/>
      <c r="W325" s="3"/>
      <c r="X325" s="3"/>
      <c r="Y325" s="3"/>
      <c r="Z325" s="3"/>
      <c r="AA325" s="3"/>
      <c r="AB325" s="3"/>
      <c r="AC325" s="3"/>
      <c r="AD325" s="3"/>
      <c r="BF325" s="7">
        <v>241</v>
      </c>
    </row>
    <row r="326" spans="1:58" s="7" customFormat="1" x14ac:dyDescent="0.25">
      <c r="A326" s="3"/>
      <c r="B326" s="3"/>
      <c r="C326" s="3"/>
      <c r="D326" s="3"/>
      <c r="E326" s="3"/>
      <c r="F326" s="3"/>
      <c r="G326" s="3"/>
      <c r="H326" s="3"/>
      <c r="I326" s="3"/>
      <c r="J326" s="3"/>
      <c r="K326" s="3"/>
      <c r="L326" s="3"/>
      <c r="M326" s="3"/>
      <c r="N326" s="3"/>
      <c r="O326" s="3"/>
      <c r="P326" s="3"/>
      <c r="Q326" s="3"/>
      <c r="R326" s="3"/>
      <c r="S326" s="3"/>
      <c r="T326" s="3"/>
      <c r="U326" s="3"/>
      <c r="V326" s="3"/>
      <c r="W326" s="3"/>
      <c r="X326" s="3"/>
      <c r="Y326" s="3"/>
      <c r="Z326" s="3"/>
      <c r="AA326" s="3"/>
      <c r="AB326" s="3"/>
      <c r="AC326" s="3"/>
      <c r="AD326" s="3"/>
      <c r="BF326" s="7">
        <v>242</v>
      </c>
    </row>
    <row r="327" spans="1:58" s="7" customFormat="1" x14ac:dyDescent="0.25">
      <c r="A327" s="3"/>
      <c r="B327" s="3"/>
      <c r="C327" s="3"/>
      <c r="D327" s="3"/>
      <c r="E327" s="3"/>
      <c r="F327" s="3"/>
      <c r="G327" s="3"/>
      <c r="H327" s="3"/>
      <c r="I327" s="3"/>
      <c r="J327" s="3"/>
      <c r="K327" s="3"/>
      <c r="L327" s="3"/>
      <c r="M327" s="3"/>
      <c r="N327" s="3"/>
      <c r="O327" s="3"/>
      <c r="P327" s="3"/>
      <c r="Q327" s="3"/>
      <c r="R327" s="3"/>
      <c r="S327" s="3"/>
      <c r="T327" s="3"/>
      <c r="U327" s="3"/>
      <c r="V327" s="3"/>
      <c r="W327" s="3"/>
      <c r="X327" s="3"/>
      <c r="Y327" s="3"/>
      <c r="Z327" s="3"/>
      <c r="AA327" s="3"/>
      <c r="AB327" s="3"/>
      <c r="AC327" s="3"/>
      <c r="AD327" s="3"/>
      <c r="BF327" s="7">
        <v>243</v>
      </c>
    </row>
    <row r="328" spans="1:58" s="7" customFormat="1" x14ac:dyDescent="0.25">
      <c r="A328" s="3"/>
      <c r="B328" s="3"/>
      <c r="C328" s="3"/>
      <c r="D328" s="3"/>
      <c r="E328" s="3"/>
      <c r="F328" s="3"/>
      <c r="G328" s="3"/>
      <c r="H328" s="3"/>
      <c r="I328" s="3"/>
      <c r="J328" s="3"/>
      <c r="K328" s="3"/>
      <c r="L328" s="3"/>
      <c r="M328" s="3"/>
      <c r="N328" s="3"/>
      <c r="O328" s="3"/>
      <c r="P328" s="3"/>
      <c r="Q328" s="3"/>
      <c r="R328" s="3"/>
      <c r="S328" s="3"/>
      <c r="T328" s="3"/>
      <c r="U328" s="3"/>
      <c r="V328" s="3"/>
      <c r="W328" s="3"/>
      <c r="X328" s="3"/>
      <c r="Y328" s="3"/>
      <c r="Z328" s="3"/>
      <c r="AA328" s="3"/>
      <c r="AB328" s="3"/>
      <c r="AC328" s="3"/>
      <c r="AD328" s="3"/>
      <c r="BF328" s="7">
        <v>244</v>
      </c>
    </row>
    <row r="329" spans="1:58" s="7" customFormat="1" x14ac:dyDescent="0.25">
      <c r="A329" s="3"/>
      <c r="B329" s="3"/>
      <c r="C329" s="3"/>
      <c r="D329" s="3"/>
      <c r="E329" s="3"/>
      <c r="F329" s="3"/>
      <c r="G329" s="3"/>
      <c r="H329" s="3"/>
      <c r="I329" s="3"/>
      <c r="J329" s="3"/>
      <c r="K329" s="3"/>
      <c r="L329" s="3"/>
      <c r="M329" s="3"/>
      <c r="N329" s="3"/>
      <c r="O329" s="3"/>
      <c r="P329" s="3"/>
      <c r="Q329" s="3"/>
      <c r="R329" s="3"/>
      <c r="S329" s="3"/>
      <c r="T329" s="3"/>
      <c r="U329" s="3"/>
      <c r="V329" s="3"/>
      <c r="W329" s="3"/>
      <c r="X329" s="3"/>
      <c r="Y329" s="3"/>
      <c r="Z329" s="3"/>
      <c r="AA329" s="3"/>
      <c r="AB329" s="3"/>
      <c r="AC329" s="3"/>
      <c r="AD329" s="3"/>
      <c r="BF329" s="7">
        <v>245</v>
      </c>
    </row>
    <row r="330" spans="1:58" s="7" customFormat="1" x14ac:dyDescent="0.25">
      <c r="A330" s="3"/>
      <c r="B330" s="3"/>
      <c r="C330" s="3"/>
      <c r="D330" s="3"/>
      <c r="E330" s="3"/>
      <c r="F330" s="3"/>
      <c r="G330" s="3"/>
      <c r="H330" s="3"/>
      <c r="I330" s="3"/>
      <c r="J330" s="3"/>
      <c r="K330" s="3"/>
      <c r="L330" s="3"/>
      <c r="M330" s="3"/>
      <c r="N330" s="3"/>
      <c r="O330" s="3"/>
      <c r="P330" s="3"/>
      <c r="Q330" s="3"/>
      <c r="R330" s="3"/>
      <c r="S330" s="3"/>
      <c r="T330" s="3"/>
      <c r="U330" s="3"/>
      <c r="V330" s="3"/>
      <c r="W330" s="3"/>
      <c r="X330" s="3"/>
      <c r="Y330" s="3"/>
      <c r="Z330" s="3"/>
      <c r="AA330" s="3"/>
      <c r="AB330" s="3"/>
      <c r="AC330" s="3"/>
      <c r="AD330" s="3"/>
      <c r="BF330" s="7">
        <v>246</v>
      </c>
    </row>
    <row r="331" spans="1:58" s="7" customFormat="1" x14ac:dyDescent="0.25">
      <c r="A331" s="3"/>
      <c r="B331" s="3"/>
      <c r="C331" s="3"/>
      <c r="D331" s="3"/>
      <c r="E331" s="3"/>
      <c r="F331" s="3"/>
      <c r="G331" s="3"/>
      <c r="H331" s="3"/>
      <c r="I331" s="3"/>
      <c r="J331" s="3"/>
      <c r="K331" s="3"/>
      <c r="L331" s="3"/>
      <c r="M331" s="3"/>
      <c r="N331" s="3"/>
      <c r="O331" s="3"/>
      <c r="P331" s="3"/>
      <c r="Q331" s="3"/>
      <c r="R331" s="3"/>
      <c r="S331" s="3"/>
      <c r="T331" s="3"/>
      <c r="U331" s="3"/>
      <c r="V331" s="3"/>
      <c r="W331" s="3"/>
      <c r="X331" s="3"/>
      <c r="Y331" s="3"/>
      <c r="Z331" s="3"/>
      <c r="AA331" s="3"/>
      <c r="AB331" s="3"/>
      <c r="AC331" s="3"/>
      <c r="AD331" s="3"/>
      <c r="BF331" s="7">
        <v>247</v>
      </c>
    </row>
    <row r="332" spans="1:58" s="7" customFormat="1" x14ac:dyDescent="0.25">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c r="AA332" s="3"/>
      <c r="AB332" s="3"/>
      <c r="AC332" s="3"/>
      <c r="AD332" s="3"/>
      <c r="BF332" s="7">
        <v>248</v>
      </c>
    </row>
    <row r="333" spans="1:58" s="7" customFormat="1" x14ac:dyDescent="0.25">
      <c r="A333" s="3"/>
      <c r="B333" s="3"/>
      <c r="C333" s="3"/>
      <c r="D333" s="3"/>
      <c r="E333" s="3"/>
      <c r="F333" s="3"/>
      <c r="G333" s="3"/>
      <c r="H333" s="3"/>
      <c r="I333" s="3"/>
      <c r="J333" s="3"/>
      <c r="K333" s="3"/>
      <c r="L333" s="3"/>
      <c r="M333" s="3"/>
      <c r="N333" s="3"/>
      <c r="O333" s="3"/>
      <c r="P333" s="3"/>
      <c r="Q333" s="3"/>
      <c r="R333" s="3"/>
      <c r="S333" s="3"/>
      <c r="T333" s="3"/>
      <c r="U333" s="3"/>
      <c r="V333" s="3"/>
      <c r="W333" s="3"/>
      <c r="X333" s="3"/>
      <c r="Y333" s="3"/>
      <c r="Z333" s="3"/>
      <c r="AA333" s="3"/>
      <c r="AB333" s="3"/>
      <c r="AC333" s="3"/>
      <c r="AD333" s="3"/>
      <c r="BF333" s="7">
        <v>249</v>
      </c>
    </row>
    <row r="334" spans="1:58" s="7" customFormat="1" x14ac:dyDescent="0.25">
      <c r="A334" s="3"/>
      <c r="B334" s="3"/>
      <c r="C334" s="3"/>
      <c r="D334" s="3"/>
      <c r="E334" s="3"/>
      <c r="F334" s="3"/>
      <c r="G334" s="3"/>
      <c r="H334" s="3"/>
      <c r="I334" s="3"/>
      <c r="J334" s="3"/>
      <c r="K334" s="3"/>
      <c r="L334" s="3"/>
      <c r="M334" s="3"/>
      <c r="N334" s="3"/>
      <c r="O334" s="3"/>
      <c r="P334" s="3"/>
      <c r="Q334" s="3"/>
      <c r="R334" s="3"/>
      <c r="S334" s="3"/>
      <c r="T334" s="3"/>
      <c r="U334" s="3"/>
      <c r="V334" s="3"/>
      <c r="W334" s="3"/>
      <c r="X334" s="3"/>
      <c r="Y334" s="3"/>
      <c r="Z334" s="3"/>
      <c r="AA334" s="3"/>
      <c r="AB334" s="3"/>
      <c r="AC334" s="3"/>
      <c r="AD334" s="3"/>
      <c r="BF334" s="7">
        <v>250</v>
      </c>
    </row>
    <row r="335" spans="1:58" s="7" customFormat="1" x14ac:dyDescent="0.25">
      <c r="A335" s="3"/>
      <c r="B335" s="3"/>
      <c r="C335" s="3"/>
      <c r="D335" s="3"/>
      <c r="E335" s="3"/>
      <c r="F335" s="3"/>
      <c r="G335" s="3"/>
      <c r="H335" s="3"/>
      <c r="I335" s="3"/>
      <c r="J335" s="3"/>
      <c r="K335" s="3"/>
      <c r="L335" s="3"/>
      <c r="M335" s="3"/>
      <c r="N335" s="3"/>
      <c r="O335" s="3"/>
      <c r="P335" s="3"/>
      <c r="Q335" s="3"/>
      <c r="R335" s="3"/>
      <c r="S335" s="3"/>
      <c r="T335" s="3"/>
      <c r="U335" s="3"/>
      <c r="V335" s="3"/>
      <c r="W335" s="3"/>
      <c r="X335" s="3"/>
      <c r="Y335" s="3"/>
      <c r="Z335" s="3"/>
      <c r="AA335" s="3"/>
      <c r="AB335" s="3"/>
      <c r="AC335" s="3"/>
      <c r="AD335" s="3"/>
      <c r="BF335" s="7">
        <v>251</v>
      </c>
    </row>
    <row r="336" spans="1:58" s="7" customFormat="1" x14ac:dyDescent="0.25">
      <c r="A336" s="3"/>
      <c r="B336" s="3"/>
      <c r="C336" s="3"/>
      <c r="D336" s="3"/>
      <c r="E336" s="3"/>
      <c r="F336" s="3"/>
      <c r="G336" s="3"/>
      <c r="H336" s="3"/>
      <c r="I336" s="3"/>
      <c r="J336" s="3"/>
      <c r="K336" s="3"/>
      <c r="L336" s="3"/>
      <c r="M336" s="3"/>
      <c r="N336" s="3"/>
      <c r="O336" s="3"/>
      <c r="P336" s="3"/>
      <c r="Q336" s="3"/>
      <c r="R336" s="3"/>
      <c r="S336" s="3"/>
      <c r="T336" s="3"/>
      <c r="U336" s="3"/>
      <c r="V336" s="3"/>
      <c r="W336" s="3"/>
      <c r="X336" s="3"/>
      <c r="Y336" s="3"/>
      <c r="Z336" s="3"/>
      <c r="AA336" s="3"/>
      <c r="AB336" s="3"/>
      <c r="AC336" s="3"/>
      <c r="AD336" s="3"/>
      <c r="BF336" s="7">
        <v>252</v>
      </c>
    </row>
    <row r="337" spans="1:58" s="7" customFormat="1" x14ac:dyDescent="0.25">
      <c r="A337" s="3"/>
      <c r="B337" s="3"/>
      <c r="C337" s="3"/>
      <c r="D337" s="3"/>
      <c r="E337" s="3"/>
      <c r="F337" s="3"/>
      <c r="G337" s="3"/>
      <c r="H337" s="3"/>
      <c r="I337" s="3"/>
      <c r="J337" s="3"/>
      <c r="K337" s="3"/>
      <c r="L337" s="3"/>
      <c r="M337" s="3"/>
      <c r="N337" s="3"/>
      <c r="O337" s="3"/>
      <c r="P337" s="3"/>
      <c r="Q337" s="3"/>
      <c r="R337" s="3"/>
      <c r="S337" s="3"/>
      <c r="T337" s="3"/>
      <c r="U337" s="3"/>
      <c r="V337" s="3"/>
      <c r="W337" s="3"/>
      <c r="X337" s="3"/>
      <c r="Y337" s="3"/>
      <c r="Z337" s="3"/>
      <c r="AA337" s="3"/>
      <c r="AB337" s="3"/>
      <c r="AC337" s="3"/>
      <c r="AD337" s="3"/>
      <c r="BF337" s="7">
        <v>253</v>
      </c>
    </row>
    <row r="338" spans="1:58" s="7" customFormat="1" x14ac:dyDescent="0.25">
      <c r="A338" s="3"/>
      <c r="B338" s="3"/>
      <c r="C338" s="3"/>
      <c r="D338" s="3"/>
      <c r="E338" s="3"/>
      <c r="F338" s="3"/>
      <c r="G338" s="3"/>
      <c r="H338" s="3"/>
      <c r="I338" s="3"/>
      <c r="J338" s="3"/>
      <c r="K338" s="3"/>
      <c r="L338" s="3"/>
      <c r="M338" s="3"/>
      <c r="N338" s="3"/>
      <c r="O338" s="3"/>
      <c r="P338" s="3"/>
      <c r="Q338" s="3"/>
      <c r="R338" s="3"/>
      <c r="S338" s="3"/>
      <c r="T338" s="3"/>
      <c r="U338" s="3"/>
      <c r="V338" s="3"/>
      <c r="W338" s="3"/>
      <c r="X338" s="3"/>
      <c r="Y338" s="3"/>
      <c r="Z338" s="3"/>
      <c r="AA338" s="3"/>
      <c r="AB338" s="3"/>
      <c r="AC338" s="3"/>
      <c r="AD338" s="3"/>
      <c r="BF338" s="7">
        <v>254</v>
      </c>
    </row>
    <row r="339" spans="1:58" s="7" customFormat="1" x14ac:dyDescent="0.25">
      <c r="A339" s="3"/>
      <c r="B339" s="3"/>
      <c r="C339" s="3"/>
      <c r="D339" s="3"/>
      <c r="E339" s="3"/>
      <c r="F339" s="3"/>
      <c r="G339" s="3"/>
      <c r="H339" s="3"/>
      <c r="I339" s="3"/>
      <c r="J339" s="3"/>
      <c r="K339" s="3"/>
      <c r="L339" s="3"/>
      <c r="M339" s="3"/>
      <c r="N339" s="3"/>
      <c r="O339" s="3"/>
      <c r="P339" s="3"/>
      <c r="Q339" s="3"/>
      <c r="R339" s="3"/>
      <c r="S339" s="3"/>
      <c r="T339" s="3"/>
      <c r="U339" s="3"/>
      <c r="V339" s="3"/>
      <c r="W339" s="3"/>
      <c r="X339" s="3"/>
      <c r="Y339" s="3"/>
      <c r="Z339" s="3"/>
      <c r="AA339" s="3"/>
      <c r="AB339" s="3"/>
      <c r="AC339" s="3"/>
      <c r="AD339" s="3"/>
      <c r="BF339" s="7">
        <v>255</v>
      </c>
    </row>
    <row r="340" spans="1:58" s="7" customFormat="1" x14ac:dyDescent="0.25">
      <c r="A340" s="3"/>
      <c r="B340" s="3"/>
      <c r="C340" s="3"/>
      <c r="D340" s="3"/>
      <c r="E340" s="3"/>
      <c r="F340" s="3"/>
      <c r="G340" s="3"/>
      <c r="H340" s="3"/>
      <c r="I340" s="3"/>
      <c r="J340" s="3"/>
      <c r="K340" s="3"/>
      <c r="L340" s="3"/>
      <c r="M340" s="3"/>
      <c r="N340" s="3"/>
      <c r="O340" s="3"/>
      <c r="P340" s="3"/>
      <c r="Q340" s="3"/>
      <c r="R340" s="3"/>
      <c r="S340" s="3"/>
      <c r="T340" s="3"/>
      <c r="U340" s="3"/>
      <c r="V340" s="3"/>
      <c r="W340" s="3"/>
      <c r="X340" s="3"/>
      <c r="Y340" s="3"/>
      <c r="Z340" s="3"/>
      <c r="AA340" s="3"/>
      <c r="AB340" s="3"/>
      <c r="AC340" s="3"/>
      <c r="AD340" s="3"/>
      <c r="BF340" s="7">
        <v>256</v>
      </c>
    </row>
    <row r="341" spans="1:58" s="7" customFormat="1" x14ac:dyDescent="0.25">
      <c r="A341" s="3"/>
      <c r="B341" s="3"/>
      <c r="C341" s="3"/>
      <c r="D341" s="3"/>
      <c r="E341" s="3"/>
      <c r="F341" s="3"/>
      <c r="G341" s="3"/>
      <c r="H341" s="3"/>
      <c r="I341" s="3"/>
      <c r="J341" s="3"/>
      <c r="K341" s="3"/>
      <c r="L341" s="3"/>
      <c r="M341" s="3"/>
      <c r="N341" s="3"/>
      <c r="O341" s="3"/>
      <c r="P341" s="3"/>
      <c r="Q341" s="3"/>
      <c r="R341" s="3"/>
      <c r="S341" s="3"/>
      <c r="T341" s="3"/>
      <c r="U341" s="3"/>
      <c r="V341" s="3"/>
      <c r="W341" s="3"/>
      <c r="X341" s="3"/>
      <c r="Y341" s="3"/>
      <c r="Z341" s="3"/>
      <c r="AA341" s="3"/>
      <c r="AB341" s="3"/>
      <c r="AC341" s="3"/>
      <c r="AD341" s="3"/>
      <c r="BF341" s="7">
        <v>257</v>
      </c>
    </row>
    <row r="342" spans="1:58" s="7" customFormat="1" x14ac:dyDescent="0.25">
      <c r="A342" s="3"/>
      <c r="B342" s="3"/>
      <c r="C342" s="3"/>
      <c r="D342" s="3"/>
      <c r="E342" s="3"/>
      <c r="F342" s="3"/>
      <c r="G342" s="3"/>
      <c r="H342" s="3"/>
      <c r="I342" s="3"/>
      <c r="J342" s="3"/>
      <c r="K342" s="3"/>
      <c r="L342" s="3"/>
      <c r="M342" s="3"/>
      <c r="N342" s="3"/>
      <c r="O342" s="3"/>
      <c r="P342" s="3"/>
      <c r="Q342" s="3"/>
      <c r="R342" s="3"/>
      <c r="S342" s="3"/>
      <c r="T342" s="3"/>
      <c r="U342" s="3"/>
      <c r="V342" s="3"/>
      <c r="W342" s="3"/>
      <c r="X342" s="3"/>
      <c r="Y342" s="3"/>
      <c r="Z342" s="3"/>
      <c r="AA342" s="3"/>
      <c r="AB342" s="3"/>
      <c r="AC342" s="3"/>
      <c r="AD342" s="3"/>
      <c r="BF342" s="7">
        <v>258</v>
      </c>
    </row>
    <row r="343" spans="1:58" s="7" customFormat="1" x14ac:dyDescent="0.25">
      <c r="A343" s="3"/>
      <c r="B343" s="3"/>
      <c r="C343" s="3"/>
      <c r="D343" s="3"/>
      <c r="E343" s="3"/>
      <c r="F343" s="3"/>
      <c r="G343" s="3"/>
      <c r="H343" s="3"/>
      <c r="I343" s="3"/>
      <c r="J343" s="3"/>
      <c r="K343" s="3"/>
      <c r="L343" s="3"/>
      <c r="M343" s="3"/>
      <c r="N343" s="3"/>
      <c r="O343" s="3"/>
      <c r="P343" s="3"/>
      <c r="Q343" s="3"/>
      <c r="R343" s="3"/>
      <c r="S343" s="3"/>
      <c r="T343" s="3"/>
      <c r="U343" s="3"/>
      <c r="V343" s="3"/>
      <c r="W343" s="3"/>
      <c r="X343" s="3"/>
      <c r="Y343" s="3"/>
      <c r="Z343" s="3"/>
      <c r="AA343" s="3"/>
      <c r="AB343" s="3"/>
      <c r="AC343" s="3"/>
      <c r="AD343" s="3"/>
      <c r="BF343" s="7">
        <v>259</v>
      </c>
    </row>
    <row r="344" spans="1:58" s="7" customFormat="1" x14ac:dyDescent="0.25">
      <c r="A344" s="3"/>
      <c r="B344" s="3"/>
      <c r="C344" s="3"/>
      <c r="D344" s="3"/>
      <c r="E344" s="3"/>
      <c r="F344" s="3"/>
      <c r="G344" s="3"/>
      <c r="H344" s="3"/>
      <c r="I344" s="3"/>
      <c r="J344" s="3"/>
      <c r="K344" s="3"/>
      <c r="L344" s="3"/>
      <c r="M344" s="3"/>
      <c r="N344" s="3"/>
      <c r="O344" s="3"/>
      <c r="P344" s="3"/>
      <c r="Q344" s="3"/>
      <c r="R344" s="3"/>
      <c r="S344" s="3"/>
      <c r="T344" s="3"/>
      <c r="U344" s="3"/>
      <c r="V344" s="3"/>
      <c r="W344" s="3"/>
      <c r="X344" s="3"/>
      <c r="Y344" s="3"/>
      <c r="Z344" s="3"/>
      <c r="AA344" s="3"/>
      <c r="AB344" s="3"/>
      <c r="AC344" s="3"/>
      <c r="AD344" s="3"/>
      <c r="BF344" s="7">
        <v>260</v>
      </c>
    </row>
    <row r="345" spans="1:58" s="7" customFormat="1" x14ac:dyDescent="0.25">
      <c r="A345" s="3"/>
      <c r="B345" s="3"/>
      <c r="C345" s="3"/>
      <c r="D345" s="3"/>
      <c r="E345" s="3"/>
      <c r="F345" s="3"/>
      <c r="G345" s="3"/>
      <c r="H345" s="3"/>
      <c r="I345" s="3"/>
      <c r="J345" s="3"/>
      <c r="K345" s="3"/>
      <c r="L345" s="3"/>
      <c r="M345" s="3"/>
      <c r="N345" s="3"/>
      <c r="O345" s="3"/>
      <c r="P345" s="3"/>
      <c r="Q345" s="3"/>
      <c r="R345" s="3"/>
      <c r="S345" s="3"/>
      <c r="T345" s="3"/>
      <c r="U345" s="3"/>
      <c r="V345" s="3"/>
      <c r="W345" s="3"/>
      <c r="X345" s="3"/>
      <c r="Y345" s="3"/>
      <c r="Z345" s="3"/>
      <c r="AA345" s="3"/>
      <c r="AB345" s="3"/>
      <c r="AC345" s="3"/>
      <c r="AD345" s="3"/>
      <c r="BF345" s="7">
        <v>261</v>
      </c>
    </row>
    <row r="346" spans="1:58" s="7" customFormat="1" x14ac:dyDescent="0.25">
      <c r="A346" s="3"/>
      <c r="B346" s="3"/>
      <c r="C346" s="3"/>
      <c r="D346" s="3"/>
      <c r="E346" s="3"/>
      <c r="F346" s="3"/>
      <c r="G346" s="3"/>
      <c r="H346" s="3"/>
      <c r="I346" s="3"/>
      <c r="J346" s="3"/>
      <c r="K346" s="3"/>
      <c r="L346" s="3"/>
      <c r="M346" s="3"/>
      <c r="N346" s="3"/>
      <c r="O346" s="3"/>
      <c r="P346" s="3"/>
      <c r="Q346" s="3"/>
      <c r="R346" s="3"/>
      <c r="S346" s="3"/>
      <c r="T346" s="3"/>
      <c r="U346" s="3"/>
      <c r="V346" s="3"/>
      <c r="W346" s="3"/>
      <c r="X346" s="3"/>
      <c r="Y346" s="3"/>
      <c r="Z346" s="3"/>
      <c r="AA346" s="3"/>
      <c r="AB346" s="3"/>
      <c r="AC346" s="3"/>
      <c r="AD346" s="3"/>
      <c r="BF346" s="7">
        <v>262</v>
      </c>
    </row>
    <row r="347" spans="1:58" s="7" customFormat="1" x14ac:dyDescent="0.25">
      <c r="A347" s="3"/>
      <c r="B347" s="3"/>
      <c r="C347" s="3"/>
      <c r="D347" s="3"/>
      <c r="E347" s="3"/>
      <c r="F347" s="3"/>
      <c r="G347" s="3"/>
      <c r="H347" s="3"/>
      <c r="I347" s="3"/>
      <c r="J347" s="3"/>
      <c r="K347" s="3"/>
      <c r="L347" s="3"/>
      <c r="M347" s="3"/>
      <c r="N347" s="3"/>
      <c r="O347" s="3"/>
      <c r="P347" s="3"/>
      <c r="Q347" s="3"/>
      <c r="R347" s="3"/>
      <c r="S347" s="3"/>
      <c r="T347" s="3"/>
      <c r="U347" s="3"/>
      <c r="V347" s="3"/>
      <c r="W347" s="3"/>
      <c r="X347" s="3"/>
      <c r="Y347" s="3"/>
      <c r="Z347" s="3"/>
      <c r="AA347" s="3"/>
      <c r="AB347" s="3"/>
      <c r="AC347" s="3"/>
      <c r="AD347" s="3"/>
      <c r="BF347" s="7">
        <v>263</v>
      </c>
    </row>
    <row r="348" spans="1:58" s="7" customFormat="1" x14ac:dyDescent="0.25">
      <c r="A348" s="3"/>
      <c r="B348" s="3"/>
      <c r="C348" s="3"/>
      <c r="D348" s="3"/>
      <c r="E348" s="3"/>
      <c r="F348" s="3"/>
      <c r="G348" s="3"/>
      <c r="H348" s="3"/>
      <c r="I348" s="3"/>
      <c r="J348" s="3"/>
      <c r="K348" s="3"/>
      <c r="L348" s="3"/>
      <c r="M348" s="3"/>
      <c r="N348" s="3"/>
      <c r="O348" s="3"/>
      <c r="P348" s="3"/>
      <c r="Q348" s="3"/>
      <c r="R348" s="3"/>
      <c r="S348" s="3"/>
      <c r="T348" s="3"/>
      <c r="U348" s="3"/>
      <c r="V348" s="3"/>
      <c r="W348" s="3"/>
      <c r="X348" s="3"/>
      <c r="Y348" s="3"/>
      <c r="Z348" s="3"/>
      <c r="AA348" s="3"/>
      <c r="AB348" s="3"/>
      <c r="AC348" s="3"/>
      <c r="AD348" s="3"/>
      <c r="BF348" s="7">
        <v>264</v>
      </c>
    </row>
    <row r="349" spans="1:58" s="7" customFormat="1" x14ac:dyDescent="0.25">
      <c r="A349" s="3"/>
      <c r="B349" s="3"/>
      <c r="C349" s="3"/>
      <c r="D349" s="3"/>
      <c r="E349" s="3"/>
      <c r="F349" s="3"/>
      <c r="G349" s="3"/>
      <c r="H349" s="3"/>
      <c r="I349" s="3"/>
      <c r="J349" s="3"/>
      <c r="K349" s="3"/>
      <c r="L349" s="3"/>
      <c r="M349" s="3"/>
      <c r="N349" s="3"/>
      <c r="O349" s="3"/>
      <c r="P349" s="3"/>
      <c r="Q349" s="3"/>
      <c r="R349" s="3"/>
      <c r="S349" s="3"/>
      <c r="T349" s="3"/>
      <c r="U349" s="3"/>
      <c r="V349" s="3"/>
      <c r="W349" s="3"/>
      <c r="X349" s="3"/>
      <c r="Y349" s="3"/>
      <c r="Z349" s="3"/>
      <c r="AA349" s="3"/>
      <c r="AB349" s="3"/>
      <c r="AC349" s="3"/>
      <c r="AD349" s="3"/>
      <c r="BF349" s="7">
        <v>265</v>
      </c>
    </row>
    <row r="350" spans="1:58" s="7" customFormat="1" x14ac:dyDescent="0.25">
      <c r="A350" s="3"/>
      <c r="B350" s="3"/>
      <c r="C350" s="3"/>
      <c r="D350" s="3"/>
      <c r="E350" s="3"/>
      <c r="F350" s="3"/>
      <c r="G350" s="3"/>
      <c r="H350" s="3"/>
      <c r="I350" s="3"/>
      <c r="J350" s="3"/>
      <c r="K350" s="3"/>
      <c r="L350" s="3"/>
      <c r="M350" s="3"/>
      <c r="N350" s="3"/>
      <c r="O350" s="3"/>
      <c r="P350" s="3"/>
      <c r="Q350" s="3"/>
      <c r="R350" s="3"/>
      <c r="S350" s="3"/>
      <c r="T350" s="3"/>
      <c r="U350" s="3"/>
      <c r="V350" s="3"/>
      <c r="W350" s="3"/>
      <c r="X350" s="3"/>
      <c r="Y350" s="3"/>
      <c r="Z350" s="3"/>
      <c r="AA350" s="3"/>
      <c r="AB350" s="3"/>
      <c r="AC350" s="3"/>
      <c r="AD350" s="3"/>
      <c r="BF350" s="7">
        <v>266</v>
      </c>
    </row>
    <row r="351" spans="1:58" s="7" customFormat="1" x14ac:dyDescent="0.25">
      <c r="A351" s="3"/>
      <c r="B351" s="3"/>
      <c r="C351" s="3"/>
      <c r="D351" s="3"/>
      <c r="E351" s="3"/>
      <c r="F351" s="3"/>
      <c r="G351" s="3"/>
      <c r="H351" s="3"/>
      <c r="I351" s="3"/>
      <c r="J351" s="3"/>
      <c r="K351" s="3"/>
      <c r="L351" s="3"/>
      <c r="M351" s="3"/>
      <c r="N351" s="3"/>
      <c r="O351" s="3"/>
      <c r="P351" s="3"/>
      <c r="Q351" s="3"/>
      <c r="R351" s="3"/>
      <c r="S351" s="3"/>
      <c r="T351" s="3"/>
      <c r="U351" s="3"/>
      <c r="V351" s="3"/>
      <c r="W351" s="3"/>
      <c r="X351" s="3"/>
      <c r="Y351" s="3"/>
      <c r="Z351" s="3"/>
      <c r="AA351" s="3"/>
      <c r="AB351" s="3"/>
      <c r="AC351" s="3"/>
      <c r="AD351" s="3"/>
      <c r="BF351" s="7">
        <v>267</v>
      </c>
    </row>
    <row r="352" spans="1:58" s="7" customFormat="1" x14ac:dyDescent="0.25">
      <c r="A352" s="3"/>
      <c r="B352" s="3"/>
      <c r="C352" s="3"/>
      <c r="D352" s="3"/>
      <c r="E352" s="3"/>
      <c r="F352" s="3"/>
      <c r="G352" s="3"/>
      <c r="H352" s="3"/>
      <c r="I352" s="3"/>
      <c r="J352" s="3"/>
      <c r="K352" s="3"/>
      <c r="L352" s="3"/>
      <c r="M352" s="3"/>
      <c r="N352" s="3"/>
      <c r="O352" s="3"/>
      <c r="P352" s="3"/>
      <c r="Q352" s="3"/>
      <c r="R352" s="3"/>
      <c r="S352" s="3"/>
      <c r="T352" s="3"/>
      <c r="U352" s="3"/>
      <c r="V352" s="3"/>
      <c r="W352" s="3"/>
      <c r="X352" s="3"/>
      <c r="Y352" s="3"/>
      <c r="Z352" s="3"/>
      <c r="AA352" s="3"/>
      <c r="AB352" s="3"/>
      <c r="AC352" s="3"/>
      <c r="AD352" s="3"/>
      <c r="BF352" s="7">
        <v>268</v>
      </c>
    </row>
    <row r="353" spans="1:58" s="7" customFormat="1" x14ac:dyDescent="0.25">
      <c r="A353" s="3"/>
      <c r="B353" s="3"/>
      <c r="C353" s="3"/>
      <c r="D353" s="3"/>
      <c r="E353" s="3"/>
      <c r="F353" s="3"/>
      <c r="G353" s="3"/>
      <c r="H353" s="3"/>
      <c r="I353" s="3"/>
      <c r="J353" s="3"/>
      <c r="K353" s="3"/>
      <c r="L353" s="3"/>
      <c r="M353" s="3"/>
      <c r="N353" s="3"/>
      <c r="O353" s="3"/>
      <c r="P353" s="3"/>
      <c r="Q353" s="3"/>
      <c r="R353" s="3"/>
      <c r="S353" s="3"/>
      <c r="T353" s="3"/>
      <c r="U353" s="3"/>
      <c r="V353" s="3"/>
      <c r="W353" s="3"/>
      <c r="X353" s="3"/>
      <c r="Y353" s="3"/>
      <c r="Z353" s="3"/>
      <c r="AA353" s="3"/>
      <c r="AB353" s="3"/>
      <c r="AC353" s="3"/>
      <c r="AD353" s="3"/>
      <c r="BF353" s="7">
        <v>269</v>
      </c>
    </row>
    <row r="354" spans="1:58" s="7" customFormat="1" x14ac:dyDescent="0.25">
      <c r="A354" s="3"/>
      <c r="B354" s="3"/>
      <c r="C354" s="3"/>
      <c r="D354" s="3"/>
      <c r="E354" s="3"/>
      <c r="F354" s="3"/>
      <c r="G354" s="3"/>
      <c r="H354" s="3"/>
      <c r="I354" s="3"/>
      <c r="J354" s="3"/>
      <c r="K354" s="3"/>
      <c r="L354" s="3"/>
      <c r="M354" s="3"/>
      <c r="N354" s="3"/>
      <c r="O354" s="3"/>
      <c r="P354" s="3"/>
      <c r="Q354" s="3"/>
      <c r="R354" s="3"/>
      <c r="S354" s="3"/>
      <c r="T354" s="3"/>
      <c r="U354" s="3"/>
      <c r="V354" s="3"/>
      <c r="W354" s="3"/>
      <c r="X354" s="3"/>
      <c r="Y354" s="3"/>
      <c r="Z354" s="3"/>
      <c r="AA354" s="3"/>
      <c r="AB354" s="3"/>
      <c r="AC354" s="3"/>
      <c r="AD354" s="3"/>
      <c r="BF354" s="7">
        <v>270</v>
      </c>
    </row>
    <row r="355" spans="1:58" s="7" customFormat="1" x14ac:dyDescent="0.25">
      <c r="A355" s="3"/>
      <c r="B355" s="3"/>
      <c r="C355" s="3"/>
      <c r="D355" s="3"/>
      <c r="E355" s="3"/>
      <c r="F355" s="3"/>
      <c r="G355" s="3"/>
      <c r="H355" s="3"/>
      <c r="I355" s="3"/>
      <c r="J355" s="3"/>
      <c r="K355" s="3"/>
      <c r="L355" s="3"/>
      <c r="M355" s="3"/>
      <c r="N355" s="3"/>
      <c r="O355" s="3"/>
      <c r="P355" s="3"/>
      <c r="Q355" s="3"/>
      <c r="R355" s="3"/>
      <c r="S355" s="3"/>
      <c r="T355" s="3"/>
      <c r="U355" s="3"/>
      <c r="V355" s="3"/>
      <c r="W355" s="3"/>
      <c r="X355" s="3"/>
      <c r="Y355" s="3"/>
      <c r="Z355" s="3"/>
      <c r="AA355" s="3"/>
      <c r="AB355" s="3"/>
      <c r="AC355" s="3"/>
      <c r="AD355" s="3"/>
      <c r="BF355" s="7">
        <v>271</v>
      </c>
    </row>
    <row r="356" spans="1:58" s="7" customFormat="1" x14ac:dyDescent="0.25">
      <c r="A356" s="3"/>
      <c r="B356" s="3"/>
      <c r="C356" s="3"/>
      <c r="D356" s="3"/>
      <c r="E356" s="3"/>
      <c r="F356" s="3"/>
      <c r="G356" s="3"/>
      <c r="H356" s="3"/>
      <c r="I356" s="3"/>
      <c r="J356" s="3"/>
      <c r="K356" s="3"/>
      <c r="L356" s="3"/>
      <c r="M356" s="3"/>
      <c r="N356" s="3"/>
      <c r="O356" s="3"/>
      <c r="P356" s="3"/>
      <c r="Q356" s="3"/>
      <c r="R356" s="3"/>
      <c r="S356" s="3"/>
      <c r="T356" s="3"/>
      <c r="U356" s="3"/>
      <c r="V356" s="3"/>
      <c r="W356" s="3"/>
      <c r="X356" s="3"/>
      <c r="Y356" s="3"/>
      <c r="Z356" s="3"/>
      <c r="AA356" s="3"/>
      <c r="AB356" s="3"/>
      <c r="AC356" s="3"/>
      <c r="AD356" s="3"/>
      <c r="BF356" s="7">
        <v>272</v>
      </c>
    </row>
    <row r="357" spans="1:58" s="7" customFormat="1" x14ac:dyDescent="0.25">
      <c r="A357" s="3"/>
      <c r="B357" s="3"/>
      <c r="C357" s="3"/>
      <c r="D357" s="3"/>
      <c r="E357" s="3"/>
      <c r="F357" s="3"/>
      <c r="G357" s="3"/>
      <c r="H357" s="3"/>
      <c r="I357" s="3"/>
      <c r="J357" s="3"/>
      <c r="K357" s="3"/>
      <c r="L357" s="3"/>
      <c r="M357" s="3"/>
      <c r="N357" s="3"/>
      <c r="O357" s="3"/>
      <c r="P357" s="3"/>
      <c r="Q357" s="3"/>
      <c r="R357" s="3"/>
      <c r="S357" s="3"/>
      <c r="T357" s="3"/>
      <c r="U357" s="3"/>
      <c r="V357" s="3"/>
      <c r="W357" s="3"/>
      <c r="X357" s="3"/>
      <c r="Y357" s="3"/>
      <c r="Z357" s="3"/>
      <c r="AA357" s="3"/>
      <c r="AB357" s="3"/>
      <c r="AC357" s="3"/>
      <c r="AD357" s="3"/>
      <c r="BF357" s="7">
        <v>273</v>
      </c>
    </row>
    <row r="358" spans="1:58" s="7" customFormat="1" x14ac:dyDescent="0.25">
      <c r="A358" s="3"/>
      <c r="B358" s="3"/>
      <c r="C358" s="3"/>
      <c r="D358" s="3"/>
      <c r="E358" s="3"/>
      <c r="F358" s="3"/>
      <c r="G358" s="3"/>
      <c r="H358" s="3"/>
      <c r="I358" s="3"/>
      <c r="J358" s="3"/>
      <c r="K358" s="3"/>
      <c r="L358" s="3"/>
      <c r="M358" s="3"/>
      <c r="N358" s="3"/>
      <c r="O358" s="3"/>
      <c r="P358" s="3"/>
      <c r="Q358" s="3"/>
      <c r="R358" s="3"/>
      <c r="S358" s="3"/>
      <c r="T358" s="3"/>
      <c r="U358" s="3"/>
      <c r="V358" s="3"/>
      <c r="W358" s="3"/>
      <c r="X358" s="3"/>
      <c r="Y358" s="3"/>
      <c r="Z358" s="3"/>
      <c r="AA358" s="3"/>
      <c r="AB358" s="3"/>
      <c r="AC358" s="3"/>
      <c r="AD358" s="3"/>
      <c r="BF358" s="7">
        <v>274</v>
      </c>
    </row>
    <row r="359" spans="1:58" s="7" customFormat="1" x14ac:dyDescent="0.25">
      <c r="A359" s="3"/>
      <c r="B359" s="3"/>
      <c r="C359" s="3"/>
      <c r="D359" s="3"/>
      <c r="E359" s="3"/>
      <c r="F359" s="3"/>
      <c r="G359" s="3"/>
      <c r="H359" s="3"/>
      <c r="I359" s="3"/>
      <c r="J359" s="3"/>
      <c r="K359" s="3"/>
      <c r="L359" s="3"/>
      <c r="M359" s="3"/>
      <c r="N359" s="3"/>
      <c r="O359" s="3"/>
      <c r="P359" s="3"/>
      <c r="Q359" s="3"/>
      <c r="R359" s="3"/>
      <c r="S359" s="3"/>
      <c r="T359" s="3"/>
      <c r="U359" s="3"/>
      <c r="V359" s="3"/>
      <c r="W359" s="3"/>
      <c r="X359" s="3"/>
      <c r="Y359" s="3"/>
      <c r="Z359" s="3"/>
      <c r="AA359" s="3"/>
      <c r="AB359" s="3"/>
      <c r="AC359" s="3"/>
      <c r="AD359" s="3"/>
      <c r="BF359" s="7">
        <v>275</v>
      </c>
    </row>
    <row r="360" spans="1:58" s="7" customFormat="1" x14ac:dyDescent="0.25">
      <c r="A360" s="3"/>
      <c r="B360" s="3"/>
      <c r="C360" s="3"/>
      <c r="D360" s="3"/>
      <c r="E360" s="3"/>
      <c r="F360" s="3"/>
      <c r="G360" s="3"/>
      <c r="H360" s="3"/>
      <c r="I360" s="3"/>
      <c r="J360" s="3"/>
      <c r="K360" s="3"/>
      <c r="L360" s="3"/>
      <c r="M360" s="3"/>
      <c r="N360" s="3"/>
      <c r="O360" s="3"/>
      <c r="P360" s="3"/>
      <c r="Q360" s="3"/>
      <c r="R360" s="3"/>
      <c r="S360" s="3"/>
      <c r="T360" s="3"/>
      <c r="U360" s="3"/>
      <c r="V360" s="3"/>
      <c r="W360" s="3"/>
      <c r="X360" s="3"/>
      <c r="Y360" s="3"/>
      <c r="Z360" s="3"/>
      <c r="AA360" s="3"/>
      <c r="AB360" s="3"/>
      <c r="AC360" s="3"/>
      <c r="AD360" s="3"/>
      <c r="BF360" s="7">
        <v>276</v>
      </c>
    </row>
    <row r="361" spans="1:58" s="7" customFormat="1" x14ac:dyDescent="0.25">
      <c r="A361" s="3"/>
      <c r="B361" s="3"/>
      <c r="C361" s="3"/>
      <c r="D361" s="3"/>
      <c r="E361" s="3"/>
      <c r="F361" s="3"/>
      <c r="G361" s="3"/>
      <c r="H361" s="3"/>
      <c r="I361" s="3"/>
      <c r="J361" s="3"/>
      <c r="K361" s="3"/>
      <c r="L361" s="3"/>
      <c r="M361" s="3"/>
      <c r="N361" s="3"/>
      <c r="O361" s="3"/>
      <c r="P361" s="3"/>
      <c r="Q361" s="3"/>
      <c r="R361" s="3"/>
      <c r="S361" s="3"/>
      <c r="T361" s="3"/>
      <c r="U361" s="3"/>
      <c r="V361" s="3"/>
      <c r="W361" s="3"/>
      <c r="X361" s="3"/>
      <c r="Y361" s="3"/>
      <c r="Z361" s="3"/>
      <c r="AA361" s="3"/>
      <c r="AB361" s="3"/>
      <c r="AC361" s="3"/>
      <c r="AD361" s="3"/>
      <c r="BF361" s="7">
        <v>277</v>
      </c>
    </row>
    <row r="362" spans="1:58" s="7" customFormat="1" x14ac:dyDescent="0.25">
      <c r="A362" s="3"/>
      <c r="B362" s="3"/>
      <c r="C362" s="3"/>
      <c r="D362" s="3"/>
      <c r="E362" s="3"/>
      <c r="F362" s="3"/>
      <c r="G362" s="3"/>
      <c r="H362" s="3"/>
      <c r="I362" s="3"/>
      <c r="J362" s="3"/>
      <c r="K362" s="3"/>
      <c r="L362" s="3"/>
      <c r="M362" s="3"/>
      <c r="N362" s="3"/>
      <c r="O362" s="3"/>
      <c r="P362" s="3"/>
      <c r="Q362" s="3"/>
      <c r="R362" s="3"/>
      <c r="S362" s="3"/>
      <c r="T362" s="3"/>
      <c r="U362" s="3"/>
      <c r="V362" s="3"/>
      <c r="W362" s="3"/>
      <c r="X362" s="3"/>
      <c r="Y362" s="3"/>
      <c r="Z362" s="3"/>
      <c r="AA362" s="3"/>
      <c r="AB362" s="3"/>
      <c r="AC362" s="3"/>
      <c r="AD362" s="3"/>
      <c r="BF362" s="7">
        <v>278</v>
      </c>
    </row>
    <row r="363" spans="1:58" s="7" customFormat="1" x14ac:dyDescent="0.25">
      <c r="A363" s="3"/>
      <c r="B363" s="3"/>
      <c r="C363" s="3"/>
      <c r="D363" s="3"/>
      <c r="E363" s="3"/>
      <c r="F363" s="3"/>
      <c r="G363" s="3"/>
      <c r="H363" s="3"/>
      <c r="I363" s="3"/>
      <c r="J363" s="3"/>
      <c r="K363" s="3"/>
      <c r="L363" s="3"/>
      <c r="M363" s="3"/>
      <c r="N363" s="3"/>
      <c r="O363" s="3"/>
      <c r="P363" s="3"/>
      <c r="Q363" s="3"/>
      <c r="R363" s="3"/>
      <c r="S363" s="3"/>
      <c r="T363" s="3"/>
      <c r="U363" s="3"/>
      <c r="V363" s="3"/>
      <c r="W363" s="3"/>
      <c r="X363" s="3"/>
      <c r="Y363" s="3"/>
      <c r="Z363" s="3"/>
      <c r="AA363" s="3"/>
      <c r="AB363" s="3"/>
      <c r="AC363" s="3"/>
      <c r="AD363" s="3"/>
      <c r="BF363" s="7">
        <v>279</v>
      </c>
    </row>
    <row r="364" spans="1:58" s="7" customFormat="1" x14ac:dyDescent="0.25">
      <c r="A364" s="3"/>
      <c r="B364" s="3"/>
      <c r="C364" s="3"/>
      <c r="D364" s="3"/>
      <c r="E364" s="3"/>
      <c r="F364" s="3"/>
      <c r="G364" s="3"/>
      <c r="H364" s="3"/>
      <c r="I364" s="3"/>
      <c r="J364" s="3"/>
      <c r="K364" s="3"/>
      <c r="L364" s="3"/>
      <c r="M364" s="3"/>
      <c r="N364" s="3"/>
      <c r="O364" s="3"/>
      <c r="P364" s="3"/>
      <c r="Q364" s="3"/>
      <c r="R364" s="3"/>
      <c r="S364" s="3"/>
      <c r="T364" s="3"/>
      <c r="U364" s="3"/>
      <c r="V364" s="3"/>
      <c r="W364" s="3"/>
      <c r="X364" s="3"/>
      <c r="Y364" s="3"/>
      <c r="Z364" s="3"/>
      <c r="AA364" s="3"/>
      <c r="AB364" s="3"/>
      <c r="AC364" s="3"/>
      <c r="AD364" s="3"/>
      <c r="BF364" s="7">
        <v>280</v>
      </c>
    </row>
    <row r="365" spans="1:58" s="7" customFormat="1" x14ac:dyDescent="0.25">
      <c r="A365" s="3"/>
      <c r="B365" s="3"/>
      <c r="C365" s="3"/>
      <c r="D365" s="3"/>
      <c r="E365" s="3"/>
      <c r="F365" s="3"/>
      <c r="G365" s="3"/>
      <c r="H365" s="3"/>
      <c r="I365" s="3"/>
      <c r="J365" s="3"/>
      <c r="K365" s="3"/>
      <c r="L365" s="3"/>
      <c r="M365" s="3"/>
      <c r="N365" s="3"/>
      <c r="O365" s="3"/>
      <c r="P365" s="3"/>
      <c r="Q365" s="3"/>
      <c r="R365" s="3"/>
      <c r="S365" s="3"/>
      <c r="T365" s="3"/>
      <c r="U365" s="3"/>
      <c r="V365" s="3"/>
      <c r="W365" s="3"/>
      <c r="X365" s="3"/>
      <c r="Y365" s="3"/>
      <c r="Z365" s="3"/>
      <c r="AA365" s="3"/>
      <c r="AB365" s="3"/>
      <c r="AC365" s="3"/>
      <c r="AD365" s="3"/>
      <c r="BF365" s="7">
        <v>281</v>
      </c>
    </row>
    <row r="366" spans="1:58" s="7" customFormat="1" x14ac:dyDescent="0.25">
      <c r="A366" s="3"/>
      <c r="B366" s="3"/>
      <c r="C366" s="3"/>
      <c r="D366" s="3"/>
      <c r="E366" s="3"/>
      <c r="F366" s="3"/>
      <c r="G366" s="3"/>
      <c r="H366" s="3"/>
      <c r="I366" s="3"/>
      <c r="J366" s="3"/>
      <c r="K366" s="3"/>
      <c r="L366" s="3"/>
      <c r="M366" s="3"/>
      <c r="N366" s="3"/>
      <c r="O366" s="3"/>
      <c r="P366" s="3"/>
      <c r="Q366" s="3"/>
      <c r="R366" s="3"/>
      <c r="S366" s="3"/>
      <c r="T366" s="3"/>
      <c r="U366" s="3"/>
      <c r="V366" s="3"/>
      <c r="W366" s="3"/>
      <c r="X366" s="3"/>
      <c r="Y366" s="3"/>
      <c r="Z366" s="3"/>
      <c r="AA366" s="3"/>
      <c r="AB366" s="3"/>
      <c r="AC366" s="3"/>
      <c r="AD366" s="3"/>
      <c r="BF366" s="7">
        <v>282</v>
      </c>
    </row>
    <row r="367" spans="1:58" s="7" customFormat="1" x14ac:dyDescent="0.25">
      <c r="A367" s="3"/>
      <c r="B367" s="3"/>
      <c r="C367" s="3"/>
      <c r="D367" s="3"/>
      <c r="E367" s="3"/>
      <c r="F367" s="3"/>
      <c r="G367" s="3"/>
      <c r="H367" s="3"/>
      <c r="I367" s="3"/>
      <c r="J367" s="3"/>
      <c r="K367" s="3"/>
      <c r="L367" s="3"/>
      <c r="M367" s="3"/>
      <c r="N367" s="3"/>
      <c r="O367" s="3"/>
      <c r="P367" s="3"/>
      <c r="Q367" s="3"/>
      <c r="R367" s="3"/>
      <c r="S367" s="3"/>
      <c r="T367" s="3"/>
      <c r="U367" s="3"/>
      <c r="V367" s="3"/>
      <c r="W367" s="3"/>
      <c r="X367" s="3"/>
      <c r="Y367" s="3"/>
      <c r="Z367" s="3"/>
      <c r="AA367" s="3"/>
      <c r="AB367" s="3"/>
      <c r="AC367" s="3"/>
      <c r="AD367" s="3"/>
      <c r="BF367" s="7">
        <v>283</v>
      </c>
    </row>
    <row r="368" spans="1:58" s="7" customFormat="1" x14ac:dyDescent="0.25">
      <c r="A368" s="3"/>
      <c r="B368" s="3"/>
      <c r="C368" s="3"/>
      <c r="D368" s="3"/>
      <c r="E368" s="3"/>
      <c r="F368" s="3"/>
      <c r="G368" s="3"/>
      <c r="H368" s="3"/>
      <c r="I368" s="3"/>
      <c r="J368" s="3"/>
      <c r="K368" s="3"/>
      <c r="L368" s="3"/>
      <c r="M368" s="3"/>
      <c r="N368" s="3"/>
      <c r="O368" s="3"/>
      <c r="P368" s="3"/>
      <c r="Q368" s="3"/>
      <c r="R368" s="3"/>
      <c r="S368" s="3"/>
      <c r="T368" s="3"/>
      <c r="U368" s="3"/>
      <c r="V368" s="3"/>
      <c r="W368" s="3"/>
      <c r="X368" s="3"/>
      <c r="Y368" s="3"/>
      <c r="Z368" s="3"/>
      <c r="AA368" s="3"/>
      <c r="AB368" s="3"/>
      <c r="AC368" s="3"/>
      <c r="AD368" s="3"/>
      <c r="BF368" s="7">
        <v>284</v>
      </c>
    </row>
    <row r="369" spans="1:58" s="7" customFormat="1" x14ac:dyDescent="0.25">
      <c r="A369" s="3"/>
      <c r="B369" s="3"/>
      <c r="C369" s="3"/>
      <c r="D369" s="3"/>
      <c r="E369" s="3"/>
      <c r="F369" s="3"/>
      <c r="G369" s="3"/>
      <c r="H369" s="3"/>
      <c r="I369" s="3"/>
      <c r="J369" s="3"/>
      <c r="K369" s="3"/>
      <c r="L369" s="3"/>
      <c r="M369" s="3"/>
      <c r="N369" s="3"/>
      <c r="O369" s="3"/>
      <c r="P369" s="3"/>
      <c r="Q369" s="3"/>
      <c r="R369" s="3"/>
      <c r="S369" s="3"/>
      <c r="T369" s="3"/>
      <c r="U369" s="3"/>
      <c r="V369" s="3"/>
      <c r="W369" s="3"/>
      <c r="X369" s="3"/>
      <c r="Y369" s="3"/>
      <c r="Z369" s="3"/>
      <c r="AA369" s="3"/>
      <c r="AB369" s="3"/>
      <c r="AC369" s="3"/>
      <c r="AD369" s="3"/>
      <c r="BF369" s="7">
        <v>285</v>
      </c>
    </row>
    <row r="370" spans="1:58" s="7" customFormat="1" x14ac:dyDescent="0.25">
      <c r="A370" s="3"/>
      <c r="B370" s="3"/>
      <c r="C370" s="3"/>
      <c r="D370" s="3"/>
      <c r="E370" s="3"/>
      <c r="F370" s="3"/>
      <c r="G370" s="3"/>
      <c r="H370" s="3"/>
      <c r="I370" s="3"/>
      <c r="J370" s="3"/>
      <c r="K370" s="3"/>
      <c r="L370" s="3"/>
      <c r="M370" s="3"/>
      <c r="N370" s="3"/>
      <c r="O370" s="3"/>
      <c r="P370" s="3"/>
      <c r="Q370" s="3"/>
      <c r="R370" s="3"/>
      <c r="S370" s="3"/>
      <c r="T370" s="3"/>
      <c r="U370" s="3"/>
      <c r="V370" s="3"/>
      <c r="W370" s="3"/>
      <c r="X370" s="3"/>
      <c r="Y370" s="3"/>
      <c r="Z370" s="3"/>
      <c r="AA370" s="3"/>
      <c r="AB370" s="3"/>
      <c r="AC370" s="3"/>
      <c r="AD370" s="3"/>
      <c r="BF370" s="7">
        <v>286</v>
      </c>
    </row>
    <row r="371" spans="1:58" s="7" customFormat="1" x14ac:dyDescent="0.25">
      <c r="A371" s="3"/>
      <c r="B371" s="3"/>
      <c r="C371" s="3"/>
      <c r="D371" s="3"/>
      <c r="E371" s="3"/>
      <c r="F371" s="3"/>
      <c r="G371" s="3"/>
      <c r="H371" s="3"/>
      <c r="I371" s="3"/>
      <c r="J371" s="3"/>
      <c r="K371" s="3"/>
      <c r="L371" s="3"/>
      <c r="M371" s="3"/>
      <c r="N371" s="3"/>
      <c r="O371" s="3"/>
      <c r="P371" s="3"/>
      <c r="Q371" s="3"/>
      <c r="R371" s="3"/>
      <c r="S371" s="3"/>
      <c r="T371" s="3"/>
      <c r="U371" s="3"/>
      <c r="V371" s="3"/>
      <c r="W371" s="3"/>
      <c r="X371" s="3"/>
      <c r="Y371" s="3"/>
      <c r="Z371" s="3"/>
      <c r="AA371" s="3"/>
      <c r="AB371" s="3"/>
      <c r="AC371" s="3"/>
      <c r="AD371" s="3"/>
      <c r="BF371" s="7">
        <v>287</v>
      </c>
    </row>
    <row r="372" spans="1:58" s="7" customFormat="1" x14ac:dyDescent="0.25">
      <c r="A372" s="3"/>
      <c r="B372" s="3"/>
      <c r="C372" s="3"/>
      <c r="D372" s="3"/>
      <c r="E372" s="3"/>
      <c r="F372" s="3"/>
      <c r="G372" s="3"/>
      <c r="H372" s="3"/>
      <c r="I372" s="3"/>
      <c r="J372" s="3"/>
      <c r="K372" s="3"/>
      <c r="L372" s="3"/>
      <c r="M372" s="3"/>
      <c r="N372" s="3"/>
      <c r="O372" s="3"/>
      <c r="P372" s="3"/>
      <c r="Q372" s="3"/>
      <c r="R372" s="3"/>
      <c r="S372" s="3"/>
      <c r="T372" s="3"/>
      <c r="U372" s="3"/>
      <c r="V372" s="3"/>
      <c r="W372" s="3"/>
      <c r="X372" s="3"/>
      <c r="Y372" s="3"/>
      <c r="Z372" s="3"/>
      <c r="AA372" s="3"/>
      <c r="AB372" s="3"/>
      <c r="AC372" s="3"/>
      <c r="AD372" s="3"/>
      <c r="BF372" s="7">
        <v>288</v>
      </c>
    </row>
    <row r="373" spans="1:58" s="7" customFormat="1" x14ac:dyDescent="0.25">
      <c r="A373" s="3"/>
      <c r="B373" s="3"/>
      <c r="C373" s="3"/>
      <c r="D373" s="3"/>
      <c r="E373" s="3"/>
      <c r="F373" s="3"/>
      <c r="G373" s="3"/>
      <c r="H373" s="3"/>
      <c r="I373" s="3"/>
      <c r="J373" s="3"/>
      <c r="K373" s="3"/>
      <c r="L373" s="3"/>
      <c r="M373" s="3"/>
      <c r="N373" s="3"/>
      <c r="O373" s="3"/>
      <c r="P373" s="3"/>
      <c r="Q373" s="3"/>
      <c r="R373" s="3"/>
      <c r="S373" s="3"/>
      <c r="T373" s="3"/>
      <c r="U373" s="3"/>
      <c r="V373" s="3"/>
      <c r="W373" s="3"/>
      <c r="X373" s="3"/>
      <c r="Y373" s="3"/>
      <c r="Z373" s="3"/>
      <c r="AA373" s="3"/>
      <c r="AB373" s="3"/>
      <c r="AC373" s="3"/>
      <c r="AD373" s="3"/>
      <c r="BF373" s="7">
        <v>289</v>
      </c>
    </row>
    <row r="374" spans="1:58" s="7" customFormat="1" x14ac:dyDescent="0.25">
      <c r="A374" s="3"/>
      <c r="B374" s="3"/>
      <c r="C374" s="3"/>
      <c r="D374" s="3"/>
      <c r="E374" s="3"/>
      <c r="F374" s="3"/>
      <c r="G374" s="3"/>
      <c r="H374" s="3"/>
      <c r="I374" s="3"/>
      <c r="J374" s="3"/>
      <c r="K374" s="3"/>
      <c r="L374" s="3"/>
      <c r="M374" s="3"/>
      <c r="N374" s="3"/>
      <c r="O374" s="3"/>
      <c r="P374" s="3"/>
      <c r="Q374" s="3"/>
      <c r="R374" s="3"/>
      <c r="S374" s="3"/>
      <c r="T374" s="3"/>
      <c r="U374" s="3"/>
      <c r="V374" s="3"/>
      <c r="W374" s="3"/>
      <c r="X374" s="3"/>
      <c r="Y374" s="3"/>
      <c r="Z374" s="3"/>
      <c r="AA374" s="3"/>
      <c r="AB374" s="3"/>
      <c r="AC374" s="3"/>
      <c r="AD374" s="3"/>
      <c r="BF374" s="7">
        <v>290</v>
      </c>
    </row>
    <row r="375" spans="1:58" s="7" customFormat="1" x14ac:dyDescent="0.25">
      <c r="A375" s="3"/>
      <c r="B375" s="3"/>
      <c r="C375" s="3"/>
      <c r="D375" s="3"/>
      <c r="E375" s="3"/>
      <c r="F375" s="3"/>
      <c r="G375" s="3"/>
      <c r="H375" s="3"/>
      <c r="I375" s="3"/>
      <c r="J375" s="3"/>
      <c r="K375" s="3"/>
      <c r="L375" s="3"/>
      <c r="M375" s="3"/>
      <c r="N375" s="3"/>
      <c r="O375" s="3"/>
      <c r="P375" s="3"/>
      <c r="Q375" s="3"/>
      <c r="R375" s="3"/>
      <c r="S375" s="3"/>
      <c r="T375" s="3"/>
      <c r="U375" s="3"/>
      <c r="V375" s="3"/>
      <c r="W375" s="3"/>
      <c r="X375" s="3"/>
      <c r="Y375" s="3"/>
      <c r="Z375" s="3"/>
      <c r="AA375" s="3"/>
      <c r="AB375" s="3"/>
      <c r="AC375" s="3"/>
      <c r="AD375" s="3"/>
      <c r="BF375" s="7">
        <v>291</v>
      </c>
    </row>
    <row r="376" spans="1:58" s="7" customFormat="1" x14ac:dyDescent="0.25">
      <c r="A376" s="3"/>
      <c r="B376" s="3"/>
      <c r="C376" s="3"/>
      <c r="D376" s="3"/>
      <c r="E376" s="3"/>
      <c r="F376" s="3"/>
      <c r="G376" s="3"/>
      <c r="H376" s="3"/>
      <c r="I376" s="3"/>
      <c r="J376" s="3"/>
      <c r="K376" s="3"/>
      <c r="L376" s="3"/>
      <c r="M376" s="3"/>
      <c r="N376" s="3"/>
      <c r="O376" s="3"/>
      <c r="P376" s="3"/>
      <c r="Q376" s="3"/>
      <c r="R376" s="3"/>
      <c r="S376" s="3"/>
      <c r="T376" s="3"/>
      <c r="U376" s="3"/>
      <c r="V376" s="3"/>
      <c r="W376" s="3"/>
      <c r="X376" s="3"/>
      <c r="Y376" s="3"/>
      <c r="Z376" s="3"/>
      <c r="AA376" s="3"/>
      <c r="AB376" s="3"/>
      <c r="AC376" s="3"/>
      <c r="AD376" s="3"/>
      <c r="BF376" s="7">
        <v>292</v>
      </c>
    </row>
    <row r="377" spans="1:58" s="7" customFormat="1" x14ac:dyDescent="0.25">
      <c r="A377" s="3"/>
      <c r="B377" s="3"/>
      <c r="C377" s="3"/>
      <c r="D377" s="3"/>
      <c r="E377" s="3"/>
      <c r="F377" s="3"/>
      <c r="G377" s="3"/>
      <c r="H377" s="3"/>
      <c r="I377" s="3"/>
      <c r="J377" s="3"/>
      <c r="K377" s="3"/>
      <c r="L377" s="3"/>
      <c r="M377" s="3"/>
      <c r="N377" s="3"/>
      <c r="O377" s="3"/>
      <c r="P377" s="3"/>
      <c r="Q377" s="3"/>
      <c r="R377" s="3"/>
      <c r="S377" s="3"/>
      <c r="T377" s="3"/>
      <c r="U377" s="3"/>
      <c r="V377" s="3"/>
      <c r="W377" s="3"/>
      <c r="X377" s="3"/>
      <c r="Y377" s="3"/>
      <c r="Z377" s="3"/>
      <c r="AA377" s="3"/>
      <c r="AB377" s="3"/>
      <c r="AC377" s="3"/>
      <c r="AD377" s="3"/>
      <c r="BF377" s="7">
        <v>293</v>
      </c>
    </row>
    <row r="378" spans="1:58" s="7" customFormat="1" x14ac:dyDescent="0.25">
      <c r="A378" s="3"/>
      <c r="B378" s="3"/>
      <c r="C378" s="3"/>
      <c r="D378" s="3"/>
      <c r="E378" s="3"/>
      <c r="F378" s="3"/>
      <c r="G378" s="3"/>
      <c r="H378" s="3"/>
      <c r="I378" s="3"/>
      <c r="J378" s="3"/>
      <c r="K378" s="3"/>
      <c r="L378" s="3"/>
      <c r="M378" s="3"/>
      <c r="N378" s="3"/>
      <c r="O378" s="3"/>
      <c r="P378" s="3"/>
      <c r="Q378" s="3"/>
      <c r="R378" s="3"/>
      <c r="S378" s="3"/>
      <c r="T378" s="3"/>
      <c r="U378" s="3"/>
      <c r="V378" s="3"/>
      <c r="W378" s="3"/>
      <c r="X378" s="3"/>
      <c r="Y378" s="3"/>
      <c r="Z378" s="3"/>
      <c r="AA378" s="3"/>
      <c r="AB378" s="3"/>
      <c r="AC378" s="3"/>
      <c r="AD378" s="3"/>
      <c r="BF378" s="7">
        <v>294</v>
      </c>
    </row>
    <row r="379" spans="1:58" s="7" customFormat="1" x14ac:dyDescent="0.25">
      <c r="A379" s="3"/>
      <c r="B379" s="3"/>
      <c r="C379" s="3"/>
      <c r="D379" s="3"/>
      <c r="E379" s="3"/>
      <c r="F379" s="3"/>
      <c r="G379" s="3"/>
      <c r="H379" s="3"/>
      <c r="I379" s="3"/>
      <c r="J379" s="3"/>
      <c r="K379" s="3"/>
      <c r="L379" s="3"/>
      <c r="M379" s="3"/>
      <c r="N379" s="3"/>
      <c r="O379" s="3"/>
      <c r="P379" s="3"/>
      <c r="Q379" s="3"/>
      <c r="R379" s="3"/>
      <c r="S379" s="3"/>
      <c r="T379" s="3"/>
      <c r="U379" s="3"/>
      <c r="V379" s="3"/>
      <c r="W379" s="3"/>
      <c r="X379" s="3"/>
      <c r="Y379" s="3"/>
      <c r="Z379" s="3"/>
      <c r="AA379" s="3"/>
      <c r="AB379" s="3"/>
      <c r="AC379" s="3"/>
      <c r="AD379" s="3"/>
      <c r="BF379" s="7">
        <v>295</v>
      </c>
    </row>
    <row r="380" spans="1:58" s="7" customFormat="1" x14ac:dyDescent="0.25">
      <c r="A380" s="3"/>
      <c r="B380" s="3"/>
      <c r="C380" s="3"/>
      <c r="D380" s="3"/>
      <c r="E380" s="3"/>
      <c r="F380" s="3"/>
      <c r="G380" s="3"/>
      <c r="H380" s="3"/>
      <c r="I380" s="3"/>
      <c r="J380" s="3"/>
      <c r="K380" s="3"/>
      <c r="L380" s="3"/>
      <c r="M380" s="3"/>
      <c r="N380" s="3"/>
      <c r="O380" s="3"/>
      <c r="P380" s="3"/>
      <c r="Q380" s="3"/>
      <c r="R380" s="3"/>
      <c r="S380" s="3"/>
      <c r="T380" s="3"/>
      <c r="U380" s="3"/>
      <c r="V380" s="3"/>
      <c r="W380" s="3"/>
      <c r="X380" s="3"/>
      <c r="Y380" s="3"/>
      <c r="Z380" s="3"/>
      <c r="AA380" s="3"/>
      <c r="AB380" s="3"/>
      <c r="AC380" s="3"/>
      <c r="AD380" s="3"/>
      <c r="BF380" s="7">
        <v>296</v>
      </c>
    </row>
    <row r="381" spans="1:58" s="7" customFormat="1" x14ac:dyDescent="0.25">
      <c r="A381" s="3"/>
      <c r="B381" s="3"/>
      <c r="C381" s="3"/>
      <c r="D381" s="3"/>
      <c r="E381" s="3"/>
      <c r="F381" s="3"/>
      <c r="G381" s="3"/>
      <c r="H381" s="3"/>
      <c r="I381" s="3"/>
      <c r="J381" s="3"/>
      <c r="K381" s="3"/>
      <c r="L381" s="3"/>
      <c r="M381" s="3"/>
      <c r="N381" s="3"/>
      <c r="O381" s="3"/>
      <c r="P381" s="3"/>
      <c r="Q381" s="3"/>
      <c r="R381" s="3"/>
      <c r="S381" s="3"/>
      <c r="T381" s="3"/>
      <c r="U381" s="3"/>
      <c r="V381" s="3"/>
      <c r="W381" s="3"/>
      <c r="X381" s="3"/>
      <c r="Y381" s="3"/>
      <c r="Z381" s="3"/>
      <c r="AA381" s="3"/>
      <c r="AB381" s="3"/>
      <c r="AC381" s="3"/>
      <c r="AD381" s="3"/>
      <c r="BF381" s="7">
        <v>297</v>
      </c>
    </row>
    <row r="382" spans="1:58" s="7" customFormat="1" x14ac:dyDescent="0.25">
      <c r="A382" s="3"/>
      <c r="B382" s="3"/>
      <c r="C382" s="3"/>
      <c r="D382" s="3"/>
      <c r="E382" s="3"/>
      <c r="F382" s="3"/>
      <c r="G382" s="3"/>
      <c r="H382" s="3"/>
      <c r="I382" s="3"/>
      <c r="J382" s="3"/>
      <c r="K382" s="3"/>
      <c r="L382" s="3"/>
      <c r="M382" s="3"/>
      <c r="N382" s="3"/>
      <c r="O382" s="3"/>
      <c r="P382" s="3"/>
      <c r="Q382" s="3"/>
      <c r="R382" s="3"/>
      <c r="S382" s="3"/>
      <c r="T382" s="3"/>
      <c r="U382" s="3"/>
      <c r="V382" s="3"/>
      <c r="W382" s="3"/>
      <c r="X382" s="3"/>
      <c r="Y382" s="3"/>
      <c r="Z382" s="3"/>
      <c r="AA382" s="3"/>
      <c r="AB382" s="3"/>
      <c r="AC382" s="3"/>
      <c r="AD382" s="3"/>
      <c r="BF382" s="7">
        <v>298</v>
      </c>
    </row>
    <row r="383" spans="1:58" s="7" customFormat="1" x14ac:dyDescent="0.25">
      <c r="A383" s="3"/>
      <c r="B383" s="3"/>
      <c r="C383" s="3"/>
      <c r="D383" s="3"/>
      <c r="E383" s="3"/>
      <c r="F383" s="3"/>
      <c r="G383" s="3"/>
      <c r="H383" s="3"/>
      <c r="I383" s="3"/>
      <c r="J383" s="3"/>
      <c r="K383" s="3"/>
      <c r="L383" s="3"/>
      <c r="M383" s="3"/>
      <c r="N383" s="3"/>
      <c r="O383" s="3"/>
      <c r="P383" s="3"/>
      <c r="Q383" s="3"/>
      <c r="R383" s="3"/>
      <c r="S383" s="3"/>
      <c r="T383" s="3"/>
      <c r="U383" s="3"/>
      <c r="V383" s="3"/>
      <c r="W383" s="3"/>
      <c r="X383" s="3"/>
      <c r="Y383" s="3"/>
      <c r="Z383" s="3"/>
      <c r="AA383" s="3"/>
      <c r="AB383" s="3"/>
      <c r="AC383" s="3"/>
      <c r="AD383" s="3"/>
      <c r="BF383" s="7">
        <v>299</v>
      </c>
    </row>
    <row r="384" spans="1:58" s="7" customFormat="1" x14ac:dyDescent="0.25">
      <c r="A384" s="3"/>
      <c r="B384" s="3"/>
      <c r="C384" s="3"/>
      <c r="D384" s="3"/>
      <c r="E384" s="3"/>
      <c r="F384" s="3"/>
      <c r="G384" s="3"/>
      <c r="H384" s="3"/>
      <c r="I384" s="3"/>
      <c r="J384" s="3"/>
      <c r="K384" s="3"/>
      <c r="L384" s="3"/>
      <c r="M384" s="3"/>
      <c r="N384" s="3"/>
      <c r="O384" s="3"/>
      <c r="P384" s="3"/>
      <c r="Q384" s="3"/>
      <c r="R384" s="3"/>
      <c r="S384" s="3"/>
      <c r="T384" s="3"/>
      <c r="U384" s="3"/>
      <c r="V384" s="3"/>
      <c r="W384" s="3"/>
      <c r="X384" s="3"/>
      <c r="Y384" s="3"/>
      <c r="Z384" s="3"/>
      <c r="AA384" s="3"/>
      <c r="AB384" s="3"/>
      <c r="AC384" s="3"/>
      <c r="AD384" s="3"/>
      <c r="BF384" s="7">
        <v>300</v>
      </c>
    </row>
    <row r="385" spans="1:58" s="7" customFormat="1" x14ac:dyDescent="0.25">
      <c r="A385" s="3"/>
      <c r="B385" s="3"/>
      <c r="C385" s="3"/>
      <c r="D385" s="3"/>
      <c r="E385" s="3"/>
      <c r="F385" s="3"/>
      <c r="G385" s="3"/>
      <c r="H385" s="3"/>
      <c r="I385" s="3"/>
      <c r="J385" s="3"/>
      <c r="K385" s="3"/>
      <c r="L385" s="3"/>
      <c r="M385" s="3"/>
      <c r="N385" s="3"/>
      <c r="O385" s="3"/>
      <c r="P385" s="3"/>
      <c r="Q385" s="3"/>
      <c r="R385" s="3"/>
      <c r="S385" s="3"/>
      <c r="T385" s="3"/>
      <c r="U385" s="3"/>
      <c r="V385" s="3"/>
      <c r="W385" s="3"/>
      <c r="X385" s="3"/>
      <c r="Y385" s="3"/>
      <c r="Z385" s="3"/>
      <c r="AA385" s="3"/>
      <c r="AB385" s="3"/>
      <c r="AC385" s="3"/>
      <c r="AD385" s="3"/>
      <c r="BF385" s="7">
        <v>301</v>
      </c>
    </row>
    <row r="386" spans="1:58" s="7" customFormat="1" x14ac:dyDescent="0.25">
      <c r="A386" s="3"/>
      <c r="B386" s="3"/>
      <c r="C386" s="3"/>
      <c r="D386" s="3"/>
      <c r="E386" s="3"/>
      <c r="F386" s="3"/>
      <c r="G386" s="3"/>
      <c r="H386" s="3"/>
      <c r="I386" s="3"/>
      <c r="J386" s="3"/>
      <c r="K386" s="3"/>
      <c r="L386" s="3"/>
      <c r="M386" s="3"/>
      <c r="N386" s="3"/>
      <c r="O386" s="3"/>
      <c r="P386" s="3"/>
      <c r="Q386" s="3"/>
      <c r="R386" s="3"/>
      <c r="S386" s="3"/>
      <c r="T386" s="3"/>
      <c r="U386" s="3"/>
      <c r="V386" s="3"/>
      <c r="W386" s="3"/>
      <c r="X386" s="3"/>
      <c r="Y386" s="3"/>
      <c r="Z386" s="3"/>
      <c r="AA386" s="3"/>
      <c r="AB386" s="3"/>
      <c r="AC386" s="3"/>
      <c r="AD386" s="3"/>
      <c r="BF386" s="7">
        <v>302</v>
      </c>
    </row>
    <row r="387" spans="1:58" s="7" customFormat="1" x14ac:dyDescent="0.25">
      <c r="A387" s="3"/>
      <c r="B387" s="3"/>
      <c r="C387" s="3"/>
      <c r="D387" s="3"/>
      <c r="E387" s="3"/>
      <c r="F387" s="3"/>
      <c r="G387" s="3"/>
      <c r="H387" s="3"/>
      <c r="I387" s="3"/>
      <c r="J387" s="3"/>
      <c r="K387" s="3"/>
      <c r="L387" s="3"/>
      <c r="M387" s="3"/>
      <c r="N387" s="3"/>
      <c r="O387" s="3"/>
      <c r="P387" s="3"/>
      <c r="Q387" s="3"/>
      <c r="R387" s="3"/>
      <c r="S387" s="3"/>
      <c r="T387" s="3"/>
      <c r="U387" s="3"/>
      <c r="V387" s="3"/>
      <c r="W387" s="3"/>
      <c r="X387" s="3"/>
      <c r="Y387" s="3"/>
      <c r="Z387" s="3"/>
      <c r="AA387" s="3"/>
      <c r="AB387" s="3"/>
      <c r="AC387" s="3"/>
      <c r="AD387" s="3"/>
      <c r="BF387" s="7">
        <v>303</v>
      </c>
    </row>
    <row r="388" spans="1:58" s="7" customFormat="1" x14ac:dyDescent="0.25">
      <c r="A388" s="3"/>
      <c r="B388" s="3"/>
      <c r="C388" s="3"/>
      <c r="D388" s="3"/>
      <c r="E388" s="3"/>
      <c r="F388" s="3"/>
      <c r="G388" s="3"/>
      <c r="H388" s="3"/>
      <c r="I388" s="3"/>
      <c r="J388" s="3"/>
      <c r="K388" s="3"/>
      <c r="L388" s="3"/>
      <c r="M388" s="3"/>
      <c r="N388" s="3"/>
      <c r="O388" s="3"/>
      <c r="P388" s="3"/>
      <c r="Q388" s="3"/>
      <c r="R388" s="3"/>
      <c r="S388" s="3"/>
      <c r="T388" s="3"/>
      <c r="U388" s="3"/>
      <c r="V388" s="3"/>
      <c r="W388" s="3"/>
      <c r="X388" s="3"/>
      <c r="Y388" s="3"/>
      <c r="Z388" s="3"/>
      <c r="AA388" s="3"/>
      <c r="AB388" s="3"/>
      <c r="AC388" s="3"/>
      <c r="AD388" s="3"/>
      <c r="BF388" s="7">
        <v>304</v>
      </c>
    </row>
    <row r="389" spans="1:58" s="7" customFormat="1" x14ac:dyDescent="0.25">
      <c r="A389" s="3"/>
      <c r="B389" s="3"/>
      <c r="C389" s="3"/>
      <c r="D389" s="3"/>
      <c r="E389" s="3"/>
      <c r="F389" s="3"/>
      <c r="G389" s="3"/>
      <c r="H389" s="3"/>
      <c r="I389" s="3"/>
      <c r="J389" s="3"/>
      <c r="K389" s="3"/>
      <c r="L389" s="3"/>
      <c r="M389" s="3"/>
      <c r="N389" s="3"/>
      <c r="O389" s="3"/>
      <c r="P389" s="3"/>
      <c r="Q389" s="3"/>
      <c r="R389" s="3"/>
      <c r="S389" s="3"/>
      <c r="T389" s="3"/>
      <c r="U389" s="3"/>
      <c r="V389" s="3"/>
      <c r="W389" s="3"/>
      <c r="X389" s="3"/>
      <c r="Y389" s="3"/>
      <c r="Z389" s="3"/>
      <c r="AA389" s="3"/>
      <c r="AB389" s="3"/>
      <c r="AC389" s="3"/>
      <c r="AD389" s="3"/>
      <c r="BF389" s="7">
        <v>305</v>
      </c>
    </row>
    <row r="390" spans="1:58" s="7" customFormat="1" x14ac:dyDescent="0.25">
      <c r="A390" s="3"/>
      <c r="B390" s="3"/>
      <c r="C390" s="3"/>
      <c r="D390" s="3"/>
      <c r="E390" s="3"/>
      <c r="F390" s="3"/>
      <c r="G390" s="3"/>
      <c r="H390" s="3"/>
      <c r="I390" s="3"/>
      <c r="J390" s="3"/>
      <c r="K390" s="3"/>
      <c r="L390" s="3"/>
      <c r="M390" s="3"/>
      <c r="N390" s="3"/>
      <c r="O390" s="3"/>
      <c r="P390" s="3"/>
      <c r="Q390" s="3"/>
      <c r="R390" s="3"/>
      <c r="S390" s="3"/>
      <c r="T390" s="3"/>
      <c r="U390" s="3"/>
      <c r="V390" s="3"/>
      <c r="W390" s="3"/>
      <c r="X390" s="3"/>
      <c r="Y390" s="3"/>
      <c r="Z390" s="3"/>
      <c r="AA390" s="3"/>
      <c r="AB390" s="3"/>
      <c r="AC390" s="3"/>
      <c r="AD390" s="3"/>
      <c r="BF390" s="7">
        <v>306</v>
      </c>
    </row>
    <row r="391" spans="1:58" s="7" customFormat="1" x14ac:dyDescent="0.25">
      <c r="A391" s="3"/>
      <c r="B391" s="3"/>
      <c r="C391" s="3"/>
      <c r="D391" s="3"/>
      <c r="E391" s="3"/>
      <c r="F391" s="3"/>
      <c r="G391" s="3"/>
      <c r="H391" s="3"/>
      <c r="I391" s="3"/>
      <c r="J391" s="3"/>
      <c r="K391" s="3"/>
      <c r="L391" s="3"/>
      <c r="M391" s="3"/>
      <c r="N391" s="3"/>
      <c r="O391" s="3"/>
      <c r="P391" s="3"/>
      <c r="Q391" s="3"/>
      <c r="R391" s="3"/>
      <c r="S391" s="3"/>
      <c r="T391" s="3"/>
      <c r="U391" s="3"/>
      <c r="V391" s="3"/>
      <c r="W391" s="3"/>
      <c r="X391" s="3"/>
      <c r="Y391" s="3"/>
      <c r="Z391" s="3"/>
      <c r="AA391" s="3"/>
      <c r="AB391" s="3"/>
      <c r="AC391" s="3"/>
      <c r="AD391" s="3"/>
      <c r="BF391" s="7">
        <v>307</v>
      </c>
    </row>
    <row r="392" spans="1:58" s="7" customFormat="1" x14ac:dyDescent="0.25">
      <c r="A392" s="3"/>
      <c r="B392" s="3"/>
      <c r="C392" s="3"/>
      <c r="D392" s="3"/>
      <c r="E392" s="3"/>
      <c r="F392" s="3"/>
      <c r="G392" s="3"/>
      <c r="H392" s="3"/>
      <c r="I392" s="3"/>
      <c r="J392" s="3"/>
      <c r="K392" s="3"/>
      <c r="L392" s="3"/>
      <c r="M392" s="3"/>
      <c r="N392" s="3"/>
      <c r="O392" s="3"/>
      <c r="P392" s="3"/>
      <c r="Q392" s="3"/>
      <c r="R392" s="3"/>
      <c r="S392" s="3"/>
      <c r="T392" s="3"/>
      <c r="U392" s="3"/>
      <c r="V392" s="3"/>
      <c r="W392" s="3"/>
      <c r="X392" s="3"/>
      <c r="Y392" s="3"/>
      <c r="Z392" s="3"/>
      <c r="AA392" s="3"/>
      <c r="AB392" s="3"/>
      <c r="AC392" s="3"/>
      <c r="AD392" s="3"/>
      <c r="BF392" s="7">
        <v>308</v>
      </c>
    </row>
    <row r="393" spans="1:58" s="7" customFormat="1" x14ac:dyDescent="0.25">
      <c r="A393" s="3"/>
      <c r="B393" s="3"/>
      <c r="C393" s="3"/>
      <c r="D393" s="3"/>
      <c r="E393" s="3"/>
      <c r="F393" s="3"/>
      <c r="G393" s="3"/>
      <c r="H393" s="3"/>
      <c r="I393" s="3"/>
      <c r="J393" s="3"/>
      <c r="K393" s="3"/>
      <c r="L393" s="3"/>
      <c r="M393" s="3"/>
      <c r="N393" s="3"/>
      <c r="O393" s="3"/>
      <c r="P393" s="3"/>
      <c r="Q393" s="3"/>
      <c r="R393" s="3"/>
      <c r="S393" s="3"/>
      <c r="T393" s="3"/>
      <c r="U393" s="3"/>
      <c r="V393" s="3"/>
      <c r="W393" s="3"/>
      <c r="X393" s="3"/>
      <c r="Y393" s="3"/>
      <c r="Z393" s="3"/>
      <c r="AA393" s="3"/>
      <c r="AB393" s="3"/>
      <c r="AC393" s="3"/>
      <c r="AD393" s="3"/>
      <c r="BF393" s="7">
        <v>309</v>
      </c>
    </row>
    <row r="394" spans="1:58" s="7" customFormat="1" x14ac:dyDescent="0.25">
      <c r="A394" s="3"/>
      <c r="B394" s="3"/>
      <c r="C394" s="3"/>
      <c r="D394" s="3"/>
      <c r="E394" s="3"/>
      <c r="F394" s="3"/>
      <c r="G394" s="3"/>
      <c r="H394" s="3"/>
      <c r="I394" s="3"/>
      <c r="J394" s="3"/>
      <c r="K394" s="3"/>
      <c r="L394" s="3"/>
      <c r="M394" s="3"/>
      <c r="N394" s="3"/>
      <c r="O394" s="3"/>
      <c r="P394" s="3"/>
      <c r="Q394" s="3"/>
      <c r="R394" s="3"/>
      <c r="S394" s="3"/>
      <c r="T394" s="3"/>
      <c r="U394" s="3"/>
      <c r="V394" s="3"/>
      <c r="W394" s="3"/>
      <c r="X394" s="3"/>
      <c r="Y394" s="3"/>
      <c r="Z394" s="3"/>
      <c r="AA394" s="3"/>
      <c r="AB394" s="3"/>
      <c r="AC394" s="3"/>
      <c r="AD394" s="3"/>
      <c r="BF394" s="7">
        <v>310</v>
      </c>
    </row>
    <row r="395" spans="1:58" s="7" customFormat="1" x14ac:dyDescent="0.25">
      <c r="A395" s="3"/>
      <c r="B395" s="3"/>
      <c r="C395" s="3"/>
      <c r="D395" s="3"/>
      <c r="E395" s="3"/>
      <c r="F395" s="3"/>
      <c r="G395" s="3"/>
      <c r="H395" s="3"/>
      <c r="I395" s="3"/>
      <c r="J395" s="3"/>
      <c r="K395" s="3"/>
      <c r="L395" s="3"/>
      <c r="M395" s="3"/>
      <c r="N395" s="3"/>
      <c r="O395" s="3"/>
      <c r="P395" s="3"/>
      <c r="Q395" s="3"/>
      <c r="R395" s="3"/>
      <c r="S395" s="3"/>
      <c r="T395" s="3"/>
      <c r="U395" s="3"/>
      <c r="V395" s="3"/>
      <c r="W395" s="3"/>
      <c r="X395" s="3"/>
      <c r="Y395" s="3"/>
      <c r="Z395" s="3"/>
      <c r="AA395" s="3"/>
      <c r="AB395" s="3"/>
      <c r="AC395" s="3"/>
      <c r="AD395" s="3"/>
      <c r="BF395" s="7">
        <v>311</v>
      </c>
    </row>
    <row r="396" spans="1:58" s="7" customFormat="1" x14ac:dyDescent="0.25">
      <c r="A396" s="3"/>
      <c r="B396" s="3"/>
      <c r="C396" s="3"/>
      <c r="D396" s="3"/>
      <c r="E396" s="3"/>
      <c r="F396" s="3"/>
      <c r="G396" s="3"/>
      <c r="H396" s="3"/>
      <c r="I396" s="3"/>
      <c r="J396" s="3"/>
      <c r="K396" s="3"/>
      <c r="L396" s="3"/>
      <c r="M396" s="3"/>
      <c r="N396" s="3"/>
      <c r="O396" s="3"/>
      <c r="P396" s="3"/>
      <c r="Q396" s="3"/>
      <c r="R396" s="3"/>
      <c r="S396" s="3"/>
      <c r="T396" s="3"/>
      <c r="U396" s="3"/>
      <c r="V396" s="3"/>
      <c r="W396" s="3"/>
      <c r="X396" s="3"/>
      <c r="Y396" s="3"/>
      <c r="Z396" s="3"/>
      <c r="AA396" s="3"/>
      <c r="AB396" s="3"/>
      <c r="AC396" s="3"/>
      <c r="AD396" s="3"/>
      <c r="BF396" s="7">
        <v>312</v>
      </c>
    </row>
    <row r="397" spans="1:58" s="7" customFormat="1" x14ac:dyDescent="0.25">
      <c r="A397" s="3"/>
      <c r="B397" s="3"/>
      <c r="C397" s="3"/>
      <c r="D397" s="3"/>
      <c r="E397" s="3"/>
      <c r="F397" s="3"/>
      <c r="G397" s="3"/>
      <c r="H397" s="3"/>
      <c r="I397" s="3"/>
      <c r="J397" s="3"/>
      <c r="K397" s="3"/>
      <c r="L397" s="3"/>
      <c r="M397" s="3"/>
      <c r="N397" s="3"/>
      <c r="O397" s="3"/>
      <c r="P397" s="3"/>
      <c r="Q397" s="3"/>
      <c r="R397" s="3"/>
      <c r="S397" s="3"/>
      <c r="T397" s="3"/>
      <c r="U397" s="3"/>
      <c r="V397" s="3"/>
      <c r="W397" s="3"/>
      <c r="X397" s="3"/>
      <c r="Y397" s="3"/>
      <c r="Z397" s="3"/>
      <c r="AA397" s="3"/>
      <c r="AB397" s="3"/>
      <c r="AC397" s="3"/>
      <c r="AD397" s="3"/>
      <c r="BF397" s="7">
        <v>313</v>
      </c>
    </row>
    <row r="398" spans="1:58" s="7" customFormat="1" x14ac:dyDescent="0.25">
      <c r="A398" s="3"/>
      <c r="B398" s="3"/>
      <c r="C398" s="3"/>
      <c r="D398" s="3"/>
      <c r="E398" s="3"/>
      <c r="F398" s="3"/>
      <c r="G398" s="3"/>
      <c r="H398" s="3"/>
      <c r="I398" s="3"/>
      <c r="J398" s="3"/>
      <c r="K398" s="3"/>
      <c r="L398" s="3"/>
      <c r="M398" s="3"/>
      <c r="N398" s="3"/>
      <c r="O398" s="3"/>
      <c r="P398" s="3"/>
      <c r="Q398" s="3"/>
      <c r="R398" s="3"/>
      <c r="S398" s="3"/>
      <c r="T398" s="3"/>
      <c r="U398" s="3"/>
      <c r="V398" s="3"/>
      <c r="W398" s="3"/>
      <c r="X398" s="3"/>
      <c r="Y398" s="3"/>
      <c r="Z398" s="3"/>
      <c r="AA398" s="3"/>
      <c r="AB398" s="3"/>
      <c r="AC398" s="3"/>
      <c r="AD398" s="3"/>
      <c r="BF398" s="7">
        <v>314</v>
      </c>
    </row>
    <row r="399" spans="1:58" s="7" customFormat="1" x14ac:dyDescent="0.25">
      <c r="A399" s="3"/>
      <c r="B399" s="3"/>
      <c r="C399" s="3"/>
      <c r="D399" s="3"/>
      <c r="E399" s="3"/>
      <c r="F399" s="3"/>
      <c r="G399" s="3"/>
      <c r="H399" s="3"/>
      <c r="I399" s="3"/>
      <c r="J399" s="3"/>
      <c r="K399" s="3"/>
      <c r="L399" s="3"/>
      <c r="M399" s="3"/>
      <c r="N399" s="3"/>
      <c r="O399" s="3"/>
      <c r="P399" s="3"/>
      <c r="Q399" s="3"/>
      <c r="R399" s="3"/>
      <c r="S399" s="3"/>
      <c r="T399" s="3"/>
      <c r="U399" s="3"/>
      <c r="V399" s="3"/>
      <c r="W399" s="3"/>
      <c r="X399" s="3"/>
      <c r="Y399" s="3"/>
      <c r="Z399" s="3"/>
      <c r="AA399" s="3"/>
      <c r="AB399" s="3"/>
      <c r="AC399" s="3"/>
      <c r="AD399" s="3"/>
      <c r="BF399" s="7">
        <v>315</v>
      </c>
    </row>
    <row r="400" spans="1:58" s="7" customFormat="1" x14ac:dyDescent="0.25">
      <c r="A400" s="3"/>
      <c r="B400" s="3"/>
      <c r="C400" s="3"/>
      <c r="D400" s="3"/>
      <c r="E400" s="3"/>
      <c r="F400" s="3"/>
      <c r="G400" s="3"/>
      <c r="H400" s="3"/>
      <c r="I400" s="3"/>
      <c r="J400" s="3"/>
      <c r="K400" s="3"/>
      <c r="L400" s="3"/>
      <c r="M400" s="3"/>
      <c r="N400" s="3"/>
      <c r="O400" s="3"/>
      <c r="P400" s="3"/>
      <c r="Q400" s="3"/>
      <c r="R400" s="3"/>
      <c r="S400" s="3"/>
      <c r="T400" s="3"/>
      <c r="U400" s="3"/>
      <c r="V400" s="3"/>
      <c r="W400" s="3"/>
      <c r="X400" s="3"/>
      <c r="Y400" s="3"/>
      <c r="Z400" s="3"/>
      <c r="AA400" s="3"/>
      <c r="AB400" s="3"/>
      <c r="AC400" s="3"/>
      <c r="AD400" s="3"/>
      <c r="BF400" s="7">
        <v>316</v>
      </c>
    </row>
    <row r="401" spans="1:58" s="7" customFormat="1" x14ac:dyDescent="0.25">
      <c r="A401" s="3"/>
      <c r="B401" s="3"/>
      <c r="C401" s="3"/>
      <c r="D401" s="3"/>
      <c r="E401" s="3"/>
      <c r="F401" s="3"/>
      <c r="G401" s="3"/>
      <c r="H401" s="3"/>
      <c r="I401" s="3"/>
      <c r="J401" s="3"/>
      <c r="K401" s="3"/>
      <c r="L401" s="3"/>
      <c r="M401" s="3"/>
      <c r="N401" s="3"/>
      <c r="O401" s="3"/>
      <c r="P401" s="3"/>
      <c r="Q401" s="3"/>
      <c r="R401" s="3"/>
      <c r="S401" s="3"/>
      <c r="T401" s="3"/>
      <c r="U401" s="3"/>
      <c r="V401" s="3"/>
      <c r="W401" s="3"/>
      <c r="X401" s="3"/>
      <c r="Y401" s="3"/>
      <c r="Z401" s="3"/>
      <c r="AA401" s="3"/>
      <c r="AB401" s="3"/>
      <c r="AC401" s="3"/>
      <c r="AD401" s="3"/>
      <c r="BF401" s="7">
        <v>317</v>
      </c>
    </row>
    <row r="402" spans="1:58" s="7" customFormat="1" x14ac:dyDescent="0.25">
      <c r="A402" s="3"/>
      <c r="B402" s="3"/>
      <c r="C402" s="3"/>
      <c r="D402" s="3"/>
      <c r="E402" s="3"/>
      <c r="F402" s="3"/>
      <c r="G402" s="3"/>
      <c r="H402" s="3"/>
      <c r="I402" s="3"/>
      <c r="J402" s="3"/>
      <c r="K402" s="3"/>
      <c r="L402" s="3"/>
      <c r="M402" s="3"/>
      <c r="N402" s="3"/>
      <c r="O402" s="3"/>
      <c r="P402" s="3"/>
      <c r="Q402" s="3"/>
      <c r="R402" s="3"/>
      <c r="S402" s="3"/>
      <c r="T402" s="3"/>
      <c r="U402" s="3"/>
      <c r="V402" s="3"/>
      <c r="W402" s="3"/>
      <c r="X402" s="3"/>
      <c r="Y402" s="3"/>
      <c r="Z402" s="3"/>
      <c r="AA402" s="3"/>
      <c r="AB402" s="3"/>
      <c r="AC402" s="3"/>
      <c r="AD402" s="3"/>
      <c r="BF402" s="7">
        <v>318</v>
      </c>
    </row>
    <row r="403" spans="1:58" s="7" customFormat="1" x14ac:dyDescent="0.25">
      <c r="A403" s="3"/>
      <c r="B403" s="3"/>
      <c r="C403" s="3"/>
      <c r="D403" s="3"/>
      <c r="E403" s="3"/>
      <c r="F403" s="3"/>
      <c r="G403" s="3"/>
      <c r="H403" s="3"/>
      <c r="I403" s="3"/>
      <c r="J403" s="3"/>
      <c r="K403" s="3"/>
      <c r="L403" s="3"/>
      <c r="M403" s="3"/>
      <c r="N403" s="3"/>
      <c r="O403" s="3"/>
      <c r="P403" s="3"/>
      <c r="Q403" s="3"/>
      <c r="R403" s="3"/>
      <c r="S403" s="3"/>
      <c r="T403" s="3"/>
      <c r="U403" s="3"/>
      <c r="V403" s="3"/>
      <c r="W403" s="3"/>
      <c r="X403" s="3"/>
      <c r="Y403" s="3"/>
      <c r="Z403" s="3"/>
      <c r="AA403" s="3"/>
      <c r="AB403" s="3"/>
      <c r="AC403" s="3"/>
      <c r="AD403" s="3"/>
      <c r="BF403" s="7">
        <v>319</v>
      </c>
    </row>
    <row r="404" spans="1:58" s="7" customFormat="1" x14ac:dyDescent="0.25">
      <c r="A404" s="3"/>
      <c r="B404" s="3"/>
      <c r="C404" s="3"/>
      <c r="D404" s="3"/>
      <c r="E404" s="3"/>
      <c r="F404" s="3"/>
      <c r="G404" s="3"/>
      <c r="H404" s="3"/>
      <c r="I404" s="3"/>
      <c r="J404" s="3"/>
      <c r="K404" s="3"/>
      <c r="L404" s="3"/>
      <c r="M404" s="3"/>
      <c r="N404" s="3"/>
      <c r="O404" s="3"/>
      <c r="P404" s="3"/>
      <c r="Q404" s="3"/>
      <c r="R404" s="3"/>
      <c r="S404" s="3"/>
      <c r="T404" s="3"/>
      <c r="U404" s="3"/>
      <c r="V404" s="3"/>
      <c r="W404" s="3"/>
      <c r="X404" s="3"/>
      <c r="Y404" s="3"/>
      <c r="Z404" s="3"/>
      <c r="AA404" s="3"/>
      <c r="AB404" s="3"/>
      <c r="AC404" s="3"/>
      <c r="AD404" s="3"/>
      <c r="BF404" s="7">
        <v>320</v>
      </c>
    </row>
    <row r="405" spans="1:58" s="7" customFormat="1" x14ac:dyDescent="0.25">
      <c r="A405" s="3"/>
      <c r="B405" s="3"/>
      <c r="C405" s="3"/>
      <c r="D405" s="3"/>
      <c r="E405" s="3"/>
      <c r="F405" s="3"/>
      <c r="G405" s="3"/>
      <c r="H405" s="3"/>
      <c r="I405" s="3"/>
      <c r="J405" s="3"/>
      <c r="K405" s="3"/>
      <c r="L405" s="3"/>
      <c r="M405" s="3"/>
      <c r="N405" s="3"/>
      <c r="O405" s="3"/>
      <c r="P405" s="3"/>
      <c r="Q405" s="3"/>
      <c r="R405" s="3"/>
      <c r="S405" s="3"/>
      <c r="T405" s="3"/>
      <c r="U405" s="3"/>
      <c r="V405" s="3"/>
      <c r="W405" s="3"/>
      <c r="X405" s="3"/>
      <c r="Y405" s="3"/>
      <c r="Z405" s="3"/>
      <c r="AA405" s="3"/>
      <c r="AB405" s="3"/>
      <c r="AC405" s="3"/>
      <c r="AD405" s="3"/>
      <c r="BF405" s="7">
        <v>321</v>
      </c>
    </row>
    <row r="406" spans="1:58" s="7" customFormat="1" x14ac:dyDescent="0.25">
      <c r="A406" s="3"/>
      <c r="B406" s="3"/>
      <c r="C406" s="3"/>
      <c r="D406" s="3"/>
      <c r="E406" s="3"/>
      <c r="F406" s="3"/>
      <c r="G406" s="3"/>
      <c r="H406" s="3"/>
      <c r="I406" s="3"/>
      <c r="J406" s="3"/>
      <c r="K406" s="3"/>
      <c r="L406" s="3"/>
      <c r="M406" s="3"/>
      <c r="N406" s="3"/>
      <c r="O406" s="3"/>
      <c r="P406" s="3"/>
      <c r="Q406" s="3"/>
      <c r="R406" s="3"/>
      <c r="S406" s="3"/>
      <c r="T406" s="3"/>
      <c r="U406" s="3"/>
      <c r="V406" s="3"/>
      <c r="W406" s="3"/>
      <c r="X406" s="3"/>
      <c r="Y406" s="3"/>
      <c r="Z406" s="3"/>
      <c r="AA406" s="3"/>
      <c r="AB406" s="3"/>
      <c r="AC406" s="3"/>
      <c r="AD406" s="3"/>
      <c r="BF406" s="7">
        <v>322</v>
      </c>
    </row>
    <row r="407" spans="1:58" s="7" customFormat="1" x14ac:dyDescent="0.25">
      <c r="A407" s="3"/>
      <c r="B407" s="3"/>
      <c r="C407" s="3"/>
      <c r="D407" s="3"/>
      <c r="E407" s="3"/>
      <c r="F407" s="3"/>
      <c r="G407" s="3"/>
      <c r="H407" s="3"/>
      <c r="I407" s="3"/>
      <c r="J407" s="3"/>
      <c r="K407" s="3"/>
      <c r="L407" s="3"/>
      <c r="M407" s="3"/>
      <c r="N407" s="3"/>
      <c r="O407" s="3"/>
      <c r="P407" s="3"/>
      <c r="Q407" s="3"/>
      <c r="R407" s="3"/>
      <c r="S407" s="3"/>
      <c r="T407" s="3"/>
      <c r="U407" s="3"/>
      <c r="V407" s="3"/>
      <c r="W407" s="3"/>
      <c r="X407" s="3"/>
      <c r="Y407" s="3"/>
      <c r="Z407" s="3"/>
      <c r="AA407" s="3"/>
      <c r="AB407" s="3"/>
      <c r="AC407" s="3"/>
      <c r="AD407" s="3"/>
      <c r="BF407" s="7">
        <v>323</v>
      </c>
    </row>
    <row r="408" spans="1:58" s="7" customFormat="1" x14ac:dyDescent="0.25">
      <c r="A408" s="3"/>
      <c r="B408" s="3"/>
      <c r="C408" s="3"/>
      <c r="D408" s="3"/>
      <c r="E408" s="3"/>
      <c r="F408" s="3"/>
      <c r="G408" s="3"/>
      <c r="H408" s="3"/>
      <c r="I408" s="3"/>
      <c r="J408" s="3"/>
      <c r="K408" s="3"/>
      <c r="L408" s="3"/>
      <c r="M408" s="3"/>
      <c r="N408" s="3"/>
      <c r="O408" s="3"/>
      <c r="P408" s="3"/>
      <c r="Q408" s="3"/>
      <c r="R408" s="3"/>
      <c r="S408" s="3"/>
      <c r="T408" s="3"/>
      <c r="U408" s="3"/>
      <c r="V408" s="3"/>
      <c r="W408" s="3"/>
      <c r="X408" s="3"/>
      <c r="Y408" s="3"/>
      <c r="Z408" s="3"/>
      <c r="AA408" s="3"/>
      <c r="AB408" s="3"/>
      <c r="AC408" s="3"/>
      <c r="AD408" s="3"/>
      <c r="BF408" s="7">
        <v>324</v>
      </c>
    </row>
    <row r="409" spans="1:58" s="7" customFormat="1" x14ac:dyDescent="0.25">
      <c r="A409" s="3"/>
      <c r="B409" s="3"/>
      <c r="C409" s="3"/>
      <c r="D409" s="3"/>
      <c r="E409" s="3"/>
      <c r="F409" s="3"/>
      <c r="G409" s="3"/>
      <c r="H409" s="3"/>
      <c r="I409" s="3"/>
      <c r="J409" s="3"/>
      <c r="K409" s="3"/>
      <c r="L409" s="3"/>
      <c r="M409" s="3"/>
      <c r="N409" s="3"/>
      <c r="O409" s="3"/>
      <c r="P409" s="3"/>
      <c r="Q409" s="3"/>
      <c r="R409" s="3"/>
      <c r="S409" s="3"/>
      <c r="T409" s="3"/>
      <c r="U409" s="3"/>
      <c r="V409" s="3"/>
      <c r="W409" s="3"/>
      <c r="X409" s="3"/>
      <c r="Y409" s="3"/>
      <c r="Z409" s="3"/>
      <c r="AA409" s="3"/>
      <c r="AB409" s="3"/>
      <c r="AC409" s="3"/>
      <c r="AD409" s="3"/>
      <c r="BF409" s="7">
        <v>325</v>
      </c>
    </row>
    <row r="410" spans="1:58" s="7" customFormat="1" x14ac:dyDescent="0.25">
      <c r="A410" s="3"/>
      <c r="B410" s="3"/>
      <c r="C410" s="3"/>
      <c r="D410" s="3"/>
      <c r="E410" s="3"/>
      <c r="F410" s="3"/>
      <c r="G410" s="3"/>
      <c r="H410" s="3"/>
      <c r="I410" s="3"/>
      <c r="J410" s="3"/>
      <c r="K410" s="3"/>
      <c r="L410" s="3"/>
      <c r="M410" s="3"/>
      <c r="N410" s="3"/>
      <c r="O410" s="3"/>
      <c r="P410" s="3"/>
      <c r="Q410" s="3"/>
      <c r="R410" s="3"/>
      <c r="S410" s="3"/>
      <c r="T410" s="3"/>
      <c r="U410" s="3"/>
      <c r="V410" s="3"/>
      <c r="W410" s="3"/>
      <c r="X410" s="3"/>
      <c r="Y410" s="3"/>
      <c r="Z410" s="3"/>
      <c r="AA410" s="3"/>
      <c r="AB410" s="3"/>
      <c r="AC410" s="3"/>
      <c r="AD410" s="3"/>
      <c r="BF410" s="7">
        <v>326</v>
      </c>
    </row>
    <row r="411" spans="1:58" s="7" customFormat="1" x14ac:dyDescent="0.25">
      <c r="A411" s="3"/>
      <c r="B411" s="3"/>
      <c r="C411" s="3"/>
      <c r="D411" s="3"/>
      <c r="E411" s="3"/>
      <c r="F411" s="3"/>
      <c r="G411" s="3"/>
      <c r="H411" s="3"/>
      <c r="I411" s="3"/>
      <c r="J411" s="3"/>
      <c r="K411" s="3"/>
      <c r="L411" s="3"/>
      <c r="M411" s="3"/>
      <c r="N411" s="3"/>
      <c r="O411" s="3"/>
      <c r="P411" s="3"/>
      <c r="Q411" s="3"/>
      <c r="R411" s="3"/>
      <c r="S411" s="3"/>
      <c r="T411" s="3"/>
      <c r="U411" s="3"/>
      <c r="V411" s="3"/>
      <c r="W411" s="3"/>
      <c r="X411" s="3"/>
      <c r="Y411" s="3"/>
      <c r="Z411" s="3"/>
      <c r="AA411" s="3"/>
      <c r="AB411" s="3"/>
      <c r="AC411" s="3"/>
      <c r="AD411" s="3"/>
      <c r="BF411" s="7">
        <v>327</v>
      </c>
    </row>
    <row r="412" spans="1:58" s="7" customFormat="1" x14ac:dyDescent="0.25">
      <c r="A412" s="3"/>
      <c r="B412" s="3"/>
      <c r="C412" s="3"/>
      <c r="D412" s="3"/>
      <c r="E412" s="3"/>
      <c r="F412" s="3"/>
      <c r="G412" s="3"/>
      <c r="H412" s="3"/>
      <c r="I412" s="3"/>
      <c r="J412" s="3"/>
      <c r="K412" s="3"/>
      <c r="L412" s="3"/>
      <c r="M412" s="3"/>
      <c r="N412" s="3"/>
      <c r="O412" s="3"/>
      <c r="P412" s="3"/>
      <c r="Q412" s="3"/>
      <c r="R412" s="3"/>
      <c r="S412" s="3"/>
      <c r="T412" s="3"/>
      <c r="U412" s="3"/>
      <c r="V412" s="3"/>
      <c r="W412" s="3"/>
      <c r="X412" s="3"/>
      <c r="Y412" s="3"/>
      <c r="Z412" s="3"/>
      <c r="AA412" s="3"/>
      <c r="AB412" s="3"/>
      <c r="AC412" s="3"/>
      <c r="AD412" s="3"/>
      <c r="BF412" s="7">
        <v>328</v>
      </c>
    </row>
    <row r="413" spans="1:58" s="7" customFormat="1" x14ac:dyDescent="0.25">
      <c r="A413" s="3"/>
      <c r="B413" s="3"/>
      <c r="C413" s="3"/>
      <c r="D413" s="3"/>
      <c r="E413" s="3"/>
      <c r="F413" s="3"/>
      <c r="G413" s="3"/>
      <c r="H413" s="3"/>
      <c r="I413" s="3"/>
      <c r="J413" s="3"/>
      <c r="K413" s="3"/>
      <c r="L413" s="3"/>
      <c r="M413" s="3"/>
      <c r="N413" s="3"/>
      <c r="O413" s="3"/>
      <c r="P413" s="3"/>
      <c r="Q413" s="3"/>
      <c r="R413" s="3"/>
      <c r="S413" s="3"/>
      <c r="T413" s="3"/>
      <c r="U413" s="3"/>
      <c r="V413" s="3"/>
      <c r="W413" s="3"/>
      <c r="X413" s="3"/>
      <c r="Y413" s="3"/>
      <c r="Z413" s="3"/>
      <c r="AA413" s="3"/>
      <c r="AB413" s="3"/>
      <c r="AC413" s="3"/>
      <c r="AD413" s="3"/>
      <c r="BF413" s="7">
        <v>329</v>
      </c>
    </row>
    <row r="414" spans="1:58" s="7" customFormat="1" x14ac:dyDescent="0.25">
      <c r="A414" s="3"/>
      <c r="B414" s="3"/>
      <c r="C414" s="3"/>
      <c r="D414" s="3"/>
      <c r="E414" s="3"/>
      <c r="F414" s="3"/>
      <c r="G414" s="3"/>
      <c r="H414" s="3"/>
      <c r="I414" s="3"/>
      <c r="J414" s="3"/>
      <c r="K414" s="3"/>
      <c r="L414" s="3"/>
      <c r="M414" s="3"/>
      <c r="N414" s="3"/>
      <c r="O414" s="3"/>
      <c r="P414" s="3"/>
      <c r="Q414" s="3"/>
      <c r="R414" s="3"/>
      <c r="S414" s="3"/>
      <c r="T414" s="3"/>
      <c r="U414" s="3"/>
      <c r="V414" s="3"/>
      <c r="W414" s="3"/>
      <c r="X414" s="3"/>
      <c r="Y414" s="3"/>
      <c r="Z414" s="3"/>
      <c r="AA414" s="3"/>
      <c r="AB414" s="3"/>
      <c r="AC414" s="3"/>
      <c r="AD414" s="3"/>
      <c r="BF414" s="7">
        <v>330</v>
      </c>
    </row>
    <row r="415" spans="1:58" s="7" customFormat="1" x14ac:dyDescent="0.25">
      <c r="A415" s="3"/>
      <c r="B415" s="3"/>
      <c r="C415" s="3"/>
      <c r="D415" s="3"/>
      <c r="E415" s="3"/>
      <c r="F415" s="3"/>
      <c r="G415" s="3"/>
      <c r="H415" s="3"/>
      <c r="I415" s="3"/>
      <c r="J415" s="3"/>
      <c r="K415" s="3"/>
      <c r="L415" s="3"/>
      <c r="M415" s="3"/>
      <c r="N415" s="3"/>
      <c r="O415" s="3"/>
      <c r="P415" s="3"/>
      <c r="Q415" s="3"/>
      <c r="R415" s="3"/>
      <c r="S415" s="3"/>
      <c r="T415" s="3"/>
      <c r="U415" s="3"/>
      <c r="V415" s="3"/>
      <c r="W415" s="3"/>
      <c r="X415" s="3"/>
      <c r="Y415" s="3"/>
      <c r="Z415" s="3"/>
      <c r="AA415" s="3"/>
      <c r="AB415" s="3"/>
      <c r="AC415" s="3"/>
      <c r="AD415" s="3"/>
      <c r="BF415" s="7">
        <v>331</v>
      </c>
    </row>
    <row r="416" spans="1:58" s="7" customFormat="1" x14ac:dyDescent="0.25">
      <c r="A416" s="3"/>
      <c r="B416" s="3"/>
      <c r="C416" s="3"/>
      <c r="D416" s="3"/>
      <c r="E416" s="3"/>
      <c r="F416" s="3"/>
      <c r="G416" s="3"/>
      <c r="H416" s="3"/>
      <c r="I416" s="3"/>
      <c r="J416" s="3"/>
      <c r="K416" s="3"/>
      <c r="L416" s="3"/>
      <c r="M416" s="3"/>
      <c r="N416" s="3"/>
      <c r="O416" s="3"/>
      <c r="P416" s="3"/>
      <c r="Q416" s="3"/>
      <c r="R416" s="3"/>
      <c r="S416" s="3"/>
      <c r="T416" s="3"/>
      <c r="U416" s="3"/>
      <c r="V416" s="3"/>
      <c r="W416" s="3"/>
      <c r="X416" s="3"/>
      <c r="Y416" s="3"/>
      <c r="Z416" s="3"/>
      <c r="AA416" s="3"/>
      <c r="AB416" s="3"/>
      <c r="AC416" s="3"/>
      <c r="AD416" s="3"/>
      <c r="BF416" s="7">
        <v>332</v>
      </c>
    </row>
    <row r="417" spans="1:58" s="7" customFormat="1" x14ac:dyDescent="0.25">
      <c r="A417" s="3"/>
      <c r="B417" s="3"/>
      <c r="C417" s="3"/>
      <c r="D417" s="3"/>
      <c r="E417" s="3"/>
      <c r="F417" s="3"/>
      <c r="G417" s="3"/>
      <c r="H417" s="3"/>
      <c r="I417" s="3"/>
      <c r="J417" s="3"/>
      <c r="K417" s="3"/>
      <c r="L417" s="3"/>
      <c r="M417" s="3"/>
      <c r="N417" s="3"/>
      <c r="O417" s="3"/>
      <c r="P417" s="3"/>
      <c r="Q417" s="3"/>
      <c r="R417" s="3"/>
      <c r="S417" s="3"/>
      <c r="T417" s="3"/>
      <c r="U417" s="3"/>
      <c r="V417" s="3"/>
      <c r="W417" s="3"/>
      <c r="X417" s="3"/>
      <c r="Y417" s="3"/>
      <c r="Z417" s="3"/>
      <c r="AA417" s="3"/>
      <c r="AB417" s="3"/>
      <c r="AC417" s="3"/>
      <c r="AD417" s="3"/>
      <c r="BF417" s="7">
        <v>333</v>
      </c>
    </row>
    <row r="418" spans="1:58" s="7" customFormat="1" x14ac:dyDescent="0.25">
      <c r="A418" s="3"/>
      <c r="B418" s="3"/>
      <c r="C418" s="3"/>
      <c r="D418" s="3"/>
      <c r="E418" s="3"/>
      <c r="F418" s="3"/>
      <c r="G418" s="3"/>
      <c r="H418" s="3"/>
      <c r="I418" s="3"/>
      <c r="J418" s="3"/>
      <c r="K418" s="3"/>
      <c r="L418" s="3"/>
      <c r="M418" s="3"/>
      <c r="N418" s="3"/>
      <c r="O418" s="3"/>
      <c r="P418" s="3"/>
      <c r="Q418" s="3"/>
      <c r="R418" s="3"/>
      <c r="S418" s="3"/>
      <c r="T418" s="3"/>
      <c r="U418" s="3"/>
      <c r="V418" s="3"/>
      <c r="W418" s="3"/>
      <c r="X418" s="3"/>
      <c r="Y418" s="3"/>
      <c r="Z418" s="3"/>
      <c r="AA418" s="3"/>
      <c r="AB418" s="3"/>
      <c r="AC418" s="3"/>
      <c r="AD418" s="3"/>
      <c r="BF418" s="7">
        <v>334</v>
      </c>
    </row>
    <row r="419" spans="1:58" s="7" customFormat="1" x14ac:dyDescent="0.25">
      <c r="A419" s="3"/>
      <c r="B419" s="3"/>
      <c r="C419" s="3"/>
      <c r="D419" s="3"/>
      <c r="E419" s="3"/>
      <c r="F419" s="3"/>
      <c r="G419" s="3"/>
      <c r="H419" s="3"/>
      <c r="I419" s="3"/>
      <c r="J419" s="3"/>
      <c r="K419" s="3"/>
      <c r="L419" s="3"/>
      <c r="M419" s="3"/>
      <c r="N419" s="3"/>
      <c r="O419" s="3"/>
      <c r="P419" s="3"/>
      <c r="Q419" s="3"/>
      <c r="R419" s="3"/>
      <c r="S419" s="3"/>
      <c r="T419" s="3"/>
      <c r="U419" s="3"/>
      <c r="V419" s="3"/>
      <c r="W419" s="3"/>
      <c r="X419" s="3"/>
      <c r="Y419" s="3"/>
      <c r="Z419" s="3"/>
      <c r="AA419" s="3"/>
      <c r="AB419" s="3"/>
      <c r="AC419" s="3"/>
      <c r="AD419" s="3"/>
      <c r="BF419" s="7">
        <v>335</v>
      </c>
    </row>
    <row r="420" spans="1:58" s="7" customFormat="1" x14ac:dyDescent="0.25">
      <c r="A420" s="3"/>
      <c r="B420" s="3"/>
      <c r="C420" s="3"/>
      <c r="D420" s="3"/>
      <c r="E420" s="3"/>
      <c r="F420" s="3"/>
      <c r="G420" s="3"/>
      <c r="H420" s="3"/>
      <c r="I420" s="3"/>
      <c r="J420" s="3"/>
      <c r="K420" s="3"/>
      <c r="L420" s="3"/>
      <c r="M420" s="3"/>
      <c r="N420" s="3"/>
      <c r="O420" s="3"/>
      <c r="P420" s="3"/>
      <c r="Q420" s="3"/>
      <c r="R420" s="3"/>
      <c r="S420" s="3"/>
      <c r="T420" s="3"/>
      <c r="U420" s="3"/>
      <c r="V420" s="3"/>
      <c r="W420" s="3"/>
      <c r="X420" s="3"/>
      <c r="Y420" s="3"/>
      <c r="Z420" s="3"/>
      <c r="AA420" s="3"/>
      <c r="AB420" s="3"/>
      <c r="AC420" s="3"/>
      <c r="AD420" s="3"/>
      <c r="BF420" s="7">
        <v>336</v>
      </c>
    </row>
    <row r="421" spans="1:58" s="7" customFormat="1" x14ac:dyDescent="0.25">
      <c r="A421" s="3"/>
      <c r="B421" s="3"/>
      <c r="C421" s="3"/>
      <c r="D421" s="3"/>
      <c r="E421" s="3"/>
      <c r="F421" s="3"/>
      <c r="G421" s="3"/>
      <c r="H421" s="3"/>
      <c r="I421" s="3"/>
      <c r="J421" s="3"/>
      <c r="K421" s="3"/>
      <c r="L421" s="3"/>
      <c r="M421" s="3"/>
      <c r="N421" s="3"/>
      <c r="O421" s="3"/>
      <c r="P421" s="3"/>
      <c r="Q421" s="3"/>
      <c r="R421" s="3"/>
      <c r="S421" s="3"/>
      <c r="T421" s="3"/>
      <c r="U421" s="3"/>
      <c r="V421" s="3"/>
      <c r="W421" s="3"/>
      <c r="X421" s="3"/>
      <c r="Y421" s="3"/>
      <c r="Z421" s="3"/>
      <c r="AA421" s="3"/>
      <c r="AB421" s="3"/>
      <c r="AC421" s="3"/>
      <c r="AD421" s="3"/>
      <c r="BF421" s="7">
        <v>337</v>
      </c>
    </row>
    <row r="422" spans="1:58" s="7" customFormat="1" x14ac:dyDescent="0.25">
      <c r="A422" s="3"/>
      <c r="B422" s="3"/>
      <c r="C422" s="3"/>
      <c r="D422" s="3"/>
      <c r="E422" s="3"/>
      <c r="F422" s="3"/>
      <c r="G422" s="3"/>
      <c r="H422" s="3"/>
      <c r="I422" s="3"/>
      <c r="J422" s="3"/>
      <c r="K422" s="3"/>
      <c r="L422" s="3"/>
      <c r="M422" s="3"/>
      <c r="N422" s="3"/>
      <c r="O422" s="3"/>
      <c r="P422" s="3"/>
      <c r="Q422" s="3"/>
      <c r="R422" s="3"/>
      <c r="S422" s="3"/>
      <c r="T422" s="3"/>
      <c r="U422" s="3"/>
      <c r="V422" s="3"/>
      <c r="W422" s="3"/>
      <c r="X422" s="3"/>
      <c r="Y422" s="3"/>
      <c r="Z422" s="3"/>
      <c r="AA422" s="3"/>
      <c r="AB422" s="3"/>
      <c r="AC422" s="3"/>
      <c r="AD422" s="3"/>
      <c r="BF422" s="7">
        <v>338</v>
      </c>
    </row>
    <row r="423" spans="1:58" s="7" customFormat="1" x14ac:dyDescent="0.25">
      <c r="A423" s="3"/>
      <c r="B423" s="3"/>
      <c r="C423" s="3"/>
      <c r="D423" s="3"/>
      <c r="E423" s="3"/>
      <c r="F423" s="3"/>
      <c r="G423" s="3"/>
      <c r="H423" s="3"/>
      <c r="I423" s="3"/>
      <c r="J423" s="3"/>
      <c r="K423" s="3"/>
      <c r="L423" s="3"/>
      <c r="M423" s="3"/>
      <c r="N423" s="3"/>
      <c r="O423" s="3"/>
      <c r="P423" s="3"/>
      <c r="Q423" s="3"/>
      <c r="R423" s="3"/>
      <c r="S423" s="3"/>
      <c r="T423" s="3"/>
      <c r="U423" s="3"/>
      <c r="V423" s="3"/>
      <c r="W423" s="3"/>
      <c r="X423" s="3"/>
      <c r="Y423" s="3"/>
      <c r="Z423" s="3"/>
      <c r="AA423" s="3"/>
      <c r="AB423" s="3"/>
      <c r="AC423" s="3"/>
      <c r="AD423" s="3"/>
      <c r="BF423" s="7">
        <v>339</v>
      </c>
    </row>
    <row r="424" spans="1:58" s="7" customFormat="1" x14ac:dyDescent="0.25">
      <c r="A424" s="3"/>
      <c r="B424" s="3"/>
      <c r="C424" s="3"/>
      <c r="D424" s="3"/>
      <c r="E424" s="3"/>
      <c r="F424" s="3"/>
      <c r="G424" s="3"/>
      <c r="H424" s="3"/>
      <c r="I424" s="3"/>
      <c r="J424" s="3"/>
      <c r="K424" s="3"/>
      <c r="L424" s="3"/>
      <c r="M424" s="3"/>
      <c r="N424" s="3"/>
      <c r="O424" s="3"/>
      <c r="P424" s="3"/>
      <c r="Q424" s="3"/>
      <c r="R424" s="3"/>
      <c r="S424" s="3"/>
      <c r="T424" s="3"/>
      <c r="U424" s="3"/>
      <c r="V424" s="3"/>
      <c r="W424" s="3"/>
      <c r="X424" s="3"/>
      <c r="Y424" s="3"/>
      <c r="Z424" s="3"/>
      <c r="AA424" s="3"/>
      <c r="AB424" s="3"/>
      <c r="AC424" s="3"/>
      <c r="AD424" s="3"/>
      <c r="BF424" s="7">
        <v>340</v>
      </c>
    </row>
    <row r="425" spans="1:58" s="7" customFormat="1" x14ac:dyDescent="0.25">
      <c r="A425" s="3"/>
      <c r="B425" s="3"/>
      <c r="C425" s="3"/>
      <c r="D425" s="3"/>
      <c r="E425" s="3"/>
      <c r="F425" s="3"/>
      <c r="G425" s="3"/>
      <c r="H425" s="3"/>
      <c r="I425" s="3"/>
      <c r="J425" s="3"/>
      <c r="K425" s="3"/>
      <c r="L425" s="3"/>
      <c r="M425" s="3"/>
      <c r="N425" s="3"/>
      <c r="O425" s="3"/>
      <c r="P425" s="3"/>
      <c r="Q425" s="3"/>
      <c r="R425" s="3"/>
      <c r="S425" s="3"/>
      <c r="T425" s="3"/>
      <c r="U425" s="3"/>
      <c r="V425" s="3"/>
      <c r="W425" s="3"/>
      <c r="X425" s="3"/>
      <c r="Y425" s="3"/>
      <c r="Z425" s="3"/>
      <c r="AA425" s="3"/>
      <c r="AB425" s="3"/>
      <c r="AC425" s="3"/>
      <c r="AD425" s="3"/>
      <c r="BF425" s="7">
        <v>341</v>
      </c>
    </row>
    <row r="426" spans="1:58" s="7" customFormat="1" x14ac:dyDescent="0.25">
      <c r="A426" s="3"/>
      <c r="B426" s="3"/>
      <c r="C426" s="3"/>
      <c r="D426" s="3"/>
      <c r="E426" s="3"/>
      <c r="F426" s="3"/>
      <c r="G426" s="3"/>
      <c r="H426" s="3"/>
      <c r="I426" s="3"/>
      <c r="J426" s="3"/>
      <c r="K426" s="3"/>
      <c r="L426" s="3"/>
      <c r="M426" s="3"/>
      <c r="N426" s="3"/>
      <c r="O426" s="3"/>
      <c r="P426" s="3"/>
      <c r="Q426" s="3"/>
      <c r="R426" s="3"/>
      <c r="S426" s="3"/>
      <c r="T426" s="3"/>
      <c r="U426" s="3"/>
      <c r="V426" s="3"/>
      <c r="W426" s="3"/>
      <c r="X426" s="3"/>
      <c r="Y426" s="3"/>
      <c r="Z426" s="3"/>
      <c r="AA426" s="3"/>
      <c r="AB426" s="3"/>
      <c r="AC426" s="3"/>
      <c r="AD426" s="3"/>
      <c r="BF426" s="7">
        <v>342</v>
      </c>
    </row>
    <row r="427" spans="1:58" s="7" customFormat="1" x14ac:dyDescent="0.25">
      <c r="A427" s="3"/>
      <c r="B427" s="3"/>
      <c r="C427" s="3"/>
      <c r="D427" s="3"/>
      <c r="E427" s="3"/>
      <c r="F427" s="3"/>
      <c r="G427" s="3"/>
      <c r="H427" s="3"/>
      <c r="I427" s="3"/>
      <c r="J427" s="3"/>
      <c r="K427" s="3"/>
      <c r="L427" s="3"/>
      <c r="M427" s="3"/>
      <c r="N427" s="3"/>
      <c r="O427" s="3"/>
      <c r="P427" s="3"/>
      <c r="Q427" s="3"/>
      <c r="R427" s="3"/>
      <c r="S427" s="3"/>
      <c r="T427" s="3"/>
      <c r="U427" s="3"/>
      <c r="V427" s="3"/>
      <c r="W427" s="3"/>
      <c r="X427" s="3"/>
      <c r="Y427" s="3"/>
      <c r="Z427" s="3"/>
      <c r="AA427" s="3"/>
      <c r="AB427" s="3"/>
      <c r="AC427" s="3"/>
      <c r="AD427" s="3"/>
      <c r="BF427" s="7">
        <v>343</v>
      </c>
    </row>
    <row r="428" spans="1:58" s="7" customFormat="1" x14ac:dyDescent="0.25">
      <c r="A428" s="3"/>
      <c r="B428" s="3"/>
      <c r="C428" s="3"/>
      <c r="D428" s="3"/>
      <c r="E428" s="3"/>
      <c r="F428" s="3"/>
      <c r="G428" s="3"/>
      <c r="H428" s="3"/>
      <c r="I428" s="3"/>
      <c r="J428" s="3"/>
      <c r="K428" s="3"/>
      <c r="L428" s="3"/>
      <c r="M428" s="3"/>
      <c r="N428" s="3"/>
      <c r="O428" s="3"/>
      <c r="P428" s="3"/>
      <c r="Q428" s="3"/>
      <c r="R428" s="3"/>
      <c r="S428" s="3"/>
      <c r="T428" s="3"/>
      <c r="U428" s="3"/>
      <c r="V428" s="3"/>
      <c r="W428" s="3"/>
      <c r="X428" s="3"/>
      <c r="Y428" s="3"/>
      <c r="Z428" s="3"/>
      <c r="AA428" s="3"/>
      <c r="AB428" s="3"/>
      <c r="AC428" s="3"/>
      <c r="AD428" s="3"/>
      <c r="BF428" s="7">
        <v>344</v>
      </c>
    </row>
    <row r="429" spans="1:58" s="7" customFormat="1" x14ac:dyDescent="0.25">
      <c r="A429" s="3"/>
      <c r="B429" s="3"/>
      <c r="C429" s="3"/>
      <c r="D429" s="3"/>
      <c r="E429" s="3"/>
      <c r="F429" s="3"/>
      <c r="G429" s="3"/>
      <c r="H429" s="3"/>
      <c r="I429" s="3"/>
      <c r="J429" s="3"/>
      <c r="K429" s="3"/>
      <c r="L429" s="3"/>
      <c r="M429" s="3"/>
      <c r="N429" s="3"/>
      <c r="O429" s="3"/>
      <c r="P429" s="3"/>
      <c r="Q429" s="3"/>
      <c r="R429" s="3"/>
      <c r="S429" s="3"/>
      <c r="T429" s="3"/>
      <c r="U429" s="3"/>
      <c r="V429" s="3"/>
      <c r="W429" s="3"/>
      <c r="X429" s="3"/>
      <c r="Y429" s="3"/>
      <c r="Z429" s="3"/>
      <c r="AA429" s="3"/>
      <c r="AB429" s="3"/>
      <c r="AC429" s="3"/>
      <c r="AD429" s="3"/>
      <c r="BF429" s="7">
        <v>345</v>
      </c>
    </row>
    <row r="430" spans="1:58" s="7" customFormat="1" x14ac:dyDescent="0.25">
      <c r="A430" s="3"/>
      <c r="B430" s="3"/>
      <c r="C430" s="3"/>
      <c r="D430" s="3"/>
      <c r="E430" s="3"/>
      <c r="F430" s="3"/>
      <c r="G430" s="3"/>
      <c r="H430" s="3"/>
      <c r="I430" s="3"/>
      <c r="J430" s="3"/>
      <c r="K430" s="3"/>
      <c r="L430" s="3"/>
      <c r="M430" s="3"/>
      <c r="N430" s="3"/>
      <c r="O430" s="3"/>
      <c r="P430" s="3"/>
      <c r="Q430" s="3"/>
      <c r="R430" s="3"/>
      <c r="S430" s="3"/>
      <c r="T430" s="3"/>
      <c r="U430" s="3"/>
      <c r="V430" s="3"/>
      <c r="W430" s="3"/>
      <c r="X430" s="3"/>
      <c r="Y430" s="3"/>
      <c r="Z430" s="3"/>
      <c r="AA430" s="3"/>
      <c r="AB430" s="3"/>
      <c r="AC430" s="3"/>
      <c r="AD430" s="3"/>
      <c r="BF430" s="7">
        <v>346</v>
      </c>
    </row>
    <row r="431" spans="1:58" s="7" customFormat="1" x14ac:dyDescent="0.25">
      <c r="A431" s="3"/>
      <c r="B431" s="3"/>
      <c r="C431" s="3"/>
      <c r="D431" s="3"/>
      <c r="E431" s="3"/>
      <c r="F431" s="3"/>
      <c r="G431" s="3"/>
      <c r="H431" s="3"/>
      <c r="I431" s="3"/>
      <c r="J431" s="3"/>
      <c r="K431" s="3"/>
      <c r="L431" s="3"/>
      <c r="M431" s="3"/>
      <c r="N431" s="3"/>
      <c r="O431" s="3"/>
      <c r="P431" s="3"/>
      <c r="Q431" s="3"/>
      <c r="R431" s="3"/>
      <c r="S431" s="3"/>
      <c r="T431" s="3"/>
      <c r="U431" s="3"/>
      <c r="V431" s="3"/>
      <c r="W431" s="3"/>
      <c r="X431" s="3"/>
      <c r="Y431" s="3"/>
      <c r="Z431" s="3"/>
      <c r="AA431" s="3"/>
      <c r="AB431" s="3"/>
      <c r="AC431" s="3"/>
      <c r="AD431" s="3"/>
      <c r="BF431" s="7">
        <v>347</v>
      </c>
    </row>
    <row r="432" spans="1:58" s="7" customFormat="1" x14ac:dyDescent="0.25">
      <c r="A432" s="3"/>
      <c r="B432" s="3"/>
      <c r="C432" s="3"/>
      <c r="D432" s="3"/>
      <c r="E432" s="3"/>
      <c r="F432" s="3"/>
      <c r="G432" s="3"/>
      <c r="H432" s="3"/>
      <c r="I432" s="3"/>
      <c r="J432" s="3"/>
      <c r="K432" s="3"/>
      <c r="L432" s="3"/>
      <c r="M432" s="3"/>
      <c r="N432" s="3"/>
      <c r="O432" s="3"/>
      <c r="P432" s="3"/>
      <c r="Q432" s="3"/>
      <c r="R432" s="3"/>
      <c r="S432" s="3"/>
      <c r="T432" s="3"/>
      <c r="U432" s="3"/>
      <c r="V432" s="3"/>
      <c r="W432" s="3"/>
      <c r="X432" s="3"/>
      <c r="Y432" s="3"/>
      <c r="Z432" s="3"/>
      <c r="AA432" s="3"/>
      <c r="AB432" s="3"/>
      <c r="AC432" s="3"/>
      <c r="AD432" s="3"/>
      <c r="BF432" s="7">
        <v>348</v>
      </c>
    </row>
    <row r="433" spans="1:58" s="7" customFormat="1" x14ac:dyDescent="0.25">
      <c r="A433" s="3"/>
      <c r="B433" s="3"/>
      <c r="C433" s="3"/>
      <c r="D433" s="3"/>
      <c r="E433" s="3"/>
      <c r="F433" s="3"/>
      <c r="G433" s="3"/>
      <c r="H433" s="3"/>
      <c r="I433" s="3"/>
      <c r="J433" s="3"/>
      <c r="K433" s="3"/>
      <c r="L433" s="3"/>
      <c r="M433" s="3"/>
      <c r="N433" s="3"/>
      <c r="O433" s="3"/>
      <c r="P433" s="3"/>
      <c r="Q433" s="3"/>
      <c r="R433" s="3"/>
      <c r="S433" s="3"/>
      <c r="T433" s="3"/>
      <c r="U433" s="3"/>
      <c r="V433" s="3"/>
      <c r="W433" s="3"/>
      <c r="X433" s="3"/>
      <c r="Y433" s="3"/>
      <c r="Z433" s="3"/>
      <c r="AA433" s="3"/>
      <c r="AB433" s="3"/>
      <c r="AC433" s="3"/>
      <c r="AD433" s="3"/>
      <c r="BF433" s="7">
        <v>349</v>
      </c>
    </row>
    <row r="434" spans="1:58" s="7" customFormat="1" x14ac:dyDescent="0.25">
      <c r="A434" s="3"/>
      <c r="B434" s="3"/>
      <c r="C434" s="3"/>
      <c r="D434" s="3"/>
      <c r="E434" s="3"/>
      <c r="F434" s="3"/>
      <c r="G434" s="3"/>
      <c r="H434" s="3"/>
      <c r="I434" s="3"/>
      <c r="J434" s="3"/>
      <c r="K434" s="3"/>
      <c r="L434" s="3"/>
      <c r="M434" s="3"/>
      <c r="N434" s="3"/>
      <c r="O434" s="3"/>
      <c r="P434" s="3"/>
      <c r="Q434" s="3"/>
      <c r="R434" s="3"/>
      <c r="S434" s="3"/>
      <c r="T434" s="3"/>
      <c r="U434" s="3"/>
      <c r="V434" s="3"/>
      <c r="W434" s="3"/>
      <c r="X434" s="3"/>
      <c r="Y434" s="3"/>
      <c r="Z434" s="3"/>
      <c r="AA434" s="3"/>
      <c r="AB434" s="3"/>
      <c r="AC434" s="3"/>
      <c r="AD434" s="3"/>
      <c r="BF434" s="7">
        <v>350</v>
      </c>
    </row>
    <row r="435" spans="1:58" s="7" customFormat="1" ht="33" customHeight="1" x14ac:dyDescent="0.25">
      <c r="A435" s="3"/>
      <c r="B435" s="3"/>
      <c r="C435" s="3"/>
      <c r="D435" s="3"/>
      <c r="E435" s="3"/>
      <c r="F435" s="3"/>
      <c r="G435" s="3"/>
      <c r="H435" s="3"/>
      <c r="I435" s="3"/>
      <c r="J435" s="3"/>
      <c r="K435" s="3"/>
      <c r="L435" s="3"/>
      <c r="M435" s="3"/>
      <c r="N435" s="3"/>
      <c r="O435" s="3"/>
      <c r="P435" s="3"/>
      <c r="Q435" s="3"/>
      <c r="R435" s="3"/>
      <c r="S435" s="3"/>
      <c r="T435" s="3"/>
      <c r="U435" s="3"/>
      <c r="V435" s="3"/>
      <c r="W435" s="3"/>
      <c r="X435" s="3"/>
      <c r="Y435" s="3"/>
      <c r="Z435" s="3"/>
      <c r="AA435" s="3"/>
      <c r="AB435" s="3"/>
      <c r="AC435" s="3"/>
      <c r="AD435" s="3"/>
    </row>
    <row r="436" spans="1:58" s="7" customFormat="1" x14ac:dyDescent="0.25">
      <c r="A436" s="3"/>
      <c r="B436" s="3"/>
      <c r="C436" s="3"/>
      <c r="D436" s="3"/>
      <c r="E436" s="3"/>
      <c r="F436" s="3"/>
      <c r="G436" s="3"/>
      <c r="H436" s="3"/>
      <c r="I436" s="3"/>
      <c r="J436" s="3"/>
      <c r="K436" s="3"/>
      <c r="L436" s="3"/>
      <c r="M436" s="3"/>
      <c r="N436" s="3"/>
      <c r="O436" s="3"/>
      <c r="P436" s="3"/>
      <c r="Q436" s="3"/>
      <c r="R436" s="3"/>
      <c r="S436" s="3"/>
      <c r="T436" s="3"/>
      <c r="U436" s="3"/>
      <c r="V436" s="3"/>
      <c r="W436" s="3"/>
      <c r="X436" s="3"/>
      <c r="Y436" s="3"/>
      <c r="Z436" s="3"/>
      <c r="AA436" s="3"/>
      <c r="AB436" s="3"/>
      <c r="AC436" s="3"/>
      <c r="AD436" s="3"/>
    </row>
    <row r="437" spans="1:58" s="10" customFormat="1" ht="105.75" customHeight="1" x14ac:dyDescent="0.25">
      <c r="A437" s="3"/>
      <c r="B437" s="3"/>
      <c r="C437" s="3"/>
      <c r="D437" s="3"/>
      <c r="E437" s="3"/>
      <c r="F437" s="3"/>
      <c r="G437" s="3"/>
      <c r="H437" s="3"/>
      <c r="I437" s="3"/>
      <c r="J437" s="3"/>
      <c r="K437" s="3"/>
      <c r="L437" s="3"/>
      <c r="M437" s="3"/>
      <c r="N437" s="3"/>
      <c r="O437" s="3"/>
      <c r="P437" s="3"/>
      <c r="Q437" s="3"/>
      <c r="R437" s="3"/>
      <c r="S437" s="3"/>
      <c r="T437" s="3"/>
      <c r="U437" s="3"/>
      <c r="V437" s="3"/>
      <c r="W437" s="3"/>
      <c r="X437" s="3"/>
      <c r="Y437" s="3"/>
      <c r="Z437" s="3"/>
      <c r="AA437" s="3"/>
      <c r="AB437" s="3"/>
      <c r="AC437" s="3"/>
      <c r="AD437" s="3"/>
      <c r="AO437" s="7"/>
    </row>
    <row r="438" spans="1:58" s="7" customFormat="1" x14ac:dyDescent="0.25">
      <c r="A438" s="3"/>
      <c r="B438" s="3"/>
      <c r="C438" s="3"/>
      <c r="D438" s="3"/>
      <c r="E438" s="3"/>
      <c r="F438" s="3"/>
      <c r="G438" s="3"/>
      <c r="H438" s="3"/>
      <c r="I438" s="3"/>
      <c r="J438" s="3"/>
      <c r="K438" s="3"/>
      <c r="L438" s="3"/>
      <c r="M438" s="3"/>
      <c r="N438" s="3"/>
      <c r="O438" s="3"/>
      <c r="P438" s="3"/>
      <c r="Q438" s="3"/>
      <c r="R438" s="3"/>
      <c r="S438" s="3"/>
      <c r="T438" s="3"/>
      <c r="U438" s="3"/>
      <c r="V438" s="3"/>
      <c r="W438" s="3"/>
      <c r="X438" s="3"/>
      <c r="Y438" s="3"/>
      <c r="Z438" s="3"/>
      <c r="AA438" s="3"/>
      <c r="AB438" s="3"/>
      <c r="AC438" s="3"/>
      <c r="AD438" s="3"/>
      <c r="AO438" s="7">
        <v>1</v>
      </c>
    </row>
    <row r="439" spans="1:58" s="7" customFormat="1" x14ac:dyDescent="0.25">
      <c r="A439" s="3"/>
      <c r="B439" s="3"/>
      <c r="C439" s="3"/>
      <c r="D439" s="3"/>
      <c r="E439" s="3"/>
      <c r="F439" s="3"/>
      <c r="G439" s="3"/>
      <c r="H439" s="3"/>
      <c r="I439" s="3"/>
      <c r="J439" s="3"/>
      <c r="K439" s="3"/>
      <c r="L439" s="3"/>
      <c r="M439" s="3"/>
      <c r="N439" s="3"/>
      <c r="O439" s="3"/>
      <c r="P439" s="3"/>
      <c r="Q439" s="3"/>
      <c r="R439" s="3"/>
      <c r="S439" s="3"/>
      <c r="T439" s="3"/>
      <c r="U439" s="3"/>
      <c r="V439" s="3"/>
      <c r="W439" s="3"/>
      <c r="X439" s="3"/>
      <c r="Y439" s="3"/>
      <c r="Z439" s="3"/>
      <c r="AA439" s="3"/>
      <c r="AB439" s="3"/>
      <c r="AC439" s="3"/>
      <c r="AD439" s="3"/>
      <c r="AO439" s="7">
        <v>2</v>
      </c>
    </row>
    <row r="440" spans="1:58" s="7" customFormat="1" x14ac:dyDescent="0.25">
      <c r="A440" s="3"/>
      <c r="B440" s="3"/>
      <c r="C440" s="3"/>
      <c r="D440" s="3"/>
      <c r="E440" s="3"/>
      <c r="F440" s="3"/>
      <c r="G440" s="3"/>
      <c r="H440" s="3"/>
      <c r="I440" s="3"/>
      <c r="J440" s="3"/>
      <c r="K440" s="3"/>
      <c r="L440" s="3"/>
      <c r="M440" s="3"/>
      <c r="N440" s="3"/>
      <c r="O440" s="3"/>
      <c r="P440" s="3"/>
      <c r="Q440" s="3"/>
      <c r="R440" s="3"/>
      <c r="S440" s="3"/>
      <c r="T440" s="3"/>
      <c r="U440" s="3"/>
      <c r="V440" s="3"/>
      <c r="W440" s="3"/>
      <c r="X440" s="3"/>
      <c r="Y440" s="3"/>
      <c r="Z440" s="3"/>
      <c r="AA440" s="3"/>
      <c r="AB440" s="3"/>
      <c r="AC440" s="3"/>
      <c r="AD440" s="3"/>
      <c r="AO440" s="7">
        <v>3</v>
      </c>
    </row>
    <row r="441" spans="1:58" s="7" customFormat="1" x14ac:dyDescent="0.25">
      <c r="A441" s="3"/>
      <c r="B441" s="3"/>
      <c r="C441" s="3"/>
      <c r="D441" s="3"/>
      <c r="E441" s="3"/>
      <c r="F441" s="3"/>
      <c r="G441" s="3"/>
      <c r="H441" s="3"/>
      <c r="I441" s="3"/>
      <c r="J441" s="3"/>
      <c r="K441" s="3"/>
      <c r="L441" s="3"/>
      <c r="M441" s="3"/>
      <c r="N441" s="3"/>
      <c r="O441" s="3"/>
      <c r="P441" s="3"/>
      <c r="Q441" s="3"/>
      <c r="R441" s="3"/>
      <c r="S441" s="3"/>
      <c r="T441" s="3"/>
      <c r="U441" s="3"/>
      <c r="V441" s="3"/>
      <c r="W441" s="3"/>
      <c r="X441" s="3"/>
      <c r="Y441" s="3"/>
      <c r="Z441" s="3"/>
      <c r="AA441" s="3"/>
      <c r="AB441" s="3"/>
      <c r="AC441" s="3"/>
      <c r="AD441" s="3"/>
      <c r="AO441" s="7">
        <v>4</v>
      </c>
    </row>
    <row r="442" spans="1:58" s="7" customFormat="1" x14ac:dyDescent="0.25">
      <c r="A442" s="3"/>
      <c r="B442" s="3"/>
      <c r="C442" s="3"/>
      <c r="D442" s="3"/>
      <c r="E442" s="3"/>
      <c r="F442" s="3"/>
      <c r="G442" s="3"/>
      <c r="H442" s="3"/>
      <c r="I442" s="3"/>
      <c r="J442" s="3"/>
      <c r="K442" s="3"/>
      <c r="L442" s="3"/>
      <c r="M442" s="3"/>
      <c r="N442" s="3"/>
      <c r="O442" s="3"/>
      <c r="P442" s="3"/>
      <c r="Q442" s="3"/>
      <c r="R442" s="3"/>
      <c r="S442" s="3"/>
      <c r="T442" s="3"/>
      <c r="U442" s="3"/>
      <c r="V442" s="3"/>
      <c r="W442" s="3"/>
      <c r="X442" s="3"/>
      <c r="Y442" s="3"/>
      <c r="Z442" s="3"/>
      <c r="AA442" s="3"/>
      <c r="AB442" s="3"/>
      <c r="AC442" s="3"/>
      <c r="AD442" s="3"/>
      <c r="AO442" s="7">
        <v>5</v>
      </c>
    </row>
    <row r="443" spans="1:58" s="7" customFormat="1" x14ac:dyDescent="0.25">
      <c r="A443" s="3"/>
      <c r="B443" s="3"/>
      <c r="C443" s="3"/>
      <c r="D443" s="3"/>
      <c r="E443" s="3"/>
      <c r="F443" s="3"/>
      <c r="G443" s="3"/>
      <c r="H443" s="3"/>
      <c r="I443" s="3"/>
      <c r="J443" s="3"/>
      <c r="K443" s="3"/>
      <c r="L443" s="3"/>
      <c r="M443" s="3"/>
      <c r="N443" s="3"/>
      <c r="O443" s="3"/>
      <c r="P443" s="3"/>
      <c r="Q443" s="3"/>
      <c r="R443" s="3"/>
      <c r="S443" s="3"/>
      <c r="T443" s="3"/>
      <c r="U443" s="3"/>
      <c r="V443" s="3"/>
      <c r="W443" s="3"/>
      <c r="X443" s="3"/>
      <c r="Y443" s="3"/>
      <c r="Z443" s="3"/>
      <c r="AA443" s="3"/>
      <c r="AB443" s="3"/>
      <c r="AC443" s="3"/>
      <c r="AD443" s="3"/>
      <c r="AO443" s="7">
        <v>6</v>
      </c>
    </row>
    <row r="444" spans="1:58" s="7" customFormat="1" x14ac:dyDescent="0.25">
      <c r="A444" s="3"/>
      <c r="B444" s="3"/>
      <c r="C444" s="3"/>
      <c r="D444" s="3"/>
      <c r="E444" s="3"/>
      <c r="F444" s="3"/>
      <c r="G444" s="3"/>
      <c r="H444" s="3"/>
      <c r="I444" s="3"/>
      <c r="J444" s="3"/>
      <c r="K444" s="3"/>
      <c r="L444" s="3"/>
      <c r="M444" s="3"/>
      <c r="N444" s="3"/>
      <c r="O444" s="3"/>
      <c r="P444" s="3"/>
      <c r="Q444" s="3"/>
      <c r="R444" s="3"/>
      <c r="S444" s="3"/>
      <c r="T444" s="3"/>
      <c r="U444" s="3"/>
      <c r="V444" s="3"/>
      <c r="W444" s="3"/>
      <c r="X444" s="3"/>
      <c r="Y444" s="3"/>
      <c r="Z444" s="3"/>
      <c r="AA444" s="3"/>
      <c r="AB444" s="3"/>
      <c r="AC444" s="3"/>
      <c r="AD444" s="3"/>
      <c r="AO444" s="7">
        <v>7</v>
      </c>
    </row>
    <row r="445" spans="1:58" s="7" customFormat="1" x14ac:dyDescent="0.25">
      <c r="A445" s="3"/>
      <c r="B445" s="3"/>
      <c r="C445" s="3"/>
      <c r="D445" s="3"/>
      <c r="E445" s="3"/>
      <c r="F445" s="3"/>
      <c r="G445" s="3"/>
      <c r="H445" s="3"/>
      <c r="I445" s="3"/>
      <c r="J445" s="3"/>
      <c r="K445" s="3"/>
      <c r="L445" s="3"/>
      <c r="M445" s="3"/>
      <c r="N445" s="3"/>
      <c r="O445" s="3"/>
      <c r="P445" s="3"/>
      <c r="Q445" s="3"/>
      <c r="R445" s="3"/>
      <c r="S445" s="3"/>
      <c r="T445" s="3"/>
      <c r="U445" s="3"/>
      <c r="V445" s="3"/>
      <c r="W445" s="3"/>
      <c r="X445" s="3"/>
      <c r="Y445" s="3"/>
      <c r="Z445" s="3"/>
      <c r="AA445" s="3"/>
      <c r="AB445" s="3"/>
      <c r="AC445" s="3"/>
      <c r="AD445" s="3"/>
      <c r="AO445" s="7">
        <v>8</v>
      </c>
    </row>
    <row r="446" spans="1:58" s="7" customFormat="1" x14ac:dyDescent="0.25">
      <c r="A446" s="3"/>
      <c r="B446" s="3"/>
      <c r="C446" s="3"/>
      <c r="D446" s="3"/>
      <c r="E446" s="3"/>
      <c r="F446" s="3"/>
      <c r="G446" s="3"/>
      <c r="H446" s="3"/>
      <c r="I446" s="3"/>
      <c r="J446" s="3"/>
      <c r="K446" s="3"/>
      <c r="L446" s="3"/>
      <c r="M446" s="3"/>
      <c r="N446" s="3"/>
      <c r="O446" s="3"/>
      <c r="P446" s="3"/>
      <c r="Q446" s="3"/>
      <c r="R446" s="3"/>
      <c r="S446" s="3"/>
      <c r="T446" s="3"/>
      <c r="U446" s="3"/>
      <c r="V446" s="3"/>
      <c r="W446" s="3"/>
      <c r="X446" s="3"/>
      <c r="Y446" s="3"/>
      <c r="Z446" s="3"/>
      <c r="AA446" s="3"/>
      <c r="AB446" s="3"/>
      <c r="AC446" s="3"/>
      <c r="AD446" s="3"/>
      <c r="AO446" s="7">
        <v>9</v>
      </c>
    </row>
    <row r="447" spans="1:58" s="7" customFormat="1" x14ac:dyDescent="0.25">
      <c r="A447" s="3"/>
      <c r="B447" s="3"/>
      <c r="C447" s="3"/>
      <c r="D447" s="3"/>
      <c r="E447" s="3"/>
      <c r="F447" s="3"/>
      <c r="G447" s="3"/>
      <c r="H447" s="3"/>
      <c r="I447" s="3"/>
      <c r="J447" s="3"/>
      <c r="K447" s="3"/>
      <c r="L447" s="3"/>
      <c r="M447" s="3"/>
      <c r="N447" s="3"/>
      <c r="O447" s="3"/>
      <c r="P447" s="3"/>
      <c r="Q447" s="3"/>
      <c r="R447" s="3"/>
      <c r="S447" s="3"/>
      <c r="T447" s="3"/>
      <c r="U447" s="3"/>
      <c r="V447" s="3"/>
      <c r="W447" s="3"/>
      <c r="X447" s="3"/>
      <c r="Y447" s="3"/>
      <c r="Z447" s="3"/>
      <c r="AA447" s="3"/>
      <c r="AB447" s="3"/>
      <c r="AC447" s="3"/>
      <c r="AD447" s="3"/>
      <c r="AO447" s="7">
        <v>10</v>
      </c>
    </row>
    <row r="448" spans="1:58" s="7" customFormat="1" x14ac:dyDescent="0.25">
      <c r="A448" s="3"/>
      <c r="B448" s="3"/>
      <c r="C448" s="3"/>
      <c r="D448" s="3"/>
      <c r="E448" s="3"/>
      <c r="F448" s="3"/>
      <c r="G448" s="3"/>
      <c r="H448" s="3"/>
      <c r="I448" s="3"/>
      <c r="J448" s="3"/>
      <c r="K448" s="3"/>
      <c r="L448" s="3"/>
      <c r="M448" s="3"/>
      <c r="N448" s="3"/>
      <c r="O448" s="3"/>
      <c r="P448" s="3"/>
      <c r="Q448" s="3"/>
      <c r="R448" s="3"/>
      <c r="S448" s="3"/>
      <c r="T448" s="3"/>
      <c r="U448" s="3"/>
      <c r="V448" s="3"/>
      <c r="W448" s="3"/>
      <c r="X448" s="3"/>
      <c r="Y448" s="3"/>
      <c r="Z448" s="3"/>
      <c r="AA448" s="3"/>
      <c r="AB448" s="3"/>
      <c r="AC448" s="3"/>
      <c r="AD448" s="3"/>
      <c r="AO448" s="7">
        <v>11</v>
      </c>
    </row>
    <row r="449" spans="1:41" s="7" customFormat="1" x14ac:dyDescent="0.25">
      <c r="A449" s="3"/>
      <c r="B449" s="3"/>
      <c r="C449" s="3"/>
      <c r="D449" s="3"/>
      <c r="E449" s="3"/>
      <c r="F449" s="3"/>
      <c r="G449" s="3"/>
      <c r="H449" s="3"/>
      <c r="I449" s="3"/>
      <c r="J449" s="3"/>
      <c r="K449" s="3"/>
      <c r="L449" s="3"/>
      <c r="M449" s="3"/>
      <c r="N449" s="3"/>
      <c r="O449" s="3"/>
      <c r="P449" s="3"/>
      <c r="Q449" s="3"/>
      <c r="R449" s="3"/>
      <c r="S449" s="3"/>
      <c r="T449" s="3"/>
      <c r="U449" s="3"/>
      <c r="V449" s="3"/>
      <c r="W449" s="3"/>
      <c r="X449" s="3"/>
      <c r="Y449" s="3"/>
      <c r="Z449" s="3"/>
      <c r="AA449" s="3"/>
      <c r="AB449" s="3"/>
      <c r="AC449" s="3"/>
      <c r="AD449" s="3"/>
      <c r="AO449" s="7">
        <v>12</v>
      </c>
    </row>
    <row r="450" spans="1:41" s="7" customFormat="1" x14ac:dyDescent="0.25">
      <c r="A450" s="3"/>
      <c r="B450" s="3"/>
      <c r="C450" s="3"/>
      <c r="D450" s="3"/>
      <c r="E450" s="3"/>
      <c r="F450" s="3"/>
      <c r="G450" s="3"/>
      <c r="H450" s="3"/>
      <c r="I450" s="3"/>
      <c r="J450" s="3"/>
      <c r="K450" s="3"/>
      <c r="L450" s="3"/>
      <c r="M450" s="3"/>
      <c r="N450" s="3"/>
      <c r="O450" s="3"/>
      <c r="P450" s="3"/>
      <c r="Q450" s="3"/>
      <c r="R450" s="3"/>
      <c r="S450" s="3"/>
      <c r="T450" s="3"/>
      <c r="U450" s="3"/>
      <c r="V450" s="3"/>
      <c r="W450" s="3"/>
      <c r="X450" s="3"/>
      <c r="Y450" s="3"/>
      <c r="Z450" s="3"/>
      <c r="AA450" s="3"/>
      <c r="AB450" s="3"/>
      <c r="AC450" s="3"/>
      <c r="AD450" s="3"/>
      <c r="AO450" s="7">
        <v>13</v>
      </c>
    </row>
    <row r="451" spans="1:41" s="7" customFormat="1" x14ac:dyDescent="0.25">
      <c r="A451" s="3"/>
      <c r="B451" s="3"/>
      <c r="C451" s="3"/>
      <c r="D451" s="3"/>
      <c r="E451" s="3"/>
      <c r="F451" s="3"/>
      <c r="G451" s="3"/>
      <c r="H451" s="3"/>
      <c r="I451" s="3"/>
      <c r="J451" s="3"/>
      <c r="K451" s="3"/>
      <c r="L451" s="3"/>
      <c r="M451" s="3"/>
      <c r="N451" s="3"/>
      <c r="O451" s="3"/>
      <c r="P451" s="3"/>
      <c r="Q451" s="3"/>
      <c r="R451" s="3"/>
      <c r="S451" s="3"/>
      <c r="T451" s="3"/>
      <c r="U451" s="3"/>
      <c r="V451" s="3"/>
      <c r="W451" s="3"/>
      <c r="X451" s="3"/>
      <c r="Y451" s="3"/>
      <c r="Z451" s="3"/>
      <c r="AA451" s="3"/>
      <c r="AB451" s="3"/>
      <c r="AC451" s="3"/>
      <c r="AD451" s="3"/>
      <c r="AO451" s="7">
        <v>14</v>
      </c>
    </row>
    <row r="452" spans="1:41" s="7" customFormat="1" x14ac:dyDescent="0.25">
      <c r="A452" s="3"/>
      <c r="B452" s="3"/>
      <c r="C452" s="3"/>
      <c r="D452" s="3"/>
      <c r="E452" s="3"/>
      <c r="F452" s="3"/>
      <c r="G452" s="3"/>
      <c r="H452" s="3"/>
      <c r="I452" s="3"/>
      <c r="J452" s="3"/>
      <c r="K452" s="3"/>
      <c r="L452" s="3"/>
      <c r="M452" s="3"/>
      <c r="N452" s="3"/>
      <c r="O452" s="3"/>
      <c r="P452" s="3"/>
      <c r="Q452" s="3"/>
      <c r="R452" s="3"/>
      <c r="S452" s="3"/>
      <c r="T452" s="3"/>
      <c r="U452" s="3"/>
      <c r="V452" s="3"/>
      <c r="W452" s="3"/>
      <c r="X452" s="3"/>
      <c r="Y452" s="3"/>
      <c r="Z452" s="3"/>
      <c r="AA452" s="3"/>
      <c r="AB452" s="3"/>
      <c r="AC452" s="3"/>
      <c r="AD452" s="3"/>
      <c r="AO452" s="7">
        <v>15</v>
      </c>
    </row>
    <row r="453" spans="1:41" s="7" customFormat="1" x14ac:dyDescent="0.25">
      <c r="A453" s="3"/>
      <c r="B453" s="3"/>
      <c r="C453" s="3"/>
      <c r="D453" s="3"/>
      <c r="E453" s="3"/>
      <c r="F453" s="3"/>
      <c r="G453" s="3"/>
      <c r="H453" s="3"/>
      <c r="I453" s="3"/>
      <c r="J453" s="3"/>
      <c r="K453" s="3"/>
      <c r="L453" s="3"/>
      <c r="M453" s="3"/>
      <c r="N453" s="3"/>
      <c r="O453" s="3"/>
      <c r="P453" s="3"/>
      <c r="Q453" s="3"/>
      <c r="R453" s="3"/>
      <c r="S453" s="3"/>
      <c r="T453" s="3"/>
      <c r="U453" s="3"/>
      <c r="V453" s="3"/>
      <c r="W453" s="3"/>
      <c r="X453" s="3"/>
      <c r="Y453" s="3"/>
      <c r="Z453" s="3"/>
      <c r="AA453" s="3"/>
      <c r="AB453" s="3"/>
      <c r="AC453" s="3"/>
      <c r="AD453" s="3"/>
      <c r="AO453" s="7">
        <v>16</v>
      </c>
    </row>
    <row r="454" spans="1:41" s="7" customFormat="1" x14ac:dyDescent="0.25">
      <c r="A454" s="3"/>
      <c r="B454" s="3"/>
      <c r="C454" s="3"/>
      <c r="D454" s="3"/>
      <c r="E454" s="3"/>
      <c r="F454" s="3"/>
      <c r="G454" s="3"/>
      <c r="H454" s="3"/>
      <c r="I454" s="3"/>
      <c r="J454" s="3"/>
      <c r="K454" s="3"/>
      <c r="L454" s="3"/>
      <c r="M454" s="3"/>
      <c r="N454" s="3"/>
      <c r="O454" s="3"/>
      <c r="P454" s="3"/>
      <c r="Q454" s="3"/>
      <c r="R454" s="3"/>
      <c r="S454" s="3"/>
      <c r="T454" s="3"/>
      <c r="U454" s="3"/>
      <c r="V454" s="3"/>
      <c r="W454" s="3"/>
      <c r="X454" s="3"/>
      <c r="Y454" s="3"/>
      <c r="Z454" s="3"/>
      <c r="AA454" s="3"/>
      <c r="AB454" s="3"/>
      <c r="AC454" s="3"/>
      <c r="AD454" s="3"/>
      <c r="AO454" s="7">
        <v>17</v>
      </c>
    </row>
    <row r="455" spans="1:41" s="7" customFormat="1" x14ac:dyDescent="0.25">
      <c r="A455" s="3"/>
      <c r="B455" s="3"/>
      <c r="C455" s="3"/>
      <c r="D455" s="3"/>
      <c r="E455" s="3"/>
      <c r="F455" s="3"/>
      <c r="G455" s="3"/>
      <c r="H455" s="3"/>
      <c r="I455" s="3"/>
      <c r="J455" s="3"/>
      <c r="K455" s="3"/>
      <c r="L455" s="3"/>
      <c r="M455" s="3"/>
      <c r="N455" s="3"/>
      <c r="O455" s="3"/>
      <c r="P455" s="3"/>
      <c r="Q455" s="3"/>
      <c r="R455" s="3"/>
      <c r="S455" s="3"/>
      <c r="T455" s="3"/>
      <c r="U455" s="3"/>
      <c r="V455" s="3"/>
      <c r="W455" s="3"/>
      <c r="X455" s="3"/>
      <c r="Y455" s="3"/>
      <c r="Z455" s="3"/>
      <c r="AA455" s="3"/>
      <c r="AB455" s="3"/>
      <c r="AC455" s="3"/>
      <c r="AD455" s="3"/>
      <c r="AO455" s="7">
        <v>18</v>
      </c>
    </row>
    <row r="456" spans="1:41" s="7" customFormat="1" x14ac:dyDescent="0.25">
      <c r="A456" s="3"/>
      <c r="B456" s="3"/>
      <c r="C456" s="3"/>
      <c r="D456" s="3"/>
      <c r="E456" s="3"/>
      <c r="F456" s="3"/>
      <c r="G456" s="3"/>
      <c r="H456" s="3"/>
      <c r="I456" s="3"/>
      <c r="J456" s="3"/>
      <c r="K456" s="3"/>
      <c r="L456" s="3"/>
      <c r="M456" s="3"/>
      <c r="N456" s="3"/>
      <c r="O456" s="3"/>
      <c r="P456" s="3"/>
      <c r="Q456" s="3"/>
      <c r="R456" s="3"/>
      <c r="S456" s="3"/>
      <c r="T456" s="3"/>
      <c r="U456" s="3"/>
      <c r="V456" s="3"/>
      <c r="W456" s="3"/>
      <c r="X456" s="3"/>
      <c r="Y456" s="3"/>
      <c r="Z456" s="3"/>
      <c r="AA456" s="3"/>
      <c r="AB456" s="3"/>
      <c r="AC456" s="3"/>
      <c r="AD456" s="3"/>
      <c r="AO456" s="7">
        <v>19</v>
      </c>
    </row>
    <row r="457" spans="1:41" s="7" customFormat="1" x14ac:dyDescent="0.25">
      <c r="A457" s="3"/>
      <c r="B457" s="3"/>
      <c r="C457" s="3"/>
      <c r="D457" s="3"/>
      <c r="E457" s="3"/>
      <c r="F457" s="3"/>
      <c r="G457" s="3"/>
      <c r="H457" s="3"/>
      <c r="I457" s="3"/>
      <c r="J457" s="3"/>
      <c r="K457" s="3"/>
      <c r="L457" s="3"/>
      <c r="M457" s="3"/>
      <c r="N457" s="3"/>
      <c r="O457" s="3"/>
      <c r="P457" s="3"/>
      <c r="Q457" s="3"/>
      <c r="R457" s="3"/>
      <c r="S457" s="3"/>
      <c r="T457" s="3"/>
      <c r="U457" s="3"/>
      <c r="V457" s="3"/>
      <c r="W457" s="3"/>
      <c r="X457" s="3"/>
      <c r="Y457" s="3"/>
      <c r="Z457" s="3"/>
      <c r="AA457" s="3"/>
      <c r="AB457" s="3"/>
      <c r="AC457" s="3"/>
      <c r="AD457" s="3"/>
      <c r="AO457" s="7">
        <v>20</v>
      </c>
    </row>
    <row r="458" spans="1:41" s="7" customFormat="1" x14ac:dyDescent="0.25">
      <c r="A458" s="3"/>
      <c r="B458" s="3"/>
      <c r="C458" s="3"/>
      <c r="D458" s="3"/>
      <c r="E458" s="3"/>
      <c r="F458" s="3"/>
      <c r="G458" s="3"/>
      <c r="H458" s="3"/>
      <c r="I458" s="3"/>
      <c r="J458" s="3"/>
      <c r="K458" s="3"/>
      <c r="L458" s="3"/>
      <c r="M458" s="3"/>
      <c r="N458" s="3"/>
      <c r="O458" s="3"/>
      <c r="P458" s="3"/>
      <c r="Q458" s="3"/>
      <c r="R458" s="3"/>
      <c r="S458" s="3"/>
      <c r="T458" s="3"/>
      <c r="U458" s="3"/>
      <c r="V458" s="3"/>
      <c r="W458" s="3"/>
      <c r="X458" s="3"/>
      <c r="Y458" s="3"/>
      <c r="Z458" s="3"/>
      <c r="AA458" s="3"/>
      <c r="AB458" s="3"/>
      <c r="AC458" s="3"/>
      <c r="AD458" s="3"/>
      <c r="AO458" s="7">
        <v>21</v>
      </c>
    </row>
    <row r="459" spans="1:41" s="7" customFormat="1" x14ac:dyDescent="0.25">
      <c r="A459" s="3"/>
      <c r="B459" s="3"/>
      <c r="C459" s="3"/>
      <c r="D459" s="3"/>
      <c r="E459" s="3"/>
      <c r="F459" s="3"/>
      <c r="G459" s="3"/>
      <c r="H459" s="3"/>
      <c r="I459" s="3"/>
      <c r="J459" s="3"/>
      <c r="K459" s="3"/>
      <c r="L459" s="3"/>
      <c r="M459" s="3"/>
      <c r="N459" s="3"/>
      <c r="O459" s="3"/>
      <c r="P459" s="3"/>
      <c r="Q459" s="3"/>
      <c r="R459" s="3"/>
      <c r="S459" s="3"/>
      <c r="T459" s="3"/>
      <c r="U459" s="3"/>
      <c r="V459" s="3"/>
      <c r="W459" s="3"/>
      <c r="X459" s="3"/>
      <c r="Y459" s="3"/>
      <c r="Z459" s="3"/>
      <c r="AA459" s="3"/>
      <c r="AB459" s="3"/>
      <c r="AC459" s="3"/>
      <c r="AD459" s="3"/>
      <c r="AO459" s="7">
        <v>22</v>
      </c>
    </row>
    <row r="460" spans="1:41" s="7" customFormat="1" x14ac:dyDescent="0.25">
      <c r="A460" s="3"/>
      <c r="B460" s="3"/>
      <c r="C460" s="3"/>
      <c r="D460" s="3"/>
      <c r="E460" s="3"/>
      <c r="F460" s="3"/>
      <c r="G460" s="3"/>
      <c r="H460" s="3"/>
      <c r="I460" s="3"/>
      <c r="J460" s="3"/>
      <c r="K460" s="3"/>
      <c r="L460" s="3"/>
      <c r="M460" s="3"/>
      <c r="N460" s="3"/>
      <c r="O460" s="3"/>
      <c r="P460" s="3"/>
      <c r="Q460" s="3"/>
      <c r="R460" s="3"/>
      <c r="S460" s="3"/>
      <c r="T460" s="3"/>
      <c r="U460" s="3"/>
      <c r="V460" s="3"/>
      <c r="W460" s="3"/>
      <c r="X460" s="3"/>
      <c r="Y460" s="3"/>
      <c r="Z460" s="3"/>
      <c r="AA460" s="3"/>
      <c r="AB460" s="3"/>
      <c r="AC460" s="3"/>
      <c r="AD460" s="3"/>
      <c r="AO460" s="7">
        <v>23</v>
      </c>
    </row>
    <row r="461" spans="1:41" s="7" customFormat="1" x14ac:dyDescent="0.25">
      <c r="A461" s="3"/>
      <c r="B461" s="3"/>
      <c r="C461" s="3"/>
      <c r="D461" s="3"/>
      <c r="E461" s="3"/>
      <c r="F461" s="3"/>
      <c r="G461" s="3"/>
      <c r="H461" s="3"/>
      <c r="I461" s="3"/>
      <c r="J461" s="3"/>
      <c r="K461" s="3"/>
      <c r="L461" s="3"/>
      <c r="M461" s="3"/>
      <c r="N461" s="3"/>
      <c r="O461" s="3"/>
      <c r="P461" s="3"/>
      <c r="Q461" s="3"/>
      <c r="R461" s="3"/>
      <c r="S461" s="3"/>
      <c r="T461" s="3"/>
      <c r="U461" s="3"/>
      <c r="V461" s="3"/>
      <c r="W461" s="3"/>
      <c r="X461" s="3"/>
      <c r="Y461" s="3"/>
      <c r="Z461" s="3"/>
      <c r="AA461" s="3"/>
      <c r="AB461" s="3"/>
      <c r="AC461" s="3"/>
      <c r="AD461" s="3"/>
      <c r="AO461" s="7">
        <v>24</v>
      </c>
    </row>
    <row r="462" spans="1:41" s="7" customFormat="1" x14ac:dyDescent="0.25">
      <c r="A462" s="3"/>
      <c r="B462" s="3"/>
      <c r="C462" s="3"/>
      <c r="D462" s="3"/>
      <c r="E462" s="3"/>
      <c r="F462" s="3"/>
      <c r="G462" s="3"/>
      <c r="H462" s="3"/>
      <c r="I462" s="3"/>
      <c r="J462" s="3"/>
      <c r="K462" s="3"/>
      <c r="L462" s="3"/>
      <c r="M462" s="3"/>
      <c r="N462" s="3"/>
      <c r="O462" s="3"/>
      <c r="P462" s="3"/>
      <c r="Q462" s="3"/>
      <c r="R462" s="3"/>
      <c r="S462" s="3"/>
      <c r="T462" s="3"/>
      <c r="U462" s="3"/>
      <c r="V462" s="3"/>
      <c r="W462" s="3"/>
      <c r="X462" s="3"/>
      <c r="Y462" s="3"/>
      <c r="Z462" s="3"/>
      <c r="AA462" s="3"/>
      <c r="AB462" s="3"/>
      <c r="AC462" s="3"/>
      <c r="AD462" s="3"/>
      <c r="AO462" s="7">
        <v>25</v>
      </c>
    </row>
    <row r="463" spans="1:41" s="7" customFormat="1" x14ac:dyDescent="0.25">
      <c r="A463" s="3"/>
      <c r="B463" s="3"/>
      <c r="C463" s="3"/>
      <c r="D463" s="3"/>
      <c r="E463" s="3"/>
      <c r="F463" s="3"/>
      <c r="G463" s="3"/>
      <c r="H463" s="3"/>
      <c r="I463" s="3"/>
      <c r="J463" s="3"/>
      <c r="K463" s="3"/>
      <c r="L463" s="3"/>
      <c r="M463" s="3"/>
      <c r="N463" s="3"/>
      <c r="O463" s="3"/>
      <c r="P463" s="3"/>
      <c r="Q463" s="3"/>
      <c r="R463" s="3"/>
      <c r="S463" s="3"/>
      <c r="T463" s="3"/>
      <c r="U463" s="3"/>
      <c r="V463" s="3"/>
      <c r="W463" s="3"/>
      <c r="X463" s="3"/>
      <c r="Y463" s="3"/>
      <c r="Z463" s="3"/>
      <c r="AA463" s="3"/>
      <c r="AB463" s="3"/>
      <c r="AC463" s="3"/>
      <c r="AD463" s="3"/>
      <c r="AO463" s="7">
        <v>26</v>
      </c>
    </row>
    <row r="464" spans="1:41" s="7" customFormat="1" x14ac:dyDescent="0.25">
      <c r="A464" s="3"/>
      <c r="B464" s="3"/>
      <c r="C464" s="3"/>
      <c r="D464" s="3"/>
      <c r="E464" s="3"/>
      <c r="F464" s="3"/>
      <c r="G464" s="3"/>
      <c r="H464" s="3"/>
      <c r="I464" s="3"/>
      <c r="J464" s="3"/>
      <c r="K464" s="3"/>
      <c r="L464" s="3"/>
      <c r="M464" s="3"/>
      <c r="N464" s="3"/>
      <c r="O464" s="3"/>
      <c r="P464" s="3"/>
      <c r="Q464" s="3"/>
      <c r="R464" s="3"/>
      <c r="S464" s="3"/>
      <c r="T464" s="3"/>
      <c r="U464" s="3"/>
      <c r="V464" s="3"/>
      <c r="W464" s="3"/>
      <c r="X464" s="3"/>
      <c r="Y464" s="3"/>
      <c r="Z464" s="3"/>
      <c r="AA464" s="3"/>
      <c r="AB464" s="3"/>
      <c r="AC464" s="3"/>
      <c r="AD464" s="3"/>
      <c r="AO464" s="7">
        <v>27</v>
      </c>
    </row>
    <row r="465" spans="1:41" s="7" customFormat="1" x14ac:dyDescent="0.25">
      <c r="A465" s="3"/>
      <c r="B465" s="3"/>
      <c r="C465" s="3"/>
      <c r="D465" s="3"/>
      <c r="E465" s="3"/>
      <c r="F465" s="3"/>
      <c r="G465" s="3"/>
      <c r="H465" s="3"/>
      <c r="I465" s="3"/>
      <c r="J465" s="3"/>
      <c r="K465" s="3"/>
      <c r="L465" s="3"/>
      <c r="M465" s="3"/>
      <c r="N465" s="3"/>
      <c r="O465" s="3"/>
      <c r="P465" s="3"/>
      <c r="Q465" s="3"/>
      <c r="R465" s="3"/>
      <c r="S465" s="3"/>
      <c r="T465" s="3"/>
      <c r="U465" s="3"/>
      <c r="V465" s="3"/>
      <c r="W465" s="3"/>
      <c r="X465" s="3"/>
      <c r="Y465" s="3"/>
      <c r="Z465" s="3"/>
      <c r="AA465" s="3"/>
      <c r="AB465" s="3"/>
      <c r="AC465" s="3"/>
      <c r="AD465" s="3"/>
      <c r="AO465" s="7">
        <v>28</v>
      </c>
    </row>
    <row r="466" spans="1:41" s="7" customFormat="1" x14ac:dyDescent="0.25">
      <c r="A466" s="3"/>
      <c r="B466" s="3"/>
      <c r="C466" s="3"/>
      <c r="D466" s="3"/>
      <c r="E466" s="3"/>
      <c r="F466" s="3"/>
      <c r="G466" s="3"/>
      <c r="H466" s="3"/>
      <c r="I466" s="3"/>
      <c r="J466" s="3"/>
      <c r="K466" s="3"/>
      <c r="L466" s="3"/>
      <c r="M466" s="3"/>
      <c r="N466" s="3"/>
      <c r="O466" s="3"/>
      <c r="P466" s="3"/>
      <c r="Q466" s="3"/>
      <c r="R466" s="3"/>
      <c r="S466" s="3"/>
      <c r="T466" s="3"/>
      <c r="U466" s="3"/>
      <c r="V466" s="3"/>
      <c r="W466" s="3"/>
      <c r="X466" s="3"/>
      <c r="Y466" s="3"/>
      <c r="Z466" s="3"/>
      <c r="AA466" s="3"/>
      <c r="AB466" s="3"/>
      <c r="AC466" s="3"/>
      <c r="AD466" s="3"/>
      <c r="AO466" s="7">
        <v>29</v>
      </c>
    </row>
    <row r="467" spans="1:41" s="7" customFormat="1" x14ac:dyDescent="0.25">
      <c r="A467" s="3"/>
      <c r="B467" s="3"/>
      <c r="C467" s="3"/>
      <c r="D467" s="3"/>
      <c r="E467" s="3"/>
      <c r="F467" s="3"/>
      <c r="G467" s="3"/>
      <c r="H467" s="3"/>
      <c r="I467" s="3"/>
      <c r="J467" s="3"/>
      <c r="K467" s="3"/>
      <c r="L467" s="3"/>
      <c r="M467" s="3"/>
      <c r="N467" s="3"/>
      <c r="O467" s="3"/>
      <c r="P467" s="3"/>
      <c r="Q467" s="3"/>
      <c r="R467" s="3"/>
      <c r="S467" s="3"/>
      <c r="T467" s="3"/>
      <c r="U467" s="3"/>
      <c r="V467" s="3"/>
      <c r="W467" s="3"/>
      <c r="X467" s="3"/>
      <c r="Y467" s="3"/>
      <c r="Z467" s="3"/>
      <c r="AA467" s="3"/>
      <c r="AB467" s="3"/>
      <c r="AC467" s="3"/>
      <c r="AD467" s="3"/>
      <c r="AO467" s="7">
        <v>30</v>
      </c>
    </row>
    <row r="468" spans="1:41" s="7" customFormat="1" ht="14.45" customHeight="1" x14ac:dyDescent="0.25">
      <c r="A468" s="3"/>
      <c r="B468" s="3"/>
      <c r="C468" s="3"/>
      <c r="D468" s="3"/>
      <c r="E468" s="3"/>
      <c r="F468" s="3"/>
      <c r="G468" s="3"/>
      <c r="H468" s="3"/>
      <c r="I468" s="3"/>
      <c r="J468" s="3"/>
      <c r="K468" s="3"/>
      <c r="L468" s="3"/>
      <c r="M468" s="3"/>
      <c r="N468" s="3"/>
      <c r="O468" s="3"/>
      <c r="P468" s="3"/>
      <c r="Q468" s="3"/>
      <c r="R468" s="3"/>
      <c r="S468" s="3"/>
      <c r="T468" s="3"/>
      <c r="U468" s="3"/>
      <c r="V468" s="3"/>
      <c r="W468" s="3"/>
      <c r="X468" s="3"/>
      <c r="Y468" s="3"/>
      <c r="Z468" s="3"/>
      <c r="AA468" s="3"/>
      <c r="AB468" s="3"/>
      <c r="AC468" s="3"/>
      <c r="AD468" s="3"/>
    </row>
    <row r="472" spans="1:41" ht="14.25" customHeight="1" x14ac:dyDescent="0.25"/>
    <row r="473" spans="1:41" ht="14.25" customHeight="1" x14ac:dyDescent="0.25"/>
    <row r="474" spans="1:41" ht="14.25" customHeight="1" x14ac:dyDescent="0.25"/>
    <row r="475" spans="1:41" ht="14.25" customHeight="1" x14ac:dyDescent="0.25"/>
    <row r="476" spans="1:41" ht="14.25" customHeight="1" x14ac:dyDescent="0.25"/>
    <row r="477" spans="1:41" ht="14.25" customHeight="1" x14ac:dyDescent="0.25"/>
    <row r="478" spans="1:41" ht="14.25" customHeight="1" x14ac:dyDescent="0.25"/>
    <row r="479" spans="1:41" ht="14.25" customHeight="1" x14ac:dyDescent="0.25"/>
    <row r="480" spans="1:41"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sheetData>
  <sheetProtection formatColumns="0" formatRows="0" insertColumns="0" insertRows="0" autoFilter="0"/>
  <protectedRanges>
    <protectedRange sqref="H28 H31" name="DatosProveedor"/>
    <protectedRange sqref="N28" name="DatosProveedor_1"/>
    <protectedRange sqref="T28 T31" name="DatosProveedor_2"/>
    <protectedRange sqref="H30" name="DatosProveedor_3"/>
  </protectedRanges>
  <autoFilter ref="A10:AD148" xr:uid="{1C7179A6-3708-42F9-B7D2-84EFE6B27F3C}"/>
  <mergeCells count="62">
    <mergeCell ref="Z4:AA4"/>
    <mergeCell ref="D5:F5"/>
    <mergeCell ref="I5:J5"/>
    <mergeCell ref="L5:M5"/>
    <mergeCell ref="Z5:AA5"/>
    <mergeCell ref="A3:M3"/>
    <mergeCell ref="N3:W6"/>
    <mergeCell ref="A4:B6"/>
    <mergeCell ref="E4:F4"/>
    <mergeCell ref="H4:M4"/>
    <mergeCell ref="D6:M6"/>
    <mergeCell ref="Z6:AA6"/>
    <mergeCell ref="H9:M9"/>
    <mergeCell ref="N9:S9"/>
    <mergeCell ref="T9:Y9"/>
    <mergeCell ref="Z9:AC9"/>
    <mergeCell ref="A96:Z96"/>
    <mergeCell ref="A97:AD97"/>
    <mergeCell ref="M98:O98"/>
    <mergeCell ref="M99:O99"/>
    <mergeCell ref="AQ99:AX99"/>
    <mergeCell ref="AZ99:BA272"/>
    <mergeCell ref="M100:O100"/>
    <mergeCell ref="AQ100:AX272"/>
    <mergeCell ref="M101:O101"/>
    <mergeCell ref="M102:O102"/>
    <mergeCell ref="M103:O103"/>
    <mergeCell ref="M104:O104"/>
    <mergeCell ref="M105:O105"/>
    <mergeCell ref="M106:O106"/>
    <mergeCell ref="M107:O107"/>
    <mergeCell ref="AY99:AY272"/>
    <mergeCell ref="M108:O108"/>
    <mergeCell ref="M110:O110"/>
    <mergeCell ref="M111:O111"/>
    <mergeCell ref="M112:O112"/>
    <mergeCell ref="M125:O125"/>
    <mergeCell ref="M113:O113"/>
    <mergeCell ref="M114:O114"/>
    <mergeCell ref="M115:O115"/>
    <mergeCell ref="M116:O116"/>
    <mergeCell ref="M117:O117"/>
    <mergeCell ref="M118:O118"/>
    <mergeCell ref="M119:O119"/>
    <mergeCell ref="M120:O120"/>
    <mergeCell ref="M121:O121"/>
    <mergeCell ref="M122:O122"/>
    <mergeCell ref="M124:O124"/>
    <mergeCell ref="Z135:Z148"/>
    <mergeCell ref="AA135:AA148"/>
    <mergeCell ref="M126:O126"/>
    <mergeCell ref="M128:O128"/>
    <mergeCell ref="M129:O129"/>
    <mergeCell ref="M130:O130"/>
    <mergeCell ref="M131:O131"/>
    <mergeCell ref="M132:O132"/>
    <mergeCell ref="A136:I136"/>
    <mergeCell ref="T136:Y148"/>
    <mergeCell ref="M133:O133"/>
    <mergeCell ref="M134:O134"/>
    <mergeCell ref="M135:O135"/>
    <mergeCell ref="T135:Y135"/>
  </mergeCells>
  <conditionalFormatting sqref="AC11">
    <cfRule type="cellIs" dxfId="78" priority="2" stopIfTrue="1" operator="greaterThan">
      <formula>0.2</formula>
    </cfRule>
  </conditionalFormatting>
  <conditionalFormatting sqref="AC12:AC95">
    <cfRule type="cellIs" dxfId="77" priority="1" stopIfTrue="1" operator="greaterThan">
      <formula>0.2</formula>
    </cfRule>
  </conditionalFormatting>
  <dataValidations count="1">
    <dataValidation type="list" allowBlank="1" showInputMessage="1" showErrorMessage="1" sqref="G11:G94" xr:uid="{0E6E0CA6-3149-4EB0-851A-025849448C61}">
      <formula1>"Compra,Alquiler,PrestaciónServicio"</formula1>
    </dataValidation>
  </dataValidations>
  <pageMargins left="0.25" right="0.25" top="0.75" bottom="0.75" header="0.3" footer="0.3"/>
  <pageSetup paperSize="3" scale="10" orientation="landscape" r:id="rId1"/>
  <colBreaks count="2" manualBreakCount="2">
    <brk id="13" max="1048575" man="1"/>
    <brk id="25" max="427"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5105A372-4FCA-4215-909B-9FD047884A59}">
          <x14:formula1>
            <xm:f>Lista!$V$8:$V$14</xm:f>
          </x14:formula1>
          <xm:sqref>H4:M4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4E1CA7-A360-49FE-9893-C36C580FA894}">
  <sheetPr codeName="Hoja4" filterMode="1">
    <pageSetUpPr fitToPage="1"/>
  </sheetPr>
  <dimension ref="A3:BP502"/>
  <sheetViews>
    <sheetView view="pageBreakPreview" topLeftCell="I1" zoomScale="56" zoomScaleNormal="52" zoomScaleSheetLayoutView="56" workbookViewId="0">
      <selection activeCell="R75" sqref="R75"/>
    </sheetView>
  </sheetViews>
  <sheetFormatPr baseColWidth="10" defaultColWidth="11.28515625" defaultRowHeight="15" customHeight="1" x14ac:dyDescent="0.25"/>
  <cols>
    <col min="1" max="1" width="17.140625" style="3" customWidth="1"/>
    <col min="2" max="2" width="24.28515625" style="3" customWidth="1"/>
    <col min="3" max="3" width="52.28515625" style="3" customWidth="1"/>
    <col min="4" max="4" width="77.28515625" style="3" customWidth="1"/>
    <col min="5" max="7" width="28.28515625" style="3" customWidth="1"/>
    <col min="8" max="8" width="31.28515625" style="3" customWidth="1"/>
    <col min="9" max="9" width="30.140625" style="3" customWidth="1"/>
    <col min="10" max="14" width="25.28515625" style="3" customWidth="1"/>
    <col min="15" max="17" width="24.28515625" style="3" customWidth="1"/>
    <col min="18" max="18" width="30.5703125" style="3" customWidth="1"/>
    <col min="19" max="19" width="31.140625" style="3" customWidth="1"/>
    <col min="20" max="23" width="24.28515625" style="3" customWidth="1"/>
    <col min="24" max="25" width="33.85546875" style="3" bestFit="1" customWidth="1"/>
    <col min="26" max="26" width="24.28515625" style="3" customWidth="1"/>
    <col min="27" max="27" width="33.85546875" style="3" bestFit="1" customWidth="1"/>
    <col min="28" max="28" width="33.28515625" style="3" bestFit="1" customWidth="1"/>
    <col min="29" max="29" width="24.28515625" style="3" customWidth="1"/>
    <col min="30" max="30" width="56.28515625" style="3" customWidth="1"/>
    <col min="31" max="31" width="16.7109375" style="3" bestFit="1" customWidth="1"/>
    <col min="32" max="32" width="22" style="3" customWidth="1"/>
    <col min="33" max="40" width="11.28515625" style="3" hidden="1" customWidth="1"/>
    <col min="41" max="41" width="12.85546875" style="273" customWidth="1"/>
    <col min="42" max="44" width="11.28515625" style="3" customWidth="1"/>
    <col min="45" max="45" width="18.140625" style="3" customWidth="1"/>
    <col min="46" max="46" width="11.28515625" style="3" customWidth="1"/>
    <col min="47" max="47" width="18.140625" style="3" customWidth="1"/>
    <col min="48" max="48" width="11.28515625" style="3" customWidth="1"/>
    <col min="49" max="49" width="18.140625" style="3" customWidth="1"/>
    <col min="50" max="50" width="29.28515625" style="3" bestFit="1" customWidth="1"/>
    <col min="51" max="51" width="30.7109375" style="3" bestFit="1" customWidth="1"/>
    <col min="52" max="52" width="25.28515625" style="273" bestFit="1" customWidth="1"/>
    <col min="53" max="53" width="17" style="3" bestFit="1" customWidth="1"/>
    <col min="54" max="54" width="11.28515625" style="3"/>
    <col min="55" max="56" width="14.140625" style="3" bestFit="1" customWidth="1"/>
    <col min="57" max="57" width="11.28515625" style="3"/>
    <col min="58" max="58" width="14.140625" style="3" bestFit="1" customWidth="1"/>
    <col min="59" max="59" width="11.28515625" style="3"/>
    <col min="60" max="60" width="14.140625" style="3" bestFit="1" customWidth="1"/>
    <col min="61" max="16384" width="11.28515625" style="3"/>
  </cols>
  <sheetData>
    <row r="3" spans="1:68" s="1" customFormat="1" ht="32.450000000000003" customHeight="1" x14ac:dyDescent="0.25">
      <c r="A3" s="503" t="s">
        <v>0</v>
      </c>
      <c r="B3" s="503"/>
      <c r="C3" s="503"/>
      <c r="D3" s="503"/>
      <c r="E3" s="503"/>
      <c r="F3" s="503"/>
      <c r="G3" s="503"/>
      <c r="H3" s="503"/>
      <c r="I3" s="503"/>
      <c r="J3" s="503"/>
      <c r="K3" s="503"/>
      <c r="L3" s="503"/>
      <c r="M3" s="503"/>
      <c r="N3" s="504" t="s">
        <v>1</v>
      </c>
      <c r="O3" s="504"/>
      <c r="P3" s="504"/>
      <c r="Q3" s="504"/>
      <c r="R3" s="504"/>
      <c r="S3" s="504"/>
      <c r="T3" s="504"/>
      <c r="U3" s="504"/>
      <c r="V3" s="504"/>
      <c r="W3" s="504"/>
      <c r="X3" s="33"/>
      <c r="Y3" s="33"/>
      <c r="Z3" s="33"/>
      <c r="AA3" s="33"/>
      <c r="AB3" s="33"/>
      <c r="AC3" s="33"/>
      <c r="AO3" s="268"/>
      <c r="AZ3" s="268"/>
    </row>
    <row r="4" spans="1:68" s="2" customFormat="1" ht="70.150000000000006" customHeight="1" x14ac:dyDescent="0.25">
      <c r="A4" s="505"/>
      <c r="B4" s="505"/>
      <c r="C4" s="45" t="s">
        <v>2</v>
      </c>
      <c r="D4" s="17"/>
      <c r="E4" s="466" t="s">
        <v>3</v>
      </c>
      <c r="F4" s="466"/>
      <c r="G4" s="17"/>
      <c r="H4" s="506" t="s">
        <v>4</v>
      </c>
      <c r="I4" s="506"/>
      <c r="J4" s="506"/>
      <c r="K4" s="506"/>
      <c r="L4" s="506"/>
      <c r="M4" s="506"/>
      <c r="N4" s="504"/>
      <c r="O4" s="504"/>
      <c r="P4" s="504"/>
      <c r="Q4" s="504"/>
      <c r="R4" s="504"/>
      <c r="S4" s="504"/>
      <c r="T4" s="504"/>
      <c r="U4" s="504"/>
      <c r="V4" s="504"/>
      <c r="W4" s="504"/>
      <c r="Z4" s="491" t="s">
        <v>5</v>
      </c>
      <c r="AA4" s="491"/>
      <c r="AB4" s="73">
        <f>IF(B11="","",AA113)</f>
        <v>590462282.71803367</v>
      </c>
      <c r="AC4" s="38"/>
      <c r="AO4" s="269"/>
      <c r="AZ4" s="269"/>
    </row>
    <row r="5" spans="1:68" s="2" customFormat="1" ht="63" customHeight="1" x14ac:dyDescent="0.25">
      <c r="A5" s="505"/>
      <c r="B5" s="505"/>
      <c r="C5" s="20" t="s">
        <v>6</v>
      </c>
      <c r="D5" s="507" t="s">
        <v>7</v>
      </c>
      <c r="E5" s="508"/>
      <c r="F5" s="509"/>
      <c r="G5" s="99"/>
      <c r="H5" s="20" t="s">
        <v>8</v>
      </c>
      <c r="I5" s="507" t="s">
        <v>331</v>
      </c>
      <c r="J5" s="509"/>
      <c r="K5" s="20" t="s">
        <v>9</v>
      </c>
      <c r="L5" s="507"/>
      <c r="M5" s="509"/>
      <c r="N5" s="504"/>
      <c r="O5" s="504"/>
      <c r="P5" s="504"/>
      <c r="Q5" s="504"/>
      <c r="R5" s="504"/>
      <c r="S5" s="504"/>
      <c r="T5" s="504"/>
      <c r="U5" s="504"/>
      <c r="V5" s="504"/>
      <c r="W5" s="504"/>
      <c r="Z5" s="491" t="s">
        <v>10</v>
      </c>
      <c r="AA5" s="491"/>
      <c r="AB5" s="73">
        <f>IF(B11="","",L153)</f>
        <v>927118595</v>
      </c>
      <c r="AC5" s="38"/>
      <c r="AD5" s="270">
        <f>AD6-AB6</f>
        <v>19938622.281966209</v>
      </c>
      <c r="AO5" s="269"/>
      <c r="AZ5" s="269"/>
    </row>
    <row r="6" spans="1:68" s="2" customFormat="1" ht="54" customHeight="1" x14ac:dyDescent="0.25">
      <c r="A6" s="505"/>
      <c r="B6" s="505"/>
      <c r="C6" s="46" t="s">
        <v>11</v>
      </c>
      <c r="D6" s="466" t="s">
        <v>12</v>
      </c>
      <c r="E6" s="466"/>
      <c r="F6" s="466"/>
      <c r="G6" s="466"/>
      <c r="H6" s="466"/>
      <c r="I6" s="466"/>
      <c r="J6" s="466"/>
      <c r="K6" s="466"/>
      <c r="L6" s="466"/>
      <c r="M6" s="466"/>
      <c r="N6" s="504"/>
      <c r="O6" s="504"/>
      <c r="P6" s="504"/>
      <c r="Q6" s="504"/>
      <c r="R6" s="504"/>
      <c r="S6" s="504"/>
      <c r="T6" s="504"/>
      <c r="U6" s="504"/>
      <c r="V6" s="504"/>
      <c r="W6" s="504"/>
      <c r="X6" s="73">
        <f>X7-X8</f>
        <v>-4920000</v>
      </c>
      <c r="Y6" s="73">
        <f>Y7-Y8</f>
        <v>-5854800</v>
      </c>
      <c r="Z6" s="491" t="s">
        <v>13</v>
      </c>
      <c r="AA6" s="491"/>
      <c r="AB6" s="74">
        <f>IF(B11="","",(AB4+AB5))</f>
        <v>1517580877.7180338</v>
      </c>
      <c r="AC6" s="36"/>
      <c r="AD6" s="271">
        <v>1537519500</v>
      </c>
      <c r="AO6" s="269"/>
      <c r="AZ6" s="269"/>
    </row>
    <row r="7" spans="1:68" ht="21" x14ac:dyDescent="0.35">
      <c r="K7" s="272">
        <f>SUM(K11:K112)</f>
        <v>16582836.3519</v>
      </c>
      <c r="L7" s="272">
        <f>SUM(L11:L112)</f>
        <v>354635201.87352949</v>
      </c>
      <c r="M7" s="272">
        <f>SUM(M11:M112)</f>
        <v>413885529.8294999</v>
      </c>
      <c r="Q7" s="272">
        <f>SUM(Q11:Q112)</f>
        <v>15120831.9121</v>
      </c>
      <c r="R7" s="272">
        <f>SUM(R11:R112)</f>
        <v>307008297.50798321</v>
      </c>
      <c r="S7" s="272">
        <f>SUM(S11:S112)</f>
        <v>359741633.63450009</v>
      </c>
      <c r="W7" s="272">
        <f>SUM(W11:W112)</f>
        <v>10935677.0496</v>
      </c>
      <c r="X7" s="272">
        <f>SUM(X11:X112)</f>
        <v>144728322.43705884</v>
      </c>
      <c r="Y7" s="272">
        <f>SUM(Y11:Y112)</f>
        <v>155981396.70009997</v>
      </c>
    </row>
    <row r="8" spans="1:68" ht="21" x14ac:dyDescent="0.35">
      <c r="A8" s="4"/>
      <c r="J8" s="16"/>
      <c r="K8" s="274">
        <v>16567836.3519</v>
      </c>
      <c r="L8" s="274">
        <v>343035927.92394966</v>
      </c>
      <c r="M8" s="274">
        <v>407735529.8294999</v>
      </c>
      <c r="P8" s="16"/>
      <c r="Q8" s="272">
        <v>15121551.9121</v>
      </c>
      <c r="R8" s="272">
        <v>308238297.50798321</v>
      </c>
      <c r="S8" s="272">
        <v>360036833.63450009</v>
      </c>
      <c r="V8" s="16"/>
      <c r="W8" s="16">
        <v>10949957.0496</v>
      </c>
      <c r="X8" s="16">
        <v>149648322.43705884</v>
      </c>
      <c r="Y8" s="16">
        <v>161836196.70009997</v>
      </c>
      <c r="Z8" s="16"/>
    </row>
    <row r="9" spans="1:68" s="18" customFormat="1" ht="45" customHeight="1" x14ac:dyDescent="0.4">
      <c r="H9" s="492" t="s">
        <v>14</v>
      </c>
      <c r="I9" s="493"/>
      <c r="J9" s="493"/>
      <c r="K9" s="493"/>
      <c r="L9" s="493"/>
      <c r="M9" s="494"/>
      <c r="N9" s="495" t="s">
        <v>15</v>
      </c>
      <c r="O9" s="496"/>
      <c r="P9" s="496"/>
      <c r="Q9" s="496"/>
      <c r="R9" s="496"/>
      <c r="S9" s="497"/>
      <c r="T9" s="498" t="s">
        <v>16</v>
      </c>
      <c r="U9" s="499"/>
      <c r="V9" s="499"/>
      <c r="W9" s="499"/>
      <c r="X9" s="499"/>
      <c r="Y9" s="500"/>
      <c r="Z9" s="501" t="s">
        <v>17</v>
      </c>
      <c r="AA9" s="502"/>
      <c r="AB9" s="502"/>
      <c r="AC9" s="502"/>
      <c r="AF9" s="7" t="s">
        <v>332</v>
      </c>
      <c r="AO9" s="275"/>
      <c r="AZ9" s="275"/>
    </row>
    <row r="10" spans="1:68" s="18" customFormat="1" ht="156.6" customHeight="1" x14ac:dyDescent="0.3">
      <c r="A10" s="92" t="s">
        <v>18</v>
      </c>
      <c r="B10" s="92" t="s">
        <v>19</v>
      </c>
      <c r="C10" s="92" t="s">
        <v>20</v>
      </c>
      <c r="D10" s="92" t="s">
        <v>21</v>
      </c>
      <c r="E10" s="92" t="s">
        <v>22</v>
      </c>
      <c r="F10" s="92" t="s">
        <v>23</v>
      </c>
      <c r="G10" s="92" t="s">
        <v>24</v>
      </c>
      <c r="H10" s="93" t="s">
        <v>25</v>
      </c>
      <c r="I10" s="93" t="s">
        <v>26</v>
      </c>
      <c r="J10" s="93" t="s">
        <v>27</v>
      </c>
      <c r="K10" s="93" t="s">
        <v>28</v>
      </c>
      <c r="L10" s="93" t="s">
        <v>29</v>
      </c>
      <c r="M10" s="93" t="s">
        <v>30</v>
      </c>
      <c r="N10" s="92" t="s">
        <v>31</v>
      </c>
      <c r="O10" s="92" t="s">
        <v>26</v>
      </c>
      <c r="P10" s="92" t="s">
        <v>27</v>
      </c>
      <c r="Q10" s="92" t="s">
        <v>28</v>
      </c>
      <c r="R10" s="92" t="s">
        <v>29</v>
      </c>
      <c r="S10" s="92" t="s">
        <v>30</v>
      </c>
      <c r="T10" s="94" t="s">
        <v>32</v>
      </c>
      <c r="U10" s="94" t="s">
        <v>26</v>
      </c>
      <c r="V10" s="94" t="s">
        <v>27</v>
      </c>
      <c r="W10" s="94" t="s">
        <v>28</v>
      </c>
      <c r="X10" s="94" t="s">
        <v>29</v>
      </c>
      <c r="Y10" s="94" t="s">
        <v>30</v>
      </c>
      <c r="Z10" s="93" t="s">
        <v>33</v>
      </c>
      <c r="AA10" s="93" t="s">
        <v>34</v>
      </c>
      <c r="AB10" s="93" t="s">
        <v>35</v>
      </c>
      <c r="AC10" s="93" t="s">
        <v>36</v>
      </c>
      <c r="AD10" s="95" t="s">
        <v>37</v>
      </c>
      <c r="AF10" s="18" t="s">
        <v>333</v>
      </c>
      <c r="AO10" s="275" t="s">
        <v>334</v>
      </c>
      <c r="AP10" s="18" t="s">
        <v>20</v>
      </c>
      <c r="AQ10" s="18" t="s">
        <v>335</v>
      </c>
      <c r="AR10" s="18" t="s">
        <v>336</v>
      </c>
      <c r="AS10" s="18" t="s">
        <v>337</v>
      </c>
      <c r="AT10" s="18" t="s">
        <v>338</v>
      </c>
      <c r="AU10" s="18" t="s">
        <v>339</v>
      </c>
      <c r="AV10" s="18" t="s">
        <v>340</v>
      </c>
      <c r="AW10" s="18" t="s">
        <v>341</v>
      </c>
      <c r="AX10" s="93" t="s">
        <v>33</v>
      </c>
      <c r="AY10" s="93" t="s">
        <v>34</v>
      </c>
      <c r="AZ10" s="93" t="s">
        <v>35</v>
      </c>
      <c r="BA10" s="93" t="s">
        <v>36</v>
      </c>
    </row>
    <row r="11" spans="1:68" s="7" customFormat="1" ht="240" hidden="1" x14ac:dyDescent="0.35">
      <c r="A11" s="276">
        <v>1</v>
      </c>
      <c r="B11" s="277" t="s">
        <v>38</v>
      </c>
      <c r="C11" s="277" t="s">
        <v>39</v>
      </c>
      <c r="D11" s="137" t="s">
        <v>40</v>
      </c>
      <c r="E11" s="277" t="s">
        <v>41</v>
      </c>
      <c r="F11" s="277">
        <v>60</v>
      </c>
      <c r="G11" s="277" t="s">
        <v>42</v>
      </c>
      <c r="H11" s="278" t="s">
        <v>43</v>
      </c>
      <c r="I11" s="279">
        <v>5033.6099999999997</v>
      </c>
      <c r="J11" s="280">
        <f>I11*19%</f>
        <v>956.38589999999999</v>
      </c>
      <c r="K11" s="280">
        <f>I11+J11</f>
        <v>5989.9958999999999</v>
      </c>
      <c r="L11" s="281">
        <f>IF(B11="","",(I11*F11))</f>
        <v>302016.59999999998</v>
      </c>
      <c r="M11" s="281">
        <f>IF(B11="","",(K11*F11))</f>
        <v>359399.75400000002</v>
      </c>
      <c r="N11" s="282" t="s">
        <v>44</v>
      </c>
      <c r="O11" s="283">
        <v>5462.18</v>
      </c>
      <c r="P11" s="283">
        <f>O11*19%</f>
        <v>1037.8142</v>
      </c>
      <c r="Q11" s="283">
        <f t="shared" ref="Q11" si="0">O11+P11</f>
        <v>6499.9942000000001</v>
      </c>
      <c r="R11" s="284">
        <f t="shared" ref="R11" si="1">IF(B11="","",(O11*F11))</f>
        <v>327730.80000000005</v>
      </c>
      <c r="S11" s="284">
        <f t="shared" ref="S11" si="2">IF(B11="","",(Q11*F11))</f>
        <v>389999.652</v>
      </c>
      <c r="T11" s="285" t="s">
        <v>45</v>
      </c>
      <c r="U11" s="286">
        <v>4201.68</v>
      </c>
      <c r="V11" s="286">
        <f t="shared" ref="V11:V13" si="3">U11*19%</f>
        <v>798.31920000000002</v>
      </c>
      <c r="W11" s="286">
        <f>U11+V11</f>
        <v>4999.9992000000002</v>
      </c>
      <c r="X11" s="287">
        <f t="shared" ref="X11" si="4">IF(B11="","",(U11*F11))</f>
        <v>252100.80000000002</v>
      </c>
      <c r="Y11" s="287">
        <f t="shared" ref="Y11" si="5">IF(B11="","",(W11*F11))</f>
        <v>299999.95199999999</v>
      </c>
      <c r="Z11" s="288">
        <f t="shared" ref="Z11" si="6">IF(A11="","",AVERAGE(K11,Q11,W11))</f>
        <v>5829.9964333333337</v>
      </c>
      <c r="AA11" s="288">
        <f t="shared" ref="AA11" si="7">IF(B11="","",Z11*F11)</f>
        <v>349799.78600000002</v>
      </c>
      <c r="AB11" s="288">
        <f t="shared" ref="AB11" si="8">IF(B11="","",STDEV(M11,S11,Y11))</f>
        <v>45761.403379083953</v>
      </c>
      <c r="AC11" s="229">
        <f t="shared" ref="AC11" si="9">IF(B11="","",(AB11/AA11))</f>
        <v>0.13082170204381985</v>
      </c>
      <c r="AD11" s="289"/>
      <c r="AE11" s="290" t="b">
        <f>AO11=AC11</f>
        <v>0</v>
      </c>
      <c r="AF11" s="291" t="s">
        <v>342</v>
      </c>
      <c r="AG11" s="291"/>
      <c r="AH11" s="291"/>
      <c r="AI11" s="291"/>
      <c r="AJ11" s="291"/>
      <c r="AK11" s="291"/>
      <c r="AL11" s="291"/>
      <c r="AM11" s="291"/>
      <c r="AN11" s="291"/>
      <c r="AO11" s="292">
        <f>VLOOKUP(C11,ITEMS_BolsaOperador!$D$2:$AY$247,48,0)</f>
        <v>0.13082205808348779</v>
      </c>
      <c r="AP11" s="291" t="str">
        <f>VLOOKUP(C11,ITEMS_BolsaOperador!$D$2:$AY$247,1,0)</f>
        <v>Cuaderno 100 hojas</v>
      </c>
      <c r="AQ11" s="291" t="str">
        <f>VLOOKUP(C11,ITEMS_BolsaOperador!$D$2:$AY$247,2,0)</f>
        <v>Cuaderno argollado de 100 hojas cuadriculadas, gramaje de 60g a 75g. Carátula en cartón rígido plastificado, espiral metálico sencillo o doble</v>
      </c>
      <c r="AR11" s="291" t="str">
        <f>VLOOKUP(C11,ITEMS_BolsaOperador!$D$2:$AY$247,10,0)</f>
        <v>Exito</v>
      </c>
      <c r="AS11" s="291">
        <f>VLOOKUP(C11,ITEMS_BolsaOperador!$D$2:$AY$247,16,0)</f>
        <v>5990</v>
      </c>
      <c r="AT11" s="291" t="str">
        <f>VLOOKUP(C11,ITEMS_BolsaOperador!$D$2:$AY$247,23,0)</f>
        <v>Multiexpress</v>
      </c>
      <c r="AU11" s="291">
        <f>VLOOKUP(C11,ITEMS_BolsaOperador!$D$2:$AY$247,29,0)</f>
        <v>6500</v>
      </c>
      <c r="AV11" s="291" t="str">
        <f>VLOOKUP(C11,ITEMS_BolsaOperador!$D$2:$AY$247,36,0)</f>
        <v>Gran Papelera</v>
      </c>
      <c r="AW11" s="291">
        <f>VLOOKUP(C11,ITEMS_BolsaOperador!$D$2:$AY$247,42,0)</f>
        <v>5000</v>
      </c>
      <c r="AX11" s="293">
        <f>VLOOKUP(C11,ITEMS_BolsaOperador!$D$2:$AY$247,45,0)</f>
        <v>5830</v>
      </c>
      <c r="AY11" s="293">
        <f>VLOOKUP(C11,ITEMS_BolsaOperador!$D$2:$AY$247,46,0)</f>
        <v>5830</v>
      </c>
      <c r="AZ11" s="293">
        <f>VLOOKUP(C11,ITEMS_BolsaOperador!$D$2:$AY$247,47,0)</f>
        <v>762.6925986267338</v>
      </c>
      <c r="BA11" s="229">
        <f>VLOOKUP(C11,ITEMS_BolsaOperador!$D$2:$AY$247,48,0)</f>
        <v>0.13082205808348779</v>
      </c>
      <c r="BC11" s="7" t="b">
        <f>AQ11=D11</f>
        <v>1</v>
      </c>
      <c r="BD11" s="7" t="b">
        <f>AR11=H11</f>
        <v>1</v>
      </c>
      <c r="BE11" s="7" t="b">
        <f>AS11=K11</f>
        <v>0</v>
      </c>
      <c r="BF11" s="7" t="b">
        <f>N11=AT11</f>
        <v>1</v>
      </c>
      <c r="BG11" s="7" t="b">
        <f>AU11=Q11</f>
        <v>0</v>
      </c>
      <c r="BH11" s="7" t="b">
        <f>AV11=T11</f>
        <v>1</v>
      </c>
      <c r="BI11" s="7" t="b">
        <f>AW11=W11</f>
        <v>0</v>
      </c>
      <c r="BJ11" s="7" t="b">
        <f>AX11=Z11</f>
        <v>0</v>
      </c>
      <c r="BK11" s="7" t="b">
        <f t="shared" ref="BK11:BL11" si="10">AY11=AA11</f>
        <v>0</v>
      </c>
      <c r="BL11" s="7" t="b">
        <f t="shared" si="10"/>
        <v>0</v>
      </c>
      <c r="BM11" s="7" t="b">
        <f>BA11=AC11</f>
        <v>0</v>
      </c>
      <c r="BP11" s="7">
        <v>1</v>
      </c>
    </row>
    <row r="12" spans="1:68" s="7" customFormat="1" ht="330" hidden="1" x14ac:dyDescent="0.35">
      <c r="A12" s="276">
        <v>2</v>
      </c>
      <c r="B12" s="294" t="s">
        <v>38</v>
      </c>
      <c r="C12" s="277" t="s">
        <v>46</v>
      </c>
      <c r="D12" s="137" t="s">
        <v>47</v>
      </c>
      <c r="E12" s="277" t="s">
        <v>41</v>
      </c>
      <c r="F12" s="277">
        <v>6</v>
      </c>
      <c r="G12" s="277" t="s">
        <v>42</v>
      </c>
      <c r="H12" s="278" t="s">
        <v>48</v>
      </c>
      <c r="I12" s="280">
        <v>5407.56</v>
      </c>
      <c r="J12" s="280">
        <f t="shared" ref="J12:J13" si="11">I12*19%</f>
        <v>1027.4364</v>
      </c>
      <c r="K12" s="280">
        <f t="shared" ref="K12:K75" si="12">I12+J12</f>
        <v>6434.9964</v>
      </c>
      <c r="L12" s="281">
        <f t="shared" ref="L12:L75" si="13">IF(B12="","",(I12*F12))</f>
        <v>32445.360000000001</v>
      </c>
      <c r="M12" s="281">
        <f t="shared" ref="M12:M75" si="14">IF(B12="","",(K12*F12))</f>
        <v>38609.9784</v>
      </c>
      <c r="N12" s="282" t="s">
        <v>49</v>
      </c>
      <c r="O12" s="283">
        <v>4628.57</v>
      </c>
      <c r="P12" s="283">
        <f t="shared" ref="P12:P13" si="15">O12*19%</f>
        <v>879.42829999999992</v>
      </c>
      <c r="Q12" s="283">
        <f t="shared" ref="Q12:Q75" si="16">O12+P12</f>
        <v>5507.9982999999993</v>
      </c>
      <c r="R12" s="284">
        <f t="shared" ref="R12:R75" si="17">IF(B12="","",(O12*F12))</f>
        <v>27771.42</v>
      </c>
      <c r="S12" s="284">
        <f t="shared" ref="S12:S75" si="18">IF(B12="","",(Q12*F12))</f>
        <v>33047.989799999996</v>
      </c>
      <c r="T12" s="285" t="s">
        <v>50</v>
      </c>
      <c r="U12" s="286">
        <v>4968.91</v>
      </c>
      <c r="V12" s="286">
        <f t="shared" si="3"/>
        <v>944.09289999999999</v>
      </c>
      <c r="W12" s="286">
        <f t="shared" ref="W12:W75" si="19">U12+V12</f>
        <v>5913.0028999999995</v>
      </c>
      <c r="X12" s="287">
        <f t="shared" ref="X12:X75" si="20">IF(B12="","",(U12*F12))</f>
        <v>29813.46</v>
      </c>
      <c r="Y12" s="287">
        <f t="shared" ref="Y12:Y75" si="21">IF(B12="","",(W12*F12))</f>
        <v>35478.017399999997</v>
      </c>
      <c r="Z12" s="288">
        <f t="shared" ref="Z12:Z15" si="22">IF(A12="","",AVERAGE(K12,Q12,W12))</f>
        <v>5951.9991999999993</v>
      </c>
      <c r="AA12" s="288">
        <f t="shared" ref="AA12:AA15" si="23">IF(B12="","",Z12*F12)</f>
        <v>35711.995199999998</v>
      </c>
      <c r="AB12" s="288">
        <f t="shared" ref="AB12:AB15" si="24">IF(B12="","",STDEV(M12,S12,Y12))</f>
        <v>2788.3666374424529</v>
      </c>
      <c r="AC12" s="229">
        <f t="shared" ref="AC12:AC15" si="25">IF(B12="","",(AB12/AA12))</f>
        <v>7.807927341574164E-2</v>
      </c>
      <c r="AD12" s="5"/>
      <c r="AE12" s="290" t="b">
        <f t="shared" ref="AE12:AE75" si="26">AO12=AC12</f>
        <v>0</v>
      </c>
      <c r="AF12" s="291" t="s">
        <v>342</v>
      </c>
      <c r="AO12" s="292">
        <f>VLOOKUP(C12,ITEMS_BolsaOperador!$D$2:$AY$247,48,0)</f>
        <v>7.8079461233536068E-2</v>
      </c>
      <c r="AP12" s="291" t="str">
        <f>VLOOKUP(C12,ITEMS_BolsaOperador!$D$2:$AY$247,1,0)</f>
        <v xml:space="preserve">Esfero cualquier color caja x 10 </v>
      </c>
      <c r="AQ12" s="291" t="str">
        <f>VLOOKUP(C12,ITEMS_BolsaOperador!$D$2:$AY$247,2,0)</f>
        <v>Caja de 10 bolígrafos con tinta suave de baja viscosidad en colores variados. Cuerpo ergonómico transparente para control de tinta, punta de tungsteno para trazos precisos y tapa de seguridad ventilada.</v>
      </c>
      <c r="AR12" s="291" t="str">
        <f>VLOOKUP(C12,ITEMS_BolsaOperador!$D$2:$AY$247,10,0)</f>
        <v>GUERRA EDITORES</v>
      </c>
      <c r="AS12" s="291">
        <f>VLOOKUP(C12,ITEMS_BolsaOperador!$D$2:$AY$247,16,0)</f>
        <v>6435.0000000000009</v>
      </c>
      <c r="AT12" s="291" t="str">
        <f>VLOOKUP(C12,ITEMS_BolsaOperador!$D$2:$AY$247,23,0)</f>
        <v>LIBRERIA Y PAPELERIA TIENDA ESTUDIANTIL LTDA</v>
      </c>
      <c r="AU12" s="291">
        <f>VLOOKUP(C12,ITEMS_BolsaOperador!$D$2:$AY$247,29,0)</f>
        <v>5508</v>
      </c>
      <c r="AV12" s="291" t="str">
        <f>VLOOKUP(C12,ITEMS_BolsaOperador!$D$2:$AY$247,36,0)</f>
        <v>ENTREPRISE</v>
      </c>
      <c r="AW12" s="291">
        <f>VLOOKUP(C12,ITEMS_BolsaOperador!$D$2:$AY$247,42,0)</f>
        <v>5913</v>
      </c>
      <c r="AX12" s="293">
        <f>VLOOKUP(C12,ITEMS_BolsaOperador!$D$2:$AY$247,45,0)</f>
        <v>5952</v>
      </c>
      <c r="AY12" s="293">
        <f>VLOOKUP(C12,ITEMS_BolsaOperador!$D$2:$AY$247,46,0)</f>
        <v>5952</v>
      </c>
      <c r="AZ12" s="293">
        <f>VLOOKUP(C12,ITEMS_BolsaOperador!$D$2:$AY$247,47,0)</f>
        <v>464.72895326200671</v>
      </c>
      <c r="BA12" s="229">
        <f>VLOOKUP(C12,ITEMS_BolsaOperador!$D$2:$AY$247,48,0)</f>
        <v>7.8079461233536068E-2</v>
      </c>
      <c r="BC12" s="7" t="b">
        <f t="shared" ref="BC12:BC78" si="27">AQ12=D12</f>
        <v>1</v>
      </c>
      <c r="BD12" s="7" t="b">
        <f t="shared" ref="BD12:BD78" si="28">AR12=H12</f>
        <v>1</v>
      </c>
      <c r="BE12" s="7" t="b">
        <f t="shared" ref="BE12:BE78" si="29">AS12=K12</f>
        <v>0</v>
      </c>
      <c r="BF12" s="7" t="b">
        <f t="shared" ref="BF12:BF78" si="30">N12=AT12</f>
        <v>0</v>
      </c>
      <c r="BG12" s="7" t="b">
        <f t="shared" ref="BG12:BG78" si="31">AU12=Q12</f>
        <v>0</v>
      </c>
      <c r="BH12" s="7" t="b">
        <f t="shared" ref="BH12:BH78" si="32">AV12=T12</f>
        <v>0</v>
      </c>
      <c r="BI12" s="7" t="b">
        <f t="shared" ref="BI12:BI78" si="33">AW12=W12</f>
        <v>0</v>
      </c>
      <c r="BJ12" s="7" t="b">
        <f t="shared" ref="BJ12:BJ78" si="34">AX12=Z12</f>
        <v>0</v>
      </c>
      <c r="BK12" s="7" t="b">
        <f t="shared" ref="BK12:BK78" si="35">AY12=AA12</f>
        <v>0</v>
      </c>
      <c r="BL12" s="7" t="b">
        <f t="shared" ref="BL12:BL78" si="36">AZ12=AB12</f>
        <v>0</v>
      </c>
      <c r="BM12" s="7" t="b">
        <f t="shared" ref="BM12:BM78" si="37">BA12=AC12</f>
        <v>0</v>
      </c>
      <c r="BP12" s="7">
        <v>2</v>
      </c>
    </row>
    <row r="13" spans="1:68" s="7" customFormat="1" ht="195" hidden="1" x14ac:dyDescent="0.35">
      <c r="A13" s="276">
        <v>3</v>
      </c>
      <c r="B13" s="294" t="s">
        <v>38</v>
      </c>
      <c r="C13" s="277" t="s">
        <v>51</v>
      </c>
      <c r="D13" s="137" t="s">
        <v>52</v>
      </c>
      <c r="E13" s="294" t="s">
        <v>41</v>
      </c>
      <c r="F13" s="277">
        <v>60</v>
      </c>
      <c r="G13" s="277" t="s">
        <v>42</v>
      </c>
      <c r="H13" s="278" t="s">
        <v>53</v>
      </c>
      <c r="I13" s="280">
        <v>27500</v>
      </c>
      <c r="J13" s="280">
        <f t="shared" si="11"/>
        <v>5225</v>
      </c>
      <c r="K13" s="280">
        <f t="shared" si="12"/>
        <v>32725</v>
      </c>
      <c r="L13" s="281">
        <f t="shared" si="13"/>
        <v>1650000</v>
      </c>
      <c r="M13" s="281">
        <f t="shared" si="14"/>
        <v>1963500</v>
      </c>
      <c r="N13" s="282" t="s">
        <v>54</v>
      </c>
      <c r="O13" s="283">
        <v>25500</v>
      </c>
      <c r="P13" s="283">
        <f t="shared" si="15"/>
        <v>4845</v>
      </c>
      <c r="Q13" s="283">
        <f t="shared" si="16"/>
        <v>30345</v>
      </c>
      <c r="R13" s="284">
        <f t="shared" si="17"/>
        <v>1530000</v>
      </c>
      <c r="S13" s="284">
        <f t="shared" si="18"/>
        <v>1820700</v>
      </c>
      <c r="T13" s="285" t="s">
        <v>55</v>
      </c>
      <c r="U13" s="286">
        <v>28750</v>
      </c>
      <c r="V13" s="286">
        <f t="shared" si="3"/>
        <v>5462.5</v>
      </c>
      <c r="W13" s="286">
        <f t="shared" si="19"/>
        <v>34212.5</v>
      </c>
      <c r="X13" s="287">
        <f t="shared" si="20"/>
        <v>1725000</v>
      </c>
      <c r="Y13" s="287">
        <f t="shared" si="21"/>
        <v>2052750</v>
      </c>
      <c r="Z13" s="288">
        <f t="shared" si="22"/>
        <v>32427.5</v>
      </c>
      <c r="AA13" s="288">
        <f t="shared" si="23"/>
        <v>1945650</v>
      </c>
      <c r="AB13" s="288">
        <f t="shared" si="24"/>
        <v>117050.27765879071</v>
      </c>
      <c r="AC13" s="229">
        <f t="shared" si="25"/>
        <v>6.0159986461486244E-2</v>
      </c>
      <c r="AD13" s="5"/>
      <c r="AE13" s="290" t="b">
        <f t="shared" si="26"/>
        <v>0</v>
      </c>
      <c r="AF13" s="7" t="s">
        <v>343</v>
      </c>
      <c r="AO13" s="292">
        <f>VLOOKUP(C13,ITEMS_BolsaOperador!$D$254:$AY$276,48,0)</f>
        <v>6.0199999999999997E-2</v>
      </c>
      <c r="AP13" s="291" t="str">
        <f>VLOOKUP(C13,ITEMS_BolsaOperador!$D$254:$AY$276,1,0)</f>
        <v>Kit Básico de Pintura</v>
      </c>
      <c r="AQ13" s="291" t="str">
        <f>VLOOKUP(C13,ITEMS_BolsaOperador!$D$254:$AY$276,2,0)</f>
        <v>Set compuesto por 2 pinceles (plano y redondo), paleta plástica pequeña y lápiz de boceto, empaque individual</v>
      </c>
      <c r="AR13" s="291" t="str">
        <f>VLOOKUP(C13,ITEMS_BolsaOperador!$D$254:$AY$276,10,0)</f>
        <v xml:space="preserve"> COMTEC </v>
      </c>
      <c r="AS13" s="291">
        <f>VLOOKUP(C13,ITEMS_BolsaOperador!$D$254:$AY$276,16,0)</f>
        <v>32725</v>
      </c>
      <c r="AT13" s="291" t="str">
        <f>VLOOKUP(C13,ITEMS_BolsaOperador!$D$254:$AY$276,23,0)</f>
        <v xml:space="preserve"> ULTRABELLA </v>
      </c>
      <c r="AU13" s="291">
        <f>VLOOKUP(C13,ITEMS_BolsaOperador!$D$254:$AY$276,29,0)</f>
        <v>30345</v>
      </c>
      <c r="AV13" s="291" t="str">
        <f>VLOOKUP(C13,ITEMS_BolsaOperador!$D$254:$AY$276,36,0)</f>
        <v xml:space="preserve"> GUERRA EDITORES </v>
      </c>
      <c r="AW13" s="291">
        <f>VLOOKUP(C13,ITEMS_BolsaOperador!$D$254:$AY$276,42,0)</f>
        <v>34213</v>
      </c>
      <c r="AX13" s="293">
        <f>VLOOKUP(C13,ITEMS_BolsaOperador!$D$254:$AY$276,45,0)</f>
        <v>32427.5</v>
      </c>
      <c r="AY13" s="293">
        <f>VLOOKUP(C13,ITEMS_BolsaOperador!$D$254:$AY$276,46,0)</f>
        <v>32427.5</v>
      </c>
      <c r="AZ13" s="293">
        <f>VLOOKUP(C13,ITEMS_BolsaOperador!$D$254:$AY$276,47,0)</f>
        <v>1950.84</v>
      </c>
      <c r="BA13" s="229">
        <f>VLOOKUP(C13,ITEMS_BolsaOperador!$D$254:$AY$276,48,0)</f>
        <v>6.0199999999999997E-2</v>
      </c>
      <c r="BC13" s="7" t="b">
        <f t="shared" si="27"/>
        <v>1</v>
      </c>
      <c r="BD13" s="7" t="b">
        <f t="shared" si="28"/>
        <v>0</v>
      </c>
      <c r="BE13" s="7" t="b">
        <f t="shared" si="29"/>
        <v>1</v>
      </c>
      <c r="BF13" s="7" t="b">
        <f t="shared" si="30"/>
        <v>0</v>
      </c>
      <c r="BG13" s="7" t="b">
        <f t="shared" si="31"/>
        <v>1</v>
      </c>
      <c r="BH13" s="7" t="b">
        <f t="shared" si="32"/>
        <v>0</v>
      </c>
      <c r="BI13" s="7" t="b">
        <f t="shared" si="33"/>
        <v>0</v>
      </c>
      <c r="BJ13" s="7" t="b">
        <f t="shared" si="34"/>
        <v>1</v>
      </c>
      <c r="BK13" s="7" t="b">
        <f t="shared" si="35"/>
        <v>0</v>
      </c>
      <c r="BL13" s="7" t="b">
        <f t="shared" si="36"/>
        <v>0</v>
      </c>
      <c r="BM13" s="7" t="b">
        <f t="shared" si="37"/>
        <v>0</v>
      </c>
      <c r="BP13" s="7">
        <v>3</v>
      </c>
    </row>
    <row r="14" spans="1:68" s="7" customFormat="1" ht="255" hidden="1" x14ac:dyDescent="0.35">
      <c r="A14" s="276">
        <v>4</v>
      </c>
      <c r="B14" s="294" t="s">
        <v>38</v>
      </c>
      <c r="C14" s="277" t="s">
        <v>56</v>
      </c>
      <c r="D14" s="137" t="s">
        <v>57</v>
      </c>
      <c r="E14" s="294" t="s">
        <v>41</v>
      </c>
      <c r="F14" s="277">
        <v>60</v>
      </c>
      <c r="G14" s="277" t="s">
        <v>42</v>
      </c>
      <c r="H14" s="278" t="s">
        <v>58</v>
      </c>
      <c r="I14" s="280">
        <v>36050.42</v>
      </c>
      <c r="J14" s="280">
        <f t="shared" ref="J14:J20" si="38">I14*19%</f>
        <v>6849.5797999999995</v>
      </c>
      <c r="K14" s="280">
        <f t="shared" si="12"/>
        <v>42899.999799999998</v>
      </c>
      <c r="L14" s="281">
        <f t="shared" si="13"/>
        <v>2163025.1999999997</v>
      </c>
      <c r="M14" s="281">
        <f t="shared" si="14"/>
        <v>2573999.9879999999</v>
      </c>
      <c r="N14" s="282" t="s">
        <v>59</v>
      </c>
      <c r="O14" s="283">
        <v>41596.639999999999</v>
      </c>
      <c r="P14" s="283">
        <f t="shared" ref="P14:P20" si="39">O14*19%</f>
        <v>7903.3616000000002</v>
      </c>
      <c r="Q14" s="283">
        <f t="shared" si="16"/>
        <v>49500.001600000003</v>
      </c>
      <c r="R14" s="284">
        <f t="shared" si="17"/>
        <v>2495798.4</v>
      </c>
      <c r="S14" s="284">
        <f t="shared" si="18"/>
        <v>2970000.0960000004</v>
      </c>
      <c r="T14" s="285" t="s">
        <v>60</v>
      </c>
      <c r="U14" s="286">
        <v>34453.78</v>
      </c>
      <c r="V14" s="286">
        <f t="shared" ref="V14:V18" si="40">U14*19%</f>
        <v>6546.2182000000003</v>
      </c>
      <c r="W14" s="286">
        <f t="shared" si="19"/>
        <v>40999.998200000002</v>
      </c>
      <c r="X14" s="287">
        <f t="shared" si="20"/>
        <v>2067226.7999999998</v>
      </c>
      <c r="Y14" s="287">
        <f t="shared" si="21"/>
        <v>2459999.892</v>
      </c>
      <c r="Z14" s="288">
        <f t="shared" si="22"/>
        <v>44466.666533333337</v>
      </c>
      <c r="AA14" s="288">
        <f t="shared" si="23"/>
        <v>2667999.9920000001</v>
      </c>
      <c r="AB14" s="288">
        <f t="shared" si="24"/>
        <v>267679.01035383879</v>
      </c>
      <c r="AC14" s="229">
        <f t="shared" si="25"/>
        <v>0.10032946445145222</v>
      </c>
      <c r="AD14" s="5"/>
      <c r="AE14" s="290" t="b">
        <f t="shared" si="26"/>
        <v>0</v>
      </c>
      <c r="AF14" s="291" t="s">
        <v>342</v>
      </c>
      <c r="AO14" s="292">
        <f>VLOOKUP(C14,ITEMS_BolsaOperador!$D$2:$AY$247,48,0)</f>
        <v>0.10032942733571239</v>
      </c>
      <c r="AP14" s="291" t="str">
        <f>VLOOKUP(C14,ITEMS_BolsaOperador!$D$2:$AY$247,1,0)</f>
        <v>Pintura acrílica  de colores variados por  1.000 ml</v>
      </c>
      <c r="AQ14" s="291" t="str">
        <f>VLOOKUP(C14,ITEMS_BolsaOperador!$D$2:$AY$247,2,0)</f>
        <v>Pintura acrílica 1.000 ml: Presentación en frasco mediano con tapa de rosca, consistencia espesa y alta concentración de pigmento, colores variados</v>
      </c>
      <c r="AR14" s="291" t="str">
        <f>VLOOKUP(C14,ITEMS_BolsaOperador!$D$2:$AY$247,10,0)</f>
        <v>Panagrafo</v>
      </c>
      <c r="AS14" s="291">
        <f>VLOOKUP(C14,ITEMS_BolsaOperador!$D$2:$AY$247,16,0)</f>
        <v>42900</v>
      </c>
      <c r="AT14" s="291" t="str">
        <f>VLOOKUP(C14,ITEMS_BolsaOperador!$D$2:$AY$247,23,0)</f>
        <v>LAVITELA</v>
      </c>
      <c r="AU14" s="291">
        <f>VLOOKUP(C14,ITEMS_BolsaOperador!$D$2:$AY$247,29,0)</f>
        <v>49500</v>
      </c>
      <c r="AV14" s="291" t="str">
        <f>VLOOKUP(C14,ITEMS_BolsaOperador!$D$2:$AY$247,36,0)</f>
        <v>OFFICE ARTE PAPELERIA</v>
      </c>
      <c r="AW14" s="291">
        <f>VLOOKUP(C14,ITEMS_BolsaOperador!$D$2:$AY$247,42,0)</f>
        <v>41000</v>
      </c>
      <c r="AX14" s="293">
        <f>VLOOKUP(C14,ITEMS_BolsaOperador!$D$2:$AY$247,45,0)</f>
        <v>44466.666666666664</v>
      </c>
      <c r="AY14" s="293">
        <f>VLOOKUP(C14,ITEMS_BolsaOperador!$D$2:$AY$247,46,0)</f>
        <v>44466.666666666664</v>
      </c>
      <c r="AZ14" s="293">
        <f>VLOOKUP(C14,ITEMS_BolsaOperador!$D$2:$AY$247,47,0)</f>
        <v>4461.3152021946771</v>
      </c>
      <c r="BA14" s="229">
        <f>VLOOKUP(C14,ITEMS_BolsaOperador!$D$2:$AY$247,48,0)</f>
        <v>0.10032942733571239</v>
      </c>
      <c r="BC14" s="7" t="b">
        <f t="shared" si="27"/>
        <v>1</v>
      </c>
      <c r="BD14" s="7" t="b">
        <f t="shared" si="28"/>
        <v>1</v>
      </c>
      <c r="BE14" s="7" t="b">
        <f t="shared" si="29"/>
        <v>0</v>
      </c>
      <c r="BF14" s="7" t="b">
        <f t="shared" si="30"/>
        <v>1</v>
      </c>
      <c r="BG14" s="7" t="b">
        <f t="shared" si="31"/>
        <v>0</v>
      </c>
      <c r="BH14" s="7" t="b">
        <f t="shared" si="32"/>
        <v>1</v>
      </c>
      <c r="BI14" s="7" t="b">
        <f t="shared" si="33"/>
        <v>0</v>
      </c>
      <c r="BJ14" s="7" t="b">
        <f t="shared" si="34"/>
        <v>0</v>
      </c>
      <c r="BK14" s="7" t="b">
        <f t="shared" si="35"/>
        <v>0</v>
      </c>
      <c r="BL14" s="7" t="b">
        <f t="shared" si="36"/>
        <v>0</v>
      </c>
      <c r="BM14" s="7" t="b">
        <f t="shared" si="37"/>
        <v>0</v>
      </c>
      <c r="BP14" s="7">
        <v>4</v>
      </c>
    </row>
    <row r="15" spans="1:68" s="7" customFormat="1" ht="195" hidden="1" x14ac:dyDescent="0.25">
      <c r="A15" s="276">
        <v>5</v>
      </c>
      <c r="B15" s="277" t="s">
        <v>38</v>
      </c>
      <c r="C15" s="277" t="s">
        <v>61</v>
      </c>
      <c r="D15" s="277" t="s">
        <v>62</v>
      </c>
      <c r="E15" s="294" t="s">
        <v>41</v>
      </c>
      <c r="F15" s="277">
        <v>3</v>
      </c>
      <c r="G15" s="277" t="s">
        <v>42</v>
      </c>
      <c r="H15" s="278" t="s">
        <v>63</v>
      </c>
      <c r="I15" s="280">
        <v>329.41</v>
      </c>
      <c r="J15" s="280">
        <f t="shared" si="38"/>
        <v>62.587900000000005</v>
      </c>
      <c r="K15" s="280">
        <f t="shared" si="12"/>
        <v>391.99790000000002</v>
      </c>
      <c r="L15" s="281">
        <f t="shared" si="13"/>
        <v>988.23</v>
      </c>
      <c r="M15" s="281">
        <f t="shared" si="14"/>
        <v>1175.9937</v>
      </c>
      <c r="N15" s="282" t="s">
        <v>64</v>
      </c>
      <c r="O15" s="283">
        <v>420.17</v>
      </c>
      <c r="P15" s="283">
        <f t="shared" si="39"/>
        <v>79.832300000000004</v>
      </c>
      <c r="Q15" s="283">
        <f t="shared" si="16"/>
        <v>500.00229999999999</v>
      </c>
      <c r="R15" s="284">
        <f t="shared" si="17"/>
        <v>1260.51</v>
      </c>
      <c r="S15" s="284">
        <f t="shared" si="18"/>
        <v>1500.0068999999999</v>
      </c>
      <c r="T15" s="285" t="s">
        <v>65</v>
      </c>
      <c r="U15" s="295">
        <v>495.8</v>
      </c>
      <c r="V15" s="286">
        <f t="shared" si="40"/>
        <v>94.201999999999998</v>
      </c>
      <c r="W15" s="286">
        <f t="shared" si="19"/>
        <v>590.00199999999995</v>
      </c>
      <c r="X15" s="287">
        <f t="shared" si="20"/>
        <v>1487.4</v>
      </c>
      <c r="Y15" s="287">
        <f t="shared" si="21"/>
        <v>1770.0059999999999</v>
      </c>
      <c r="Z15" s="288">
        <f t="shared" si="22"/>
        <v>494.0007333333333</v>
      </c>
      <c r="AA15" s="288">
        <f t="shared" si="23"/>
        <v>1482.0021999999999</v>
      </c>
      <c r="AB15" s="288">
        <f t="shared" si="24"/>
        <v>297.41516446608688</v>
      </c>
      <c r="AC15" s="229">
        <f t="shared" si="25"/>
        <v>0.20068469835340791</v>
      </c>
      <c r="AD15" s="5"/>
      <c r="AE15" s="290" t="b">
        <f t="shared" si="26"/>
        <v>0</v>
      </c>
      <c r="AF15" s="291" t="s">
        <v>342</v>
      </c>
      <c r="AO15" s="292">
        <f>VLOOKUP(C15,ITEMS_BolsaOperador!$D$2:$AY$247,48,0)</f>
        <v>0.20068070820070816</v>
      </c>
      <c r="AP15" s="291" t="str">
        <f>VLOOKUP(C15,ITEMS_BolsaOperador!$D$2:$AY$247,1,0)</f>
        <v xml:space="preserve">Papel kraft  rollo </v>
      </c>
      <c r="AQ15" s="291" t="str">
        <f>VLOOKUP(C15,ITEMS_BolsaOperador!$D$2:$AY$247,2,0)</f>
        <v>Rollo de papel kraft con un ancho de 24 pulgadas (aprox. 61 cm) y una longitud de 150 metros. Con un gramaje de 60 g/m²</v>
      </c>
      <c r="AR15" s="291" t="str">
        <f>VLOOKUP(C15,ITEMS_BolsaOperador!$D$2:$AY$247,10,0)</f>
        <v>PAPELERIA LA ESTACION DE SUBA</v>
      </c>
      <c r="AS15" s="291">
        <f>VLOOKUP(C15,ITEMS_BolsaOperador!$D$2:$AY$247,16,0)</f>
        <v>392</v>
      </c>
      <c r="AT15" s="291" t="str">
        <f>VLOOKUP(C15,ITEMS_BolsaOperador!$D$2:$AY$247,23,0)</f>
        <v>DETALSHOP</v>
      </c>
      <c r="AU15" s="291">
        <f>VLOOKUP(C15,ITEMS_BolsaOperador!$D$2:$AY$247,29,0)</f>
        <v>500.00000000000006</v>
      </c>
      <c r="AV15" s="291" t="str">
        <f>VLOOKUP(C15,ITEMS_BolsaOperador!$D$2:$AY$247,36,0)</f>
        <v>MARRION EXPRESS</v>
      </c>
      <c r="AW15" s="291">
        <f>VLOOKUP(C15,ITEMS_BolsaOperador!$D$2:$AY$247,42,0)</f>
        <v>590</v>
      </c>
      <c r="AX15" s="293">
        <f>VLOOKUP(C15,ITEMS_BolsaOperador!$D$2:$AY$247,45,0)</f>
        <v>494</v>
      </c>
      <c r="AY15" s="293">
        <f>VLOOKUP(C15,ITEMS_BolsaOperador!$D$2:$AY$247,46,0)</f>
        <v>494</v>
      </c>
      <c r="AZ15" s="293">
        <f>VLOOKUP(C15,ITEMS_BolsaOperador!$D$2:$AY$247,47,0)</f>
        <v>99.136269851149834</v>
      </c>
      <c r="BA15" s="229">
        <f>VLOOKUP(C15,ITEMS_BolsaOperador!$D$2:$AY$247,48,0)</f>
        <v>0.20068070820070816</v>
      </c>
      <c r="BC15" s="7" t="b">
        <f t="shared" si="27"/>
        <v>0</v>
      </c>
      <c r="BD15" s="7" t="b">
        <f t="shared" si="28"/>
        <v>1</v>
      </c>
      <c r="BE15" s="7" t="b">
        <f t="shared" si="29"/>
        <v>0</v>
      </c>
      <c r="BF15" s="7" t="b">
        <f t="shared" si="30"/>
        <v>1</v>
      </c>
      <c r="BG15" s="7" t="b">
        <f t="shared" si="31"/>
        <v>0</v>
      </c>
      <c r="BH15" s="7" t="b">
        <f t="shared" si="32"/>
        <v>1</v>
      </c>
      <c r="BI15" s="7" t="b">
        <f t="shared" si="33"/>
        <v>0</v>
      </c>
      <c r="BJ15" s="7" t="b">
        <f t="shared" si="34"/>
        <v>0</v>
      </c>
      <c r="BK15" s="7" t="b">
        <f t="shared" si="35"/>
        <v>0</v>
      </c>
      <c r="BL15" s="7" t="b">
        <f t="shared" si="36"/>
        <v>0</v>
      </c>
      <c r="BM15" s="7" t="b">
        <f t="shared" si="37"/>
        <v>0</v>
      </c>
      <c r="BP15" s="7">
        <v>5</v>
      </c>
    </row>
    <row r="16" spans="1:68" s="7" customFormat="1" ht="330" hidden="1" x14ac:dyDescent="0.25">
      <c r="A16" s="276">
        <v>6</v>
      </c>
      <c r="B16" s="294" t="s">
        <v>38</v>
      </c>
      <c r="C16" s="277" t="s">
        <v>66</v>
      </c>
      <c r="D16" s="277" t="s">
        <v>67</v>
      </c>
      <c r="E16" s="294" t="s">
        <v>41</v>
      </c>
      <c r="F16" s="277">
        <v>60</v>
      </c>
      <c r="G16" s="277" t="s">
        <v>42</v>
      </c>
      <c r="H16" s="278" t="s">
        <v>68</v>
      </c>
      <c r="I16" s="280">
        <v>19327.73</v>
      </c>
      <c r="J16" s="280">
        <f t="shared" si="38"/>
        <v>3672.2687000000001</v>
      </c>
      <c r="K16" s="280">
        <f t="shared" si="12"/>
        <v>22999.9987</v>
      </c>
      <c r="L16" s="281">
        <f t="shared" si="13"/>
        <v>1159663.8</v>
      </c>
      <c r="M16" s="281">
        <f t="shared" si="14"/>
        <v>1379999.922</v>
      </c>
      <c r="N16" s="282" t="s">
        <v>69</v>
      </c>
      <c r="O16" s="283">
        <v>19099</v>
      </c>
      <c r="P16" s="283">
        <f t="shared" si="39"/>
        <v>3628.81</v>
      </c>
      <c r="Q16" s="283">
        <f t="shared" si="16"/>
        <v>22727.81</v>
      </c>
      <c r="R16" s="284">
        <f t="shared" si="17"/>
        <v>1145940</v>
      </c>
      <c r="S16" s="284">
        <f t="shared" si="18"/>
        <v>1363668.6</v>
      </c>
      <c r="T16" s="285" t="s">
        <v>70</v>
      </c>
      <c r="U16" s="286">
        <v>23600</v>
      </c>
      <c r="V16" s="286">
        <f t="shared" si="40"/>
        <v>4484</v>
      </c>
      <c r="W16" s="286">
        <f t="shared" si="19"/>
        <v>28084</v>
      </c>
      <c r="X16" s="287">
        <f t="shared" si="20"/>
        <v>1416000</v>
      </c>
      <c r="Y16" s="287">
        <f t="shared" si="21"/>
        <v>1685040</v>
      </c>
      <c r="Z16" s="288">
        <f t="shared" ref="Z16:Z19" si="41">IF(A16="","",AVERAGE(K16,Q16,W16))</f>
        <v>24603.93623333333</v>
      </c>
      <c r="AA16" s="288">
        <f t="shared" ref="AA16:AA19" si="42">IF(B16="","",Z16*F16)</f>
        <v>1476236.1739999999</v>
      </c>
      <c r="AB16" s="288">
        <f t="shared" ref="AB16:AB19" si="43">IF(B16="","",STDEV(M16,S16,Y16))</f>
        <v>181013.69101188346</v>
      </c>
      <c r="AC16" s="229">
        <f t="shared" ref="AC16:AC19" si="44">IF(B16="","",(AB16/AA16))</f>
        <v>0.12261838193641465</v>
      </c>
      <c r="AD16" s="5"/>
      <c r="AE16" s="290" t="b">
        <f t="shared" si="26"/>
        <v>0</v>
      </c>
      <c r="AF16" s="291" t="s">
        <v>342</v>
      </c>
      <c r="AO16" s="292">
        <f>VLOOKUP(C16,ITEMS_BolsaOperador!$D$2:$AY$247,48,0)</f>
        <v>0.12261836573135672</v>
      </c>
      <c r="AP16" s="291" t="str">
        <f>VLOOKUP(C16,ITEMS_BolsaOperador!$D$2:$AY$247,1,0)</f>
        <v>Botella Aluminio 750 ml</v>
      </c>
      <c r="AQ16" s="291" t="str">
        <f>VLOOKUP(C16,ITEMS_BolsaOperador!$D$2:$AY$247,2,0)</f>
        <v>Botella en Aluminio Action 750ml / 25 Oz Tapa rosca con pitillo, libre de BPA, No retiene ni transmite sabores. Pintura exterior atóxica. • MATERIAL: Aluminio con tapa PP. • MEDIDAS: 24 x 7 cm. de diámetro</v>
      </c>
      <c r="AR16" s="291" t="str">
        <f>VLOOKUP(C16,ITEMS_BolsaOperador!$D$2:$AY$247,10,0)</f>
        <v>Regalos Corporativo</v>
      </c>
      <c r="AS16" s="291">
        <f>VLOOKUP(C16,ITEMS_BolsaOperador!$D$2:$AY$247,16,0)</f>
        <v>23000</v>
      </c>
      <c r="AT16" s="291" t="str">
        <f>VLOOKUP(C16,ITEMS_BolsaOperador!$D$2:$AY$247,23,0)</f>
        <v>Publicitar</v>
      </c>
      <c r="AU16" s="291">
        <f>VLOOKUP(C16,ITEMS_BolsaOperador!$D$2:$AY$247,29,0)</f>
        <v>22727.81</v>
      </c>
      <c r="AV16" s="291" t="str">
        <f>VLOOKUP(C16,ITEMS_BolsaOperador!$D$2:$AY$247,36,0)</f>
        <v>Promal</v>
      </c>
      <c r="AW16" s="291">
        <f>VLOOKUP(C16,ITEMS_BolsaOperador!$D$2:$AY$247,42,0)</f>
        <v>28084</v>
      </c>
      <c r="AX16" s="293">
        <f>VLOOKUP(C16,ITEMS_BolsaOperador!$D$2:$AY$247,45,0)</f>
        <v>24603.936666666665</v>
      </c>
      <c r="AY16" s="293">
        <f>VLOOKUP(C16,ITEMS_BolsaOperador!$D$2:$AY$247,46,0)</f>
        <v>24603.936666666665</v>
      </c>
      <c r="AZ16" s="293">
        <f>VLOOKUP(C16,ITEMS_BolsaOperador!$D$2:$AY$247,47,0)</f>
        <v>3016.8945046244708</v>
      </c>
      <c r="BA16" s="229">
        <f>VLOOKUP(C16,ITEMS_BolsaOperador!$D$2:$AY$247,48,0)</f>
        <v>0.12261836573135672</v>
      </c>
      <c r="BC16" s="7" t="b">
        <f t="shared" si="27"/>
        <v>1</v>
      </c>
      <c r="BD16" s="7" t="b">
        <f t="shared" si="28"/>
        <v>1</v>
      </c>
      <c r="BE16" s="7" t="b">
        <f t="shared" si="29"/>
        <v>0</v>
      </c>
      <c r="BF16" s="7" t="b">
        <f t="shared" si="30"/>
        <v>1</v>
      </c>
      <c r="BG16" s="7" t="b">
        <f t="shared" si="31"/>
        <v>1</v>
      </c>
      <c r="BH16" s="7" t="b">
        <f t="shared" si="32"/>
        <v>1</v>
      </c>
      <c r="BI16" s="7" t="b">
        <f t="shared" si="33"/>
        <v>1</v>
      </c>
      <c r="BJ16" s="7" t="b">
        <f t="shared" si="34"/>
        <v>0</v>
      </c>
      <c r="BK16" s="7" t="b">
        <f t="shared" si="35"/>
        <v>0</v>
      </c>
      <c r="BL16" s="7" t="b">
        <f t="shared" si="36"/>
        <v>0</v>
      </c>
      <c r="BM16" s="7" t="b">
        <f t="shared" si="37"/>
        <v>0</v>
      </c>
      <c r="BP16" s="7">
        <v>6</v>
      </c>
    </row>
    <row r="17" spans="1:68" s="7" customFormat="1" ht="210" hidden="1" x14ac:dyDescent="0.35">
      <c r="A17" s="276">
        <v>7</v>
      </c>
      <c r="B17" s="294" t="s">
        <v>38</v>
      </c>
      <c r="C17" s="277" t="s">
        <v>71</v>
      </c>
      <c r="D17" s="137" t="s">
        <v>72</v>
      </c>
      <c r="E17" s="294" t="s">
        <v>41</v>
      </c>
      <c r="F17" s="277">
        <v>60</v>
      </c>
      <c r="G17" s="277" t="s">
        <v>42</v>
      </c>
      <c r="H17" s="278" t="s">
        <v>73</v>
      </c>
      <c r="I17" s="280">
        <v>38000</v>
      </c>
      <c r="J17" s="280">
        <f t="shared" si="38"/>
        <v>7220</v>
      </c>
      <c r="K17" s="280">
        <f t="shared" si="12"/>
        <v>45220</v>
      </c>
      <c r="L17" s="281">
        <f t="shared" si="13"/>
        <v>2280000</v>
      </c>
      <c r="M17" s="281">
        <f t="shared" si="14"/>
        <v>2713200</v>
      </c>
      <c r="N17" s="282" t="s">
        <v>74</v>
      </c>
      <c r="O17" s="283">
        <v>38000</v>
      </c>
      <c r="P17" s="283">
        <f t="shared" si="39"/>
        <v>7220</v>
      </c>
      <c r="Q17" s="283">
        <f t="shared" si="16"/>
        <v>45220</v>
      </c>
      <c r="R17" s="284">
        <f t="shared" si="17"/>
        <v>2280000</v>
      </c>
      <c r="S17" s="284">
        <f t="shared" si="18"/>
        <v>2713200</v>
      </c>
      <c r="T17" s="285" t="s">
        <v>75</v>
      </c>
      <c r="U17" s="295">
        <v>38000</v>
      </c>
      <c r="V17" s="286"/>
      <c r="W17" s="286">
        <f t="shared" si="19"/>
        <v>38000</v>
      </c>
      <c r="X17" s="287">
        <f t="shared" si="20"/>
        <v>2280000</v>
      </c>
      <c r="Y17" s="287">
        <f t="shared" si="21"/>
        <v>2280000</v>
      </c>
      <c r="Z17" s="288">
        <f t="shared" si="41"/>
        <v>42813.333333333336</v>
      </c>
      <c r="AA17" s="288">
        <f t="shared" si="42"/>
        <v>2568800</v>
      </c>
      <c r="AB17" s="288">
        <f t="shared" si="43"/>
        <v>250108.13661294588</v>
      </c>
      <c r="AC17" s="229">
        <f t="shared" si="44"/>
        <v>9.7363802792333337E-2</v>
      </c>
      <c r="AD17" s="5"/>
      <c r="AE17" s="290" t="b">
        <f t="shared" si="26"/>
        <v>1</v>
      </c>
      <c r="AF17" s="291" t="s">
        <v>342</v>
      </c>
      <c r="AO17" s="292">
        <f>VLOOKUP(C17,ITEMS_BolsaOperador!$D$2:$AY$247,48,0)</f>
        <v>9.7363802792333337E-2</v>
      </c>
      <c r="AP17" s="291" t="str">
        <f>VLOOKUP(C17,ITEMS_BolsaOperador!$D$2:$AY$247,1,0)</f>
        <v>Camiseta</v>
      </c>
      <c r="AQ17" s="291" t="str">
        <f>VLOOKUP(C17,ITEMS_BolsaOperador!$D$2:$AY$247,2,0)</f>
        <v>Merchandising/     Camiseta T-Shirt Adulto_x000D_
Camiseta T-Shirt 100% algodón de 180 gr., cuello redondo. _x000D_
Marca: 28 cm x 21 cm / Screen A 4 tntas /delante y atras_x000D_
Talla: XS, S, M, L, XL, XXL, XXXL _x000D_
Diseño, logos y colores aprobados por la Oficinade Comunicaciones Alcaldia Local de Suba</v>
      </c>
      <c r="AR17" s="291" t="str">
        <f>VLOOKUP(C17,ITEMS_BolsaOperador!$D$2:$AY$247,10,0)</f>
        <v>DICOES GRUPÓ PUBLICITARIO SAS</v>
      </c>
      <c r="AS17" s="291">
        <f>VLOOKUP(C17,ITEMS_BolsaOperador!$D$2:$AY$247,16,0)</f>
        <v>45220</v>
      </c>
      <c r="AT17" s="291" t="str">
        <f>VLOOKUP(C17,ITEMS_BolsaOperador!$D$2:$AY$247,23,0)</f>
        <v>NEXUS ESTUDIO GRÁFICOS</v>
      </c>
      <c r="AU17" s="291">
        <f>VLOOKUP(C17,ITEMS_BolsaOperador!$D$2:$AY$247,29,0)</f>
        <v>45220</v>
      </c>
      <c r="AV17" s="291" t="str">
        <f>VLOOKUP(C17,ITEMS_BolsaOperador!$D$2:$AY$247,36,0)</f>
        <v>angie Pachon (personalizado INK)</v>
      </c>
      <c r="AW17" s="291">
        <f>VLOOKUP(C17,ITEMS_BolsaOperador!$D$2:$AY$247,42,0)</f>
        <v>38000</v>
      </c>
      <c r="AX17" s="293">
        <f>VLOOKUP(C17,ITEMS_BolsaOperador!$D$2:$AY$247,45,0)</f>
        <v>42813.333333333336</v>
      </c>
      <c r="AY17" s="293">
        <f>VLOOKUP(C17,ITEMS_BolsaOperador!$D$2:$AY$247,46,0)</f>
        <v>42813.333333333336</v>
      </c>
      <c r="AZ17" s="293">
        <f>VLOOKUP(C17,ITEMS_BolsaOperador!$D$2:$AY$247,47,0)</f>
        <v>4168.4689435490982</v>
      </c>
      <c r="BA17" s="229">
        <f>VLOOKUP(C17,ITEMS_BolsaOperador!$D$2:$AY$247,48,0)</f>
        <v>9.7363802792333337E-2</v>
      </c>
      <c r="BC17" s="7" t="b">
        <f t="shared" si="27"/>
        <v>0</v>
      </c>
      <c r="BD17" s="7" t="b">
        <f t="shared" si="28"/>
        <v>0</v>
      </c>
      <c r="BE17" s="7" t="b">
        <f t="shared" si="29"/>
        <v>1</v>
      </c>
      <c r="BF17" s="7" t="b">
        <f t="shared" si="30"/>
        <v>0</v>
      </c>
      <c r="BG17" s="7" t="b">
        <f t="shared" si="31"/>
        <v>1</v>
      </c>
      <c r="BH17" s="7" t="b">
        <f t="shared" si="32"/>
        <v>1</v>
      </c>
      <c r="BI17" s="7" t="b">
        <f t="shared" si="33"/>
        <v>1</v>
      </c>
      <c r="BJ17" s="7" t="b">
        <f t="shared" si="34"/>
        <v>1</v>
      </c>
      <c r="BK17" s="7" t="b">
        <f t="shared" si="35"/>
        <v>0</v>
      </c>
      <c r="BL17" s="7" t="b">
        <f t="shared" si="36"/>
        <v>0</v>
      </c>
      <c r="BM17" s="7" t="b">
        <f t="shared" si="37"/>
        <v>1</v>
      </c>
      <c r="BP17" s="7">
        <v>7</v>
      </c>
    </row>
    <row r="18" spans="1:68" s="7" customFormat="1" ht="409.5" hidden="1" x14ac:dyDescent="0.35">
      <c r="A18" s="276">
        <v>8</v>
      </c>
      <c r="B18" s="296" t="s">
        <v>38</v>
      </c>
      <c r="C18" s="408" t="s">
        <v>76</v>
      </c>
      <c r="D18" s="137" t="s">
        <v>77</v>
      </c>
      <c r="E18" s="297" t="s">
        <v>41</v>
      </c>
      <c r="F18" s="425">
        <v>60</v>
      </c>
      <c r="G18" s="277" t="s">
        <v>42</v>
      </c>
      <c r="H18" s="278" t="s">
        <v>48</v>
      </c>
      <c r="I18" s="280">
        <v>51750</v>
      </c>
      <c r="J18" s="280">
        <f t="shared" si="38"/>
        <v>9832.5</v>
      </c>
      <c r="K18" s="280">
        <f t="shared" si="12"/>
        <v>61582.5</v>
      </c>
      <c r="L18" s="281">
        <f t="shared" si="13"/>
        <v>3105000</v>
      </c>
      <c r="M18" s="281">
        <f t="shared" si="14"/>
        <v>3694950</v>
      </c>
      <c r="N18" s="282" t="s">
        <v>53</v>
      </c>
      <c r="O18" s="283">
        <v>53000</v>
      </c>
      <c r="P18" s="283">
        <f t="shared" si="39"/>
        <v>10070</v>
      </c>
      <c r="Q18" s="283">
        <f t="shared" si="16"/>
        <v>63070</v>
      </c>
      <c r="R18" s="284">
        <f t="shared" si="17"/>
        <v>3180000</v>
      </c>
      <c r="S18" s="284">
        <f t="shared" si="18"/>
        <v>3784200</v>
      </c>
      <c r="T18" s="285" t="s">
        <v>55</v>
      </c>
      <c r="U18" s="295">
        <v>38800</v>
      </c>
      <c r="V18" s="286">
        <f t="shared" si="40"/>
        <v>7372</v>
      </c>
      <c r="W18" s="286">
        <f t="shared" si="19"/>
        <v>46172</v>
      </c>
      <c r="X18" s="287">
        <f t="shared" si="20"/>
        <v>2328000</v>
      </c>
      <c r="Y18" s="287">
        <f t="shared" si="21"/>
        <v>2770320</v>
      </c>
      <c r="Z18" s="288">
        <f t="shared" si="41"/>
        <v>56941.5</v>
      </c>
      <c r="AA18" s="288">
        <f t="shared" si="42"/>
        <v>3416490</v>
      </c>
      <c r="AB18" s="288">
        <f t="shared" si="43"/>
        <v>561376.11482855235</v>
      </c>
      <c r="AC18" s="229">
        <f t="shared" si="44"/>
        <v>0.16431370056067846</v>
      </c>
      <c r="AD18" s="5"/>
      <c r="AE18" s="290" t="b">
        <f t="shared" si="26"/>
        <v>0</v>
      </c>
      <c r="AF18" s="7" t="s">
        <v>344</v>
      </c>
      <c r="AO18" s="292">
        <f>VLOOKUP(C18,ITEMS_BolsaOperador!$D$254:$AY$276,48,0)</f>
        <v>0.1643</v>
      </c>
      <c r="AP18" s="291" t="str">
        <f>VLOOKUP(C18,ITEMS_BolsaOperador!$D$254:$AY$276,1,0)</f>
        <v>Tapete o colchoneta individual</v>
      </c>
      <c r="AQ18" s="291" t="str">
        <f>VLOOKUP(C18,ITEMS_BolsaOperador!$D$254:$AY$276,2,0)</f>
        <v xml:space="preserve">Tipo de producto: Tapete individual para actividad física y corporal
Material: Espuma de alta densidad, PVC, EVA o material sintético equivalente
Espesor: Entre 6 mm y 10 mm
Dimensiones: Largo entre 170 cm y 185 cm; ancho entre 55 cm y 65 cm
Superficie:  Antideslizante en ambas caras
Textura: Acolchada y flexible para mayor comodidad y protección
Peso: Liviano, fácil de transportar
Absorción de impacto: Nivel medio de amortiguación para ejercicios en suelo
Resistencia: Alta resistencia al uso continuo, presión corporal y deformación
Impermeabilidad; Material resistente a humedad y sudor
Sistema de enrollado:, Flexible, enrollable para almacenamiento práctico
Transporte: Incluye banda elástica o correa de sujeción (opcional), aprobado en comité técnico por el supervisor y/o apoyo a la supervisión.
Color, Colores sólidos o institucionales según disponibilidad, aprobados en comité técnico (supervisor y/o apoyo a la supervisión).
Olor:, Material con bajo nivel de olor químico
Bordes:, Bordes sellados o reforzados para evitar desgaste prematuro, empaque individual . </v>
      </c>
      <c r="AR18" s="291" t="str">
        <f>VLOOKUP(C18,ITEMS_BolsaOperador!$D$254:$AY$276,10,0)</f>
        <v>GUERRA EDITORES</v>
      </c>
      <c r="AS18" s="291">
        <f>VLOOKUP(C18,ITEMS_BolsaOperador!$D$254:$AY$276,16,0)</f>
        <v>61583</v>
      </c>
      <c r="AT18" s="291" t="str">
        <f>VLOOKUP(C18,ITEMS_BolsaOperador!$D$254:$AY$276,23,0)</f>
        <v>COMTEC SOLUTIONS</v>
      </c>
      <c r="AU18" s="291">
        <f>VLOOKUP(C18,ITEMS_BolsaOperador!$D$254:$AY$276,29,0)</f>
        <v>63070</v>
      </c>
      <c r="AV18" s="291" t="str">
        <f>VLOOKUP(C18,ITEMS_BolsaOperador!$D$254:$AY$276,36,0)</f>
        <v>GUERRA EDITORES</v>
      </c>
      <c r="AW18" s="291">
        <f>VLOOKUP(C18,ITEMS_BolsaOperador!$D$254:$AY$276,42,0)</f>
        <v>46172</v>
      </c>
      <c r="AX18" s="293">
        <f>VLOOKUP(C18,ITEMS_BolsaOperador!$D$254:$AY$276,45,0)</f>
        <v>56941.5</v>
      </c>
      <c r="AY18" s="293">
        <f>VLOOKUP(C18,ITEMS_BolsaOperador!$D$254:$AY$276,46,0)</f>
        <v>56941.5</v>
      </c>
      <c r="AZ18" s="293">
        <f>VLOOKUP(C18,ITEMS_BolsaOperador!$D$254:$AY$276,47,0)</f>
        <v>9356.27</v>
      </c>
      <c r="BA18" s="229">
        <f>VLOOKUP(C18,ITEMS_BolsaOperador!$D$254:$AY$276,48,0)</f>
        <v>0.1643</v>
      </c>
      <c r="BC18" s="7" t="b">
        <f t="shared" si="27"/>
        <v>1</v>
      </c>
      <c r="BD18" s="7" t="b">
        <f t="shared" si="28"/>
        <v>1</v>
      </c>
      <c r="BE18" s="7" t="b">
        <f t="shared" si="29"/>
        <v>0</v>
      </c>
      <c r="BF18" s="7" t="b">
        <f t="shared" si="30"/>
        <v>0</v>
      </c>
      <c r="BG18" s="7" t="b">
        <f t="shared" si="31"/>
        <v>1</v>
      </c>
      <c r="BH18" s="7" t="b">
        <f t="shared" si="32"/>
        <v>1</v>
      </c>
      <c r="BI18" s="7" t="b">
        <f t="shared" si="33"/>
        <v>1</v>
      </c>
      <c r="BJ18" s="7" t="b">
        <f t="shared" si="34"/>
        <v>1</v>
      </c>
      <c r="BK18" s="7" t="b">
        <f t="shared" si="35"/>
        <v>0</v>
      </c>
      <c r="BL18" s="7" t="b">
        <f t="shared" si="36"/>
        <v>0</v>
      </c>
      <c r="BM18" s="7" t="b">
        <f t="shared" si="37"/>
        <v>0</v>
      </c>
      <c r="BP18" s="7">
        <v>8</v>
      </c>
    </row>
    <row r="19" spans="1:68" s="7" customFormat="1" ht="315" hidden="1" x14ac:dyDescent="0.35">
      <c r="A19" s="276">
        <v>9</v>
      </c>
      <c r="B19" s="425" t="s">
        <v>38</v>
      </c>
      <c r="C19" s="277" t="s">
        <v>78</v>
      </c>
      <c r="D19" s="137" t="s">
        <v>79</v>
      </c>
      <c r="E19" s="297" t="s">
        <v>41</v>
      </c>
      <c r="F19" s="425">
        <v>60</v>
      </c>
      <c r="G19" s="277" t="s">
        <v>42</v>
      </c>
      <c r="H19" s="278" t="s">
        <v>75</v>
      </c>
      <c r="I19" s="280">
        <v>15000</v>
      </c>
      <c r="J19" s="280"/>
      <c r="K19" s="280">
        <f t="shared" si="12"/>
        <v>15000</v>
      </c>
      <c r="L19" s="281">
        <f t="shared" si="13"/>
        <v>900000</v>
      </c>
      <c r="M19" s="281">
        <f t="shared" si="14"/>
        <v>900000</v>
      </c>
      <c r="N19" s="298" t="s">
        <v>80</v>
      </c>
      <c r="O19" s="283">
        <v>12000</v>
      </c>
      <c r="P19" s="283">
        <f t="shared" si="39"/>
        <v>2280</v>
      </c>
      <c r="Q19" s="283">
        <f t="shared" si="16"/>
        <v>14280</v>
      </c>
      <c r="R19" s="284">
        <f t="shared" si="17"/>
        <v>720000</v>
      </c>
      <c r="S19" s="284">
        <f t="shared" si="18"/>
        <v>856800</v>
      </c>
      <c r="T19" s="285"/>
      <c r="U19" s="295"/>
      <c r="V19" s="286"/>
      <c r="W19" s="286"/>
      <c r="X19" s="287"/>
      <c r="Y19" s="287"/>
      <c r="Z19" s="288">
        <f t="shared" si="41"/>
        <v>14640</v>
      </c>
      <c r="AA19" s="288">
        <f t="shared" si="42"/>
        <v>878400</v>
      </c>
      <c r="AB19" s="288">
        <f t="shared" si="43"/>
        <v>30547.012947258852</v>
      </c>
      <c r="AC19" s="229">
        <f t="shared" si="44"/>
        <v>3.4775743337043322E-2</v>
      </c>
      <c r="AD19" s="5"/>
      <c r="AE19" s="290" t="b">
        <f t="shared" si="26"/>
        <v>0</v>
      </c>
      <c r="AF19" s="7" t="s">
        <v>344</v>
      </c>
      <c r="AO19" s="292">
        <f>VLOOKUP(C19,ITEMS_BolsaOperador!$D$2:$AY$247,48,0)</f>
        <v>3.4799999999999998E-2</v>
      </c>
      <c r="AP19" s="291" t="str">
        <f>VLOOKUP(C19,ITEMS_BolsaOperador!$D$2:$AY$247,1,0)</f>
        <v>Tula Deportiva con logos</v>
      </c>
      <c r="AQ19" s="291" t="str">
        <f>VLOOKUP(C19,ITEMS_BolsaOperador!$D$2:$AY$247,2,0)</f>
        <v>Color: unisex, Poliester 210d, con cordón para ajustar y cargar, con bolsillo delantero y cremallera, con refuerzo en las esquinas
Características:
Alto: 45 cm 
Ancho: 35 cm
Profundidad: 20 garantía: 12 Meses 
Con logos aprobados por la oficina de prensa del FDLS</v>
      </c>
      <c r="AR19" s="291">
        <f>VLOOKUP(C19,ITEMS_BolsaOperador!$D$2:$AY$247,10,0)</f>
        <v>0</v>
      </c>
      <c r="AS19" s="291">
        <f>VLOOKUP(C19,ITEMS_BolsaOperador!$D$2:$AY$247,16,0)</f>
        <v>0</v>
      </c>
      <c r="AT19" s="291" t="str">
        <f>VLOOKUP(C19,ITEMS_BolsaOperador!$D$2:$AY$247,23,0)</f>
        <v>Angie Pachon (personalizado INK)</v>
      </c>
      <c r="AU19" s="291">
        <f>VLOOKUP(C19,ITEMS_BolsaOperador!$D$2:$AY$247,29,0)</f>
        <v>15000</v>
      </c>
      <c r="AV19" s="291" t="str">
        <f>VLOOKUP(C19,ITEMS_BolsaOperador!$D$2:$AY$247,36,0)</f>
        <v>INVENTIVA</v>
      </c>
      <c r="AW19" s="291">
        <f>VLOOKUP(C19,ITEMS_BolsaOperador!$D$2:$AY$247,42,0)</f>
        <v>14280</v>
      </c>
      <c r="AX19" s="293">
        <f>VLOOKUP(C19,ITEMS_BolsaOperador!$D$2:$AY$247,45,0)</f>
        <v>14640</v>
      </c>
      <c r="AY19" s="293">
        <f>VLOOKUP(C19,ITEMS_BolsaOperador!$D$2:$AY$247,46,0)</f>
        <v>14640</v>
      </c>
      <c r="AZ19" s="293">
        <f>VLOOKUP(C19,ITEMS_BolsaOperador!$D$2:$AY$247,47,0)</f>
        <v>509.12</v>
      </c>
      <c r="BA19" s="229">
        <f>VLOOKUP(C19,ITEMS_BolsaOperador!$D$2:$AY$247,48,0)</f>
        <v>3.4799999999999998E-2</v>
      </c>
      <c r="BC19" s="7" t="b">
        <f t="shared" si="27"/>
        <v>0</v>
      </c>
      <c r="BD19" s="7" t="b">
        <f t="shared" si="28"/>
        <v>0</v>
      </c>
      <c r="BE19" s="7" t="b">
        <f t="shared" si="29"/>
        <v>0</v>
      </c>
      <c r="BF19" s="7" t="b">
        <f t="shared" si="30"/>
        <v>0</v>
      </c>
      <c r="BG19" s="7" t="b">
        <f t="shared" si="31"/>
        <v>0</v>
      </c>
      <c r="BH19" s="7" t="b">
        <f t="shared" si="32"/>
        <v>0</v>
      </c>
      <c r="BI19" s="7" t="b">
        <f t="shared" si="33"/>
        <v>0</v>
      </c>
      <c r="BJ19" s="7" t="b">
        <f t="shared" si="34"/>
        <v>1</v>
      </c>
      <c r="BK19" s="7" t="b">
        <f t="shared" si="35"/>
        <v>0</v>
      </c>
      <c r="BL19" s="7" t="b">
        <f t="shared" si="36"/>
        <v>0</v>
      </c>
      <c r="BM19" s="7" t="b">
        <f t="shared" si="37"/>
        <v>0</v>
      </c>
      <c r="BP19" s="7">
        <v>9</v>
      </c>
    </row>
    <row r="20" spans="1:68" s="7" customFormat="1" ht="270" hidden="1" x14ac:dyDescent="0.35">
      <c r="A20" s="276">
        <v>10</v>
      </c>
      <c r="B20" s="294" t="s">
        <v>38</v>
      </c>
      <c r="C20" s="277" t="s">
        <v>81</v>
      </c>
      <c r="D20" s="137" t="s">
        <v>82</v>
      </c>
      <c r="E20" s="297" t="s">
        <v>41</v>
      </c>
      <c r="F20" s="425">
        <v>60</v>
      </c>
      <c r="G20" s="277" t="s">
        <v>42</v>
      </c>
      <c r="H20" s="278" t="s">
        <v>48</v>
      </c>
      <c r="I20" s="280">
        <v>2200</v>
      </c>
      <c r="J20" s="280">
        <f t="shared" si="38"/>
        <v>418</v>
      </c>
      <c r="K20" s="280">
        <f t="shared" si="12"/>
        <v>2618</v>
      </c>
      <c r="L20" s="281">
        <f t="shared" si="13"/>
        <v>132000</v>
      </c>
      <c r="M20" s="281">
        <f t="shared" si="14"/>
        <v>157080</v>
      </c>
      <c r="N20" s="298" t="s">
        <v>83</v>
      </c>
      <c r="O20" s="283">
        <v>2689.08</v>
      </c>
      <c r="P20" s="283">
        <f t="shared" si="39"/>
        <v>510.92520000000002</v>
      </c>
      <c r="Q20" s="283">
        <f t="shared" si="16"/>
        <v>3200.0052000000001</v>
      </c>
      <c r="R20" s="284">
        <f t="shared" si="17"/>
        <v>161344.79999999999</v>
      </c>
      <c r="S20" s="284">
        <f t="shared" si="18"/>
        <v>192000.31200000001</v>
      </c>
      <c r="T20" s="285" t="s">
        <v>84</v>
      </c>
      <c r="U20" s="299">
        <v>3800</v>
      </c>
      <c r="V20" s="286"/>
      <c r="W20" s="286">
        <f t="shared" si="19"/>
        <v>3800</v>
      </c>
      <c r="X20" s="287">
        <f t="shared" si="20"/>
        <v>228000</v>
      </c>
      <c r="Y20" s="287">
        <f t="shared" si="21"/>
        <v>228000</v>
      </c>
      <c r="Z20" s="288">
        <f t="shared" ref="Z20:Z30" si="45">IF(A20="","",AVERAGE(K20,Q20,W20))</f>
        <v>3206.001733333333</v>
      </c>
      <c r="AA20" s="288">
        <f t="shared" ref="AA20:AA30" si="46">IF(B20="","",Z20*F20)</f>
        <v>192360.10399999999</v>
      </c>
      <c r="AB20" s="288">
        <f t="shared" ref="AB20:AB30" si="47">IF(B20="","",STDEV(M20,S20,Y20))</f>
        <v>35461.368948652285</v>
      </c>
      <c r="AC20" s="229">
        <f t="shared" ref="AC20:AC30" si="48">IF(B20="","",(AB20/AA20))</f>
        <v>0.18434887594286331</v>
      </c>
      <c r="AD20" s="5"/>
      <c r="AE20" s="290" t="b">
        <f t="shared" si="26"/>
        <v>0</v>
      </c>
      <c r="AF20" s="291" t="s">
        <v>342</v>
      </c>
      <c r="AO20" s="292">
        <f>VLOOKUP(C20,ITEMS_BolsaOperador!$D$2:$AY$247,48,0)</f>
        <v>0.18434898384222317</v>
      </c>
      <c r="AP20" s="291" t="str">
        <f>VLOOKUP(C20,ITEMS_BolsaOperador!$D$2:$AY$247,1,0)</f>
        <v>Certificado de participación</v>
      </c>
      <c r="AQ20" s="291" t="str">
        <f>VLOOKUP(C20,ITEMS_BolsaOperador!$D$2:$AY$247,2,0)</f>
        <v xml:space="preserve">Impresión a media carta 4 tintas en papel _x000D_
propalcote o kimberly 200 gr, tamaño 22x28 cm con nombres individuales o espacio para el mismo, refilados._x000D_
</v>
      </c>
      <c r="AR20" s="291" t="str">
        <f>VLOOKUP(C20,ITEMS_BolsaOperador!$D$2:$AY$247,10,0)</f>
        <v>GUERRA EDITORES</v>
      </c>
      <c r="AS20" s="291">
        <f>VLOOKUP(C20,ITEMS_BolsaOperador!$D$2:$AY$247,16,0)</f>
        <v>2618</v>
      </c>
      <c r="AT20" s="291" t="str">
        <f>VLOOKUP(C20,ITEMS_BolsaOperador!$D$2:$AY$247,23,0)</f>
        <v>SG DIGITAL S.A.S</v>
      </c>
      <c r="AU20" s="291">
        <f>VLOOKUP(C20,ITEMS_BolsaOperador!$D$2:$AY$247,29,0)</f>
        <v>3200</v>
      </c>
      <c r="AV20" s="291" t="str">
        <f>VLOOKUP(C20,ITEMS_BolsaOperador!$D$2:$AY$247,36,0)</f>
        <v>JEGAR PUBLICIDAD MISIONES</v>
      </c>
      <c r="AW20" s="291">
        <f>VLOOKUP(C20,ITEMS_BolsaOperador!$D$2:$AY$247,42,0)</f>
        <v>3800</v>
      </c>
      <c r="AX20" s="293">
        <f>VLOOKUP(C20,ITEMS_BolsaOperador!$D$2:$AY$247,45,0)</f>
        <v>3206</v>
      </c>
      <c r="AY20" s="293">
        <f>VLOOKUP(C20,ITEMS_BolsaOperador!$D$2:$AY$247,46,0)</f>
        <v>3206</v>
      </c>
      <c r="AZ20" s="293">
        <f>VLOOKUP(C20,ITEMS_BolsaOperador!$D$2:$AY$247,47,0)</f>
        <v>591.0228421981675</v>
      </c>
      <c r="BA20" s="229">
        <f>VLOOKUP(C20,ITEMS_BolsaOperador!$D$2:$AY$247,48,0)</f>
        <v>0.18434898384222317</v>
      </c>
      <c r="BC20" s="7" t="b">
        <f t="shared" si="27"/>
        <v>0</v>
      </c>
      <c r="BD20" s="7" t="b">
        <f t="shared" si="28"/>
        <v>1</v>
      </c>
      <c r="BE20" s="7" t="b">
        <f t="shared" si="29"/>
        <v>1</v>
      </c>
      <c r="BF20" s="7" t="b">
        <f t="shared" si="30"/>
        <v>0</v>
      </c>
      <c r="BG20" s="7" t="b">
        <f t="shared" si="31"/>
        <v>0</v>
      </c>
      <c r="BH20" s="7" t="b">
        <f t="shared" si="32"/>
        <v>1</v>
      </c>
      <c r="BI20" s="7" t="b">
        <f t="shared" si="33"/>
        <v>1</v>
      </c>
      <c r="BJ20" s="7" t="b">
        <f t="shared" si="34"/>
        <v>0</v>
      </c>
      <c r="BK20" s="7" t="b">
        <f t="shared" si="35"/>
        <v>0</v>
      </c>
      <c r="BL20" s="7" t="b">
        <f t="shared" si="36"/>
        <v>0</v>
      </c>
      <c r="BM20" s="7" t="b">
        <f t="shared" si="37"/>
        <v>0</v>
      </c>
      <c r="BP20" s="7">
        <v>10</v>
      </c>
    </row>
    <row r="21" spans="1:68" s="7" customFormat="1" ht="405" hidden="1" x14ac:dyDescent="0.25">
      <c r="A21" s="276">
        <v>11</v>
      </c>
      <c r="B21" s="294" t="s">
        <v>38</v>
      </c>
      <c r="C21" s="300" t="s">
        <v>345</v>
      </c>
      <c r="D21" s="301" t="s">
        <v>86</v>
      </c>
      <c r="E21" s="302" t="s">
        <v>87</v>
      </c>
      <c r="F21" s="277">
        <v>108</v>
      </c>
      <c r="G21" s="277" t="s">
        <v>88</v>
      </c>
      <c r="H21" s="278" t="s">
        <v>89</v>
      </c>
      <c r="I21" s="280">
        <v>302522</v>
      </c>
      <c r="J21" s="280">
        <f t="shared" ref="J21:J96" si="49">I21*19%</f>
        <v>57479.18</v>
      </c>
      <c r="K21" s="280">
        <f t="shared" si="12"/>
        <v>360001.18</v>
      </c>
      <c r="L21" s="281">
        <f t="shared" si="13"/>
        <v>32672376</v>
      </c>
      <c r="M21" s="281">
        <f t="shared" si="14"/>
        <v>38880127.439999998</v>
      </c>
      <c r="N21" s="282" t="s">
        <v>90</v>
      </c>
      <c r="O21" s="283">
        <v>252101</v>
      </c>
      <c r="P21" s="283">
        <f t="shared" ref="P21:P94" si="50">O21*19%</f>
        <v>47899.19</v>
      </c>
      <c r="Q21" s="283">
        <f t="shared" si="16"/>
        <v>300000.19</v>
      </c>
      <c r="R21" s="284">
        <f t="shared" si="17"/>
        <v>27226908</v>
      </c>
      <c r="S21" s="284">
        <f t="shared" si="18"/>
        <v>32400020.52</v>
      </c>
      <c r="T21" s="285"/>
      <c r="U21" s="286"/>
      <c r="V21" s="286"/>
      <c r="W21" s="286"/>
      <c r="X21" s="287"/>
      <c r="Y21" s="287"/>
      <c r="Z21" s="288">
        <f t="shared" si="45"/>
        <v>330000.685</v>
      </c>
      <c r="AA21" s="288">
        <f t="shared" si="46"/>
        <v>35640073.979999997</v>
      </c>
      <c r="AB21" s="288">
        <f t="shared" si="47"/>
        <v>4582127.5459458707</v>
      </c>
      <c r="AC21" s="229">
        <f t="shared" si="48"/>
        <v>0.1285667237536377</v>
      </c>
      <c r="AD21" s="5"/>
      <c r="AE21" s="290" t="b">
        <f t="shared" si="26"/>
        <v>1</v>
      </c>
      <c r="AF21" s="7" t="s">
        <v>346</v>
      </c>
      <c r="AO21" s="292">
        <f>VLOOKUP(C21,ITEMS_BolsaOperador!$D$2:$AY$247,48,0)</f>
        <v>0.12856672375363773</v>
      </c>
      <c r="AP21" s="291" t="str">
        <f>VLOOKUP(C21,ITEMS_BolsaOperador!$D$2:$AY$247,1,0)</f>
        <v>Salón - Espacio Apto para 50 personas  (media jornada más equipos audiovisuales)</v>
      </c>
      <c r="AQ21" s="291" t="str">
        <f>VLOOKUP(C21,ITEMS_BolsaOperador!$D$2:$AY$247,2,0)</f>
        <v>Espacio físico para 50 personas con baño, sillas y mesas, ubicado en la localidad de Suba, con disponibilidad de espacio exterior para desarrollo de actividades_x000D_
Dotado con equipo de computo, video beam y sonido_x000D_
Jornada de 4 horas</v>
      </c>
      <c r="AR21" s="291" t="str">
        <f>VLOOKUP(C21,ITEMS_BolsaOperador!$D$2:$AY$247,10,0)</f>
        <v xml:space="preserve">JAC PRADO PINZON </v>
      </c>
      <c r="AS21" s="291">
        <f>VLOOKUP(C21,ITEMS_BolsaOperador!$D$2:$AY$247,16,0)</f>
        <v>360001.18</v>
      </c>
      <c r="AT21" s="291" t="str">
        <f>VLOOKUP(C21,ITEMS_BolsaOperador!$D$2:$AY$247,23,0)</f>
        <v>JAC URBANIZACION EL LAGUITO DE SUBA</v>
      </c>
      <c r="AU21" s="291">
        <f>VLOOKUP(C21,ITEMS_BolsaOperador!$D$2:$AY$247,29,0)</f>
        <v>300000.19</v>
      </c>
      <c r="AV21" s="291">
        <f>VLOOKUP(C21,ITEMS_BolsaOperador!$D$2:$AY$247,36,0)</f>
        <v>0</v>
      </c>
      <c r="AW21" s="291">
        <f>VLOOKUP(C21,ITEMS_BolsaOperador!$D$2:$AY$247,42,0)</f>
        <v>0</v>
      </c>
      <c r="AX21" s="293">
        <f>VLOOKUP(C21,ITEMS_BolsaOperador!$D$2:$AY$247,45,0)</f>
        <v>330000.685</v>
      </c>
      <c r="AY21" s="293">
        <f>VLOOKUP(C21,ITEMS_BolsaOperador!$D$2:$AY$247,46,0)</f>
        <v>330000.685</v>
      </c>
      <c r="AZ21" s="293">
        <f>VLOOKUP(C21,ITEMS_BolsaOperador!$D$2:$AY$247,47,0)</f>
        <v>42427.106906906221</v>
      </c>
      <c r="BA21" s="229">
        <f>VLOOKUP(C21,ITEMS_BolsaOperador!$D$2:$AY$247,48,0)</f>
        <v>0.12856672375363773</v>
      </c>
      <c r="BC21" s="7" t="b">
        <f t="shared" si="27"/>
        <v>0</v>
      </c>
      <c r="BD21" s="7" t="b">
        <f t="shared" si="28"/>
        <v>0</v>
      </c>
      <c r="BE21" s="7" t="b">
        <f t="shared" si="29"/>
        <v>1</v>
      </c>
      <c r="BF21" s="7" t="b">
        <f t="shared" si="30"/>
        <v>1</v>
      </c>
      <c r="BG21" s="7" t="b">
        <f t="shared" si="31"/>
        <v>1</v>
      </c>
      <c r="BH21" s="7" t="b">
        <f t="shared" si="32"/>
        <v>1</v>
      </c>
      <c r="BI21" s="7" t="b">
        <f t="shared" si="33"/>
        <v>1</v>
      </c>
      <c r="BJ21" s="7" t="b">
        <f t="shared" si="34"/>
        <v>1</v>
      </c>
      <c r="BK21" s="7" t="b">
        <f t="shared" si="35"/>
        <v>0</v>
      </c>
      <c r="BL21" s="7" t="b">
        <f t="shared" si="36"/>
        <v>0</v>
      </c>
      <c r="BM21" s="7" t="b">
        <f t="shared" si="37"/>
        <v>1</v>
      </c>
      <c r="BP21" s="7">
        <v>11</v>
      </c>
    </row>
    <row r="22" spans="1:68" s="7" customFormat="1" ht="182.25" hidden="1" customHeight="1" x14ac:dyDescent="0.25">
      <c r="A22" s="276">
        <v>12</v>
      </c>
      <c r="B22" s="294" t="s">
        <v>38</v>
      </c>
      <c r="C22" s="303" t="s">
        <v>347</v>
      </c>
      <c r="D22" s="304" t="s">
        <v>92</v>
      </c>
      <c r="E22" s="302" t="s">
        <v>87</v>
      </c>
      <c r="F22" s="277">
        <v>5</v>
      </c>
      <c r="G22" s="277" t="s">
        <v>88</v>
      </c>
      <c r="H22" s="278" t="s">
        <v>89</v>
      </c>
      <c r="I22" s="280">
        <v>302522</v>
      </c>
      <c r="J22" s="280">
        <f t="shared" si="49"/>
        <v>57479.18</v>
      </c>
      <c r="K22" s="280">
        <f t="shared" si="12"/>
        <v>360001.18</v>
      </c>
      <c r="L22" s="281">
        <f t="shared" si="13"/>
        <v>1512610</v>
      </c>
      <c r="M22" s="281">
        <f t="shared" si="14"/>
        <v>1800005.9</v>
      </c>
      <c r="N22" s="282" t="s">
        <v>90</v>
      </c>
      <c r="O22" s="283">
        <v>252101</v>
      </c>
      <c r="P22" s="283">
        <f t="shared" si="50"/>
        <v>47899.19</v>
      </c>
      <c r="Q22" s="283">
        <f t="shared" si="16"/>
        <v>300000.19</v>
      </c>
      <c r="R22" s="284">
        <f t="shared" si="17"/>
        <v>1260505</v>
      </c>
      <c r="S22" s="284">
        <f t="shared" si="18"/>
        <v>1500000.95</v>
      </c>
      <c r="T22" s="285"/>
      <c r="U22" s="286"/>
      <c r="V22" s="286"/>
      <c r="W22" s="286"/>
      <c r="X22" s="287"/>
      <c r="Y22" s="287"/>
      <c r="Z22" s="288">
        <f t="shared" si="45"/>
        <v>330000.685</v>
      </c>
      <c r="AA22" s="288">
        <f t="shared" si="46"/>
        <v>1650003.425</v>
      </c>
      <c r="AB22" s="288">
        <f t="shared" si="47"/>
        <v>212135.53453453109</v>
      </c>
      <c r="AC22" s="229">
        <f t="shared" si="48"/>
        <v>0.1285667237536377</v>
      </c>
      <c r="AD22" s="5"/>
      <c r="AE22" s="290" t="b">
        <f t="shared" si="26"/>
        <v>1</v>
      </c>
      <c r="AF22" s="7" t="s">
        <v>348</v>
      </c>
      <c r="AO22" s="292">
        <f>VLOOKUP(C22,ITEMS_BolsaOperador!$D$2:$AY$247,48,0)</f>
        <v>0.12856672375363773</v>
      </c>
      <c r="AP22" s="291" t="str">
        <f>VLOOKUP(C22,ITEMS_BolsaOperador!$D$2:$AY$247,1,0)</f>
        <v>Salón - Espacio Apto para 100 personas  (media jornada más equipos audiovisuales)</v>
      </c>
      <c r="AQ22" s="291" t="str">
        <f>VLOOKUP(C22,ITEMS_BolsaOperador!$D$2:$AY$247,2,0)</f>
        <v>Espacio físico para 100 personas con baño, sillas y mesas, ubicado en la localidad de Suba, con disponibilidad de espacio exterior para desarrollo de actividades_x000D_
Dotado con equipo de computo, video beam y sonido_x000D_
Jornada de 4 horas</v>
      </c>
      <c r="AR22" s="291" t="str">
        <f>VLOOKUP(C22,ITEMS_BolsaOperador!$D$2:$AY$247,10,0)</f>
        <v xml:space="preserve">JAC PRADO PINZON </v>
      </c>
      <c r="AS22" s="291">
        <f>VLOOKUP(C22,ITEMS_BolsaOperador!$D$2:$AY$247,16,0)</f>
        <v>360001.18</v>
      </c>
      <c r="AT22" s="291" t="str">
        <f>VLOOKUP(C22,ITEMS_BolsaOperador!$D$2:$AY$247,23,0)</f>
        <v>JAC URBANIZACION EL LAGUITO DE SUBA</v>
      </c>
      <c r="AU22" s="291">
        <f>VLOOKUP(C22,ITEMS_BolsaOperador!$D$2:$AY$247,29,0)</f>
        <v>300000.19</v>
      </c>
      <c r="AV22" s="291">
        <f>VLOOKUP(C22,ITEMS_BolsaOperador!$D$2:$AY$247,36,0)</f>
        <v>0</v>
      </c>
      <c r="AW22" s="291">
        <f>VLOOKUP(C22,ITEMS_BolsaOperador!$D$2:$AY$247,42,0)</f>
        <v>0</v>
      </c>
      <c r="AX22" s="293" t="e">
        <f>VLOOKUP(C22,ITEMS_BolsaOperador!$D$254:$AY$276,45,0)</f>
        <v>#N/A</v>
      </c>
      <c r="AY22" s="293" t="e">
        <f>VLOOKUP(C22,ITEMS_BolsaOperador!$D$254:$AY$276,46,0)</f>
        <v>#N/A</v>
      </c>
      <c r="AZ22" s="293" t="e">
        <f>VLOOKUP(C22,ITEMS_BolsaOperador!$D$254:$AY$276,47,0)</f>
        <v>#N/A</v>
      </c>
      <c r="BA22" s="229" t="e">
        <f>VLOOKUP(C22,ITEMS_BolsaOperador!$D$254:$AY$276,48,0)</f>
        <v>#N/A</v>
      </c>
      <c r="BC22" s="7" t="b">
        <f t="shared" si="27"/>
        <v>0</v>
      </c>
      <c r="BD22" s="7" t="b">
        <f t="shared" si="28"/>
        <v>0</v>
      </c>
      <c r="BE22" s="7" t="b">
        <f t="shared" si="29"/>
        <v>1</v>
      </c>
      <c r="BF22" s="7" t="b">
        <f t="shared" si="30"/>
        <v>1</v>
      </c>
      <c r="BG22" s="7" t="b">
        <f t="shared" si="31"/>
        <v>1</v>
      </c>
      <c r="BH22" s="7" t="b">
        <f t="shared" si="32"/>
        <v>1</v>
      </c>
      <c r="BI22" s="7" t="b">
        <f t="shared" si="33"/>
        <v>1</v>
      </c>
      <c r="BJ22" s="7" t="e">
        <f t="shared" si="34"/>
        <v>#N/A</v>
      </c>
      <c r="BK22" s="7" t="e">
        <f t="shared" si="35"/>
        <v>#N/A</v>
      </c>
      <c r="BL22" s="7" t="e">
        <f t="shared" si="36"/>
        <v>#N/A</v>
      </c>
      <c r="BM22" s="7" t="e">
        <f t="shared" si="37"/>
        <v>#N/A</v>
      </c>
      <c r="BP22" s="7">
        <v>12</v>
      </c>
    </row>
    <row r="23" spans="1:68" s="7" customFormat="1" ht="409.5" hidden="1" customHeight="1" x14ac:dyDescent="0.25">
      <c r="A23" s="276">
        <v>13</v>
      </c>
      <c r="B23" s="294" t="s">
        <v>38</v>
      </c>
      <c r="C23" s="303" t="s">
        <v>93</v>
      </c>
      <c r="D23" s="305" t="s">
        <v>94</v>
      </c>
      <c r="E23" s="302" t="s">
        <v>41</v>
      </c>
      <c r="F23" s="277">
        <v>540</v>
      </c>
      <c r="G23" s="277" t="s">
        <v>42</v>
      </c>
      <c r="H23" s="278" t="s">
        <v>95</v>
      </c>
      <c r="I23" s="280">
        <v>11700</v>
      </c>
      <c r="J23" s="280">
        <f>I23*8%</f>
        <v>936</v>
      </c>
      <c r="K23" s="280">
        <f t="shared" si="12"/>
        <v>12636</v>
      </c>
      <c r="L23" s="281">
        <f t="shared" si="13"/>
        <v>6318000</v>
      </c>
      <c r="M23" s="281">
        <f t="shared" si="14"/>
        <v>6823440</v>
      </c>
      <c r="N23" s="282" t="s">
        <v>50</v>
      </c>
      <c r="O23" s="283">
        <v>8570</v>
      </c>
      <c r="P23" s="283">
        <f>O23*8%</f>
        <v>685.6</v>
      </c>
      <c r="Q23" s="283">
        <f t="shared" si="16"/>
        <v>9255.6</v>
      </c>
      <c r="R23" s="284">
        <f t="shared" si="17"/>
        <v>4627800</v>
      </c>
      <c r="S23" s="284">
        <f t="shared" si="18"/>
        <v>4998024</v>
      </c>
      <c r="T23" s="285" t="s">
        <v>96</v>
      </c>
      <c r="U23" s="286">
        <v>13871</v>
      </c>
      <c r="V23" s="286"/>
      <c r="W23" s="286">
        <f t="shared" si="19"/>
        <v>13871</v>
      </c>
      <c r="X23" s="287">
        <f t="shared" si="20"/>
        <v>7490340</v>
      </c>
      <c r="Y23" s="287">
        <f t="shared" si="21"/>
        <v>7490340</v>
      </c>
      <c r="Z23" s="288">
        <f t="shared" si="45"/>
        <v>11920.866666666667</v>
      </c>
      <c r="AA23" s="288">
        <f t="shared" si="46"/>
        <v>6437268</v>
      </c>
      <c r="AB23" s="288">
        <f t="shared" si="47"/>
        <v>1290254.3823417148</v>
      </c>
      <c r="AC23" s="229">
        <f t="shared" si="48"/>
        <v>0.20043508866520934</v>
      </c>
      <c r="AD23" s="5"/>
      <c r="AE23" s="290" t="b">
        <f t="shared" si="26"/>
        <v>0</v>
      </c>
      <c r="AF23" s="291" t="s">
        <v>342</v>
      </c>
      <c r="AO23" s="292">
        <f>VLOOKUP(C23,ITEMS_BolsaOperador!$D$2:$AY$247,48,0)</f>
        <v>0.20043508866520951</v>
      </c>
      <c r="AP23" s="291" t="str">
        <f>VLOOKUP(C23,ITEMS_BolsaOperador!$D$2:$AY$247,1,0)</f>
        <v>Refrigerio Tipo 1</v>
      </c>
      <c r="AQ23" s="291" t="str">
        <f>VLOOKUP(C23,ITEMS_BolsaOperador!$D$2:$AY$247,2,0)</f>
        <v>Compuesto por:  _x000D_
1. Bebida: Deberá contener al menos 200 mililitros. Jugo de frutas y/o yogurt y/o kumis y/o avena, naturales no procesados, no se permitirá el suministro de bebidas empacadas en bolsa plástica, la Alcaldía Local de Suba requiere que las mismas sean entregadas a los asistentes en empaque tetra pack.  _x000D_
2. Un producto cereal   o producto de panadería tipo: Deberán tener un peso mínimo de 100 gramos. Podrá ser  Pastel de pollo o carne, ponqué, arepa, empanada, mantecada,  arepa con queso, pastel gloria, croissant de jamón y queso, brownie, buñuelo o similares. Los gramajes corresponden a los productos ya elaborados.    _x000D_
3. Una fruta de temporada: Porción de fruta no menor de 100 gramos. Mandarina, naranja,  manzana, pera, durazno o similares.  _x000D_
4. Dulce: Deberá tener mínimo entre 12 y 15 gramos. Chocolatina, Arequipe,  bocadillo o similares.</v>
      </c>
      <c r="AR23" s="291" t="str">
        <f>VLOOKUP(C23,ITEMS_BolsaOperador!$D$2:$AY$247,10,0)</f>
        <v>INVERSIONES BECORATI E Y O SAS</v>
      </c>
      <c r="AS23" s="291">
        <f>VLOOKUP(C23,ITEMS_BolsaOperador!$D$2:$AY$247,16,0)</f>
        <v>12636</v>
      </c>
      <c r="AT23" s="291" t="str">
        <f>VLOOKUP(C23,ITEMS_BolsaOperador!$D$2:$AY$247,23,0)</f>
        <v>ENTERPRISE INVESTMENT DEVELOPMENT S.A.S.</v>
      </c>
      <c r="AU23" s="291">
        <f>VLOOKUP(C23,ITEMS_BolsaOperador!$D$2:$AY$247,29,0)</f>
        <v>9255.6</v>
      </c>
      <c r="AV23" s="291" t="str">
        <f>VLOOKUP(C23,ITEMS_BolsaOperador!$D$2:$AY$247,36,0)</f>
        <v>Estimación de precios con base en el proceso FDLSUBA-LP-013-2025 (140689) – Contrato 1000 – 2025, indexando el incremento de precios en el mercado con base en el Índice de Precios al Consumidor (IPC) para el mes de marzo de 2026, el cual fue de 5,56%.</v>
      </c>
      <c r="AW23" s="291">
        <f>VLOOKUP(C23,ITEMS_BolsaOperador!$D$2:$AY$247,42,0)</f>
        <v>13871</v>
      </c>
      <c r="AX23" s="293">
        <f>VLOOKUP(C23,ITEMS_BolsaOperador!$D$2:$AY$247,45,0)</f>
        <v>11920.866666666667</v>
      </c>
      <c r="AY23" s="293">
        <f>VLOOKUP(C23,ITEMS_BolsaOperador!$D$2:$AY$247,46,0)</f>
        <v>11920.866666666667</v>
      </c>
      <c r="AZ23" s="293">
        <f>VLOOKUP(C23,ITEMS_BolsaOperador!$D$2:$AY$247,47,0)</f>
        <v>2389.3599672994737</v>
      </c>
      <c r="BA23" s="229">
        <f>VLOOKUP(C23,ITEMS_BolsaOperador!$D$2:$AY$247,48,0)</f>
        <v>0.20043508866520951</v>
      </c>
      <c r="BC23" s="7" t="b">
        <f t="shared" si="27"/>
        <v>0</v>
      </c>
      <c r="BD23" s="7" t="b">
        <f t="shared" si="28"/>
        <v>1</v>
      </c>
      <c r="BE23" s="7" t="b">
        <f t="shared" si="29"/>
        <v>1</v>
      </c>
      <c r="BF23" s="7" t="b">
        <f t="shared" si="30"/>
        <v>0</v>
      </c>
      <c r="BG23" s="7" t="b">
        <f t="shared" si="31"/>
        <v>1</v>
      </c>
      <c r="BH23" s="7" t="b">
        <f t="shared" si="32"/>
        <v>0</v>
      </c>
      <c r="BI23" s="7" t="b">
        <f t="shared" si="33"/>
        <v>1</v>
      </c>
      <c r="BJ23" s="7" t="b">
        <f t="shared" si="34"/>
        <v>1</v>
      </c>
      <c r="BK23" s="7" t="b">
        <f t="shared" si="35"/>
        <v>0</v>
      </c>
      <c r="BL23" s="7" t="b">
        <f t="shared" si="36"/>
        <v>0</v>
      </c>
      <c r="BM23" s="7" t="b">
        <f t="shared" si="37"/>
        <v>0</v>
      </c>
      <c r="BP23" s="7">
        <v>13</v>
      </c>
    </row>
    <row r="24" spans="1:68" s="7" customFormat="1" ht="409.5" hidden="1" customHeight="1" x14ac:dyDescent="0.25">
      <c r="A24" s="276">
        <v>14</v>
      </c>
      <c r="B24" s="294" t="s">
        <v>38</v>
      </c>
      <c r="C24" s="303" t="s">
        <v>97</v>
      </c>
      <c r="D24" s="305" t="s">
        <v>98</v>
      </c>
      <c r="E24" s="294" t="s">
        <v>41</v>
      </c>
      <c r="F24" s="277">
        <v>65</v>
      </c>
      <c r="G24" s="277" t="s">
        <v>42</v>
      </c>
      <c r="H24" s="278" t="s">
        <v>99</v>
      </c>
      <c r="I24" s="280">
        <v>21600</v>
      </c>
      <c r="J24" s="280">
        <f>I24*8%</f>
        <v>1728</v>
      </c>
      <c r="K24" s="280">
        <f t="shared" si="12"/>
        <v>23328</v>
      </c>
      <c r="L24" s="281">
        <f t="shared" si="13"/>
        <v>1404000</v>
      </c>
      <c r="M24" s="281">
        <f t="shared" si="14"/>
        <v>1516320</v>
      </c>
      <c r="N24" s="282" t="s">
        <v>100</v>
      </c>
      <c r="O24" s="283">
        <v>25000</v>
      </c>
      <c r="P24" s="283">
        <f>O24*8%</f>
        <v>2000</v>
      </c>
      <c r="Q24" s="283">
        <f t="shared" si="16"/>
        <v>27000</v>
      </c>
      <c r="R24" s="284">
        <f t="shared" si="17"/>
        <v>1625000</v>
      </c>
      <c r="S24" s="284">
        <f t="shared" si="18"/>
        <v>1755000</v>
      </c>
      <c r="T24" s="285" t="s">
        <v>101</v>
      </c>
      <c r="U24" s="426">
        <v>26824</v>
      </c>
      <c r="V24" s="286">
        <f>U24*8%</f>
        <v>2145.92</v>
      </c>
      <c r="W24" s="286">
        <f t="shared" si="19"/>
        <v>28969.919999999998</v>
      </c>
      <c r="X24" s="287">
        <f t="shared" si="20"/>
        <v>1743560</v>
      </c>
      <c r="Y24" s="287">
        <f t="shared" si="21"/>
        <v>1883044.7999999998</v>
      </c>
      <c r="Z24" s="288">
        <f t="shared" si="45"/>
        <v>26432.639999999999</v>
      </c>
      <c r="AA24" s="288">
        <f t="shared" si="46"/>
        <v>1718121.5999999999</v>
      </c>
      <c r="AB24" s="288">
        <f t="shared" si="47"/>
        <v>186123.02926741756</v>
      </c>
      <c r="AC24" s="229">
        <f t="shared" si="48"/>
        <v>0.10832936927596834</v>
      </c>
      <c r="AD24" s="5"/>
      <c r="AE24" s="290" t="b">
        <f t="shared" si="26"/>
        <v>1</v>
      </c>
      <c r="AF24" s="291" t="s">
        <v>342</v>
      </c>
      <c r="AO24" s="292">
        <f>VLOOKUP(C24,ITEMS_BolsaOperador!$D$2:$AY$247,48,0)</f>
        <v>0.10832936927596835</v>
      </c>
      <c r="AP24" s="291" t="str">
        <f>VLOOKUP(C24,ITEMS_BolsaOperador!$D$2:$AY$247,1,0)</f>
        <v>Refrigerio Especial</v>
      </c>
      <c r="AQ24" s="291" t="str">
        <f>VLOOKUP(C24,ITEMS_BolsaOperador!$D$2:$AY$247,2,0)</f>
        <v>BEBIDA: Jugo natural  de fruta en agua o  néctares,  o refrescos de fruta,  con opción sin azúcar, o bajo en azúcar, o gaseosas ligth o normal; contenido mínimo 200 ml, en empaque comercial  duro ( no en bolsa, no de icopor o plástico), o servido en vaso de vidrio
ALIMENTO PRINCIPAL: Sánduche de jamón y/o queso o atún o pollo o espinaca y queso en pan común o integral  para sánduche,  ponqués o galletas o palito de queso o arepas  con queso o pasteles gloria, de pollo, de carne,  de queso, de harina  integral o comunes; porción entre  60 a 100 gr.
ACOMPAÑAMIENTO: Papas fritas de pollo o natural, o fruta deshidratada, paq de 30gr.
FRUTA: De temporada 150 gr.
EMPAQUE:  En bolsa plástica bio-degradable (si se requiere), preferiblemente que los productos se encuentren en empaques reciclables y/o biodegradables.
OPCIONAL: servicio de entrega al usuario final.</v>
      </c>
      <c r="AR24" s="291" t="str">
        <f>VLOOKUP(C24,ITEMS_BolsaOperador!$D$2:$AY$247,10,0)</f>
        <v>Esfera de Eventos</v>
      </c>
      <c r="AS24" s="291">
        <f>VLOOKUP(C24,ITEMS_BolsaOperador!$D$2:$AY$247,16,0)</f>
        <v>23328</v>
      </c>
      <c r="AT24" s="291" t="str">
        <f>VLOOKUP(C24,ITEMS_BolsaOperador!$D$2:$AY$247,23,0)</f>
        <v>Catering Depot</v>
      </c>
      <c r="AU24" s="291">
        <f>VLOOKUP(C24,ITEMS_BolsaOperador!$D$2:$AY$247,29,0)</f>
        <v>27000</v>
      </c>
      <c r="AV24" s="291" t="str">
        <f>VLOOKUP(C24,ITEMS_BolsaOperador!$D$2:$AY$247,36,0)</f>
        <v>D&amp;R PRODUCCIONES SAS</v>
      </c>
      <c r="AW24" s="291">
        <f>VLOOKUP(C24,ITEMS_BolsaOperador!$D$2:$AY$247,42,0)</f>
        <v>28969.919999999998</v>
      </c>
      <c r="AX24" s="293">
        <f>VLOOKUP(C24,ITEMS_BolsaOperador!$D$2:$AY$247,45,0)</f>
        <v>26432.639999999999</v>
      </c>
      <c r="AY24" s="293">
        <f>VLOOKUP(C24,ITEMS_BolsaOperador!$D$2:$AY$247,46,0)</f>
        <v>26432.639999999999</v>
      </c>
      <c r="AZ24" s="293">
        <f>VLOOKUP(C24,ITEMS_BolsaOperador!$D$2:$AY$247,47,0)</f>
        <v>2863.4312194987319</v>
      </c>
      <c r="BA24" s="229">
        <f>VLOOKUP(C24,ITEMS_BolsaOperador!$D$2:$AY$247,48,0)</f>
        <v>0.10832936927596835</v>
      </c>
      <c r="BC24" s="7" t="b">
        <f t="shared" si="27"/>
        <v>0</v>
      </c>
      <c r="BD24" s="7" t="b">
        <f t="shared" si="28"/>
        <v>0</v>
      </c>
      <c r="BE24" s="7" t="b">
        <f t="shared" si="29"/>
        <v>1</v>
      </c>
      <c r="BF24" s="7" t="b">
        <f t="shared" si="30"/>
        <v>0</v>
      </c>
      <c r="BG24" s="7" t="b">
        <f t="shared" si="31"/>
        <v>1</v>
      </c>
      <c r="BH24" s="7" t="b">
        <f t="shared" si="32"/>
        <v>1</v>
      </c>
      <c r="BI24" s="7" t="b">
        <f t="shared" si="33"/>
        <v>1</v>
      </c>
      <c r="BJ24" s="7" t="b">
        <f t="shared" si="34"/>
        <v>1</v>
      </c>
      <c r="BK24" s="7" t="b">
        <f t="shared" si="35"/>
        <v>0</v>
      </c>
      <c r="BL24" s="7" t="b">
        <f t="shared" si="36"/>
        <v>0</v>
      </c>
      <c r="BM24" s="7" t="b">
        <f t="shared" si="37"/>
        <v>1</v>
      </c>
      <c r="BP24" s="7">
        <v>14</v>
      </c>
    </row>
    <row r="25" spans="1:68" s="7" customFormat="1" ht="213.75" hidden="1" customHeight="1" x14ac:dyDescent="0.25">
      <c r="A25" s="276">
        <v>15</v>
      </c>
      <c r="B25" s="294" t="s">
        <v>102</v>
      </c>
      <c r="C25" s="306" t="s">
        <v>39</v>
      </c>
      <c r="D25" s="307" t="s">
        <v>40</v>
      </c>
      <c r="E25" s="302" t="s">
        <v>41</v>
      </c>
      <c r="F25" s="277">
        <v>60</v>
      </c>
      <c r="G25" s="277" t="s">
        <v>42</v>
      </c>
      <c r="H25" s="278" t="s">
        <v>43</v>
      </c>
      <c r="I25" s="280">
        <v>5033.6099999999997</v>
      </c>
      <c r="J25" s="280">
        <f>I25*19%</f>
        <v>956.38589999999999</v>
      </c>
      <c r="K25" s="280">
        <f t="shared" si="12"/>
        <v>5989.9958999999999</v>
      </c>
      <c r="L25" s="281">
        <f t="shared" si="13"/>
        <v>302016.59999999998</v>
      </c>
      <c r="M25" s="281">
        <f t="shared" si="14"/>
        <v>359399.75400000002</v>
      </c>
      <c r="N25" s="282" t="s">
        <v>44</v>
      </c>
      <c r="O25" s="283">
        <v>5462.18</v>
      </c>
      <c r="P25" s="283">
        <f>O25*19%</f>
        <v>1037.8142</v>
      </c>
      <c r="Q25" s="283">
        <f t="shared" si="16"/>
        <v>6499.9942000000001</v>
      </c>
      <c r="R25" s="284">
        <f t="shared" si="17"/>
        <v>327730.80000000005</v>
      </c>
      <c r="S25" s="284">
        <f t="shared" si="18"/>
        <v>389999.652</v>
      </c>
      <c r="T25" s="285" t="s">
        <v>45</v>
      </c>
      <c r="U25" s="286">
        <v>4201.68</v>
      </c>
      <c r="V25" s="286">
        <f t="shared" ref="V25:V26" si="51">U25*19%</f>
        <v>798.31920000000002</v>
      </c>
      <c r="W25" s="286">
        <f t="shared" si="19"/>
        <v>4999.9992000000002</v>
      </c>
      <c r="X25" s="287">
        <f t="shared" si="20"/>
        <v>252100.80000000002</v>
      </c>
      <c r="Y25" s="287">
        <f t="shared" si="21"/>
        <v>299999.95199999999</v>
      </c>
      <c r="Z25" s="288">
        <f t="shared" si="45"/>
        <v>5829.9964333333337</v>
      </c>
      <c r="AA25" s="288">
        <f t="shared" si="46"/>
        <v>349799.78600000002</v>
      </c>
      <c r="AB25" s="288">
        <f t="shared" si="47"/>
        <v>45761.403379083953</v>
      </c>
      <c r="AC25" s="229">
        <f t="shared" si="48"/>
        <v>0.13082170204381985</v>
      </c>
      <c r="AD25" s="5"/>
      <c r="AE25" s="290" t="b">
        <f t="shared" si="26"/>
        <v>0</v>
      </c>
      <c r="AF25" s="291" t="s">
        <v>342</v>
      </c>
      <c r="AO25" s="292">
        <f>VLOOKUP(C25,ITEMS_BolsaOperador!$D$2:$AY$247,48,0)</f>
        <v>0.13082205808348779</v>
      </c>
      <c r="AP25" s="291" t="str">
        <f>VLOOKUP(C25,ITEMS_BolsaOperador!$D$2:$AY$247,1,0)</f>
        <v>Cuaderno 100 hojas</v>
      </c>
      <c r="AQ25" s="291" t="str">
        <f>VLOOKUP(C25,ITEMS_BolsaOperador!$D$2:$AY$247,2,0)</f>
        <v>Cuaderno argollado de 100 hojas cuadriculadas, gramaje de 60g a 75g. Carátula en cartón rígido plastificado, espiral metálico sencillo o doble</v>
      </c>
      <c r="AR25" s="291" t="str">
        <f>VLOOKUP(C25,ITEMS_BolsaOperador!$D$2:$AY$247,10,0)</f>
        <v>Exito</v>
      </c>
      <c r="AS25" s="291">
        <f>VLOOKUP(C25,ITEMS_BolsaOperador!$D$2:$AY$247,16,0)</f>
        <v>5990</v>
      </c>
      <c r="AT25" s="291" t="str">
        <f>VLOOKUP(C25,ITEMS_BolsaOperador!$D$2:$AY$247,23,0)</f>
        <v>Multiexpress</v>
      </c>
      <c r="AU25" s="291">
        <f>VLOOKUP(C25,ITEMS_BolsaOperador!$D$2:$AY$247,29,0)</f>
        <v>6500</v>
      </c>
      <c r="AV25" s="291" t="str">
        <f>VLOOKUP(C25,ITEMS_BolsaOperador!$D$2:$AY$247,36,0)</f>
        <v>Gran Papelera</v>
      </c>
      <c r="AW25" s="291">
        <f>VLOOKUP(C25,ITEMS_BolsaOperador!$D$2:$AY$247,42,0)</f>
        <v>5000</v>
      </c>
      <c r="AX25" s="293">
        <f>VLOOKUP(C25,ITEMS_BolsaOperador!$D$2:$AY$247,45,0)</f>
        <v>5830</v>
      </c>
      <c r="AY25" s="293">
        <f>VLOOKUP(C25,ITEMS_BolsaOperador!$D$2:$AY$247,46,0)</f>
        <v>5830</v>
      </c>
      <c r="AZ25" s="293">
        <f>VLOOKUP(C25,ITEMS_BolsaOperador!$D$2:$AY$247,47,0)</f>
        <v>762.6925986267338</v>
      </c>
      <c r="BA25" s="229">
        <f>VLOOKUP(C25,ITEMS_BolsaOperador!$D$2:$AY$247,48,0)</f>
        <v>0.13082205808348779</v>
      </c>
      <c r="BC25" s="7" t="b">
        <f t="shared" si="27"/>
        <v>1</v>
      </c>
      <c r="BD25" s="7" t="b">
        <f t="shared" si="28"/>
        <v>1</v>
      </c>
      <c r="BE25" s="7" t="b">
        <f t="shared" si="29"/>
        <v>0</v>
      </c>
      <c r="BF25" s="7" t="b">
        <f t="shared" si="30"/>
        <v>1</v>
      </c>
      <c r="BG25" s="7" t="b">
        <f t="shared" si="31"/>
        <v>0</v>
      </c>
      <c r="BH25" s="7" t="b">
        <f t="shared" si="32"/>
        <v>1</v>
      </c>
      <c r="BI25" s="7" t="b">
        <f t="shared" si="33"/>
        <v>0</v>
      </c>
      <c r="BJ25" s="7" t="b">
        <f t="shared" si="34"/>
        <v>0</v>
      </c>
      <c r="BK25" s="7" t="b">
        <f t="shared" si="35"/>
        <v>0</v>
      </c>
      <c r="BL25" s="7" t="b">
        <f t="shared" si="36"/>
        <v>0</v>
      </c>
      <c r="BM25" s="7" t="b">
        <f t="shared" si="37"/>
        <v>0</v>
      </c>
      <c r="BP25" s="7">
        <v>15</v>
      </c>
    </row>
    <row r="26" spans="1:68" s="7" customFormat="1" ht="330" hidden="1" x14ac:dyDescent="0.35">
      <c r="A26" s="276">
        <v>16</v>
      </c>
      <c r="B26" s="294" t="s">
        <v>102</v>
      </c>
      <c r="C26" s="277" t="s">
        <v>46</v>
      </c>
      <c r="D26" s="137" t="s">
        <v>47</v>
      </c>
      <c r="E26" s="302" t="s">
        <v>41</v>
      </c>
      <c r="F26" s="277">
        <v>6</v>
      </c>
      <c r="G26" s="277" t="s">
        <v>42</v>
      </c>
      <c r="H26" s="278" t="s">
        <v>48</v>
      </c>
      <c r="I26" s="280">
        <v>5407.56</v>
      </c>
      <c r="J26" s="280">
        <f t="shared" ref="J26" si="52">I26*19%</f>
        <v>1027.4364</v>
      </c>
      <c r="K26" s="280">
        <f t="shared" si="12"/>
        <v>6434.9964</v>
      </c>
      <c r="L26" s="281">
        <f t="shared" si="13"/>
        <v>32445.360000000001</v>
      </c>
      <c r="M26" s="281">
        <f t="shared" si="14"/>
        <v>38609.9784</v>
      </c>
      <c r="N26" s="282" t="s">
        <v>49</v>
      </c>
      <c r="O26" s="283">
        <v>4628.57</v>
      </c>
      <c r="P26" s="283">
        <f t="shared" ref="P26" si="53">O26*19%</f>
        <v>879.42829999999992</v>
      </c>
      <c r="Q26" s="283">
        <f t="shared" si="16"/>
        <v>5507.9982999999993</v>
      </c>
      <c r="R26" s="284">
        <f t="shared" si="17"/>
        <v>27771.42</v>
      </c>
      <c r="S26" s="284">
        <f t="shared" si="18"/>
        <v>33047.989799999996</v>
      </c>
      <c r="T26" s="285" t="s">
        <v>50</v>
      </c>
      <c r="U26" s="286">
        <v>4968.91</v>
      </c>
      <c r="V26" s="286">
        <f t="shared" si="51"/>
        <v>944.09289999999999</v>
      </c>
      <c r="W26" s="286">
        <f t="shared" si="19"/>
        <v>5913.0028999999995</v>
      </c>
      <c r="X26" s="287">
        <f t="shared" si="20"/>
        <v>29813.46</v>
      </c>
      <c r="Y26" s="287">
        <f t="shared" si="21"/>
        <v>35478.017399999997</v>
      </c>
      <c r="Z26" s="288">
        <f t="shared" si="45"/>
        <v>5951.9991999999993</v>
      </c>
      <c r="AA26" s="288">
        <f t="shared" si="46"/>
        <v>35711.995199999998</v>
      </c>
      <c r="AB26" s="288">
        <f t="shared" si="47"/>
        <v>2788.3666374424529</v>
      </c>
      <c r="AC26" s="229">
        <f t="shared" si="48"/>
        <v>7.807927341574164E-2</v>
      </c>
      <c r="AD26" s="5"/>
      <c r="AE26" s="290" t="b">
        <f t="shared" si="26"/>
        <v>0</v>
      </c>
      <c r="AF26" s="291" t="s">
        <v>342</v>
      </c>
      <c r="AO26" s="292">
        <f>VLOOKUP(C26,ITEMS_BolsaOperador!$D$2:$AY$247,48,0)</f>
        <v>7.8079461233536068E-2</v>
      </c>
      <c r="AP26" s="291" t="str">
        <f>VLOOKUP(C26,ITEMS_BolsaOperador!$D$2:$AY$247,1,0)</f>
        <v xml:space="preserve">Esfero cualquier color caja x 10 </v>
      </c>
      <c r="AQ26" s="291" t="str">
        <f>VLOOKUP(C26,ITEMS_BolsaOperador!$D$2:$AY$247,2,0)</f>
        <v>Caja de 10 bolígrafos con tinta suave de baja viscosidad en colores variados. Cuerpo ergonómico transparente para control de tinta, punta de tungsteno para trazos precisos y tapa de seguridad ventilada.</v>
      </c>
      <c r="AR26" s="291" t="str">
        <f>VLOOKUP(C26,ITEMS_BolsaOperador!$D$2:$AY$247,10,0)</f>
        <v>GUERRA EDITORES</v>
      </c>
      <c r="AS26" s="291">
        <f>VLOOKUP(C26,ITEMS_BolsaOperador!$D$2:$AY$247,16,0)</f>
        <v>6435.0000000000009</v>
      </c>
      <c r="AT26" s="291" t="str">
        <f>VLOOKUP(C26,ITEMS_BolsaOperador!$D$2:$AY$247,23,0)</f>
        <v>LIBRERIA Y PAPELERIA TIENDA ESTUDIANTIL LTDA</v>
      </c>
      <c r="AU26" s="291">
        <f>VLOOKUP(C26,ITEMS_BolsaOperador!$D$2:$AY$247,29,0)</f>
        <v>5508</v>
      </c>
      <c r="AV26" s="291" t="str">
        <f>VLOOKUP(C26,ITEMS_BolsaOperador!$D$2:$AY$247,36,0)</f>
        <v>ENTREPRISE</v>
      </c>
      <c r="AW26" s="291">
        <f>VLOOKUP(C26,ITEMS_BolsaOperador!$D$2:$AY$247,42,0)</f>
        <v>5913</v>
      </c>
      <c r="AX26" s="293">
        <f>VLOOKUP(C26,ITEMS_BolsaOperador!$D$2:$AY$247,45,0)</f>
        <v>5952</v>
      </c>
      <c r="AY26" s="293">
        <f>VLOOKUP(C26,ITEMS_BolsaOperador!$D$2:$AY$247,46,0)</f>
        <v>5952</v>
      </c>
      <c r="AZ26" s="293">
        <f>VLOOKUP(C26,ITEMS_BolsaOperador!$D$2:$AY$247,47,0)</f>
        <v>464.72895326200671</v>
      </c>
      <c r="BA26" s="229">
        <f>VLOOKUP(C26,ITEMS_BolsaOperador!$D$2:$AY$247,48,0)</f>
        <v>7.8079461233536068E-2</v>
      </c>
      <c r="BC26" s="7" t="b">
        <f t="shared" si="27"/>
        <v>1</v>
      </c>
      <c r="BD26" s="7" t="b">
        <f t="shared" si="28"/>
        <v>1</v>
      </c>
      <c r="BE26" s="7" t="b">
        <f t="shared" si="29"/>
        <v>0</v>
      </c>
      <c r="BF26" s="7" t="b">
        <f t="shared" si="30"/>
        <v>0</v>
      </c>
      <c r="BG26" s="7" t="b">
        <f t="shared" si="31"/>
        <v>0</v>
      </c>
      <c r="BH26" s="7" t="b">
        <f t="shared" si="32"/>
        <v>0</v>
      </c>
      <c r="BI26" s="7" t="b">
        <f t="shared" si="33"/>
        <v>0</v>
      </c>
      <c r="BJ26" s="7" t="b">
        <f t="shared" si="34"/>
        <v>0</v>
      </c>
      <c r="BK26" s="7" t="b">
        <f t="shared" si="35"/>
        <v>0</v>
      </c>
      <c r="BL26" s="7" t="b">
        <f t="shared" si="36"/>
        <v>0</v>
      </c>
      <c r="BM26" s="7" t="b">
        <f t="shared" si="37"/>
        <v>0</v>
      </c>
      <c r="BP26" s="7">
        <v>16</v>
      </c>
    </row>
    <row r="27" spans="1:68" s="7" customFormat="1" ht="360" hidden="1" x14ac:dyDescent="0.35">
      <c r="A27" s="276">
        <v>17</v>
      </c>
      <c r="B27" s="294" t="s">
        <v>102</v>
      </c>
      <c r="C27" s="427" t="s">
        <v>103</v>
      </c>
      <c r="D27" s="137" t="s">
        <v>104</v>
      </c>
      <c r="E27" s="302" t="s">
        <v>41</v>
      </c>
      <c r="F27" s="277">
        <v>60</v>
      </c>
      <c r="G27" s="277" t="s">
        <v>42</v>
      </c>
      <c r="H27" s="278" t="s">
        <v>105</v>
      </c>
      <c r="I27" s="280">
        <v>5042.0200000000004</v>
      </c>
      <c r="J27" s="280">
        <f t="shared" ref="J27" si="54">I27*19%</f>
        <v>957.98380000000009</v>
      </c>
      <c r="K27" s="280">
        <f t="shared" si="12"/>
        <v>6000.0038000000004</v>
      </c>
      <c r="L27" s="281">
        <f t="shared" si="13"/>
        <v>302521.2</v>
      </c>
      <c r="M27" s="281">
        <f t="shared" si="14"/>
        <v>360000.228</v>
      </c>
      <c r="N27" s="282" t="s">
        <v>106</v>
      </c>
      <c r="O27" s="283">
        <v>3529.41</v>
      </c>
      <c r="P27" s="283">
        <f t="shared" si="50"/>
        <v>670.58789999999999</v>
      </c>
      <c r="Q27" s="283">
        <f t="shared" si="16"/>
        <v>4199.9979000000003</v>
      </c>
      <c r="R27" s="284">
        <f t="shared" si="17"/>
        <v>211764.59999999998</v>
      </c>
      <c r="S27" s="284">
        <f t="shared" si="18"/>
        <v>251999.87400000001</v>
      </c>
      <c r="T27" s="285" t="s">
        <v>107</v>
      </c>
      <c r="U27" s="295">
        <v>4201.68</v>
      </c>
      <c r="V27" s="286">
        <f t="shared" ref="V27:V91" si="55">U27*19%</f>
        <v>798.31920000000002</v>
      </c>
      <c r="W27" s="286">
        <f t="shared" si="19"/>
        <v>4999.9992000000002</v>
      </c>
      <c r="X27" s="287">
        <f t="shared" si="20"/>
        <v>252100.80000000002</v>
      </c>
      <c r="Y27" s="287">
        <f t="shared" si="21"/>
        <v>299999.95199999999</v>
      </c>
      <c r="Z27" s="288">
        <f t="shared" si="45"/>
        <v>5066.6669666666667</v>
      </c>
      <c r="AA27" s="288">
        <f t="shared" si="46"/>
        <v>304000.01799999998</v>
      </c>
      <c r="AB27" s="288">
        <f t="shared" si="47"/>
        <v>54111.177329962127</v>
      </c>
      <c r="AC27" s="229">
        <f t="shared" si="48"/>
        <v>0.1779972833092468</v>
      </c>
      <c r="AD27" s="5"/>
      <c r="AE27" s="290" t="b">
        <f t="shared" si="26"/>
        <v>0</v>
      </c>
      <c r="AF27" s="7" t="s">
        <v>344</v>
      </c>
      <c r="AO27" s="292">
        <f>VLOOKUP(C27,ITEMS_BolsaOperador!$D$254:$AY$276,48,0)</f>
        <v>0.17799999999999999</v>
      </c>
      <c r="AP27" s="291" t="str">
        <f>VLOOKUP(C27,ITEMS_BolsaOperador!$D$254:$AY$276,1,0)</f>
        <v>Sobre de semillas para flores variadas</v>
      </c>
      <c r="AQ27" s="291" t="str">
        <f>VLOOKUP(C27,ITEMS_BolsaOperador!$D$254:$AY$276,2,0)</f>
        <v>"Sobre de semillas flores.
Las plántulas, las semillas y las materas serán entregadas a les beneficaries al inicio de las sesiones con el fin de iniciar y realizar el seguimiento a la huerta emocional "</v>
      </c>
      <c r="AR27" s="291" t="str">
        <f>VLOOKUP(C27,ITEMS_BolsaOperador!$D$254:$AY$276,10,0)</f>
        <v>SEMILLAS VARIADAS
EL SEMILLERO</v>
      </c>
      <c r="AS27" s="291">
        <f>VLOOKUP(C27,ITEMS_BolsaOperador!$D$254:$AY$276,16,0)</f>
        <v>6000</v>
      </c>
      <c r="AT27" s="291" t="str">
        <f>VLOOKUP(C27,ITEMS_BolsaOperador!$D$254:$AY$276,23,0)</f>
        <v>SEMILLAS VARIADAS
IMPULSEMILLAS</v>
      </c>
      <c r="AU27" s="291">
        <f>VLOOKUP(C27,ITEMS_BolsaOperador!$D$254:$AY$276,29,0)</f>
        <v>4200</v>
      </c>
      <c r="AV27" s="291" t="str">
        <f>VLOOKUP(C27,ITEMS_BolsaOperador!$D$254:$AY$276,36,0)</f>
        <v>SEMILLAS VARIADAS
SEMBRAMOS</v>
      </c>
      <c r="AW27" s="291">
        <f>VLOOKUP(C27,ITEMS_BolsaOperador!$D$254:$AY$276,42,0)</f>
        <v>5000</v>
      </c>
      <c r="AX27" s="293">
        <f>VLOOKUP(C27,ITEMS_BolsaOperador!$D$254:$AY$276,45,0)</f>
        <v>5066.67</v>
      </c>
      <c r="AY27" s="293">
        <f>VLOOKUP(C27,ITEMS_BolsaOperador!$D$254:$AY$276,46,0)</f>
        <v>5066.67</v>
      </c>
      <c r="AZ27" s="293">
        <f>VLOOKUP(C27,ITEMS_BolsaOperador!$D$254:$AY$276,47,0)</f>
        <v>901.85</v>
      </c>
      <c r="BA27" s="229">
        <f>VLOOKUP(C27,ITEMS_BolsaOperador!$D$254:$AY$276,48,0)</f>
        <v>0.17799999999999999</v>
      </c>
      <c r="BC27" s="7" t="b">
        <f t="shared" si="27"/>
        <v>1</v>
      </c>
      <c r="BD27" s="7" t="b">
        <f t="shared" si="28"/>
        <v>0</v>
      </c>
      <c r="BE27" s="7" t="b">
        <f t="shared" si="29"/>
        <v>0</v>
      </c>
      <c r="BF27" s="7" t="b">
        <f t="shared" si="30"/>
        <v>0</v>
      </c>
      <c r="BG27" s="7" t="b">
        <f t="shared" si="31"/>
        <v>0</v>
      </c>
      <c r="BH27" s="7" t="b">
        <f t="shared" si="32"/>
        <v>0</v>
      </c>
      <c r="BI27" s="7" t="b">
        <f t="shared" si="33"/>
        <v>0</v>
      </c>
      <c r="BJ27" s="7" t="b">
        <f t="shared" si="34"/>
        <v>0</v>
      </c>
      <c r="BK27" s="7" t="b">
        <f t="shared" si="35"/>
        <v>0</v>
      </c>
      <c r="BL27" s="7" t="b">
        <f t="shared" si="36"/>
        <v>0</v>
      </c>
      <c r="BM27" s="7" t="b">
        <f t="shared" si="37"/>
        <v>0</v>
      </c>
      <c r="BP27" s="7">
        <v>17</v>
      </c>
    </row>
    <row r="28" spans="1:68" s="7" customFormat="1" ht="399" hidden="1" x14ac:dyDescent="0.35">
      <c r="A28" s="276">
        <v>18</v>
      </c>
      <c r="B28" s="294" t="s">
        <v>102</v>
      </c>
      <c r="C28" s="427" t="s">
        <v>108</v>
      </c>
      <c r="D28" s="137" t="s">
        <v>109</v>
      </c>
      <c r="E28" s="302" t="s">
        <v>41</v>
      </c>
      <c r="F28" s="277">
        <v>60</v>
      </c>
      <c r="G28" s="277" t="s">
        <v>42</v>
      </c>
      <c r="H28" s="278" t="s">
        <v>53</v>
      </c>
      <c r="I28" s="280">
        <v>11500</v>
      </c>
      <c r="J28" s="280">
        <f t="shared" si="49"/>
        <v>2185</v>
      </c>
      <c r="K28" s="280">
        <f t="shared" si="12"/>
        <v>13685</v>
      </c>
      <c r="L28" s="281">
        <f t="shared" si="13"/>
        <v>690000</v>
      </c>
      <c r="M28" s="281">
        <f t="shared" si="14"/>
        <v>821100</v>
      </c>
      <c r="N28" s="282" t="s">
        <v>55</v>
      </c>
      <c r="O28" s="283">
        <v>9200</v>
      </c>
      <c r="P28" s="283">
        <f t="shared" si="50"/>
        <v>1748</v>
      </c>
      <c r="Q28" s="283">
        <f t="shared" si="16"/>
        <v>10948</v>
      </c>
      <c r="R28" s="284">
        <f t="shared" si="17"/>
        <v>552000</v>
      </c>
      <c r="S28" s="284">
        <f t="shared" si="18"/>
        <v>656880</v>
      </c>
      <c r="T28" s="285" t="s">
        <v>110</v>
      </c>
      <c r="U28" s="286">
        <v>12300</v>
      </c>
      <c r="V28" s="286">
        <f t="shared" si="55"/>
        <v>2337</v>
      </c>
      <c r="W28" s="286">
        <f t="shared" si="19"/>
        <v>14637</v>
      </c>
      <c r="X28" s="287">
        <f t="shared" si="20"/>
        <v>738000</v>
      </c>
      <c r="Y28" s="287">
        <f t="shared" si="21"/>
        <v>878220</v>
      </c>
      <c r="Z28" s="288">
        <f t="shared" si="45"/>
        <v>13090</v>
      </c>
      <c r="AA28" s="288">
        <f t="shared" si="46"/>
        <v>785400</v>
      </c>
      <c r="AB28" s="288">
        <f t="shared" si="47"/>
        <v>114907.42534753792</v>
      </c>
      <c r="AC28" s="229">
        <f t="shared" si="48"/>
        <v>0.14630433581300983</v>
      </c>
      <c r="AD28" s="5"/>
      <c r="AE28" s="290" t="b">
        <f t="shared" si="26"/>
        <v>0</v>
      </c>
      <c r="AF28" s="7" t="s">
        <v>344</v>
      </c>
      <c r="AO28" s="292">
        <f>VLOOKUP(C28,ITEMS_BolsaOperador!$D$254:$AY$276,48,0)</f>
        <v>0.14630000000000001</v>
      </c>
      <c r="AP28" s="291" t="str">
        <f>VLOOKUP(C28,ITEMS_BolsaOperador!$D$254:$AY$276,1,0)</f>
        <v>Plantillas cartografía corporal</v>
      </c>
      <c r="AQ28" s="291" t="str">
        <f>VLOOKUP(C28,ITEMS_BolsaOperador!$D$254:$AY$276,2,0)</f>
        <v>Tipo de material, Formato impreso pedagógico
Tamaño, Carta (21,59 x 27,94 cm) o tabloide según disponibilidad
Papel, Bond o propalcote mate
Gramaje, Entre 75 g/m² y 120 g/m²
Impresión, Blanco y negro o escala de grises (optimización de costos)
Diseño gráfico, Silueta corporal neutra (sin diferenciación de género)
Orientación, Vertical
Contenido visual, Figura humana frontal y posterior para registro emocional
Espacios de registro, Áreas destinadas a escritura, símbolos o coloración
Compatibilidad, Apta para lápiz, esfero, colores o marcadores
Presentación, Entrega individual por participante
Seguridad, Diseño inclusivo y respetuoso del enfoque diferencial aprobado en el comité técnico de apoyo a la supervisión.</v>
      </c>
      <c r="AR28" s="291" t="str">
        <f>VLOOKUP(C28,ITEMS_BolsaOperador!$D$254:$AY$276,10,0)</f>
        <v xml:space="preserve"> COMTEC </v>
      </c>
      <c r="AS28" s="291">
        <f>VLOOKUP(C28,ITEMS_BolsaOperador!$D$254:$AY$276,16,0)</f>
        <v>13685</v>
      </c>
      <c r="AT28" s="291" t="str">
        <f>VLOOKUP(C28,ITEMS_BolsaOperador!$D$254:$AY$276,23,0)</f>
        <v xml:space="preserve"> GUERRA EDITORES </v>
      </c>
      <c r="AU28" s="291">
        <f>VLOOKUP(C28,ITEMS_BolsaOperador!$D$254:$AY$276,29,0)</f>
        <v>10948</v>
      </c>
      <c r="AV28" s="291" t="str">
        <f>VLOOKUP(C28,ITEMS_BolsaOperador!$D$254:$AY$276,36,0)</f>
        <v xml:space="preserve"> HYN PUBLICIDAD </v>
      </c>
      <c r="AW28" s="291">
        <f>VLOOKUP(C28,ITEMS_BolsaOperador!$D$254:$AY$276,42,0)</f>
        <v>14637</v>
      </c>
      <c r="AX28" s="293">
        <f>VLOOKUP(C28,ITEMS_BolsaOperador!$D$254:$AY$276,45,0)</f>
        <v>13090</v>
      </c>
      <c r="AY28" s="293">
        <f>VLOOKUP(C28,ITEMS_BolsaOperador!$D$254:$AY$276,46,0)</f>
        <v>13090</v>
      </c>
      <c r="AZ28" s="293">
        <f>VLOOKUP(C28,ITEMS_BolsaOperador!$D$254:$AY$276,47,0)</f>
        <v>1915.12</v>
      </c>
      <c r="BA28" s="229">
        <f>VLOOKUP(C28,ITEMS_BolsaOperador!$D$254:$AY$276,48,0)</f>
        <v>0.14630000000000001</v>
      </c>
      <c r="BC28" s="7" t="b">
        <f t="shared" si="27"/>
        <v>1</v>
      </c>
      <c r="BD28" s="7" t="b">
        <f t="shared" si="28"/>
        <v>0</v>
      </c>
      <c r="BE28" s="7" t="b">
        <f t="shared" si="29"/>
        <v>1</v>
      </c>
      <c r="BF28" s="7" t="b">
        <f t="shared" si="30"/>
        <v>0</v>
      </c>
      <c r="BG28" s="7" t="b">
        <f t="shared" si="31"/>
        <v>1</v>
      </c>
      <c r="BH28" s="7" t="b">
        <f t="shared" si="32"/>
        <v>0</v>
      </c>
      <c r="BI28" s="7" t="b">
        <f t="shared" si="33"/>
        <v>1</v>
      </c>
      <c r="BJ28" s="7" t="b">
        <f t="shared" si="34"/>
        <v>1</v>
      </c>
      <c r="BK28" s="7" t="b">
        <f t="shared" si="35"/>
        <v>0</v>
      </c>
      <c r="BL28" s="7" t="b">
        <f t="shared" si="36"/>
        <v>0</v>
      </c>
      <c r="BM28" s="7" t="b">
        <f t="shared" si="37"/>
        <v>0</v>
      </c>
      <c r="BP28" s="7">
        <v>18</v>
      </c>
    </row>
    <row r="29" spans="1:68" s="7" customFormat="1" ht="409.5" hidden="1" x14ac:dyDescent="0.35">
      <c r="A29" s="276">
        <v>19</v>
      </c>
      <c r="B29" s="294" t="s">
        <v>102</v>
      </c>
      <c r="C29" s="427" t="s">
        <v>111</v>
      </c>
      <c r="D29" s="137" t="s">
        <v>112</v>
      </c>
      <c r="E29" s="302" t="s">
        <v>41</v>
      </c>
      <c r="F29" s="277">
        <v>60</v>
      </c>
      <c r="G29" s="277" t="s">
        <v>42</v>
      </c>
      <c r="H29" s="278" t="s">
        <v>48</v>
      </c>
      <c r="I29" s="280">
        <v>5750</v>
      </c>
      <c r="J29" s="280">
        <f t="shared" si="49"/>
        <v>1092.5</v>
      </c>
      <c r="K29" s="280">
        <f t="shared" si="12"/>
        <v>6842.5</v>
      </c>
      <c r="L29" s="281">
        <f t="shared" si="13"/>
        <v>345000</v>
      </c>
      <c r="M29" s="281">
        <f t="shared" si="14"/>
        <v>410550</v>
      </c>
      <c r="N29" s="282" t="s">
        <v>110</v>
      </c>
      <c r="O29" s="283">
        <v>7500</v>
      </c>
      <c r="P29" s="283">
        <f t="shared" si="50"/>
        <v>1425</v>
      </c>
      <c r="Q29" s="283">
        <f t="shared" si="16"/>
        <v>8925</v>
      </c>
      <c r="R29" s="284">
        <f t="shared" si="17"/>
        <v>450000</v>
      </c>
      <c r="S29" s="284">
        <f t="shared" si="18"/>
        <v>535500</v>
      </c>
      <c r="T29" s="285" t="s">
        <v>53</v>
      </c>
      <c r="U29" s="286">
        <v>7000</v>
      </c>
      <c r="V29" s="286">
        <f t="shared" si="55"/>
        <v>1330</v>
      </c>
      <c r="W29" s="286">
        <f t="shared" si="19"/>
        <v>8330</v>
      </c>
      <c r="X29" s="287">
        <f t="shared" si="20"/>
        <v>420000</v>
      </c>
      <c r="Y29" s="287">
        <f t="shared" si="21"/>
        <v>499800</v>
      </c>
      <c r="Z29" s="288">
        <f t="shared" si="45"/>
        <v>8032.5</v>
      </c>
      <c r="AA29" s="288">
        <f t="shared" si="46"/>
        <v>481950</v>
      </c>
      <c r="AB29" s="288">
        <f t="shared" si="47"/>
        <v>64359.09026703221</v>
      </c>
      <c r="AC29" s="229">
        <f t="shared" si="48"/>
        <v>0.1335389361282959</v>
      </c>
      <c r="AD29" s="5"/>
      <c r="AE29" s="290" t="b">
        <f t="shared" si="26"/>
        <v>0</v>
      </c>
      <c r="AF29" s="7" t="s">
        <v>332</v>
      </c>
      <c r="AO29" s="292">
        <f>VLOOKUP(C29,ITEMS_BolsaOperador!$D$254:$AY$276,48,0)</f>
        <v>0.13350000000000001</v>
      </c>
      <c r="AP29" s="291" t="str">
        <f>VLOOKUP(C29,ITEMS_BolsaOperador!$D$254:$AY$276,1,0)</f>
        <v>Folletos rutas institucionales</v>
      </c>
      <c r="AQ29" s="291" t="str">
        <f>VLOOKUP(C29,ITEMS_BolsaOperador!$D$254:$AY$276,2,0)</f>
        <v xml:space="preserve">Tipo de material, Folleto informativo plegable
Formato, Díptico o tríptico
Tamaño abierto, Carta (21,59 x 27,94 cm)
Tamaño plegado, Aproximadamente 10 x 21 cm
Papel, Bond, propalcote mate o papel ecológico
Gramaje, Entre 90 g/m² y 150 g/m²
Impresión, Tinta negra o full color según disponibilidad presupuestal
Acabado, Mate, fácil lectura y manipulación
Diseño gráfico, Diagramación clara con iconografía accesible
Lenguaje, Claro, inclusivo y no estigmatizante
Tipografía, Legible, tamaño mínimo 10 pt
Presentación, Entrega individual
El folleto deberá incluir como mínimo:
Información básica sobre salud mental y búsqueda de ayuda.
Rutas institucionales de atención psicosocial.
Líneas telefónicas de emergencia y orientación.
Servicios locales de atención en salud mental.
Entidades de apoyo a población LGBTI.
Recomendaciones básicas ante crisis emocional.
Mensaje preventivo de cuidado y acompañamiento.
Este será aprobado por el supervisor y/o apoyos a la supervisión. </v>
      </c>
      <c r="AR29" s="291" t="str">
        <f>VLOOKUP(C29,ITEMS_BolsaOperador!$D$254:$AY$276,10,0)</f>
        <v xml:space="preserve"> GUERRA EDITORES </v>
      </c>
      <c r="AS29" s="291">
        <f>VLOOKUP(C29,ITEMS_BolsaOperador!$D$254:$AY$276,16,0)</f>
        <v>6843</v>
      </c>
      <c r="AT29" s="291" t="str">
        <f>VLOOKUP(C29,ITEMS_BolsaOperador!$D$254:$AY$276,23,0)</f>
        <v xml:space="preserve"> HYN PUBLICIDAD </v>
      </c>
      <c r="AU29" s="291">
        <f>VLOOKUP(C29,ITEMS_BolsaOperador!$D$254:$AY$276,29,0)</f>
        <v>8925</v>
      </c>
      <c r="AV29" s="291" t="str">
        <f>VLOOKUP(C29,ITEMS_BolsaOperador!$D$254:$AY$276,36,0)</f>
        <v xml:space="preserve"> COMTEC </v>
      </c>
      <c r="AW29" s="291">
        <f>VLOOKUP(C29,ITEMS_BolsaOperador!$D$254:$AY$276,42,0)</f>
        <v>8330</v>
      </c>
      <c r="AX29" s="288">
        <f>VLOOKUP(C29,ITEMS_BolsaOperador!$D$254:$AY$276,45,0)</f>
        <v>8032.5</v>
      </c>
      <c r="AY29" s="288">
        <f>VLOOKUP(C29,ITEMS_BolsaOperador!$D$254:$AY$276,46,0)</f>
        <v>8032.5</v>
      </c>
      <c r="AZ29" s="288">
        <f>VLOOKUP(C29,ITEMS_BolsaOperador!$D$254:$AY$276,47,0)</f>
        <v>1072.6500000000001</v>
      </c>
      <c r="BA29" s="229">
        <f>VLOOKUP(C29,ITEMS_BolsaOperador!$D$254:$AY$276,48,0)</f>
        <v>0.13350000000000001</v>
      </c>
      <c r="BC29" s="7" t="b">
        <f t="shared" si="27"/>
        <v>1</v>
      </c>
      <c r="BD29" s="7" t="b">
        <f t="shared" si="28"/>
        <v>0</v>
      </c>
      <c r="BE29" s="7" t="b">
        <f t="shared" si="29"/>
        <v>0</v>
      </c>
      <c r="BF29" s="7" t="b">
        <f t="shared" si="30"/>
        <v>0</v>
      </c>
      <c r="BG29" s="7" t="b">
        <f t="shared" si="31"/>
        <v>1</v>
      </c>
      <c r="BH29" s="7" t="b">
        <f t="shared" si="32"/>
        <v>0</v>
      </c>
      <c r="BI29" s="7" t="b">
        <f t="shared" si="33"/>
        <v>1</v>
      </c>
      <c r="BJ29" s="7" t="b">
        <f t="shared" si="34"/>
        <v>1</v>
      </c>
      <c r="BK29" s="7" t="b">
        <f t="shared" si="35"/>
        <v>0</v>
      </c>
      <c r="BL29" s="7" t="b">
        <f t="shared" si="36"/>
        <v>0</v>
      </c>
      <c r="BM29" s="7" t="b">
        <f t="shared" si="37"/>
        <v>0</v>
      </c>
      <c r="BP29" s="7">
        <v>19</v>
      </c>
    </row>
    <row r="30" spans="1:68" s="7" customFormat="1" ht="315" hidden="1" x14ac:dyDescent="0.35">
      <c r="A30" s="276">
        <v>20</v>
      </c>
      <c r="B30" s="294" t="s">
        <v>102</v>
      </c>
      <c r="C30" s="427" t="s">
        <v>113</v>
      </c>
      <c r="D30" s="137" t="s">
        <v>114</v>
      </c>
      <c r="E30" s="302" t="s">
        <v>41</v>
      </c>
      <c r="F30" s="277">
        <v>60</v>
      </c>
      <c r="G30" s="277" t="s">
        <v>42</v>
      </c>
      <c r="H30" s="278" t="s">
        <v>115</v>
      </c>
      <c r="I30" s="280">
        <v>11260.504201680673</v>
      </c>
      <c r="J30" s="280">
        <f t="shared" si="49"/>
        <v>2139.4957983193281</v>
      </c>
      <c r="K30" s="280">
        <f t="shared" si="12"/>
        <v>13400</v>
      </c>
      <c r="L30" s="281">
        <f t="shared" si="13"/>
        <v>675630.25210084033</v>
      </c>
      <c r="M30" s="281">
        <f t="shared" si="14"/>
        <v>804000</v>
      </c>
      <c r="N30" s="282" t="s">
        <v>107</v>
      </c>
      <c r="O30" s="283">
        <f>12000/1.19</f>
        <v>10084.033613445379</v>
      </c>
      <c r="P30" s="283">
        <f t="shared" si="50"/>
        <v>1915.966386554622</v>
      </c>
      <c r="Q30" s="283">
        <f t="shared" si="16"/>
        <v>12000.000000000002</v>
      </c>
      <c r="R30" s="284">
        <f t="shared" si="17"/>
        <v>605042.01680672274</v>
      </c>
      <c r="S30" s="284">
        <f t="shared" si="18"/>
        <v>720000.00000000012</v>
      </c>
      <c r="T30" s="285" t="s">
        <v>116</v>
      </c>
      <c r="U30" s="286">
        <f>9900/1.19</f>
        <v>8319.3277310924368</v>
      </c>
      <c r="V30" s="286">
        <f t="shared" si="55"/>
        <v>1580.672268907563</v>
      </c>
      <c r="W30" s="286">
        <f t="shared" si="19"/>
        <v>9900</v>
      </c>
      <c r="X30" s="287">
        <f t="shared" si="20"/>
        <v>499159.66386554623</v>
      </c>
      <c r="Y30" s="287">
        <f t="shared" si="21"/>
        <v>594000</v>
      </c>
      <c r="Z30" s="288">
        <f t="shared" si="45"/>
        <v>11766.666666666666</v>
      </c>
      <c r="AA30" s="288">
        <f t="shared" si="46"/>
        <v>706000</v>
      </c>
      <c r="AB30" s="288">
        <f t="shared" si="47"/>
        <v>105697.68209379107</v>
      </c>
      <c r="AC30" s="229">
        <f t="shared" si="48"/>
        <v>0.1497134307277494</v>
      </c>
      <c r="AD30" s="5"/>
      <c r="AE30" s="290" t="b">
        <f t="shared" si="26"/>
        <v>0</v>
      </c>
      <c r="AF30" s="7" t="s">
        <v>349</v>
      </c>
      <c r="AO30" s="292">
        <f>VLOOKUP(C30,ITEMS_BolsaOperador!$D$254:$AY$276,48,0)</f>
        <v>0.1497</v>
      </c>
      <c r="AP30" s="291" t="str">
        <f>VLOOKUP(C30,ITEMS_BolsaOperador!$D$254:$AY$276,1,0)</f>
        <v>Plántulas vivas</v>
      </c>
      <c r="AQ30" s="291" t="str">
        <f>VLOOKUP(C30,ITEMS_BolsaOperador!$D$254:$AY$276,2,0)</f>
        <v>"Plántulas vivas, y/o plantas vivas, Variedad de especies: Plantas aromáticas, medicinales, ornamentales y hortalizas (ej.: hierbabuena, albahaca blanca, limonaria, ruda, menta, cidrón, albahaca morada, lechuga, espinaca, caléndula, manzanilla dulce, siempre viva, u otras especies adaptadas al clima local).
Condición fitosanitaria: Libre de plagas y enfermedades visibles, aptas para trasplante.
Estado de desarrollo: Altura aproximada entre 8 y 20 cm, con sistema radicular formado y adecuado para trasplante.
Presentación: Plántulas en bolsas biodegradables o contenedores reutilizables.
Origen: Viveros certificados o proveedores locales que garanticen calidad vegetal y adaptación climática en la localidad. "</v>
      </c>
      <c r="AR30" s="291" t="str">
        <f>VLOOKUP(C30,ITEMS_BolsaOperador!$D$254:$AY$276,10,0)</f>
        <v xml:space="preserve"> JARDINEROS </v>
      </c>
      <c r="AS30" s="291">
        <f>VLOOKUP(C30,ITEMS_BolsaOperador!$D$254:$AY$276,16,0)</f>
        <v>13400</v>
      </c>
      <c r="AT30" s="291" t="str">
        <f>VLOOKUP(C30,ITEMS_BolsaOperador!$D$254:$AY$276,23,0)</f>
        <v xml:space="preserve"> SEMBRAMOS </v>
      </c>
      <c r="AU30" s="291">
        <f>VLOOKUP(C30,ITEMS_BolsaOperador!$D$254:$AY$276,29,0)</f>
        <v>12000</v>
      </c>
      <c r="AV30" s="291" t="str">
        <f>VLOOKUP(C30,ITEMS_BolsaOperador!$D$254:$AY$276,36,0)</f>
        <v xml:space="preserve"> VIVEROS DE COLOMBIA </v>
      </c>
      <c r="AW30" s="291">
        <f>VLOOKUP(C30,ITEMS_BolsaOperador!$D$254:$AY$276,42,0)</f>
        <v>9900</v>
      </c>
      <c r="AX30" s="293">
        <f>VLOOKUP(C30,ITEMS_BolsaOperador!$D$254:$AY$276,45,0)</f>
        <v>11766.67</v>
      </c>
      <c r="AY30" s="293">
        <f>VLOOKUP(C30,ITEMS_BolsaOperador!$D$254:$AY$276,46,0)</f>
        <v>11766.67</v>
      </c>
      <c r="AZ30" s="293">
        <f>VLOOKUP(C30,ITEMS_BolsaOperador!$D$254:$AY$276,47,0)</f>
        <v>1761.63</v>
      </c>
      <c r="BA30" s="229">
        <f>VLOOKUP(C30,ITEMS_BolsaOperador!$D$254:$AY$276,48,0)</f>
        <v>0.1497</v>
      </c>
      <c r="BC30" s="7" t="b">
        <f t="shared" si="27"/>
        <v>1</v>
      </c>
      <c r="BD30" s="7" t="b">
        <f t="shared" si="28"/>
        <v>0</v>
      </c>
      <c r="BE30" s="7" t="b">
        <f t="shared" si="29"/>
        <v>1</v>
      </c>
      <c r="BF30" s="7" t="b">
        <f t="shared" si="30"/>
        <v>0</v>
      </c>
      <c r="BG30" s="7" t="b">
        <f t="shared" si="31"/>
        <v>1</v>
      </c>
      <c r="BH30" s="7" t="b">
        <f t="shared" si="32"/>
        <v>0</v>
      </c>
      <c r="BI30" s="7" t="b">
        <f t="shared" si="33"/>
        <v>1</v>
      </c>
      <c r="BJ30" s="7" t="b">
        <f t="shared" si="34"/>
        <v>0</v>
      </c>
      <c r="BK30" s="7" t="b">
        <f t="shared" si="35"/>
        <v>0</v>
      </c>
      <c r="BL30" s="7" t="b">
        <f t="shared" si="36"/>
        <v>0</v>
      </c>
      <c r="BM30" s="7" t="b">
        <f t="shared" si="37"/>
        <v>0</v>
      </c>
      <c r="BP30" s="7">
        <v>20</v>
      </c>
    </row>
    <row r="31" spans="1:68" s="7" customFormat="1" ht="21" hidden="1" x14ac:dyDescent="0.25">
      <c r="A31" s="276">
        <v>21</v>
      </c>
      <c r="B31" s="294" t="s">
        <v>102</v>
      </c>
      <c r="C31" s="427" t="s">
        <v>117</v>
      </c>
      <c r="D31" s="277" t="s">
        <v>118</v>
      </c>
      <c r="E31" s="302" t="s">
        <v>41</v>
      </c>
      <c r="F31" s="277">
        <v>60</v>
      </c>
      <c r="G31" s="277" t="s">
        <v>42</v>
      </c>
      <c r="H31" s="278" t="s">
        <v>119</v>
      </c>
      <c r="I31" s="280">
        <v>23890.76</v>
      </c>
      <c r="J31" s="280">
        <f t="shared" si="49"/>
        <v>4539.2443999999996</v>
      </c>
      <c r="K31" s="280">
        <f t="shared" si="12"/>
        <v>28430.004399999998</v>
      </c>
      <c r="L31" s="281">
        <f t="shared" si="13"/>
        <v>1433445.5999999999</v>
      </c>
      <c r="M31" s="281">
        <f t="shared" si="14"/>
        <v>1705800.264</v>
      </c>
      <c r="N31" s="282" t="s">
        <v>120</v>
      </c>
      <c r="O31" s="283">
        <v>23109.24</v>
      </c>
      <c r="P31" s="283">
        <f t="shared" si="50"/>
        <v>4390.7556000000004</v>
      </c>
      <c r="Q31" s="283">
        <f t="shared" si="16"/>
        <v>27499.995600000002</v>
      </c>
      <c r="R31" s="284">
        <f t="shared" si="17"/>
        <v>1386554.4000000001</v>
      </c>
      <c r="S31" s="284">
        <f t="shared" si="18"/>
        <v>1649999.736</v>
      </c>
      <c r="T31" s="285" t="s">
        <v>121</v>
      </c>
      <c r="U31" s="286">
        <v>25210.080000000002</v>
      </c>
      <c r="V31" s="286">
        <f t="shared" si="55"/>
        <v>4789.9152000000004</v>
      </c>
      <c r="W31" s="286">
        <f t="shared" si="19"/>
        <v>29999.995200000001</v>
      </c>
      <c r="X31" s="287">
        <f t="shared" si="20"/>
        <v>1512604.8</v>
      </c>
      <c r="Y31" s="287">
        <f t="shared" si="21"/>
        <v>1799999.7120000001</v>
      </c>
      <c r="Z31" s="288">
        <f t="shared" ref="Z31:Z54" si="56">IF(A31="","",AVERAGE(K31,Q31,W31))</f>
        <v>28643.331733333336</v>
      </c>
      <c r="AA31" s="288">
        <f t="shared" ref="AA31:AA54" si="57">IF(B31="","",Z31*F31)</f>
        <v>1718599.9040000001</v>
      </c>
      <c r="AB31" s="288">
        <f t="shared" ref="AB31:AB54" si="58">IF(B31="","",STDEV(M31,S31,Y31))</f>
        <v>75814.716830555713</v>
      </c>
      <c r="AC31" s="229">
        <f t="shared" ref="AC31:AC54" si="59">IF(B31="","",(AB31/AA31))</f>
        <v>4.4114233134831891E-2</v>
      </c>
      <c r="AD31" s="5"/>
      <c r="AE31" s="291" t="e">
        <f t="shared" si="26"/>
        <v>#N/A</v>
      </c>
      <c r="AF31" s="7" t="s">
        <v>350</v>
      </c>
      <c r="AO31" s="292" t="e">
        <f>VLOOKUP(C31,ITEMS_BolsaOperador!$D$2:$AY$287,48,0)</f>
        <v>#N/A</v>
      </c>
      <c r="AP31" s="291" t="e">
        <f>VLOOKUP(C31,ITEMS_BolsaOperador!$D$2:$AY$247,1,0)</f>
        <v>#N/A</v>
      </c>
      <c r="AQ31" s="291" t="e">
        <f>VLOOKUP(C31,ITEMS_BolsaOperador!$D$2:$AY$247,2,0)</f>
        <v>#N/A</v>
      </c>
      <c r="AR31" s="291" t="e">
        <f>VLOOKUP(C31,ITEMS_BolsaOperador!$D$2:$AY$247,10,0)</f>
        <v>#N/A</v>
      </c>
      <c r="AS31" s="291" t="e">
        <f>VLOOKUP(C31,ITEMS_BolsaOperador!$D$2:$AY$247,16,0)</f>
        <v>#N/A</v>
      </c>
      <c r="AT31" s="291" t="e">
        <f>VLOOKUP(C31,ITEMS_BolsaOperador!$D$2:$AY$247,23,0)</f>
        <v>#N/A</v>
      </c>
      <c r="AU31" s="291" t="e">
        <f>VLOOKUP(C31,ITEMS_BolsaOperador!$D$2:$AY$247,29,0)</f>
        <v>#N/A</v>
      </c>
      <c r="AV31" s="291" t="e">
        <f>VLOOKUP(C31,ITEMS_BolsaOperador!$D$2:$AY$247,36,0)</f>
        <v>#N/A</v>
      </c>
      <c r="AW31" s="291" t="e">
        <f>VLOOKUP(C31,ITEMS_BolsaOperador!$D$2:$AY$247,42,0)</f>
        <v>#N/A</v>
      </c>
      <c r="AX31" s="293" t="e">
        <f>VLOOKUP(C31,ITEMS_BolsaOperador!$D$2:$AY$247,45,0)</f>
        <v>#N/A</v>
      </c>
      <c r="AY31" s="293" t="e">
        <f>VLOOKUP(C31,ITEMS_BolsaOperador!$D$2:$AY$247,46,0)</f>
        <v>#N/A</v>
      </c>
      <c r="AZ31" s="293" t="e">
        <f>VLOOKUP(C31,ITEMS_BolsaOperador!$D$2:$AY$247,47,0)</f>
        <v>#N/A</v>
      </c>
      <c r="BA31" s="229" t="e">
        <f>VLOOKUP(C31,ITEMS_BolsaOperador!$D$2:$AY$247,48,0)</f>
        <v>#N/A</v>
      </c>
      <c r="BC31" s="7" t="e">
        <f t="shared" si="27"/>
        <v>#N/A</v>
      </c>
      <c r="BD31" s="7" t="e">
        <f t="shared" si="28"/>
        <v>#N/A</v>
      </c>
      <c r="BE31" s="7" t="e">
        <f t="shared" si="29"/>
        <v>#N/A</v>
      </c>
      <c r="BF31" s="7" t="e">
        <f t="shared" si="30"/>
        <v>#N/A</v>
      </c>
      <c r="BG31" s="7" t="e">
        <f t="shared" si="31"/>
        <v>#N/A</v>
      </c>
      <c r="BH31" s="7" t="e">
        <f t="shared" si="32"/>
        <v>#N/A</v>
      </c>
      <c r="BI31" s="7" t="e">
        <f t="shared" si="33"/>
        <v>#N/A</v>
      </c>
      <c r="BJ31" s="7" t="e">
        <f t="shared" si="34"/>
        <v>#N/A</v>
      </c>
      <c r="BK31" s="7" t="e">
        <f t="shared" si="35"/>
        <v>#N/A</v>
      </c>
      <c r="BL31" s="7" t="e">
        <f t="shared" si="36"/>
        <v>#N/A</v>
      </c>
      <c r="BM31" s="7" t="e">
        <f t="shared" si="37"/>
        <v>#N/A</v>
      </c>
      <c r="BP31" s="7">
        <v>21</v>
      </c>
    </row>
    <row r="32" spans="1:68" s="7" customFormat="1" ht="225" hidden="1" x14ac:dyDescent="0.35">
      <c r="A32" s="276">
        <v>22</v>
      </c>
      <c r="B32" s="294" t="s">
        <v>102</v>
      </c>
      <c r="C32" s="277" t="s">
        <v>122</v>
      </c>
      <c r="D32" s="137" t="s">
        <v>123</v>
      </c>
      <c r="E32" s="302" t="s">
        <v>41</v>
      </c>
      <c r="F32" s="277">
        <v>60</v>
      </c>
      <c r="G32" s="277" t="s">
        <v>42</v>
      </c>
      <c r="H32" s="278" t="s">
        <v>124</v>
      </c>
      <c r="I32" s="280">
        <v>13043</v>
      </c>
      <c r="J32" s="280">
        <f>I32*19%</f>
        <v>2478.17</v>
      </c>
      <c r="K32" s="280">
        <f t="shared" si="12"/>
        <v>15521.17</v>
      </c>
      <c r="L32" s="281">
        <f t="shared" si="13"/>
        <v>782580</v>
      </c>
      <c r="M32" s="281">
        <f t="shared" si="14"/>
        <v>931270.2</v>
      </c>
      <c r="N32" s="282" t="s">
        <v>125</v>
      </c>
      <c r="O32" s="283">
        <v>14033.61</v>
      </c>
      <c r="P32" s="283">
        <f>O32*19%</f>
        <v>2666.3859000000002</v>
      </c>
      <c r="Q32" s="283">
        <f t="shared" si="16"/>
        <v>16699.995900000002</v>
      </c>
      <c r="R32" s="284">
        <f t="shared" si="17"/>
        <v>842016.60000000009</v>
      </c>
      <c r="S32" s="284">
        <f t="shared" si="18"/>
        <v>1001999.7540000001</v>
      </c>
      <c r="T32" s="285" t="s">
        <v>43</v>
      </c>
      <c r="U32" s="286">
        <v>12092.44</v>
      </c>
      <c r="V32" s="286">
        <f t="shared" si="55"/>
        <v>2297.5636</v>
      </c>
      <c r="W32" s="286">
        <f t="shared" si="19"/>
        <v>14390.0036</v>
      </c>
      <c r="X32" s="287">
        <f t="shared" si="20"/>
        <v>725546.4</v>
      </c>
      <c r="Y32" s="287">
        <f t="shared" si="21"/>
        <v>863400.21600000001</v>
      </c>
      <c r="Z32" s="288">
        <f t="shared" si="56"/>
        <v>15537.056500000001</v>
      </c>
      <c r="AA32" s="288">
        <f t="shared" si="57"/>
        <v>932223.39</v>
      </c>
      <c r="AB32" s="288">
        <f t="shared" si="58"/>
        <v>69304.685352690547</v>
      </c>
      <c r="AC32" s="229">
        <f t="shared" si="59"/>
        <v>7.434343108757499E-2</v>
      </c>
      <c r="AD32" s="5"/>
      <c r="AE32" s="290" t="b">
        <f t="shared" si="26"/>
        <v>0</v>
      </c>
      <c r="AF32" s="291" t="s">
        <v>342</v>
      </c>
      <c r="AO32" s="292">
        <f>VLOOKUP(C32,ITEMS_BolsaOperador!$D$2:$AY$247,48,0)</f>
        <v>7.4343678177844652E-2</v>
      </c>
      <c r="AP32" s="291" t="str">
        <f>VLOOKUP(C32,ITEMS_BolsaOperador!$D$2:$AY$247,1,0)</f>
        <v>Cartulina por octavos paquete 50 láminas</v>
      </c>
      <c r="AQ32" s="291" t="str">
        <f>VLOOKUP(C32,ITEMS_BolsaOperador!$D$2:$AY$247,2,0)</f>
        <v>Paquete de 50 láminas de cartulina de 25 x 35 cm (1/8 de pliego), gramaje de 180g, colores surtidos o color único según requerimiento.</v>
      </c>
      <c r="AR32" s="291" t="str">
        <f>VLOOKUP(C32,ITEMS_BolsaOperador!$D$2:$AY$247,10,0)</f>
        <v>Tienda Estudiantil</v>
      </c>
      <c r="AS32" s="291">
        <f>VLOOKUP(C32,ITEMS_BolsaOperador!$D$2:$AY$247,16,0)</f>
        <v>15521.17</v>
      </c>
      <c r="AT32" s="291" t="str">
        <f>VLOOKUP(C32,ITEMS_BolsaOperador!$D$2:$AY$247,23,0)</f>
        <v>Panamericana</v>
      </c>
      <c r="AU32" s="291">
        <f>VLOOKUP(C32,ITEMS_BolsaOperador!$D$2:$AY$247,29,0)</f>
        <v>16700</v>
      </c>
      <c r="AV32" s="291" t="str">
        <f>VLOOKUP(C32,ITEMS_BolsaOperador!$D$2:$AY$247,36,0)</f>
        <v>Exito</v>
      </c>
      <c r="AW32" s="291">
        <f>VLOOKUP(C32,ITEMS_BolsaOperador!$D$2:$AY$247,42,0)</f>
        <v>14390</v>
      </c>
      <c r="AX32" s="293">
        <f>VLOOKUP(C32,ITEMS_BolsaOperador!$D$2:$AY$247,45,0)</f>
        <v>15537.056666666665</v>
      </c>
      <c r="AY32" s="293">
        <f>VLOOKUP(C32,ITEMS_BolsaOperador!$D$2:$AY$247,46,0)</f>
        <v>15537.056666666665</v>
      </c>
      <c r="AZ32" s="293">
        <f>VLOOKUP(C32,ITEMS_BolsaOperador!$D$2:$AY$247,47,0)</f>
        <v>1155.0819406576024</v>
      </c>
      <c r="BA32" s="229">
        <f>VLOOKUP(C32,ITEMS_BolsaOperador!$D$2:$AY$247,48,0)</f>
        <v>7.4343678177844652E-2</v>
      </c>
      <c r="BC32" s="7" t="b">
        <f t="shared" si="27"/>
        <v>1</v>
      </c>
      <c r="BD32" s="7" t="b">
        <f t="shared" si="28"/>
        <v>1</v>
      </c>
      <c r="BE32" s="7" t="b">
        <f t="shared" si="29"/>
        <v>1</v>
      </c>
      <c r="BF32" s="7" t="b">
        <f t="shared" si="30"/>
        <v>1</v>
      </c>
      <c r="BG32" s="7" t="b">
        <f t="shared" si="31"/>
        <v>0</v>
      </c>
      <c r="BH32" s="7" t="b">
        <f t="shared" si="32"/>
        <v>1</v>
      </c>
      <c r="BI32" s="7" t="b">
        <f t="shared" si="33"/>
        <v>0</v>
      </c>
      <c r="BJ32" s="7" t="b">
        <f t="shared" si="34"/>
        <v>0</v>
      </c>
      <c r="BK32" s="7" t="b">
        <f t="shared" si="35"/>
        <v>0</v>
      </c>
      <c r="BL32" s="7" t="b">
        <f t="shared" si="36"/>
        <v>0</v>
      </c>
      <c r="BM32" s="7" t="b">
        <f t="shared" si="37"/>
        <v>0</v>
      </c>
      <c r="BP32" s="7">
        <v>22</v>
      </c>
    </row>
    <row r="33" spans="1:68" s="7" customFormat="1" ht="360" hidden="1" x14ac:dyDescent="0.35">
      <c r="A33" s="276">
        <v>23</v>
      </c>
      <c r="B33" s="294" t="s">
        <v>102</v>
      </c>
      <c r="C33" s="277" t="s">
        <v>126</v>
      </c>
      <c r="D33" s="137" t="s">
        <v>127</v>
      </c>
      <c r="E33" s="302" t="s">
        <v>41</v>
      </c>
      <c r="F33" s="277">
        <v>60</v>
      </c>
      <c r="G33" s="277" t="s">
        <v>42</v>
      </c>
      <c r="H33" s="278" t="s">
        <v>128</v>
      </c>
      <c r="I33" s="280">
        <v>17500</v>
      </c>
      <c r="J33" s="280">
        <f t="shared" ref="J33:J34" si="60">I33*19%</f>
        <v>3325</v>
      </c>
      <c r="K33" s="280">
        <f t="shared" si="12"/>
        <v>20825</v>
      </c>
      <c r="L33" s="281">
        <f t="shared" si="13"/>
        <v>1050000</v>
      </c>
      <c r="M33" s="281">
        <f t="shared" si="14"/>
        <v>1249500</v>
      </c>
      <c r="N33" s="282" t="s">
        <v>74</v>
      </c>
      <c r="O33" s="283">
        <v>20000</v>
      </c>
      <c r="P33" s="283">
        <f t="shared" ref="P33:P34" si="61">O33*19%</f>
        <v>3800</v>
      </c>
      <c r="Q33" s="283">
        <f t="shared" si="16"/>
        <v>23800</v>
      </c>
      <c r="R33" s="284">
        <f t="shared" si="17"/>
        <v>1200000</v>
      </c>
      <c r="S33" s="284">
        <f t="shared" si="18"/>
        <v>1428000</v>
      </c>
      <c r="T33" s="285" t="s">
        <v>129</v>
      </c>
      <c r="U33" s="286">
        <v>18000</v>
      </c>
      <c r="V33" s="286"/>
      <c r="W33" s="286">
        <f t="shared" si="19"/>
        <v>18000</v>
      </c>
      <c r="X33" s="287">
        <f t="shared" si="20"/>
        <v>1080000</v>
      </c>
      <c r="Y33" s="287">
        <f t="shared" si="21"/>
        <v>1080000</v>
      </c>
      <c r="Z33" s="288">
        <f t="shared" si="56"/>
        <v>20875</v>
      </c>
      <c r="AA33" s="288">
        <f t="shared" si="57"/>
        <v>1252500</v>
      </c>
      <c r="AB33" s="288">
        <f t="shared" si="58"/>
        <v>174019.3954707348</v>
      </c>
      <c r="AC33" s="229">
        <f t="shared" si="59"/>
        <v>0.13893764109439904</v>
      </c>
      <c r="AD33" s="5"/>
      <c r="AE33" s="290" t="b">
        <f t="shared" si="26"/>
        <v>1</v>
      </c>
      <c r="AF33" s="291" t="s">
        <v>342</v>
      </c>
      <c r="AO33" s="292">
        <f>VLOOKUP(C33,ITEMS_BolsaOperador!$D$2:$AY$247,48,0)</f>
        <v>0.13893764109439907</v>
      </c>
      <c r="AP33" s="291" t="str">
        <f>VLOOKUP(C33,ITEMS_BolsaOperador!$D$2:$AY$247,1,0)</f>
        <v>Tula Deportiva</v>
      </c>
      <c r="AQ33" s="291" t="str">
        <f>VLOOKUP(C33,ITEMS_BolsaOperador!$D$2:$AY$247,2,0)</f>
        <v xml:space="preserve">Color: unisex, Poliester 210d, con cordón para ajustar y cargar, con bolsillo delantero y cremallera, con refuerzo en las esquinas_x000D_
Características:_x000D_
Alto: 45 cm _x000D_
Ancho: 35 cm_x000D_
Profundidad: 20 garantía: 12 Meses </v>
      </c>
      <c r="AR33" s="291" t="str">
        <f>VLOOKUP(C33,ITEMS_BolsaOperador!$D$2:$AY$247,10,0)</f>
        <v>DICOES GRUPÓ PUBLICITARIO SAS</v>
      </c>
      <c r="AS33" s="291">
        <f>VLOOKUP(C33,ITEMS_BolsaOperador!$D$2:$AY$247,16,0)</f>
        <v>20825</v>
      </c>
      <c r="AT33" s="291" t="str">
        <f>VLOOKUP(C33,ITEMS_BolsaOperador!$D$2:$AY$247,23,0)</f>
        <v>NEXUS ESTUDIO GRÁFICOS</v>
      </c>
      <c r="AU33" s="291">
        <f>VLOOKUP(C33,ITEMS_BolsaOperador!$D$2:$AY$247,29,0)</f>
        <v>23800</v>
      </c>
      <c r="AV33" s="291" t="str">
        <f>VLOOKUP(C33,ITEMS_BolsaOperador!$D$2:$AY$247,36,0)</f>
        <v>Angie Pachon (personalizado INK)</v>
      </c>
      <c r="AW33" s="291">
        <f>VLOOKUP(C33,ITEMS_BolsaOperador!$D$2:$AY$247,42,0)</f>
        <v>18000</v>
      </c>
      <c r="AX33" s="293">
        <f>VLOOKUP(C33,ITEMS_BolsaOperador!$D$2:$AY$247,45,0)</f>
        <v>20875</v>
      </c>
      <c r="AY33" s="293">
        <f>VLOOKUP(C33,ITEMS_BolsaOperador!$D$2:$AY$247,46,0)</f>
        <v>20875</v>
      </c>
      <c r="AZ33" s="293">
        <f>VLOOKUP(C33,ITEMS_BolsaOperador!$D$2:$AY$247,47,0)</f>
        <v>2900.3232578455804</v>
      </c>
      <c r="BA33" s="229">
        <f>VLOOKUP(C33,ITEMS_BolsaOperador!$D$2:$AY$247,48,0)</f>
        <v>0.13893764109439907</v>
      </c>
      <c r="BC33" s="7" t="b">
        <f t="shared" si="27"/>
        <v>0</v>
      </c>
      <c r="BD33" s="7" t="b">
        <f t="shared" si="28"/>
        <v>0</v>
      </c>
      <c r="BE33" s="7" t="b">
        <f t="shared" si="29"/>
        <v>1</v>
      </c>
      <c r="BF33" s="7" t="b">
        <f t="shared" si="30"/>
        <v>0</v>
      </c>
      <c r="BG33" s="7" t="b">
        <f t="shared" si="31"/>
        <v>1</v>
      </c>
      <c r="BH33" s="7" t="b">
        <f t="shared" si="32"/>
        <v>0</v>
      </c>
      <c r="BI33" s="7" t="b">
        <f t="shared" si="33"/>
        <v>1</v>
      </c>
      <c r="BJ33" s="7" t="b">
        <f t="shared" si="34"/>
        <v>1</v>
      </c>
      <c r="BK33" s="7" t="b">
        <f t="shared" si="35"/>
        <v>0</v>
      </c>
      <c r="BL33" s="7" t="b">
        <f t="shared" si="36"/>
        <v>0</v>
      </c>
      <c r="BM33" s="7" t="b">
        <f t="shared" si="37"/>
        <v>1</v>
      </c>
      <c r="BP33" s="7">
        <v>23</v>
      </c>
    </row>
    <row r="34" spans="1:68" s="7" customFormat="1" ht="195" hidden="1" x14ac:dyDescent="0.25">
      <c r="A34" s="276">
        <v>24</v>
      </c>
      <c r="B34" s="294" t="s">
        <v>102</v>
      </c>
      <c r="C34" s="277" t="s">
        <v>61</v>
      </c>
      <c r="D34" s="277" t="s">
        <v>62</v>
      </c>
      <c r="E34" s="294" t="s">
        <v>41</v>
      </c>
      <c r="F34" s="277">
        <v>3</v>
      </c>
      <c r="G34" s="277" t="s">
        <v>42</v>
      </c>
      <c r="H34" s="278" t="s">
        <v>63</v>
      </c>
      <c r="I34" s="280">
        <v>329.41</v>
      </c>
      <c r="J34" s="280">
        <f t="shared" si="60"/>
        <v>62.587900000000005</v>
      </c>
      <c r="K34" s="280">
        <f t="shared" si="12"/>
        <v>391.99790000000002</v>
      </c>
      <c r="L34" s="281">
        <f t="shared" si="13"/>
        <v>988.23</v>
      </c>
      <c r="M34" s="281">
        <f t="shared" si="14"/>
        <v>1175.9937</v>
      </c>
      <c r="N34" s="282" t="s">
        <v>64</v>
      </c>
      <c r="O34" s="283">
        <v>420.17</v>
      </c>
      <c r="P34" s="283">
        <f t="shared" si="61"/>
        <v>79.832300000000004</v>
      </c>
      <c r="Q34" s="283">
        <f t="shared" si="16"/>
        <v>500.00229999999999</v>
      </c>
      <c r="R34" s="284">
        <f t="shared" si="17"/>
        <v>1260.51</v>
      </c>
      <c r="S34" s="284">
        <f t="shared" si="18"/>
        <v>1500.0068999999999</v>
      </c>
      <c r="T34" s="285" t="s">
        <v>65</v>
      </c>
      <c r="U34" s="295">
        <v>495.8</v>
      </c>
      <c r="V34" s="286">
        <f t="shared" ref="V34" si="62">U34*19%</f>
        <v>94.201999999999998</v>
      </c>
      <c r="W34" s="286">
        <f t="shared" si="19"/>
        <v>590.00199999999995</v>
      </c>
      <c r="X34" s="287">
        <f t="shared" si="20"/>
        <v>1487.4</v>
      </c>
      <c r="Y34" s="287">
        <f t="shared" si="21"/>
        <v>1770.0059999999999</v>
      </c>
      <c r="Z34" s="288">
        <f t="shared" si="56"/>
        <v>494.0007333333333</v>
      </c>
      <c r="AA34" s="288">
        <f t="shared" si="57"/>
        <v>1482.0021999999999</v>
      </c>
      <c r="AB34" s="288">
        <f t="shared" si="58"/>
        <v>297.41516446608688</v>
      </c>
      <c r="AC34" s="229">
        <f t="shared" si="59"/>
        <v>0.20068469835340791</v>
      </c>
      <c r="AD34" s="5"/>
      <c r="AE34" s="290" t="b">
        <f t="shared" si="26"/>
        <v>0</v>
      </c>
      <c r="AF34" s="291" t="s">
        <v>342</v>
      </c>
      <c r="AO34" s="292">
        <f>VLOOKUP(C34,ITEMS_BolsaOperador!$D$2:$AY$247,48,0)</f>
        <v>0.20068070820070816</v>
      </c>
      <c r="AP34" s="291" t="str">
        <f>VLOOKUP(C34,ITEMS_BolsaOperador!$D$2:$AY$247,1,0)</f>
        <v xml:space="preserve">Papel kraft  rollo </v>
      </c>
      <c r="AQ34" s="291" t="str">
        <f>VLOOKUP(C34,ITEMS_BolsaOperador!$D$2:$AY$247,2,0)</f>
        <v>Rollo de papel kraft con un ancho de 24 pulgadas (aprox. 61 cm) y una longitud de 150 metros. Con un gramaje de 60 g/m²</v>
      </c>
      <c r="AR34" s="291" t="str">
        <f>VLOOKUP(C34,ITEMS_BolsaOperador!$D$2:$AY$247,10,0)</f>
        <v>PAPELERIA LA ESTACION DE SUBA</v>
      </c>
      <c r="AS34" s="291">
        <f>VLOOKUP(C34,ITEMS_BolsaOperador!$D$2:$AY$247,16,0)</f>
        <v>392</v>
      </c>
      <c r="AT34" s="291" t="str">
        <f>VLOOKUP(C34,ITEMS_BolsaOperador!$D$2:$AY$247,23,0)</f>
        <v>DETALSHOP</v>
      </c>
      <c r="AU34" s="291">
        <f>VLOOKUP(C34,ITEMS_BolsaOperador!$D$2:$AY$247,29,0)</f>
        <v>500.00000000000006</v>
      </c>
      <c r="AV34" s="291" t="str">
        <f>VLOOKUP(C34,ITEMS_BolsaOperador!$D$2:$AY$247,36,0)</f>
        <v>MARRION EXPRESS</v>
      </c>
      <c r="AW34" s="291">
        <f>VLOOKUP(C34,ITEMS_BolsaOperador!$D$2:$AY$247,42,0)</f>
        <v>590</v>
      </c>
      <c r="AX34" s="293">
        <f>VLOOKUP(C34,ITEMS_BolsaOperador!$D$2:$AY$247,45,0)</f>
        <v>494</v>
      </c>
      <c r="AY34" s="293">
        <f>VLOOKUP(C34,ITEMS_BolsaOperador!$D$2:$AY$247,46,0)</f>
        <v>494</v>
      </c>
      <c r="AZ34" s="293">
        <f>VLOOKUP(C34,ITEMS_BolsaOperador!$D$2:$AY$247,47,0)</f>
        <v>99.136269851149834</v>
      </c>
      <c r="BA34" s="229">
        <f>VLOOKUP(C34,ITEMS_BolsaOperador!$D$2:$AY$247,48,0)</f>
        <v>0.20068070820070816</v>
      </c>
      <c r="BC34" s="7" t="b">
        <f t="shared" si="27"/>
        <v>0</v>
      </c>
      <c r="BD34" s="7" t="b">
        <f t="shared" si="28"/>
        <v>1</v>
      </c>
      <c r="BE34" s="7" t="b">
        <f t="shared" si="29"/>
        <v>0</v>
      </c>
      <c r="BF34" s="7" t="b">
        <f t="shared" si="30"/>
        <v>1</v>
      </c>
      <c r="BG34" s="7" t="b">
        <f t="shared" si="31"/>
        <v>0</v>
      </c>
      <c r="BH34" s="7" t="b">
        <f t="shared" si="32"/>
        <v>1</v>
      </c>
      <c r="BI34" s="7" t="b">
        <f t="shared" si="33"/>
        <v>0</v>
      </c>
      <c r="BJ34" s="7" t="b">
        <f t="shared" si="34"/>
        <v>0</v>
      </c>
      <c r="BK34" s="7" t="b">
        <f t="shared" si="35"/>
        <v>0</v>
      </c>
      <c r="BL34" s="7" t="b">
        <f t="shared" si="36"/>
        <v>0</v>
      </c>
      <c r="BM34" s="7" t="b">
        <f t="shared" si="37"/>
        <v>0</v>
      </c>
      <c r="BP34" s="7">
        <v>24</v>
      </c>
    </row>
    <row r="35" spans="1:68" s="7" customFormat="1" ht="147" hidden="1" x14ac:dyDescent="0.25">
      <c r="A35" s="276">
        <v>25</v>
      </c>
      <c r="B35" s="294" t="s">
        <v>102</v>
      </c>
      <c r="C35" s="427" t="s">
        <v>130</v>
      </c>
      <c r="D35" s="277" t="s">
        <v>131</v>
      </c>
      <c r="E35" s="302" t="s">
        <v>41</v>
      </c>
      <c r="F35" s="277">
        <v>240</v>
      </c>
      <c r="G35" s="277" t="s">
        <v>42</v>
      </c>
      <c r="H35" s="278" t="s">
        <v>132</v>
      </c>
      <c r="I35" s="280">
        <v>8500</v>
      </c>
      <c r="J35" s="280">
        <f t="shared" ref="J35:J40" si="63">I35*19%</f>
        <v>1615</v>
      </c>
      <c r="K35" s="280">
        <f t="shared" si="12"/>
        <v>10115</v>
      </c>
      <c r="L35" s="281">
        <f t="shared" si="13"/>
        <v>2040000</v>
      </c>
      <c r="M35" s="281">
        <f t="shared" si="14"/>
        <v>2427600</v>
      </c>
      <c r="N35" s="282" t="s">
        <v>133</v>
      </c>
      <c r="O35" s="283">
        <v>9900</v>
      </c>
      <c r="P35" s="283">
        <f t="shared" ref="P35:P40" si="64">O35*19%</f>
        <v>1881</v>
      </c>
      <c r="Q35" s="283">
        <f t="shared" si="16"/>
        <v>11781</v>
      </c>
      <c r="R35" s="284">
        <f t="shared" si="17"/>
        <v>2376000</v>
      </c>
      <c r="S35" s="284">
        <f t="shared" si="18"/>
        <v>2827440</v>
      </c>
      <c r="T35" s="285" t="s">
        <v>134</v>
      </c>
      <c r="U35" s="286">
        <v>9900</v>
      </c>
      <c r="V35" s="286">
        <f t="shared" ref="V35:V36" si="65">U35*19%</f>
        <v>1881</v>
      </c>
      <c r="W35" s="286">
        <f t="shared" si="19"/>
        <v>11781</v>
      </c>
      <c r="X35" s="287">
        <f t="shared" si="20"/>
        <v>2376000</v>
      </c>
      <c r="Y35" s="287">
        <f t="shared" si="21"/>
        <v>2827440</v>
      </c>
      <c r="Z35" s="288">
        <f t="shared" si="56"/>
        <v>11225.666666666666</v>
      </c>
      <c r="AA35" s="288">
        <f t="shared" si="57"/>
        <v>2694160</v>
      </c>
      <c r="AB35" s="288">
        <f t="shared" si="58"/>
        <v>230847.73163277996</v>
      </c>
      <c r="AC35" s="229">
        <f t="shared" si="59"/>
        <v>8.5684492247223618E-2</v>
      </c>
      <c r="AD35" s="5"/>
      <c r="AE35" s="290" t="b">
        <f t="shared" si="26"/>
        <v>0</v>
      </c>
      <c r="AF35" s="7" t="s">
        <v>351</v>
      </c>
      <c r="AO35" s="292">
        <f>VLOOKUP(C35,ITEMS_BolsaOperador!$D$254:$AY$276,48,0)</f>
        <v>8.5699999999999998E-2</v>
      </c>
      <c r="AP35" s="291" t="str">
        <f>VLOOKUP(C35,ITEMS_BolsaOperador!$D$254:$AY$276,1,0)</f>
        <v>Materas</v>
      </c>
      <c r="AQ35" s="291" t="str">
        <f>VLOOKUP(C35,ITEMS_BolsaOperador!$D$254:$AY$276,2,0)</f>
        <v>"Matera plástica, Entre alto 5.5 pulgadas, ancho 6,5 pulgadas, y/o  12 alto y ancho, color negro o variados. Maceta de resina de estilo cónico. Resistente y ligera. Orificios de drenaje. Pigmentos de color de alta calidad y aditivos UV.
Las plántulas, las semillas y las materas serán entregadas a los beneficaries al inicio de las sesiones con el fin de iniciar y realizar el seguimiento a la huerta emocional. "</v>
      </c>
      <c r="AR35" s="291" t="str">
        <f>VLOOKUP(C35,ITEMS_BolsaOperador!$D$254:$AY$276,10,0)</f>
        <v xml:space="preserve"> FALABELLA </v>
      </c>
      <c r="AS35" s="291">
        <f>VLOOKUP(C35,ITEMS_BolsaOperador!$D$254:$AY$276,16,0)</f>
        <v>8500</v>
      </c>
      <c r="AT35" s="291" t="str">
        <f>VLOOKUP(C35,ITEMS_BolsaOperador!$D$254:$AY$276,23,0)</f>
        <v xml:space="preserve"> HOMECENTER </v>
      </c>
      <c r="AU35" s="291">
        <f>VLOOKUP(C35,ITEMS_BolsaOperador!$D$254:$AY$276,29,0)</f>
        <v>9900</v>
      </c>
      <c r="AV35" s="291" t="str">
        <f>VLOOKUP(C35,ITEMS_BolsaOperador!$D$254:$AY$276,36,0)</f>
        <v xml:space="preserve"> TU MATERA </v>
      </c>
      <c r="AW35" s="291">
        <f>VLOOKUP(C35,ITEMS_BolsaOperador!$D$254:$AY$276,42,0)</f>
        <v>9900</v>
      </c>
      <c r="AX35" s="293">
        <f>VLOOKUP(C35,ITEMS_BolsaOperador!$D$254:$AY$276,45,0)</f>
        <v>9433.33</v>
      </c>
      <c r="AY35" s="293">
        <f>VLOOKUP(C35,ITEMS_BolsaOperador!$D$254:$AY$276,46,0)</f>
        <v>9433.33</v>
      </c>
      <c r="AZ35" s="293">
        <f>VLOOKUP(C35,ITEMS_BolsaOperador!$D$254:$AY$276,47,0)</f>
        <v>808.29</v>
      </c>
      <c r="BA35" s="229">
        <f>VLOOKUP(C35,ITEMS_BolsaOperador!$D$254:$AY$276,48,0)</f>
        <v>8.5699999999999998E-2</v>
      </c>
      <c r="BC35" s="7" t="b">
        <f t="shared" si="27"/>
        <v>0</v>
      </c>
      <c r="BD35" s="7" t="b">
        <f t="shared" si="28"/>
        <v>0</v>
      </c>
      <c r="BE35" s="7" t="b">
        <f t="shared" si="29"/>
        <v>0</v>
      </c>
      <c r="BF35" s="7" t="b">
        <f t="shared" si="30"/>
        <v>0</v>
      </c>
      <c r="BG35" s="7" t="b">
        <f t="shared" si="31"/>
        <v>0</v>
      </c>
      <c r="BH35" s="7" t="b">
        <f t="shared" si="32"/>
        <v>0</v>
      </c>
      <c r="BI35" s="7" t="b">
        <f t="shared" si="33"/>
        <v>0</v>
      </c>
      <c r="BJ35" s="7" t="b">
        <f t="shared" si="34"/>
        <v>0</v>
      </c>
      <c r="BK35" s="7" t="b">
        <f t="shared" si="35"/>
        <v>0</v>
      </c>
      <c r="BL35" s="7" t="b">
        <f t="shared" si="36"/>
        <v>0</v>
      </c>
      <c r="BM35" s="7" t="b">
        <f t="shared" si="37"/>
        <v>0</v>
      </c>
      <c r="BP35" s="7">
        <v>25</v>
      </c>
    </row>
    <row r="36" spans="1:68" s="7" customFormat="1" ht="126" hidden="1" x14ac:dyDescent="0.25">
      <c r="A36" s="276">
        <v>26</v>
      </c>
      <c r="B36" s="294" t="s">
        <v>102</v>
      </c>
      <c r="C36" s="277" t="s">
        <v>135</v>
      </c>
      <c r="D36" s="277" t="s">
        <v>136</v>
      </c>
      <c r="E36" s="294" t="s">
        <v>41</v>
      </c>
      <c r="F36" s="277">
        <v>60</v>
      </c>
      <c r="G36" s="277" t="s">
        <v>42</v>
      </c>
      <c r="H36" s="278" t="s">
        <v>53</v>
      </c>
      <c r="I36" s="280">
        <v>6500</v>
      </c>
      <c r="J36" s="280">
        <f t="shared" si="63"/>
        <v>1235</v>
      </c>
      <c r="K36" s="280">
        <f t="shared" si="12"/>
        <v>7735</v>
      </c>
      <c r="L36" s="281">
        <f t="shared" si="13"/>
        <v>390000</v>
      </c>
      <c r="M36" s="281">
        <f t="shared" si="14"/>
        <v>464100</v>
      </c>
      <c r="N36" s="282" t="s">
        <v>55</v>
      </c>
      <c r="O36" s="283">
        <v>4600</v>
      </c>
      <c r="P36" s="283">
        <f t="shared" si="64"/>
        <v>874</v>
      </c>
      <c r="Q36" s="283">
        <f t="shared" si="16"/>
        <v>5474</v>
      </c>
      <c r="R36" s="284">
        <f t="shared" si="17"/>
        <v>276000</v>
      </c>
      <c r="S36" s="284">
        <f t="shared" si="18"/>
        <v>328440</v>
      </c>
      <c r="T36" s="285" t="s">
        <v>137</v>
      </c>
      <c r="U36" s="295">
        <v>6950</v>
      </c>
      <c r="V36" s="286">
        <f t="shared" si="65"/>
        <v>1320.5</v>
      </c>
      <c r="W36" s="286">
        <f t="shared" si="19"/>
        <v>8270.5</v>
      </c>
      <c r="X36" s="287">
        <f t="shared" si="20"/>
        <v>417000</v>
      </c>
      <c r="Y36" s="287">
        <f t="shared" si="21"/>
        <v>496230</v>
      </c>
      <c r="Z36" s="288">
        <f t="shared" si="56"/>
        <v>7159.833333333333</v>
      </c>
      <c r="AA36" s="288">
        <f t="shared" si="57"/>
        <v>429590</v>
      </c>
      <c r="AB36" s="288">
        <f t="shared" si="58"/>
        <v>89059.39647224205</v>
      </c>
      <c r="AC36" s="229">
        <f t="shared" si="59"/>
        <v>0.2073125456184782</v>
      </c>
      <c r="AD36" s="5"/>
      <c r="AE36" s="290" t="b">
        <f t="shared" si="26"/>
        <v>0</v>
      </c>
      <c r="AF36" s="291" t="s">
        <v>344</v>
      </c>
      <c r="AO36" s="292">
        <f>VLOOKUP(C36,ITEMS_BolsaOperador!$D$254:$AY$276,48,0)</f>
        <v>0.20730000000000001</v>
      </c>
      <c r="AP36" s="291" t="str">
        <f>VLOOKUP(C36,ITEMS_BolsaOperador!$D$254:$AY$276,1,0)</f>
        <v>Pulsera simbólica de la diversidad</v>
      </c>
      <c r="AQ36" s="291" t="str">
        <f>VLOOKUP(C36,ITEMS_BolsaOperador!$D$254:$AY$276,2,0)</f>
        <v>Pulsera elaborada en material resistente e hipoalergénico (silicona o textil), con diseño alusivo a la bandera LGBTI  con su nombre, se sugiere mostacilla checha. Tamaño estándar ajustable, resistente al uso continuo y actividades comunitarias, el diseño y el material serán aprobados en el comité técnico por el supervisor y/o apoyos a la supervisión.</v>
      </c>
      <c r="AR36" s="291" t="str">
        <f>VLOOKUP(C36,ITEMS_BolsaOperador!$D$254:$AY$276,10,0)</f>
        <v xml:space="preserve"> COMTEC </v>
      </c>
      <c r="AS36" s="291">
        <f>VLOOKUP(C36,ITEMS_BolsaOperador!$D$254:$AY$276,16,0)</f>
        <v>7735</v>
      </c>
      <c r="AT36" s="291" t="str">
        <f>VLOOKUP(C36,ITEMS_BolsaOperador!$D$254:$AY$276,23,0)</f>
        <v xml:space="preserve"> GUERRA EDITORES </v>
      </c>
      <c r="AU36" s="291">
        <f>VLOOKUP(C36,ITEMS_BolsaOperador!$D$254:$AY$276,29,0)</f>
        <v>5474</v>
      </c>
      <c r="AV36" s="291" t="str">
        <f>VLOOKUP(C36,ITEMS_BolsaOperador!$D$254:$AY$276,36,0)</f>
        <v xml:space="preserve"> HYN PUBLICIDAD </v>
      </c>
      <c r="AW36" s="291">
        <f>VLOOKUP(C36,ITEMS_BolsaOperador!$D$254:$AY$276,42,0)</f>
        <v>8271</v>
      </c>
      <c r="AX36" s="293">
        <f>VLOOKUP(C36,ITEMS_BolsaOperador!$D$254:$AY$276,45,0)</f>
        <v>7159.83</v>
      </c>
      <c r="AY36" s="293">
        <f>VLOOKUP(C36,ITEMS_BolsaOperador!$D$254:$AY$276,46,0)</f>
        <v>7159.83</v>
      </c>
      <c r="AZ36" s="293">
        <f>VLOOKUP(C36,ITEMS_BolsaOperador!$D$254:$AY$276,47,0)</f>
        <v>1484.32</v>
      </c>
      <c r="BA36" s="229">
        <f>VLOOKUP(C36,ITEMS_BolsaOperador!$D$254:$AY$276,48,0)</f>
        <v>0.20730000000000001</v>
      </c>
      <c r="BC36" s="7" t="b">
        <f t="shared" si="27"/>
        <v>1</v>
      </c>
      <c r="BD36" s="7" t="b">
        <f t="shared" si="28"/>
        <v>0</v>
      </c>
      <c r="BE36" s="7" t="b">
        <f t="shared" si="29"/>
        <v>1</v>
      </c>
      <c r="BF36" s="7" t="b">
        <f t="shared" si="30"/>
        <v>0</v>
      </c>
      <c r="BG36" s="7" t="b">
        <f t="shared" si="31"/>
        <v>1</v>
      </c>
      <c r="BH36" s="7" t="b">
        <f t="shared" si="32"/>
        <v>0</v>
      </c>
      <c r="BI36" s="7" t="b">
        <f t="shared" si="33"/>
        <v>0</v>
      </c>
      <c r="BJ36" s="7" t="b">
        <f t="shared" si="34"/>
        <v>0</v>
      </c>
      <c r="BK36" s="7" t="b">
        <f t="shared" si="35"/>
        <v>0</v>
      </c>
      <c r="BL36" s="7" t="b">
        <f t="shared" si="36"/>
        <v>0</v>
      </c>
      <c r="BM36" s="7" t="b">
        <f t="shared" si="37"/>
        <v>0</v>
      </c>
      <c r="BP36" s="7">
        <v>26</v>
      </c>
    </row>
    <row r="37" spans="1:68" s="7" customFormat="1" ht="315" hidden="1" x14ac:dyDescent="0.35">
      <c r="A37" s="276">
        <v>27</v>
      </c>
      <c r="B37" s="294" t="s">
        <v>102</v>
      </c>
      <c r="C37" s="277" t="s">
        <v>78</v>
      </c>
      <c r="D37" s="137" t="s">
        <v>79</v>
      </c>
      <c r="E37" s="297" t="s">
        <v>41</v>
      </c>
      <c r="F37" s="277">
        <v>60</v>
      </c>
      <c r="G37" s="277" t="s">
        <v>42</v>
      </c>
      <c r="H37" s="278" t="s">
        <v>75</v>
      </c>
      <c r="I37" s="280">
        <v>15000</v>
      </c>
      <c r="J37" s="280"/>
      <c r="K37" s="280">
        <f t="shared" si="12"/>
        <v>15000</v>
      </c>
      <c r="L37" s="281">
        <f t="shared" si="13"/>
        <v>900000</v>
      </c>
      <c r="M37" s="281">
        <f t="shared" si="14"/>
        <v>900000</v>
      </c>
      <c r="N37" s="298" t="s">
        <v>80</v>
      </c>
      <c r="O37" s="283">
        <v>12000</v>
      </c>
      <c r="P37" s="283">
        <f t="shared" si="64"/>
        <v>2280</v>
      </c>
      <c r="Q37" s="283">
        <f t="shared" si="16"/>
        <v>14280</v>
      </c>
      <c r="R37" s="284">
        <f t="shared" si="17"/>
        <v>720000</v>
      </c>
      <c r="S37" s="284">
        <f t="shared" si="18"/>
        <v>856800</v>
      </c>
      <c r="T37" s="285"/>
      <c r="U37" s="295"/>
      <c r="V37" s="286"/>
      <c r="W37" s="286"/>
      <c r="X37" s="287"/>
      <c r="Y37" s="287"/>
      <c r="Z37" s="288">
        <f t="shared" si="56"/>
        <v>14640</v>
      </c>
      <c r="AA37" s="288">
        <f t="shared" si="57"/>
        <v>878400</v>
      </c>
      <c r="AB37" s="288">
        <f t="shared" si="58"/>
        <v>30547.012947258852</v>
      </c>
      <c r="AC37" s="229">
        <f t="shared" si="59"/>
        <v>3.4775743337043322E-2</v>
      </c>
      <c r="AD37" s="5"/>
      <c r="AE37" s="290" t="b">
        <f t="shared" si="26"/>
        <v>0</v>
      </c>
      <c r="AF37" s="7" t="s">
        <v>344</v>
      </c>
      <c r="AO37" s="292">
        <f>VLOOKUP(C37,ITEMS_BolsaOperador!$D$2:$AY$247,48,0)</f>
        <v>3.4799999999999998E-2</v>
      </c>
      <c r="AP37" s="291" t="str">
        <f>VLOOKUP(C37,ITEMS_BolsaOperador!$D$2:$AY$247,1,0)</f>
        <v>Tula Deportiva con logos</v>
      </c>
      <c r="AQ37" s="291" t="str">
        <f>VLOOKUP(C37,ITEMS_BolsaOperador!$D$2:$AY$247,2,0)</f>
        <v>Color: unisex, Poliester 210d, con cordón para ajustar y cargar, con bolsillo delantero y cremallera, con refuerzo en las esquinas
Características:
Alto: 45 cm 
Ancho: 35 cm
Profundidad: 20 garantía: 12 Meses 
Con logos aprobados por la oficina de prensa del FDLS</v>
      </c>
      <c r="AR37" s="291">
        <f>VLOOKUP(C37,ITEMS_BolsaOperador!$D$2:$AY$247,10,0)</f>
        <v>0</v>
      </c>
      <c r="AS37" s="291">
        <f>VLOOKUP(C37,ITEMS_BolsaOperador!$D$2:$AY$247,16,0)</f>
        <v>0</v>
      </c>
      <c r="AT37" s="291" t="str">
        <f>VLOOKUP(C37,ITEMS_BolsaOperador!$D$2:$AY$247,23,0)</f>
        <v>Angie Pachon (personalizado INK)</v>
      </c>
      <c r="AU37" s="291">
        <f>VLOOKUP(C37,ITEMS_BolsaOperador!$D$2:$AY$247,29,0)</f>
        <v>15000</v>
      </c>
      <c r="AV37" s="291" t="str">
        <f>VLOOKUP(C37,ITEMS_BolsaOperador!$D$2:$AY$247,36,0)</f>
        <v>INVENTIVA</v>
      </c>
      <c r="AW37" s="291">
        <f>VLOOKUP(C37,ITEMS_BolsaOperador!$D$2:$AY$247,42,0)</f>
        <v>14280</v>
      </c>
      <c r="AX37" s="293">
        <f>VLOOKUP(C37,ITEMS_BolsaOperador!$D$2:$AY$247,45,0)</f>
        <v>14640</v>
      </c>
      <c r="AY37" s="293">
        <f>VLOOKUP(C37,ITEMS_BolsaOperador!$D$2:$AY$247,46,0)</f>
        <v>14640</v>
      </c>
      <c r="AZ37" s="293">
        <f>VLOOKUP(C37,ITEMS_BolsaOperador!$D$2:$AY$247,47,0)</f>
        <v>509.12</v>
      </c>
      <c r="BA37" s="229">
        <f>VLOOKUP(C37,ITEMS_BolsaOperador!$D$2:$AY$247,48,0)</f>
        <v>3.4799999999999998E-2</v>
      </c>
      <c r="BC37" s="7" t="b">
        <f t="shared" si="27"/>
        <v>0</v>
      </c>
      <c r="BD37" s="7" t="b">
        <f t="shared" si="28"/>
        <v>0</v>
      </c>
      <c r="BE37" s="7" t="b">
        <f t="shared" si="29"/>
        <v>0</v>
      </c>
      <c r="BF37" s="7" t="b">
        <f t="shared" si="30"/>
        <v>0</v>
      </c>
      <c r="BG37" s="7" t="b">
        <f t="shared" si="31"/>
        <v>0</v>
      </c>
      <c r="BH37" s="7" t="b">
        <f t="shared" si="32"/>
        <v>0</v>
      </c>
      <c r="BI37" s="7" t="b">
        <f t="shared" si="33"/>
        <v>0</v>
      </c>
      <c r="BJ37" s="7" t="b">
        <f t="shared" si="34"/>
        <v>1</v>
      </c>
      <c r="BK37" s="7" t="b">
        <f t="shared" si="35"/>
        <v>0</v>
      </c>
      <c r="BL37" s="7" t="b">
        <f t="shared" si="36"/>
        <v>0</v>
      </c>
      <c r="BM37" s="7" t="b">
        <f t="shared" si="37"/>
        <v>0</v>
      </c>
      <c r="BP37" s="7">
        <v>27</v>
      </c>
    </row>
    <row r="38" spans="1:68" s="7" customFormat="1" ht="270" hidden="1" x14ac:dyDescent="0.35">
      <c r="A38" s="276">
        <v>28</v>
      </c>
      <c r="B38" s="294" t="s">
        <v>102</v>
      </c>
      <c r="C38" s="277" t="s">
        <v>81</v>
      </c>
      <c r="D38" s="137" t="s">
        <v>82</v>
      </c>
      <c r="E38" s="294" t="s">
        <v>41</v>
      </c>
      <c r="F38" s="277">
        <v>60</v>
      </c>
      <c r="G38" s="277" t="s">
        <v>42</v>
      </c>
      <c r="H38" s="278" t="s">
        <v>48</v>
      </c>
      <c r="I38" s="280">
        <v>2200</v>
      </c>
      <c r="J38" s="280">
        <f t="shared" si="63"/>
        <v>418</v>
      </c>
      <c r="K38" s="280">
        <f t="shared" si="12"/>
        <v>2618</v>
      </c>
      <c r="L38" s="281">
        <f t="shared" si="13"/>
        <v>132000</v>
      </c>
      <c r="M38" s="281">
        <f t="shared" si="14"/>
        <v>157080</v>
      </c>
      <c r="N38" s="298" t="s">
        <v>83</v>
      </c>
      <c r="O38" s="283">
        <v>2689.08</v>
      </c>
      <c r="P38" s="283">
        <f t="shared" si="64"/>
        <v>510.92520000000002</v>
      </c>
      <c r="Q38" s="283">
        <f t="shared" si="16"/>
        <v>3200.0052000000001</v>
      </c>
      <c r="R38" s="284">
        <f t="shared" si="17"/>
        <v>161344.79999999999</v>
      </c>
      <c r="S38" s="284">
        <f t="shared" si="18"/>
        <v>192000.31200000001</v>
      </c>
      <c r="T38" s="285" t="s">
        <v>84</v>
      </c>
      <c r="U38" s="299">
        <v>3800</v>
      </c>
      <c r="V38" s="286"/>
      <c r="W38" s="286">
        <f t="shared" si="19"/>
        <v>3800</v>
      </c>
      <c r="X38" s="287">
        <f t="shared" si="20"/>
        <v>228000</v>
      </c>
      <c r="Y38" s="287">
        <f t="shared" si="21"/>
        <v>228000</v>
      </c>
      <c r="Z38" s="288">
        <f t="shared" si="56"/>
        <v>3206.001733333333</v>
      </c>
      <c r="AA38" s="288">
        <f t="shared" si="57"/>
        <v>192360.10399999999</v>
      </c>
      <c r="AB38" s="288">
        <f t="shared" si="58"/>
        <v>35461.368948652285</v>
      </c>
      <c r="AC38" s="229">
        <f t="shared" si="59"/>
        <v>0.18434887594286331</v>
      </c>
      <c r="AD38" s="5"/>
      <c r="AE38" s="290" t="b">
        <f t="shared" si="26"/>
        <v>0</v>
      </c>
      <c r="AF38" s="291" t="s">
        <v>342</v>
      </c>
      <c r="AO38" s="292">
        <f>VLOOKUP(C38,ITEMS_BolsaOperador!$D$2:$AY$247,48,0)</f>
        <v>0.18434898384222317</v>
      </c>
      <c r="AP38" s="291" t="str">
        <f>VLOOKUP(C38,ITEMS_BolsaOperador!$D$2:$AY$247,1,0)</f>
        <v>Certificado de participación</v>
      </c>
      <c r="AQ38" s="291" t="str">
        <f>VLOOKUP(C38,ITEMS_BolsaOperador!$D$2:$AY$247,2,0)</f>
        <v xml:space="preserve">Impresión a media carta 4 tintas en papel _x000D_
propalcote o kimberly 200 gr, tamaño 22x28 cm con nombres individuales o espacio para el mismo, refilados._x000D_
</v>
      </c>
      <c r="AR38" s="291" t="str">
        <f>VLOOKUP(C38,ITEMS_BolsaOperador!$D$2:$AY$247,10,0)</f>
        <v>GUERRA EDITORES</v>
      </c>
      <c r="AS38" s="291">
        <f>VLOOKUP(C38,ITEMS_BolsaOperador!$D$2:$AY$247,16,0)</f>
        <v>2618</v>
      </c>
      <c r="AT38" s="291" t="str">
        <f>VLOOKUP(C38,ITEMS_BolsaOperador!$D$2:$AY$247,23,0)</f>
        <v>SG DIGITAL S.A.S</v>
      </c>
      <c r="AU38" s="291">
        <f>VLOOKUP(C38,ITEMS_BolsaOperador!$D$2:$AY$247,29,0)</f>
        <v>3200</v>
      </c>
      <c r="AV38" s="291" t="str">
        <f>VLOOKUP(C38,ITEMS_BolsaOperador!$D$2:$AY$247,36,0)</f>
        <v>JEGAR PUBLICIDAD MISIONES</v>
      </c>
      <c r="AW38" s="291">
        <f>VLOOKUP(C38,ITEMS_BolsaOperador!$D$2:$AY$247,42,0)</f>
        <v>3800</v>
      </c>
      <c r="AX38" s="293">
        <f>VLOOKUP(C38,ITEMS_BolsaOperador!$D$2:$AY$247,45,0)</f>
        <v>3206</v>
      </c>
      <c r="AY38" s="293">
        <f>VLOOKUP(C38,ITEMS_BolsaOperador!$D$2:$AY$247,46,0)</f>
        <v>3206</v>
      </c>
      <c r="AZ38" s="293">
        <f>VLOOKUP(C38,ITEMS_BolsaOperador!$D$2:$AY$247,47,0)</f>
        <v>591.0228421981675</v>
      </c>
      <c r="BA38" s="229">
        <f>VLOOKUP(C38,ITEMS_BolsaOperador!$D$2:$AY$247,48,0)</f>
        <v>0.18434898384222317</v>
      </c>
      <c r="BC38" s="7" t="b">
        <f t="shared" si="27"/>
        <v>0</v>
      </c>
      <c r="BD38" s="7" t="b">
        <f t="shared" si="28"/>
        <v>1</v>
      </c>
      <c r="BE38" s="7" t="b">
        <f t="shared" si="29"/>
        <v>1</v>
      </c>
      <c r="BF38" s="7" t="b">
        <f t="shared" si="30"/>
        <v>0</v>
      </c>
      <c r="BG38" s="7" t="b">
        <f t="shared" si="31"/>
        <v>0</v>
      </c>
      <c r="BH38" s="7" t="b">
        <f t="shared" si="32"/>
        <v>1</v>
      </c>
      <c r="BI38" s="7" t="b">
        <f t="shared" si="33"/>
        <v>1</v>
      </c>
      <c r="BJ38" s="7" t="b">
        <f t="shared" si="34"/>
        <v>0</v>
      </c>
      <c r="BK38" s="7" t="b">
        <f t="shared" si="35"/>
        <v>0</v>
      </c>
      <c r="BL38" s="7" t="b">
        <f t="shared" si="36"/>
        <v>0</v>
      </c>
      <c r="BM38" s="7" t="b">
        <f t="shared" si="37"/>
        <v>0</v>
      </c>
      <c r="BP38" s="7">
        <v>28</v>
      </c>
    </row>
    <row r="39" spans="1:68" s="7" customFormat="1" ht="405" hidden="1" x14ac:dyDescent="0.25">
      <c r="A39" s="276">
        <v>29</v>
      </c>
      <c r="B39" s="294" t="s">
        <v>102</v>
      </c>
      <c r="C39" s="300" t="s">
        <v>345</v>
      </c>
      <c r="D39" s="301" t="s">
        <v>86</v>
      </c>
      <c r="E39" s="294" t="s">
        <v>87</v>
      </c>
      <c r="F39" s="277">
        <v>108</v>
      </c>
      <c r="G39" s="277" t="s">
        <v>88</v>
      </c>
      <c r="H39" s="278" t="s">
        <v>89</v>
      </c>
      <c r="I39" s="280">
        <v>302522</v>
      </c>
      <c r="J39" s="280">
        <f t="shared" si="63"/>
        <v>57479.18</v>
      </c>
      <c r="K39" s="280">
        <f t="shared" si="12"/>
        <v>360001.18</v>
      </c>
      <c r="L39" s="281">
        <f t="shared" si="13"/>
        <v>32672376</v>
      </c>
      <c r="M39" s="281">
        <f t="shared" si="14"/>
        <v>38880127.439999998</v>
      </c>
      <c r="N39" s="282" t="s">
        <v>90</v>
      </c>
      <c r="O39" s="283">
        <v>252101</v>
      </c>
      <c r="P39" s="283">
        <f t="shared" si="64"/>
        <v>47899.19</v>
      </c>
      <c r="Q39" s="283">
        <f t="shared" si="16"/>
        <v>300000.19</v>
      </c>
      <c r="R39" s="284">
        <f t="shared" si="17"/>
        <v>27226908</v>
      </c>
      <c r="S39" s="284">
        <f t="shared" si="18"/>
        <v>32400020.52</v>
      </c>
      <c r="T39" s="285"/>
      <c r="U39" s="295"/>
      <c r="V39" s="286"/>
      <c r="W39" s="286"/>
      <c r="X39" s="287"/>
      <c r="Y39" s="287"/>
      <c r="Z39" s="288">
        <f t="shared" si="56"/>
        <v>330000.685</v>
      </c>
      <c r="AA39" s="288">
        <f t="shared" si="57"/>
        <v>35640073.979999997</v>
      </c>
      <c r="AB39" s="288">
        <f t="shared" si="58"/>
        <v>4582127.5459458707</v>
      </c>
      <c r="AC39" s="229">
        <f t="shared" si="59"/>
        <v>0.1285667237536377</v>
      </c>
      <c r="AD39" s="5"/>
      <c r="AE39" s="290" t="b">
        <f t="shared" si="26"/>
        <v>1</v>
      </c>
      <c r="AF39" s="7" t="s">
        <v>346</v>
      </c>
      <c r="AO39" s="292">
        <f>VLOOKUP(C39,ITEMS_BolsaOperador!$D$2:$AY$247,48,0)</f>
        <v>0.12856672375363773</v>
      </c>
      <c r="AP39" s="291" t="str">
        <f>VLOOKUP(C39,ITEMS_BolsaOperador!$D$2:$AY$247,1,0)</f>
        <v>Salón - Espacio Apto para 50 personas  (media jornada más equipos audiovisuales)</v>
      </c>
      <c r="AQ39" s="291" t="str">
        <f>VLOOKUP(C39,ITEMS_BolsaOperador!$D$2:$AY$247,2,0)</f>
        <v>Espacio físico para 50 personas con baño, sillas y mesas, ubicado en la localidad de Suba, con disponibilidad de espacio exterior para desarrollo de actividades_x000D_
Dotado con equipo de computo, video beam y sonido_x000D_
Jornada de 4 horas</v>
      </c>
      <c r="AR39" s="291" t="str">
        <f>VLOOKUP(C39,ITEMS_BolsaOperador!$D$2:$AY$247,10,0)</f>
        <v xml:space="preserve">JAC PRADO PINZON </v>
      </c>
      <c r="AS39" s="291">
        <f>VLOOKUP(C39,ITEMS_BolsaOperador!$D$2:$AY$247,16,0)</f>
        <v>360001.18</v>
      </c>
      <c r="AT39" s="291" t="str">
        <f>VLOOKUP(C39,ITEMS_BolsaOperador!$D$2:$AY$247,23,0)</f>
        <v>JAC URBANIZACION EL LAGUITO DE SUBA</v>
      </c>
      <c r="AU39" s="291">
        <f>VLOOKUP(C39,ITEMS_BolsaOperador!$D$2:$AY$247,29,0)</f>
        <v>300000.19</v>
      </c>
      <c r="AV39" s="291">
        <f>VLOOKUP(C39,ITEMS_BolsaOperador!$D$2:$AY$247,36,0)</f>
        <v>0</v>
      </c>
      <c r="AW39" s="291">
        <f>VLOOKUP(C39,ITEMS_BolsaOperador!$D$2:$AY$247,42,0)</f>
        <v>0</v>
      </c>
      <c r="AX39" s="293">
        <f>VLOOKUP(C39,ITEMS_BolsaOperador!$D$2:$AY$247,45,0)</f>
        <v>330000.685</v>
      </c>
      <c r="AY39" s="293">
        <f>VLOOKUP(C39,ITEMS_BolsaOperador!$D$2:$AY$247,46,0)</f>
        <v>330000.685</v>
      </c>
      <c r="AZ39" s="293">
        <f>VLOOKUP(C39,ITEMS_BolsaOperador!$D$2:$AY$247,47,0)</f>
        <v>42427.106906906221</v>
      </c>
      <c r="BA39" s="229">
        <f>VLOOKUP(C39,ITEMS_BolsaOperador!$D$2:$AY$247,48,0)</f>
        <v>0.12856672375363773</v>
      </c>
      <c r="BC39" s="7" t="b">
        <f t="shared" si="27"/>
        <v>0</v>
      </c>
      <c r="BD39" s="7" t="b">
        <f t="shared" si="28"/>
        <v>0</v>
      </c>
      <c r="BE39" s="7" t="b">
        <f t="shared" si="29"/>
        <v>1</v>
      </c>
      <c r="BF39" s="7" t="b">
        <f t="shared" si="30"/>
        <v>1</v>
      </c>
      <c r="BG39" s="7" t="b">
        <f t="shared" si="31"/>
        <v>1</v>
      </c>
      <c r="BH39" s="7" t="b">
        <f t="shared" si="32"/>
        <v>1</v>
      </c>
      <c r="BI39" s="7" t="b">
        <f t="shared" si="33"/>
        <v>1</v>
      </c>
      <c r="BJ39" s="7" t="b">
        <f t="shared" si="34"/>
        <v>1</v>
      </c>
      <c r="BK39" s="7" t="b">
        <f t="shared" si="35"/>
        <v>0</v>
      </c>
      <c r="BL39" s="7" t="b">
        <f t="shared" si="36"/>
        <v>0</v>
      </c>
      <c r="BM39" s="7" t="b">
        <f t="shared" si="37"/>
        <v>1</v>
      </c>
      <c r="BP39" s="7">
        <v>29</v>
      </c>
    </row>
    <row r="40" spans="1:68" s="7" customFormat="1" ht="138" hidden="1" customHeight="1" x14ac:dyDescent="0.25">
      <c r="A40" s="276">
        <v>30</v>
      </c>
      <c r="B40" s="294" t="s">
        <v>102</v>
      </c>
      <c r="C40" s="308" t="s">
        <v>347</v>
      </c>
      <c r="D40" s="206" t="s">
        <v>352</v>
      </c>
      <c r="E40" s="294" t="s">
        <v>87</v>
      </c>
      <c r="F40" s="277">
        <v>5</v>
      </c>
      <c r="G40" s="277" t="s">
        <v>88</v>
      </c>
      <c r="H40" s="278" t="s">
        <v>89</v>
      </c>
      <c r="I40" s="280">
        <v>302522</v>
      </c>
      <c r="J40" s="280">
        <f t="shared" si="63"/>
        <v>57479.18</v>
      </c>
      <c r="K40" s="280">
        <f t="shared" si="12"/>
        <v>360001.18</v>
      </c>
      <c r="L40" s="281">
        <f t="shared" si="13"/>
        <v>1512610</v>
      </c>
      <c r="M40" s="281">
        <f t="shared" si="14"/>
        <v>1800005.9</v>
      </c>
      <c r="N40" s="282" t="s">
        <v>90</v>
      </c>
      <c r="O40" s="283">
        <v>252101</v>
      </c>
      <c r="P40" s="283">
        <f t="shared" si="64"/>
        <v>47899.19</v>
      </c>
      <c r="Q40" s="283">
        <f t="shared" si="16"/>
        <v>300000.19</v>
      </c>
      <c r="R40" s="284">
        <f t="shared" si="17"/>
        <v>1260505</v>
      </c>
      <c r="S40" s="284">
        <f t="shared" si="18"/>
        <v>1500000.95</v>
      </c>
      <c r="T40" s="285"/>
      <c r="U40" s="295"/>
      <c r="V40" s="286"/>
      <c r="W40" s="286"/>
      <c r="X40" s="287"/>
      <c r="Y40" s="287"/>
      <c r="Z40" s="288">
        <f t="shared" si="56"/>
        <v>330000.685</v>
      </c>
      <c r="AA40" s="288">
        <f t="shared" si="57"/>
        <v>1650003.425</v>
      </c>
      <c r="AB40" s="288">
        <f t="shared" si="58"/>
        <v>212135.53453453109</v>
      </c>
      <c r="AC40" s="229">
        <f t="shared" si="59"/>
        <v>0.1285667237536377</v>
      </c>
      <c r="AD40" s="5"/>
      <c r="AE40" s="290" t="b">
        <f t="shared" si="26"/>
        <v>1</v>
      </c>
      <c r="AF40" s="7" t="s">
        <v>348</v>
      </c>
      <c r="AO40" s="292">
        <f>VLOOKUP(C40,ITEMS_BolsaOperador!$D$2:$AY$247,48,0)</f>
        <v>0.12856672375363773</v>
      </c>
      <c r="AP40" s="291" t="str">
        <f>VLOOKUP(C40,ITEMS_BolsaOperador!$D$2:$AY$247,1,0)</f>
        <v>Salón - Espacio Apto para 100 personas  (media jornada más equipos audiovisuales)</v>
      </c>
      <c r="AQ40" s="291" t="str">
        <f>VLOOKUP(C40,ITEMS_BolsaOperador!$D$2:$AY$247,2,0)</f>
        <v>Espacio físico para 100 personas con baño, sillas y mesas, ubicado en la localidad de Suba, con disponibilidad de espacio exterior para desarrollo de actividades_x000D_
Dotado con equipo de computo, video beam y sonido_x000D_
Jornada de 4 horas</v>
      </c>
      <c r="AR40" s="291" t="str">
        <f>VLOOKUP(C40,ITEMS_BolsaOperador!$D$2:$AY$247,10,0)</f>
        <v xml:space="preserve">JAC PRADO PINZON </v>
      </c>
      <c r="AS40" s="291">
        <f>VLOOKUP(C40,ITEMS_BolsaOperador!$D$2:$AY$247,16,0)</f>
        <v>360001.18</v>
      </c>
      <c r="AT40" s="291" t="str">
        <f>VLOOKUP(C40,ITEMS_BolsaOperador!$D$2:$AY$247,23,0)</f>
        <v>JAC URBANIZACION EL LAGUITO DE SUBA</v>
      </c>
      <c r="AU40" s="291">
        <f>VLOOKUP(C40,ITEMS_BolsaOperador!$D$2:$AY$247,29,0)</f>
        <v>300000.19</v>
      </c>
      <c r="AV40" s="291">
        <f>VLOOKUP(C40,ITEMS_BolsaOperador!$D$2:$AY$247,36,0)</f>
        <v>0</v>
      </c>
      <c r="AW40" s="291">
        <f>VLOOKUP(C40,ITEMS_BolsaOperador!$D$2:$AY$247,42,0)</f>
        <v>0</v>
      </c>
      <c r="AX40" s="293" t="e">
        <f>VLOOKUP(C40,ITEMS_BolsaOperador!$D$254:$AY$276,45,0)</f>
        <v>#N/A</v>
      </c>
      <c r="AY40" s="293" t="e">
        <f>VLOOKUP(C40,ITEMS_BolsaOperador!$D$254:$AY$276,46,0)</f>
        <v>#N/A</v>
      </c>
      <c r="AZ40" s="293" t="e">
        <f>VLOOKUP(C40,ITEMS_BolsaOperador!$D$254:$AY$276,47,0)</f>
        <v>#N/A</v>
      </c>
      <c r="BA40" s="229" t="e">
        <f>VLOOKUP(C40,ITEMS_BolsaOperador!$D$254:$AY$276,48,0)</f>
        <v>#N/A</v>
      </c>
      <c r="BC40" s="7" t="b">
        <f t="shared" ref="BC40" si="66">AQ40=D40</f>
        <v>1</v>
      </c>
      <c r="BD40" s="7" t="b">
        <f t="shared" ref="BD40" si="67">AR40=H40</f>
        <v>0</v>
      </c>
      <c r="BE40" s="7" t="b">
        <f t="shared" ref="BE40" si="68">AS40=K40</f>
        <v>1</v>
      </c>
      <c r="BF40" s="7" t="b">
        <f t="shared" ref="BF40" si="69">N40=AT40</f>
        <v>1</v>
      </c>
      <c r="BG40" s="7" t="b">
        <f t="shared" ref="BG40" si="70">AU40=Q40</f>
        <v>1</v>
      </c>
      <c r="BH40" s="7" t="b">
        <f t="shared" ref="BH40" si="71">AV40=T40</f>
        <v>1</v>
      </c>
      <c r="BI40" s="7" t="b">
        <f t="shared" ref="BI40" si="72">AW40=W40</f>
        <v>1</v>
      </c>
      <c r="BJ40" s="7" t="e">
        <f t="shared" ref="BJ40" si="73">AX40=Z40</f>
        <v>#N/A</v>
      </c>
      <c r="BK40" s="7" t="e">
        <f t="shared" ref="BK40" si="74">AY40=AA40</f>
        <v>#N/A</v>
      </c>
      <c r="BL40" s="7" t="e">
        <f t="shared" ref="BL40" si="75">AZ40=AB40</f>
        <v>#N/A</v>
      </c>
      <c r="BM40" s="7" t="e">
        <f t="shared" ref="BM40" si="76">BA40=AC40</f>
        <v>#N/A</v>
      </c>
      <c r="BP40" s="7">
        <v>30</v>
      </c>
    </row>
    <row r="41" spans="1:68" s="7" customFormat="1" ht="409.5" hidden="1" customHeight="1" x14ac:dyDescent="0.25">
      <c r="A41" s="276">
        <v>31</v>
      </c>
      <c r="B41" s="294" t="s">
        <v>102</v>
      </c>
      <c r="C41" s="303" t="s">
        <v>93</v>
      </c>
      <c r="D41" s="305" t="s">
        <v>94</v>
      </c>
      <c r="E41" s="294" t="s">
        <v>41</v>
      </c>
      <c r="F41" s="277">
        <v>540</v>
      </c>
      <c r="G41" s="277" t="s">
        <v>42</v>
      </c>
      <c r="H41" s="278" t="s">
        <v>95</v>
      </c>
      <c r="I41" s="280">
        <v>11700</v>
      </c>
      <c r="J41" s="280">
        <f>I41*8%</f>
        <v>936</v>
      </c>
      <c r="K41" s="280">
        <f t="shared" si="12"/>
        <v>12636</v>
      </c>
      <c r="L41" s="281">
        <f t="shared" si="13"/>
        <v>6318000</v>
      </c>
      <c r="M41" s="281">
        <f t="shared" si="14"/>
        <v>6823440</v>
      </c>
      <c r="N41" s="282" t="s">
        <v>50</v>
      </c>
      <c r="O41" s="283">
        <v>8570</v>
      </c>
      <c r="P41" s="283">
        <f>O41*8%</f>
        <v>685.6</v>
      </c>
      <c r="Q41" s="283">
        <f t="shared" si="16"/>
        <v>9255.6</v>
      </c>
      <c r="R41" s="284">
        <f t="shared" si="17"/>
        <v>4627800</v>
      </c>
      <c r="S41" s="284">
        <f t="shared" si="18"/>
        <v>4998024</v>
      </c>
      <c r="T41" s="285" t="s">
        <v>96</v>
      </c>
      <c r="U41" s="286">
        <v>13871</v>
      </c>
      <c r="V41" s="286"/>
      <c r="W41" s="286">
        <f t="shared" si="19"/>
        <v>13871</v>
      </c>
      <c r="X41" s="287">
        <f t="shared" si="20"/>
        <v>7490340</v>
      </c>
      <c r="Y41" s="287">
        <f t="shared" si="21"/>
        <v>7490340</v>
      </c>
      <c r="Z41" s="288">
        <f t="shared" si="56"/>
        <v>11920.866666666667</v>
      </c>
      <c r="AA41" s="288">
        <f t="shared" si="57"/>
        <v>6437268</v>
      </c>
      <c r="AB41" s="288">
        <f t="shared" si="58"/>
        <v>1290254.3823417148</v>
      </c>
      <c r="AC41" s="229">
        <f t="shared" si="59"/>
        <v>0.20043508866520934</v>
      </c>
      <c r="AD41" s="5"/>
      <c r="AE41" s="290" t="b">
        <f t="shared" si="26"/>
        <v>0</v>
      </c>
      <c r="AF41" s="291" t="s">
        <v>342</v>
      </c>
      <c r="AO41" s="292">
        <f>VLOOKUP(C41,ITEMS_BolsaOperador!$D$2:$AY$247,48,0)</f>
        <v>0.20043508866520951</v>
      </c>
      <c r="AP41" s="291" t="str">
        <f>VLOOKUP(C41,ITEMS_BolsaOperador!$D$2:$AY$247,1,0)</f>
        <v>Refrigerio Tipo 1</v>
      </c>
      <c r="AQ41" s="291" t="str">
        <f>VLOOKUP(C41,ITEMS_BolsaOperador!$D$2:$AY$247,2,0)</f>
        <v>Compuesto por:  _x000D_
1. Bebida: Deberá contener al menos 200 mililitros. Jugo de frutas y/o yogurt y/o kumis y/o avena, naturales no procesados, no se permitirá el suministro de bebidas empacadas en bolsa plástica, la Alcaldía Local de Suba requiere que las mismas sean entregadas a los asistentes en empaque tetra pack.  _x000D_
2. Un producto cereal   o producto de panadería tipo: Deberán tener un peso mínimo de 100 gramos. Podrá ser  Pastel de pollo o carne, ponqué, arepa, empanada, mantecada,  arepa con queso, pastel gloria, croissant de jamón y queso, brownie, buñuelo o similares. Los gramajes corresponden a los productos ya elaborados.    _x000D_
3. Una fruta de temporada: Porción de fruta no menor de 100 gramos. Mandarina, naranja,  manzana, pera, durazno o similares.  _x000D_
4. Dulce: Deberá tener mínimo entre 12 y 15 gramos. Chocolatina, Arequipe,  bocadillo o similares.</v>
      </c>
      <c r="AR41" s="291" t="str">
        <f>VLOOKUP(C41,ITEMS_BolsaOperador!$D$2:$AY$247,10,0)</f>
        <v>INVERSIONES BECORATI E Y O SAS</v>
      </c>
      <c r="AS41" s="291">
        <f>VLOOKUP(C41,ITEMS_BolsaOperador!$D$2:$AY$247,16,0)</f>
        <v>12636</v>
      </c>
      <c r="AT41" s="291" t="str">
        <f>VLOOKUP(C41,ITEMS_BolsaOperador!$D$2:$AY$247,23,0)</f>
        <v>ENTERPRISE INVESTMENT DEVELOPMENT S.A.S.</v>
      </c>
      <c r="AU41" s="291">
        <f>VLOOKUP(C41,ITEMS_BolsaOperador!$D$2:$AY$247,29,0)</f>
        <v>9255.6</v>
      </c>
      <c r="AV41" s="291" t="str">
        <f>VLOOKUP(C41,ITEMS_BolsaOperador!$D$2:$AY$247,36,0)</f>
        <v>Estimación de precios con base en el proceso FDLSUBA-LP-013-2025 (140689) – Contrato 1000 – 2025, indexando el incremento de precios en el mercado con base en el Índice de Precios al Consumidor (IPC) para el mes de marzo de 2026, el cual fue de 5,56%.</v>
      </c>
      <c r="AW41" s="291">
        <f>VLOOKUP(C41,ITEMS_BolsaOperador!$D$2:$AY$247,42,0)</f>
        <v>13871</v>
      </c>
      <c r="AX41" s="293">
        <f>VLOOKUP(C41,ITEMS_BolsaOperador!$D$2:$AY$247,45,0)</f>
        <v>11920.866666666667</v>
      </c>
      <c r="AY41" s="293">
        <f>VLOOKUP(C41,ITEMS_BolsaOperador!$D$2:$AY$247,46,0)</f>
        <v>11920.866666666667</v>
      </c>
      <c r="AZ41" s="293">
        <f>VLOOKUP(C41,ITEMS_BolsaOperador!$D$2:$AY$247,47,0)</f>
        <v>2389.3599672994737</v>
      </c>
      <c r="BA41" s="229">
        <f>VLOOKUP(C41,ITEMS_BolsaOperador!$D$2:$AY$247,48,0)</f>
        <v>0.20043508866520951</v>
      </c>
      <c r="BC41" s="7" t="b">
        <f t="shared" si="27"/>
        <v>0</v>
      </c>
      <c r="BD41" s="7" t="b">
        <f t="shared" si="28"/>
        <v>1</v>
      </c>
      <c r="BE41" s="7" t="b">
        <f t="shared" si="29"/>
        <v>1</v>
      </c>
      <c r="BF41" s="7" t="b">
        <f t="shared" si="30"/>
        <v>0</v>
      </c>
      <c r="BG41" s="7" t="b">
        <f t="shared" si="31"/>
        <v>1</v>
      </c>
      <c r="BH41" s="7" t="b">
        <f t="shared" si="32"/>
        <v>0</v>
      </c>
      <c r="BI41" s="7" t="b">
        <f t="shared" si="33"/>
        <v>1</v>
      </c>
      <c r="BJ41" s="7" t="b">
        <f t="shared" si="34"/>
        <v>1</v>
      </c>
      <c r="BK41" s="7" t="b">
        <f t="shared" si="35"/>
        <v>0</v>
      </c>
      <c r="BL41" s="7" t="b">
        <f t="shared" si="36"/>
        <v>0</v>
      </c>
      <c r="BM41" s="7" t="b">
        <f t="shared" si="37"/>
        <v>0</v>
      </c>
      <c r="BP41" s="7">
        <v>31</v>
      </c>
    </row>
    <row r="42" spans="1:68" s="7" customFormat="1" ht="409.5" hidden="1" customHeight="1" x14ac:dyDescent="0.25">
      <c r="A42" s="276">
        <v>32</v>
      </c>
      <c r="B42" s="277" t="s">
        <v>102</v>
      </c>
      <c r="C42" s="303" t="s">
        <v>97</v>
      </c>
      <c r="D42" s="305" t="s">
        <v>98</v>
      </c>
      <c r="E42" s="294" t="s">
        <v>41</v>
      </c>
      <c r="F42" s="277">
        <v>65</v>
      </c>
      <c r="G42" s="277" t="s">
        <v>42</v>
      </c>
      <c r="H42" s="278" t="s">
        <v>99</v>
      </c>
      <c r="I42" s="280">
        <v>21600</v>
      </c>
      <c r="J42" s="280">
        <f>I42*8%</f>
        <v>1728</v>
      </c>
      <c r="K42" s="280">
        <f t="shared" si="12"/>
        <v>23328</v>
      </c>
      <c r="L42" s="281">
        <f t="shared" si="13"/>
        <v>1404000</v>
      </c>
      <c r="M42" s="281">
        <f t="shared" si="14"/>
        <v>1516320</v>
      </c>
      <c r="N42" s="282" t="s">
        <v>100</v>
      </c>
      <c r="O42" s="283">
        <v>25000</v>
      </c>
      <c r="P42" s="283">
        <f>O42*8%</f>
        <v>2000</v>
      </c>
      <c r="Q42" s="283">
        <f t="shared" si="16"/>
        <v>27000</v>
      </c>
      <c r="R42" s="284">
        <f t="shared" si="17"/>
        <v>1625000</v>
      </c>
      <c r="S42" s="284">
        <f t="shared" si="18"/>
        <v>1755000</v>
      </c>
      <c r="T42" s="285" t="s">
        <v>101</v>
      </c>
      <c r="U42" s="426">
        <v>26824</v>
      </c>
      <c r="V42" s="286">
        <f>U42*8%</f>
        <v>2145.92</v>
      </c>
      <c r="W42" s="286">
        <f t="shared" si="19"/>
        <v>28969.919999999998</v>
      </c>
      <c r="X42" s="287">
        <f t="shared" si="20"/>
        <v>1743560</v>
      </c>
      <c r="Y42" s="287">
        <f t="shared" si="21"/>
        <v>1883044.7999999998</v>
      </c>
      <c r="Z42" s="288">
        <f t="shared" si="56"/>
        <v>26432.639999999999</v>
      </c>
      <c r="AA42" s="288">
        <f t="shared" si="57"/>
        <v>1718121.5999999999</v>
      </c>
      <c r="AB42" s="288">
        <f t="shared" si="58"/>
        <v>186123.02926741756</v>
      </c>
      <c r="AC42" s="229">
        <f t="shared" si="59"/>
        <v>0.10832936927596834</v>
      </c>
      <c r="AD42" s="5"/>
      <c r="AE42" s="290" t="b">
        <f t="shared" si="26"/>
        <v>1</v>
      </c>
      <c r="AF42" s="291" t="s">
        <v>342</v>
      </c>
      <c r="AO42" s="292">
        <f>VLOOKUP(C42,ITEMS_BolsaOperador!$D$2:$AY$247,48,0)</f>
        <v>0.10832936927596835</v>
      </c>
      <c r="AP42" s="291" t="str">
        <f>VLOOKUP(C42,ITEMS_BolsaOperador!$D$2:$AY$247,1,0)</f>
        <v>Refrigerio Especial</v>
      </c>
      <c r="AQ42" s="291" t="str">
        <f>VLOOKUP(C42,ITEMS_BolsaOperador!$D$2:$AY$247,2,0)</f>
        <v>BEBIDA: Jugo natural  de fruta en agua o  néctares,  o refrescos de fruta,  con opción sin azúcar, o bajo en azúcar, o gaseosas ligth o normal; contenido mínimo 200 ml, en empaque comercial  duro ( no en bolsa, no de icopor o plástico), o servido en vaso de vidrio
ALIMENTO PRINCIPAL: Sánduche de jamón y/o queso o atún o pollo o espinaca y queso en pan común o integral  para sánduche,  ponqués o galletas o palito de queso o arepas  con queso o pasteles gloria, de pollo, de carne,  de queso, de harina  integral o comunes; porción entre  60 a 100 gr.
ACOMPAÑAMIENTO: Papas fritas de pollo o natural, o fruta deshidratada, paq de 30gr.
FRUTA: De temporada 150 gr.
EMPAQUE:  En bolsa plástica bio-degradable (si se requiere), preferiblemente que los productos se encuentren en empaques reciclables y/o biodegradables.
OPCIONAL: servicio de entrega al usuario final.</v>
      </c>
      <c r="AR42" s="291" t="str">
        <f>VLOOKUP(C42,ITEMS_BolsaOperador!$D$2:$AY$247,10,0)</f>
        <v>Esfera de Eventos</v>
      </c>
      <c r="AS42" s="291">
        <f>VLOOKUP(C42,ITEMS_BolsaOperador!$D$2:$AY$247,16,0)</f>
        <v>23328</v>
      </c>
      <c r="AT42" s="291" t="str">
        <f>VLOOKUP(C42,ITEMS_BolsaOperador!$D$2:$AY$247,23,0)</f>
        <v>Catering Depot</v>
      </c>
      <c r="AU42" s="291">
        <f>VLOOKUP(C42,ITEMS_BolsaOperador!$D$2:$AY$247,29,0)</f>
        <v>27000</v>
      </c>
      <c r="AV42" s="291" t="str">
        <f>VLOOKUP(C42,ITEMS_BolsaOperador!$D$2:$AY$247,36,0)</f>
        <v>D&amp;R PRODUCCIONES SAS</v>
      </c>
      <c r="AW42" s="291">
        <f>VLOOKUP(C42,ITEMS_BolsaOperador!$D$2:$AY$247,42,0)</f>
        <v>28969.919999999998</v>
      </c>
      <c r="AX42" s="293">
        <f>VLOOKUP(C42,ITEMS_BolsaOperador!$D$2:$AY$247,45,0)</f>
        <v>26432.639999999999</v>
      </c>
      <c r="AY42" s="293">
        <f>VLOOKUP(C42,ITEMS_BolsaOperador!$D$2:$AY$247,46,0)</f>
        <v>26432.639999999999</v>
      </c>
      <c r="AZ42" s="293">
        <f>VLOOKUP(C42,ITEMS_BolsaOperador!$D$2:$AY$247,47,0)</f>
        <v>2863.4312194987319</v>
      </c>
      <c r="BA42" s="229">
        <f>VLOOKUP(C42,ITEMS_BolsaOperador!$D$2:$AY$247,48,0)</f>
        <v>0.10832936927596835</v>
      </c>
      <c r="BC42" s="7" t="b">
        <f t="shared" si="27"/>
        <v>0</v>
      </c>
      <c r="BD42" s="7" t="b">
        <f t="shared" si="28"/>
        <v>0</v>
      </c>
      <c r="BE42" s="7" t="b">
        <f t="shared" si="29"/>
        <v>1</v>
      </c>
      <c r="BF42" s="7" t="b">
        <f t="shared" si="30"/>
        <v>0</v>
      </c>
      <c r="BG42" s="7" t="b">
        <f t="shared" si="31"/>
        <v>1</v>
      </c>
      <c r="BH42" s="7" t="b">
        <f t="shared" si="32"/>
        <v>1</v>
      </c>
      <c r="BI42" s="7" t="b">
        <f t="shared" si="33"/>
        <v>1</v>
      </c>
      <c r="BJ42" s="7" t="b">
        <f t="shared" si="34"/>
        <v>1</v>
      </c>
      <c r="BK42" s="7" t="b">
        <f t="shared" si="35"/>
        <v>0</v>
      </c>
      <c r="BL42" s="7" t="b">
        <f t="shared" si="36"/>
        <v>0</v>
      </c>
      <c r="BM42" s="7" t="b">
        <f t="shared" si="37"/>
        <v>1</v>
      </c>
      <c r="BP42" s="7">
        <v>32</v>
      </c>
    </row>
    <row r="43" spans="1:68" s="7" customFormat="1" ht="409.5" hidden="1" customHeight="1" x14ac:dyDescent="0.25">
      <c r="A43" s="276">
        <v>33</v>
      </c>
      <c r="B43" s="294" t="s">
        <v>138</v>
      </c>
      <c r="C43" s="306" t="s">
        <v>93</v>
      </c>
      <c r="D43" s="307" t="s">
        <v>94</v>
      </c>
      <c r="E43" s="277" t="s">
        <v>41</v>
      </c>
      <c r="F43" s="277">
        <v>550</v>
      </c>
      <c r="G43" s="277" t="s">
        <v>42</v>
      </c>
      <c r="H43" s="278" t="s">
        <v>95</v>
      </c>
      <c r="I43" s="280">
        <v>11700</v>
      </c>
      <c r="J43" s="280">
        <f>I43*8%</f>
        <v>936</v>
      </c>
      <c r="K43" s="280">
        <f t="shared" si="12"/>
        <v>12636</v>
      </c>
      <c r="L43" s="281">
        <f t="shared" si="13"/>
        <v>6435000</v>
      </c>
      <c r="M43" s="281">
        <f t="shared" si="14"/>
        <v>6949800</v>
      </c>
      <c r="N43" s="282" t="s">
        <v>50</v>
      </c>
      <c r="O43" s="283">
        <v>8570</v>
      </c>
      <c r="P43" s="283">
        <f>O43*8%</f>
        <v>685.6</v>
      </c>
      <c r="Q43" s="283">
        <f t="shared" si="16"/>
        <v>9255.6</v>
      </c>
      <c r="R43" s="284">
        <f t="shared" si="17"/>
        <v>4713500</v>
      </c>
      <c r="S43" s="284">
        <f t="shared" si="18"/>
        <v>5090580</v>
      </c>
      <c r="T43" s="285" t="s">
        <v>96</v>
      </c>
      <c r="U43" s="286">
        <v>13871</v>
      </c>
      <c r="V43" s="286"/>
      <c r="W43" s="286">
        <f t="shared" si="19"/>
        <v>13871</v>
      </c>
      <c r="X43" s="287">
        <f t="shared" si="20"/>
        <v>7629050</v>
      </c>
      <c r="Y43" s="287">
        <f t="shared" si="21"/>
        <v>7629050</v>
      </c>
      <c r="Z43" s="288">
        <f t="shared" si="56"/>
        <v>11920.866666666667</v>
      </c>
      <c r="AA43" s="288">
        <f t="shared" si="57"/>
        <v>6556476.666666667</v>
      </c>
      <c r="AB43" s="288">
        <f t="shared" si="58"/>
        <v>1314147.9820147105</v>
      </c>
      <c r="AC43" s="229">
        <f t="shared" si="59"/>
        <v>0.20043508866520948</v>
      </c>
      <c r="AD43" s="5"/>
      <c r="AE43" s="290" t="b">
        <f t="shared" si="26"/>
        <v>0</v>
      </c>
      <c r="AF43" s="291" t="s">
        <v>342</v>
      </c>
      <c r="AO43" s="292">
        <f>VLOOKUP(C43,ITEMS_BolsaOperador!$D$2:$AY$247,48,0)</f>
        <v>0.20043508866520951</v>
      </c>
      <c r="AP43" s="291" t="str">
        <f>VLOOKUP(C43,ITEMS_BolsaOperador!$D$2:$AY$247,1,0)</f>
        <v>Refrigerio Tipo 1</v>
      </c>
      <c r="AQ43" s="291" t="str">
        <f>VLOOKUP(C43,ITEMS_BolsaOperador!$D$2:$AY$247,2,0)</f>
        <v>Compuesto por:  _x000D_
1. Bebida: Deberá contener al menos 200 mililitros. Jugo de frutas y/o yogurt y/o kumis y/o avena, naturales no procesados, no se permitirá el suministro de bebidas empacadas en bolsa plástica, la Alcaldía Local de Suba requiere que las mismas sean entregadas a los asistentes en empaque tetra pack.  _x000D_
2. Un producto cereal   o producto de panadería tipo: Deberán tener un peso mínimo de 100 gramos. Podrá ser  Pastel de pollo o carne, ponqué, arepa, empanada, mantecada,  arepa con queso, pastel gloria, croissant de jamón y queso, brownie, buñuelo o similares. Los gramajes corresponden a los productos ya elaborados.    _x000D_
3. Una fruta de temporada: Porción de fruta no menor de 100 gramos. Mandarina, naranja,  manzana, pera, durazno o similares.  _x000D_
4. Dulce: Deberá tener mínimo entre 12 y 15 gramos. Chocolatina, Arequipe,  bocadillo o similares.</v>
      </c>
      <c r="AR43" s="291" t="str">
        <f>VLOOKUP(C43,ITEMS_BolsaOperador!$D$2:$AY$247,10,0)</f>
        <v>INVERSIONES BECORATI E Y O SAS</v>
      </c>
      <c r="AS43" s="291">
        <f>VLOOKUP(C43,ITEMS_BolsaOperador!$D$2:$AY$247,16,0)</f>
        <v>12636</v>
      </c>
      <c r="AT43" s="291" t="str">
        <f>VLOOKUP(C43,ITEMS_BolsaOperador!$D$2:$AY$247,23,0)</f>
        <v>ENTERPRISE INVESTMENT DEVELOPMENT S.A.S.</v>
      </c>
      <c r="AU43" s="291">
        <f>VLOOKUP(C43,ITEMS_BolsaOperador!$D$2:$AY$247,29,0)</f>
        <v>9255.6</v>
      </c>
      <c r="AV43" s="291" t="str">
        <f>VLOOKUP(C43,ITEMS_BolsaOperador!$D$2:$AY$247,36,0)</f>
        <v>Estimación de precios con base en el proceso FDLSUBA-LP-013-2025 (140689) – Contrato 1000 – 2025, indexando el incremento de precios en el mercado con base en el Índice de Precios al Consumidor (IPC) para el mes de marzo de 2026, el cual fue de 5,56%.</v>
      </c>
      <c r="AW43" s="291">
        <f>VLOOKUP(C43,ITEMS_BolsaOperador!$D$2:$AY$247,42,0)</f>
        <v>13871</v>
      </c>
      <c r="AX43" s="293">
        <f>VLOOKUP(C43,ITEMS_BolsaOperador!$D$2:$AY$247,45,0)</f>
        <v>11920.866666666667</v>
      </c>
      <c r="AY43" s="293">
        <f>VLOOKUP(C43,ITEMS_BolsaOperador!$D$2:$AY$247,46,0)</f>
        <v>11920.866666666667</v>
      </c>
      <c r="AZ43" s="293">
        <f>VLOOKUP(C43,ITEMS_BolsaOperador!$D$2:$AY$247,47,0)</f>
        <v>2389.3599672994737</v>
      </c>
      <c r="BA43" s="229">
        <f>VLOOKUP(C43,ITEMS_BolsaOperador!$D$2:$AY$247,48,0)</f>
        <v>0.20043508866520951</v>
      </c>
      <c r="BC43" s="7" t="b">
        <f t="shared" si="27"/>
        <v>0</v>
      </c>
      <c r="BD43" s="7" t="b">
        <f t="shared" si="28"/>
        <v>1</v>
      </c>
      <c r="BE43" s="7" t="b">
        <f t="shared" si="29"/>
        <v>1</v>
      </c>
      <c r="BF43" s="7" t="b">
        <f t="shared" si="30"/>
        <v>0</v>
      </c>
      <c r="BG43" s="7" t="b">
        <f t="shared" si="31"/>
        <v>1</v>
      </c>
      <c r="BH43" s="7" t="b">
        <f t="shared" si="32"/>
        <v>0</v>
      </c>
      <c r="BI43" s="7" t="b">
        <f t="shared" si="33"/>
        <v>1</v>
      </c>
      <c r="BJ43" s="7" t="b">
        <f t="shared" si="34"/>
        <v>1</v>
      </c>
      <c r="BK43" s="7" t="b">
        <f t="shared" si="35"/>
        <v>0</v>
      </c>
      <c r="BL43" s="7" t="b">
        <f t="shared" si="36"/>
        <v>0</v>
      </c>
      <c r="BM43" s="7" t="b">
        <f t="shared" si="37"/>
        <v>0</v>
      </c>
      <c r="BP43" s="7">
        <v>33</v>
      </c>
    </row>
    <row r="44" spans="1:68" s="7" customFormat="1" ht="405" hidden="1" x14ac:dyDescent="0.25">
      <c r="A44" s="276">
        <v>34</v>
      </c>
      <c r="B44" s="294" t="s">
        <v>138</v>
      </c>
      <c r="C44" s="300" t="s">
        <v>345</v>
      </c>
      <c r="D44" s="301" t="s">
        <v>86</v>
      </c>
      <c r="E44" s="277" t="s">
        <v>87</v>
      </c>
      <c r="F44" s="277">
        <v>108</v>
      </c>
      <c r="G44" s="277" t="s">
        <v>88</v>
      </c>
      <c r="H44" s="278" t="s">
        <v>89</v>
      </c>
      <c r="I44" s="280">
        <v>302522</v>
      </c>
      <c r="J44" s="280">
        <f t="shared" si="49"/>
        <v>57479.18</v>
      </c>
      <c r="K44" s="280">
        <f t="shared" si="12"/>
        <v>360001.18</v>
      </c>
      <c r="L44" s="281">
        <f t="shared" si="13"/>
        <v>32672376</v>
      </c>
      <c r="M44" s="281">
        <f t="shared" si="14"/>
        <v>38880127.439999998</v>
      </c>
      <c r="N44" s="282" t="s">
        <v>90</v>
      </c>
      <c r="O44" s="283">
        <v>252101</v>
      </c>
      <c r="P44" s="283">
        <f t="shared" si="50"/>
        <v>47899.19</v>
      </c>
      <c r="Q44" s="283">
        <f t="shared" si="16"/>
        <v>300000.19</v>
      </c>
      <c r="R44" s="284">
        <f t="shared" si="17"/>
        <v>27226908</v>
      </c>
      <c r="S44" s="284">
        <f t="shared" si="18"/>
        <v>32400020.52</v>
      </c>
      <c r="T44" s="285"/>
      <c r="U44" s="295"/>
      <c r="V44" s="286"/>
      <c r="W44" s="286"/>
      <c r="X44" s="287"/>
      <c r="Y44" s="287"/>
      <c r="Z44" s="288">
        <f t="shared" si="56"/>
        <v>330000.685</v>
      </c>
      <c r="AA44" s="288">
        <f t="shared" si="57"/>
        <v>35640073.979999997</v>
      </c>
      <c r="AB44" s="288">
        <f t="shared" si="58"/>
        <v>4582127.5459458707</v>
      </c>
      <c r="AC44" s="229">
        <f t="shared" si="59"/>
        <v>0.1285667237536377</v>
      </c>
      <c r="AD44" s="5"/>
      <c r="AE44" s="290" t="b">
        <f t="shared" si="26"/>
        <v>1</v>
      </c>
      <c r="AF44" s="7" t="s">
        <v>346</v>
      </c>
      <c r="AO44" s="292">
        <f>VLOOKUP(C44,ITEMS_BolsaOperador!$D$2:$AY$247,48,0)</f>
        <v>0.12856672375363773</v>
      </c>
      <c r="AP44" s="291" t="str">
        <f>VLOOKUP(C44,ITEMS_BolsaOperador!$D$2:$AY$247,1,0)</f>
        <v>Salón - Espacio Apto para 50 personas  (media jornada más equipos audiovisuales)</v>
      </c>
      <c r="AQ44" s="291" t="str">
        <f>VLOOKUP(C44,ITEMS_BolsaOperador!$D$2:$AY$247,2,0)</f>
        <v>Espacio físico para 50 personas con baño, sillas y mesas, ubicado en la localidad de Suba, con disponibilidad de espacio exterior para desarrollo de actividades_x000D_
Dotado con equipo de computo, video beam y sonido_x000D_
Jornada de 4 horas</v>
      </c>
      <c r="AR44" s="291" t="str">
        <f>VLOOKUP(C44,ITEMS_BolsaOperador!$D$2:$AY$247,10,0)</f>
        <v xml:space="preserve">JAC PRADO PINZON </v>
      </c>
      <c r="AS44" s="291">
        <f>VLOOKUP(C44,ITEMS_BolsaOperador!$D$2:$AY$247,16,0)</f>
        <v>360001.18</v>
      </c>
      <c r="AT44" s="291" t="str">
        <f>VLOOKUP(C44,ITEMS_BolsaOperador!$D$2:$AY$247,23,0)</f>
        <v>JAC URBANIZACION EL LAGUITO DE SUBA</v>
      </c>
      <c r="AU44" s="291">
        <f>VLOOKUP(C44,ITEMS_BolsaOperador!$D$2:$AY$247,29,0)</f>
        <v>300000.19</v>
      </c>
      <c r="AV44" s="291">
        <f>VLOOKUP(C44,ITEMS_BolsaOperador!$D$2:$AY$247,36,0)</f>
        <v>0</v>
      </c>
      <c r="AW44" s="291">
        <f>VLOOKUP(C44,ITEMS_BolsaOperador!$D$2:$AY$247,42,0)</f>
        <v>0</v>
      </c>
      <c r="AX44" s="293">
        <f>VLOOKUP(C44,ITEMS_BolsaOperador!$D$2:$AY$247,45,0)</f>
        <v>330000.685</v>
      </c>
      <c r="AY44" s="293">
        <f>VLOOKUP(C44,ITEMS_BolsaOperador!$D$2:$AY$247,46,0)</f>
        <v>330000.685</v>
      </c>
      <c r="AZ44" s="293">
        <f>VLOOKUP(C44,ITEMS_BolsaOperador!$D$2:$AY$247,47,0)</f>
        <v>42427.106906906221</v>
      </c>
      <c r="BA44" s="229">
        <f>VLOOKUP(C44,ITEMS_BolsaOperador!$D$2:$AY$247,48,0)</f>
        <v>0.12856672375363773</v>
      </c>
      <c r="BC44" s="7" t="b">
        <f t="shared" si="27"/>
        <v>0</v>
      </c>
      <c r="BD44" s="7" t="b">
        <f t="shared" si="28"/>
        <v>0</v>
      </c>
      <c r="BE44" s="7" t="b">
        <f t="shared" si="29"/>
        <v>1</v>
      </c>
      <c r="BF44" s="7" t="b">
        <f t="shared" si="30"/>
        <v>1</v>
      </c>
      <c r="BG44" s="7" t="b">
        <f t="shared" si="31"/>
        <v>1</v>
      </c>
      <c r="BH44" s="7" t="b">
        <f t="shared" si="32"/>
        <v>1</v>
      </c>
      <c r="BI44" s="7" t="b">
        <f t="shared" si="33"/>
        <v>1</v>
      </c>
      <c r="BJ44" s="7" t="b">
        <f t="shared" si="34"/>
        <v>1</v>
      </c>
      <c r="BK44" s="7" t="b">
        <f t="shared" si="35"/>
        <v>0</v>
      </c>
      <c r="BL44" s="7" t="b">
        <f t="shared" si="36"/>
        <v>0</v>
      </c>
      <c r="BM44" s="7" t="b">
        <f t="shared" si="37"/>
        <v>1</v>
      </c>
      <c r="BP44" s="7">
        <v>34</v>
      </c>
    </row>
    <row r="45" spans="1:68" s="7" customFormat="1" ht="138" hidden="1" customHeight="1" thickBot="1" x14ac:dyDescent="0.3">
      <c r="A45" s="276">
        <v>35</v>
      </c>
      <c r="B45" s="294" t="s">
        <v>138</v>
      </c>
      <c r="C45" s="308" t="s">
        <v>347</v>
      </c>
      <c r="D45" s="206" t="s">
        <v>352</v>
      </c>
      <c r="E45" s="412" t="s">
        <v>87</v>
      </c>
      <c r="F45" s="412">
        <v>5</v>
      </c>
      <c r="G45" s="277" t="s">
        <v>88</v>
      </c>
      <c r="H45" s="278" t="s">
        <v>89</v>
      </c>
      <c r="I45" s="280">
        <v>302522</v>
      </c>
      <c r="J45" s="280">
        <f t="shared" ref="J45" si="77">I45*19%</f>
        <v>57479.18</v>
      </c>
      <c r="K45" s="280">
        <f t="shared" si="12"/>
        <v>360001.18</v>
      </c>
      <c r="L45" s="281">
        <f t="shared" si="13"/>
        <v>1512610</v>
      </c>
      <c r="M45" s="281">
        <f t="shared" si="14"/>
        <v>1800005.9</v>
      </c>
      <c r="N45" s="282" t="s">
        <v>90</v>
      </c>
      <c r="O45" s="283">
        <v>252101</v>
      </c>
      <c r="P45" s="283">
        <f t="shared" ref="P45" si="78">O45*19%</f>
        <v>47899.19</v>
      </c>
      <c r="Q45" s="283">
        <f t="shared" si="16"/>
        <v>300000.19</v>
      </c>
      <c r="R45" s="284">
        <f t="shared" si="17"/>
        <v>1260505</v>
      </c>
      <c r="S45" s="284">
        <f t="shared" si="18"/>
        <v>1500000.95</v>
      </c>
      <c r="T45" s="285"/>
      <c r="U45" s="286"/>
      <c r="V45" s="286"/>
      <c r="W45" s="286"/>
      <c r="X45" s="287"/>
      <c r="Y45" s="287"/>
      <c r="Z45" s="288">
        <f t="shared" si="56"/>
        <v>330000.685</v>
      </c>
      <c r="AA45" s="288">
        <f t="shared" si="57"/>
        <v>1650003.425</v>
      </c>
      <c r="AB45" s="288">
        <f t="shared" si="58"/>
        <v>212135.53453453109</v>
      </c>
      <c r="AC45" s="229">
        <f t="shared" si="59"/>
        <v>0.1285667237536377</v>
      </c>
      <c r="AD45" s="5"/>
      <c r="AE45" s="290" t="b">
        <f t="shared" si="26"/>
        <v>1</v>
      </c>
      <c r="AF45" s="7" t="s">
        <v>348</v>
      </c>
      <c r="AO45" s="292">
        <f>VLOOKUP(C45,ITEMS_BolsaOperador!$D$2:$AY$247,48,0)</f>
        <v>0.12856672375363773</v>
      </c>
      <c r="AP45" s="291" t="str">
        <f>VLOOKUP(C45,ITEMS_BolsaOperador!$D$2:$AY$247,1,0)</f>
        <v>Salón - Espacio Apto para 100 personas  (media jornada más equipos audiovisuales)</v>
      </c>
      <c r="AQ45" s="291" t="str">
        <f>VLOOKUP(C45,ITEMS_BolsaOperador!$D$2:$AY$247,2,0)</f>
        <v>Espacio físico para 100 personas con baño, sillas y mesas, ubicado en la localidad de Suba, con disponibilidad de espacio exterior para desarrollo de actividades_x000D_
Dotado con equipo de computo, video beam y sonido_x000D_
Jornada de 4 horas</v>
      </c>
      <c r="AR45" s="291" t="str">
        <f>VLOOKUP(C45,ITEMS_BolsaOperador!$D$2:$AY$247,10,0)</f>
        <v xml:space="preserve">JAC PRADO PINZON </v>
      </c>
      <c r="AS45" s="291">
        <f>VLOOKUP(C45,ITEMS_BolsaOperador!$D$2:$AY$247,16,0)</f>
        <v>360001.18</v>
      </c>
      <c r="AT45" s="291" t="str">
        <f>VLOOKUP(C45,ITEMS_BolsaOperador!$D$2:$AY$247,23,0)</f>
        <v>JAC URBANIZACION EL LAGUITO DE SUBA</v>
      </c>
      <c r="AU45" s="291">
        <f>VLOOKUP(C45,ITEMS_BolsaOperador!$D$2:$AY$247,29,0)</f>
        <v>300000.19</v>
      </c>
      <c r="AV45" s="291">
        <f>VLOOKUP(C45,ITEMS_BolsaOperador!$D$2:$AY$247,36,0)</f>
        <v>0</v>
      </c>
      <c r="AW45" s="291">
        <f>VLOOKUP(C45,ITEMS_BolsaOperador!$D$2:$AY$247,42,0)</f>
        <v>0</v>
      </c>
      <c r="AX45" s="293" t="e">
        <f>VLOOKUP(C45,ITEMS_BolsaOperador!$D$254:$AY$276,45,0)</f>
        <v>#N/A</v>
      </c>
      <c r="AY45" s="293" t="e">
        <f>VLOOKUP(C45,ITEMS_BolsaOperador!$D$254:$AY$276,46,0)</f>
        <v>#N/A</v>
      </c>
      <c r="AZ45" s="293" t="e">
        <f>VLOOKUP(C45,ITEMS_BolsaOperador!$D$254:$AY$276,47,0)</f>
        <v>#N/A</v>
      </c>
      <c r="BA45" s="229" t="e">
        <f>VLOOKUP(C45,ITEMS_BolsaOperador!$D$254:$AY$276,48,0)</f>
        <v>#N/A</v>
      </c>
      <c r="BC45" s="7" t="b">
        <f t="shared" ref="BC45" si="79">AQ45=D45</f>
        <v>1</v>
      </c>
      <c r="BD45" s="7" t="b">
        <f t="shared" ref="BD45" si="80">AR45=H45</f>
        <v>0</v>
      </c>
      <c r="BE45" s="7" t="b">
        <f t="shared" ref="BE45" si="81">AS45=K45</f>
        <v>1</v>
      </c>
      <c r="BF45" s="7" t="b">
        <f t="shared" ref="BF45" si="82">N45=AT45</f>
        <v>1</v>
      </c>
      <c r="BG45" s="7" t="b">
        <f t="shared" ref="BG45" si="83">AU45=Q45</f>
        <v>1</v>
      </c>
      <c r="BH45" s="7" t="b">
        <f t="shared" ref="BH45" si="84">AV45=T45</f>
        <v>1</v>
      </c>
      <c r="BI45" s="7" t="b">
        <f t="shared" ref="BI45" si="85">AW45=W45</f>
        <v>1</v>
      </c>
      <c r="BJ45" s="7" t="e">
        <f t="shared" ref="BJ45" si="86">AX45=Z45</f>
        <v>#N/A</v>
      </c>
      <c r="BK45" s="7" t="e">
        <f t="shared" ref="BK45" si="87">AY45=AA45</f>
        <v>#N/A</v>
      </c>
      <c r="BL45" s="7" t="e">
        <f t="shared" ref="BL45" si="88">AZ45=AB45</f>
        <v>#N/A</v>
      </c>
      <c r="BM45" s="7" t="e">
        <f t="shared" ref="BM45" si="89">BA45=AC45</f>
        <v>#N/A</v>
      </c>
      <c r="BP45" s="7">
        <v>35</v>
      </c>
    </row>
    <row r="46" spans="1:68" s="7" customFormat="1" ht="409.5" hidden="1" customHeight="1" x14ac:dyDescent="0.25">
      <c r="A46" s="276">
        <v>36</v>
      </c>
      <c r="B46" s="309" t="s">
        <v>138</v>
      </c>
      <c r="C46" s="303" t="s">
        <v>97</v>
      </c>
      <c r="D46" s="305" t="s">
        <v>98</v>
      </c>
      <c r="E46" s="309" t="s">
        <v>41</v>
      </c>
      <c r="F46" s="343">
        <v>65</v>
      </c>
      <c r="G46" s="343" t="s">
        <v>42</v>
      </c>
      <c r="H46" s="278" t="s">
        <v>99</v>
      </c>
      <c r="I46" s="280">
        <v>21600</v>
      </c>
      <c r="J46" s="280">
        <f>I46*8%</f>
        <v>1728</v>
      </c>
      <c r="K46" s="280">
        <f t="shared" si="12"/>
        <v>23328</v>
      </c>
      <c r="L46" s="281">
        <f t="shared" si="13"/>
        <v>1404000</v>
      </c>
      <c r="M46" s="281">
        <f t="shared" si="14"/>
        <v>1516320</v>
      </c>
      <c r="N46" s="282" t="s">
        <v>100</v>
      </c>
      <c r="O46" s="283">
        <v>25000</v>
      </c>
      <c r="P46" s="283">
        <f>O46*8%</f>
        <v>2000</v>
      </c>
      <c r="Q46" s="283">
        <f t="shared" si="16"/>
        <v>27000</v>
      </c>
      <c r="R46" s="284">
        <f t="shared" si="17"/>
        <v>1625000</v>
      </c>
      <c r="S46" s="284">
        <f t="shared" si="18"/>
        <v>1755000</v>
      </c>
      <c r="T46" s="285" t="s">
        <v>101</v>
      </c>
      <c r="U46" s="426">
        <v>26824</v>
      </c>
      <c r="V46" s="286">
        <f>U46*8%</f>
        <v>2145.92</v>
      </c>
      <c r="W46" s="286">
        <f t="shared" si="19"/>
        <v>28969.919999999998</v>
      </c>
      <c r="X46" s="287">
        <f t="shared" si="20"/>
        <v>1743560</v>
      </c>
      <c r="Y46" s="287">
        <f t="shared" si="21"/>
        <v>1883044.7999999998</v>
      </c>
      <c r="Z46" s="288">
        <f t="shared" si="56"/>
        <v>26432.639999999999</v>
      </c>
      <c r="AA46" s="288">
        <f t="shared" si="57"/>
        <v>1718121.5999999999</v>
      </c>
      <c r="AB46" s="288">
        <f t="shared" si="58"/>
        <v>186123.02926741756</v>
      </c>
      <c r="AC46" s="229">
        <f t="shared" si="59"/>
        <v>0.10832936927596834</v>
      </c>
      <c r="AD46" s="5"/>
      <c r="AE46" s="290" t="b">
        <f t="shared" si="26"/>
        <v>1</v>
      </c>
      <c r="AF46" s="291" t="s">
        <v>342</v>
      </c>
      <c r="AO46" s="292">
        <f>VLOOKUP(C46,ITEMS_BolsaOperador!$D$2:$AY$247,48,0)</f>
        <v>0.10832936927596835</v>
      </c>
      <c r="AP46" s="291" t="str">
        <f>VLOOKUP(C46,ITEMS_BolsaOperador!$D$2:$AY$247,1,0)</f>
        <v>Refrigerio Especial</v>
      </c>
      <c r="AQ46" s="291" t="str">
        <f>VLOOKUP(C46,ITEMS_BolsaOperador!$D$2:$AY$247,2,0)</f>
        <v>BEBIDA: Jugo natural  de fruta en agua o  néctares,  o refrescos de fruta,  con opción sin azúcar, o bajo en azúcar, o gaseosas ligth o normal; contenido mínimo 200 ml, en empaque comercial  duro ( no en bolsa, no de icopor o plástico), o servido en vaso de vidrio
ALIMENTO PRINCIPAL: Sánduche de jamón y/o queso o atún o pollo o espinaca y queso en pan común o integral  para sánduche,  ponqués o galletas o palito de queso o arepas  con queso o pasteles gloria, de pollo, de carne,  de queso, de harina  integral o comunes; porción entre  60 a 100 gr.
ACOMPAÑAMIENTO: Papas fritas de pollo o natural, o fruta deshidratada, paq de 30gr.
FRUTA: De temporada 150 gr.
EMPAQUE:  En bolsa plástica bio-degradable (si se requiere), preferiblemente que los productos se encuentren en empaques reciclables y/o biodegradables.
OPCIONAL: servicio de entrega al usuario final.</v>
      </c>
      <c r="AR46" s="291" t="str">
        <f>VLOOKUP(C46,ITEMS_BolsaOperador!$D$2:$AY$247,10,0)</f>
        <v>Esfera de Eventos</v>
      </c>
      <c r="AS46" s="291">
        <f>VLOOKUP(C46,ITEMS_BolsaOperador!$D$2:$AY$247,16,0)</f>
        <v>23328</v>
      </c>
      <c r="AT46" s="291" t="str">
        <f>VLOOKUP(C46,ITEMS_BolsaOperador!$D$2:$AY$247,23,0)</f>
        <v>Catering Depot</v>
      </c>
      <c r="AU46" s="291">
        <f>VLOOKUP(C46,ITEMS_BolsaOperador!$D$2:$AY$247,29,0)</f>
        <v>27000</v>
      </c>
      <c r="AV46" s="291" t="str">
        <f>VLOOKUP(C46,ITEMS_BolsaOperador!$D$2:$AY$247,36,0)</f>
        <v>D&amp;R PRODUCCIONES SAS</v>
      </c>
      <c r="AW46" s="291">
        <f>VLOOKUP(C46,ITEMS_BolsaOperador!$D$2:$AY$247,42,0)</f>
        <v>28969.919999999998</v>
      </c>
      <c r="AX46" s="293">
        <f>VLOOKUP(C46,ITEMS_BolsaOperador!$D$2:$AY$247,45,0)</f>
        <v>26432.639999999999</v>
      </c>
      <c r="AY46" s="293">
        <f>VLOOKUP(C46,ITEMS_BolsaOperador!$D$2:$AY$247,46,0)</f>
        <v>26432.639999999999</v>
      </c>
      <c r="AZ46" s="293">
        <f>VLOOKUP(C46,ITEMS_BolsaOperador!$D$2:$AY$247,47,0)</f>
        <v>2863.4312194987319</v>
      </c>
      <c r="BA46" s="229">
        <f>VLOOKUP(C46,ITEMS_BolsaOperador!$D$2:$AY$247,48,0)</f>
        <v>0.10832936927596835</v>
      </c>
      <c r="BC46" s="7" t="b">
        <f t="shared" si="27"/>
        <v>0</v>
      </c>
      <c r="BD46" s="7" t="b">
        <f t="shared" si="28"/>
        <v>0</v>
      </c>
      <c r="BE46" s="7" t="b">
        <f t="shared" si="29"/>
        <v>1</v>
      </c>
      <c r="BF46" s="7" t="b">
        <f t="shared" si="30"/>
        <v>0</v>
      </c>
      <c r="BG46" s="7" t="b">
        <f t="shared" si="31"/>
        <v>1</v>
      </c>
      <c r="BH46" s="7" t="b">
        <f t="shared" si="32"/>
        <v>1</v>
      </c>
      <c r="BI46" s="7" t="b">
        <f t="shared" si="33"/>
        <v>1</v>
      </c>
      <c r="BJ46" s="7" t="b">
        <f t="shared" si="34"/>
        <v>1</v>
      </c>
      <c r="BK46" s="7" t="b">
        <f t="shared" si="35"/>
        <v>0</v>
      </c>
      <c r="BL46" s="7" t="b">
        <f t="shared" si="36"/>
        <v>0</v>
      </c>
      <c r="BM46" s="7" t="b">
        <f t="shared" si="37"/>
        <v>1</v>
      </c>
      <c r="BP46" s="7">
        <v>36</v>
      </c>
    </row>
    <row r="47" spans="1:68" s="7" customFormat="1" ht="128.25" hidden="1" customHeight="1" x14ac:dyDescent="0.25">
      <c r="A47" s="276">
        <v>37</v>
      </c>
      <c r="B47" s="309" t="s">
        <v>138</v>
      </c>
      <c r="C47" s="303" t="s">
        <v>139</v>
      </c>
      <c r="D47" s="305" t="s">
        <v>140</v>
      </c>
      <c r="E47" s="294" t="s">
        <v>141</v>
      </c>
      <c r="F47" s="277">
        <v>25</v>
      </c>
      <c r="G47" s="277" t="s">
        <v>42</v>
      </c>
      <c r="H47" s="278" t="s">
        <v>43</v>
      </c>
      <c r="I47" s="280">
        <v>13277.31</v>
      </c>
      <c r="J47" s="280">
        <f t="shared" si="49"/>
        <v>2522.6889000000001</v>
      </c>
      <c r="K47" s="280">
        <f t="shared" si="12"/>
        <v>15799.998899999999</v>
      </c>
      <c r="L47" s="281">
        <f t="shared" si="13"/>
        <v>331932.75</v>
      </c>
      <c r="M47" s="281">
        <f t="shared" si="14"/>
        <v>394999.97249999997</v>
      </c>
      <c r="N47" s="282" t="s">
        <v>142</v>
      </c>
      <c r="O47" s="283">
        <v>16369.75</v>
      </c>
      <c r="P47" s="283">
        <f>O47*19%</f>
        <v>3110.2525000000001</v>
      </c>
      <c r="Q47" s="283">
        <f t="shared" si="16"/>
        <v>19480.002499999999</v>
      </c>
      <c r="R47" s="284">
        <f t="shared" si="17"/>
        <v>409243.75</v>
      </c>
      <c r="S47" s="284">
        <f t="shared" si="18"/>
        <v>487000.06249999994</v>
      </c>
      <c r="T47" s="285" t="s">
        <v>143</v>
      </c>
      <c r="U47" s="295">
        <v>14621.85</v>
      </c>
      <c r="V47" s="286">
        <f t="shared" si="55"/>
        <v>2778.1514999999999</v>
      </c>
      <c r="W47" s="286">
        <f t="shared" si="19"/>
        <v>17400.001499999998</v>
      </c>
      <c r="X47" s="287">
        <f t="shared" si="20"/>
        <v>365546.25</v>
      </c>
      <c r="Y47" s="287">
        <f t="shared" si="21"/>
        <v>435000.03749999998</v>
      </c>
      <c r="Z47" s="288">
        <f t="shared" si="56"/>
        <v>17560.000966666663</v>
      </c>
      <c r="AA47" s="288">
        <f t="shared" si="57"/>
        <v>439000.02416666655</v>
      </c>
      <c r="AB47" s="288">
        <f t="shared" si="58"/>
        <v>46130.294384516521</v>
      </c>
      <c r="AC47" s="229">
        <f t="shared" si="59"/>
        <v>0.10508039144663722</v>
      </c>
      <c r="AD47" s="5"/>
      <c r="AE47" s="290" t="b">
        <f t="shared" si="26"/>
        <v>0</v>
      </c>
      <c r="AF47" s="291" t="s">
        <v>342</v>
      </c>
      <c r="AO47" s="292">
        <f>VLOOKUP(C47,ITEMS_BolsaOperador!$D$2:$AY$247,48,0)</f>
        <v>0.10508029699016665</v>
      </c>
      <c r="AP47" s="291" t="str">
        <f>VLOOKUP(C47,ITEMS_BolsaOperador!$D$2:$AY$247,1,0)</f>
        <v>Agua en botella x 24 unidades 300 ml</v>
      </c>
      <c r="AQ47" s="291" t="str">
        <f>VLOOKUP(C47,ITEMS_BolsaOperador!$D$2:$AY$247,2,0)</f>
        <v>Bandeja X 24 unidades de agua en botella por 300 ML.</v>
      </c>
      <c r="AR47" s="291" t="str">
        <f>VLOOKUP(C47,ITEMS_BolsaOperador!$D$2:$AY$247,10,0)</f>
        <v>Exito</v>
      </c>
      <c r="AS47" s="291">
        <f>VLOOKUP(C47,ITEMS_BolsaOperador!$D$2:$AY$247,16,0)</f>
        <v>15800.000000000002</v>
      </c>
      <c r="AT47" s="291" t="str">
        <f>VLOOKUP(C47,ITEMS_BolsaOperador!$D$2:$AY$247,23,0)</f>
        <v>Olimpica</v>
      </c>
      <c r="AU47" s="291">
        <f>VLOOKUP(C47,ITEMS_BolsaOperador!$D$2:$AY$247,29,0)</f>
        <v>19480</v>
      </c>
      <c r="AV47" s="291" t="str">
        <f>VLOOKUP(C47,ITEMS_BolsaOperador!$D$2:$AY$247,36,0)</f>
        <v>Tiendas Jumbo</v>
      </c>
      <c r="AW47" s="291">
        <f>VLOOKUP(C47,ITEMS_BolsaOperador!$D$2:$AY$247,42,0)</f>
        <v>17400</v>
      </c>
      <c r="AX47" s="293">
        <f>VLOOKUP(C47,ITEMS_BolsaOperador!$D$2:$AY$247,45,0)</f>
        <v>17560</v>
      </c>
      <c r="AY47" s="293">
        <f>VLOOKUP(C47,ITEMS_BolsaOperador!$D$2:$AY$247,46,0)</f>
        <v>17560</v>
      </c>
      <c r="AZ47" s="293">
        <f>VLOOKUP(C47,ITEMS_BolsaOperador!$D$2:$AY$247,47,0)</f>
        <v>1845.2100151473264</v>
      </c>
      <c r="BA47" s="229">
        <f>VLOOKUP(C47,ITEMS_BolsaOperador!$D$2:$AY$247,48,0)</f>
        <v>0.10508029699016665</v>
      </c>
      <c r="BC47" s="7" t="b">
        <f t="shared" si="27"/>
        <v>1</v>
      </c>
      <c r="BD47" s="7" t="b">
        <f t="shared" si="28"/>
        <v>1</v>
      </c>
      <c r="BE47" s="7" t="b">
        <f t="shared" si="29"/>
        <v>0</v>
      </c>
      <c r="BF47" s="7" t="b">
        <f t="shared" si="30"/>
        <v>1</v>
      </c>
      <c r="BG47" s="7" t="b">
        <f t="shared" si="31"/>
        <v>0</v>
      </c>
      <c r="BH47" s="7" t="b">
        <f t="shared" si="32"/>
        <v>1</v>
      </c>
      <c r="BI47" s="7" t="b">
        <f t="shared" si="33"/>
        <v>0</v>
      </c>
      <c r="BJ47" s="7" t="b">
        <f t="shared" si="34"/>
        <v>0</v>
      </c>
      <c r="BK47" s="7" t="b">
        <f t="shared" si="35"/>
        <v>0</v>
      </c>
      <c r="BL47" s="7" t="b">
        <f t="shared" si="36"/>
        <v>0</v>
      </c>
      <c r="BM47" s="7" t="b">
        <f t="shared" si="37"/>
        <v>0</v>
      </c>
      <c r="BP47" s="7">
        <v>37</v>
      </c>
    </row>
    <row r="48" spans="1:68" s="7" customFormat="1" ht="203.25" hidden="1" customHeight="1" x14ac:dyDescent="0.25">
      <c r="A48" s="276">
        <v>38</v>
      </c>
      <c r="B48" s="309" t="s">
        <v>138</v>
      </c>
      <c r="C48" s="306" t="s">
        <v>144</v>
      </c>
      <c r="D48" s="307" t="s">
        <v>145</v>
      </c>
      <c r="E48" s="309" t="s">
        <v>41</v>
      </c>
      <c r="F48" s="343">
        <v>60</v>
      </c>
      <c r="G48" s="343" t="s">
        <v>42</v>
      </c>
      <c r="H48" s="278" t="s">
        <v>48</v>
      </c>
      <c r="I48" s="280">
        <v>40250</v>
      </c>
      <c r="J48" s="280">
        <f t="shared" si="49"/>
        <v>7647.5</v>
      </c>
      <c r="K48" s="280">
        <f t="shared" si="12"/>
        <v>47897.5</v>
      </c>
      <c r="L48" s="281">
        <f t="shared" si="13"/>
        <v>2415000</v>
      </c>
      <c r="M48" s="281">
        <f t="shared" si="14"/>
        <v>2873850</v>
      </c>
      <c r="N48" s="282" t="s">
        <v>53</v>
      </c>
      <c r="O48" s="283">
        <v>41000</v>
      </c>
      <c r="P48" s="283">
        <f t="shared" si="50"/>
        <v>7790</v>
      </c>
      <c r="Q48" s="283">
        <f t="shared" si="16"/>
        <v>48790</v>
      </c>
      <c r="R48" s="284">
        <f t="shared" si="17"/>
        <v>2460000</v>
      </c>
      <c r="S48" s="284">
        <f t="shared" si="18"/>
        <v>2927400</v>
      </c>
      <c r="T48" s="285"/>
      <c r="U48" s="286"/>
      <c r="V48" s="286"/>
      <c r="W48" s="286"/>
      <c r="X48" s="287"/>
      <c r="Y48" s="287"/>
      <c r="Z48" s="288">
        <f t="shared" si="56"/>
        <v>48343.75</v>
      </c>
      <c r="AA48" s="288">
        <f t="shared" si="57"/>
        <v>2900625</v>
      </c>
      <c r="AB48" s="288">
        <f t="shared" si="58"/>
        <v>37865.568132539622</v>
      </c>
      <c r="AC48" s="229">
        <f t="shared" si="59"/>
        <v>1.3054279037290109E-2</v>
      </c>
      <c r="AD48" s="5"/>
      <c r="AE48" s="290" t="b">
        <f t="shared" si="26"/>
        <v>0</v>
      </c>
      <c r="AF48" s="291" t="s">
        <v>344</v>
      </c>
      <c r="AO48" s="292">
        <f>VLOOKUP(C48,ITEMS_BolsaOperador!$D$254:$AY$276,48,0)</f>
        <v>1.3100000000000001E-2</v>
      </c>
      <c r="AP48" s="291" t="str">
        <f>VLOOKUP(C48,ITEMS_BolsaOperador!$D$254:$AY$276,1,0)</f>
        <v xml:space="preserve">MAT PARA YOGA </v>
      </c>
      <c r="AQ48" s="291" t="str">
        <f>VLOOKUP(C48,ITEMS_BolsaOperador!$D$254:$AY$276,2,0)</f>
        <v xml:space="preserve">Tapete para realizar ejercicios de pilates, yoga, aeróbicos, estiramiento, etc. en PVC antideslizante estable para el momento del ejercicio. medidas 175cm x 56vm x 10mm. Deberán ser adquiridos en comercios reconocidos, pertenecer a marcas tradicionales o de amplia trayectoria, contar con garantía mínima de un (1) año y cumplir estándares de calidad y durabilidad, asegurando respaldo y soporte posventa. </v>
      </c>
      <c r="AR48" s="291" t="str">
        <f>VLOOKUP(C48,ITEMS_BolsaOperador!$D$254:$AY$276,10,0)</f>
        <v>GUERRA EDITORES</v>
      </c>
      <c r="AS48" s="291">
        <f>VLOOKUP(C48,ITEMS_BolsaOperador!$D$254:$AY$276,16,0)</f>
        <v>47898</v>
      </c>
      <c r="AT48" s="291" t="str">
        <f>VLOOKUP(C48,ITEMS_BolsaOperador!$D$254:$AY$276,23,0)</f>
        <v xml:space="preserve"> COMTEC </v>
      </c>
      <c r="AU48" s="291">
        <f>VLOOKUP(C48,ITEMS_BolsaOperador!$D$254:$AY$276,29,0)</f>
        <v>48790</v>
      </c>
      <c r="AV48" s="291">
        <f>VLOOKUP(C48,ITEMS_BolsaOperador!$D$254:$AY$276,36,0)</f>
        <v>0</v>
      </c>
      <c r="AW48" s="291">
        <f>VLOOKUP(C48,ITEMS_BolsaOperador!$D$254:$AY$276,42,0)</f>
        <v>0</v>
      </c>
      <c r="AX48" s="293">
        <f>VLOOKUP(C48,ITEMS_BolsaOperador!$D$254:$AY$276,45,0)</f>
        <v>48343.75</v>
      </c>
      <c r="AY48" s="293">
        <f>VLOOKUP(C48,ITEMS_BolsaOperador!$D$254:$AY$276,46,0)</f>
        <v>48343.75</v>
      </c>
      <c r="AZ48" s="293">
        <f>VLOOKUP(C48,ITEMS_BolsaOperador!$D$254:$AY$276,47,0)</f>
        <v>631.09</v>
      </c>
      <c r="BA48" s="229">
        <f>VLOOKUP(C48,ITEMS_BolsaOperador!$D$254:$AY$276,48,0)</f>
        <v>1.3100000000000001E-2</v>
      </c>
      <c r="BC48" s="7" t="b">
        <f t="shared" si="27"/>
        <v>1</v>
      </c>
      <c r="BD48" s="7" t="b">
        <f t="shared" si="28"/>
        <v>1</v>
      </c>
      <c r="BE48" s="7" t="b">
        <f t="shared" si="29"/>
        <v>0</v>
      </c>
      <c r="BF48" s="7" t="b">
        <f t="shared" si="30"/>
        <v>0</v>
      </c>
      <c r="BG48" s="7" t="b">
        <f t="shared" si="31"/>
        <v>1</v>
      </c>
      <c r="BH48" s="7" t="b">
        <f t="shared" si="32"/>
        <v>1</v>
      </c>
      <c r="BI48" s="7" t="b">
        <f t="shared" si="33"/>
        <v>1</v>
      </c>
      <c r="BJ48" s="7" t="b">
        <f t="shared" si="34"/>
        <v>1</v>
      </c>
      <c r="BK48" s="7" t="b">
        <f t="shared" si="35"/>
        <v>0</v>
      </c>
      <c r="BL48" s="7" t="b">
        <f t="shared" si="36"/>
        <v>0</v>
      </c>
      <c r="BM48" s="7" t="b">
        <f t="shared" si="37"/>
        <v>0</v>
      </c>
      <c r="BP48" s="7">
        <v>38</v>
      </c>
    </row>
    <row r="49" spans="1:68" s="7" customFormat="1" ht="240" hidden="1" x14ac:dyDescent="0.35">
      <c r="A49" s="276">
        <v>39</v>
      </c>
      <c r="B49" s="309" t="s">
        <v>138</v>
      </c>
      <c r="C49" s="277" t="s">
        <v>39</v>
      </c>
      <c r="D49" s="137" t="s">
        <v>40</v>
      </c>
      <c r="E49" s="309" t="s">
        <v>41</v>
      </c>
      <c r="F49" s="343">
        <v>60</v>
      </c>
      <c r="G49" s="277" t="s">
        <v>42</v>
      </c>
      <c r="H49" s="278" t="s">
        <v>43</v>
      </c>
      <c r="I49" s="280">
        <v>5033.6099999999997</v>
      </c>
      <c r="J49" s="280">
        <f t="shared" ref="J49" si="90">I49*19%</f>
        <v>956.38589999999999</v>
      </c>
      <c r="K49" s="280">
        <f t="shared" si="12"/>
        <v>5989.9958999999999</v>
      </c>
      <c r="L49" s="281">
        <f t="shared" si="13"/>
        <v>302016.59999999998</v>
      </c>
      <c r="M49" s="281">
        <f t="shared" si="14"/>
        <v>359399.75400000002</v>
      </c>
      <c r="N49" s="282" t="s">
        <v>44</v>
      </c>
      <c r="O49" s="283">
        <v>5462.18</v>
      </c>
      <c r="P49" s="283">
        <f t="shared" ref="P49" si="91">O49*19%</f>
        <v>1037.8142</v>
      </c>
      <c r="Q49" s="283">
        <f t="shared" si="16"/>
        <v>6499.9942000000001</v>
      </c>
      <c r="R49" s="284">
        <f t="shared" si="17"/>
        <v>327730.80000000005</v>
      </c>
      <c r="S49" s="284">
        <f t="shared" si="18"/>
        <v>389999.652</v>
      </c>
      <c r="T49" s="285" t="s">
        <v>45</v>
      </c>
      <c r="U49" s="286">
        <v>4201.68</v>
      </c>
      <c r="V49" s="286">
        <f t="shared" ref="V49" si="92">U49*19%</f>
        <v>798.31920000000002</v>
      </c>
      <c r="W49" s="286">
        <f t="shared" si="19"/>
        <v>4999.9992000000002</v>
      </c>
      <c r="X49" s="287">
        <f t="shared" si="20"/>
        <v>252100.80000000002</v>
      </c>
      <c r="Y49" s="287">
        <f t="shared" si="21"/>
        <v>299999.95199999999</v>
      </c>
      <c r="Z49" s="288">
        <f t="shared" si="56"/>
        <v>5829.9964333333337</v>
      </c>
      <c r="AA49" s="288">
        <f t="shared" si="57"/>
        <v>349799.78600000002</v>
      </c>
      <c r="AB49" s="288">
        <f t="shared" si="58"/>
        <v>45761.403379083953</v>
      </c>
      <c r="AC49" s="229">
        <f t="shared" si="59"/>
        <v>0.13082170204381985</v>
      </c>
      <c r="AD49" s="5"/>
      <c r="AE49" s="290" t="b">
        <f t="shared" si="26"/>
        <v>0</v>
      </c>
      <c r="AF49" s="291" t="s">
        <v>342</v>
      </c>
      <c r="AO49" s="292">
        <f>VLOOKUP(C49,ITEMS_BolsaOperador!$D$2:$AY$247,48,0)</f>
        <v>0.13082205808348779</v>
      </c>
      <c r="AP49" s="291" t="str">
        <f>VLOOKUP(C49,ITEMS_BolsaOperador!$D$2:$AY$247,1,0)</f>
        <v>Cuaderno 100 hojas</v>
      </c>
      <c r="AQ49" s="291" t="str">
        <f>VLOOKUP(C49,ITEMS_BolsaOperador!$D$2:$AY$247,2,0)</f>
        <v>Cuaderno argollado de 100 hojas cuadriculadas, gramaje de 60g a 75g. Carátula en cartón rígido plastificado, espiral metálico sencillo o doble</v>
      </c>
      <c r="AR49" s="291" t="str">
        <f>VLOOKUP(C49,ITEMS_BolsaOperador!$D$2:$AY$247,10,0)</f>
        <v>Exito</v>
      </c>
      <c r="AS49" s="291">
        <f>VLOOKUP(C49,ITEMS_BolsaOperador!$D$2:$AY$247,16,0)</f>
        <v>5990</v>
      </c>
      <c r="AT49" s="291" t="str">
        <f>VLOOKUP(C49,ITEMS_BolsaOperador!$D$2:$AY$247,23,0)</f>
        <v>Multiexpress</v>
      </c>
      <c r="AU49" s="291">
        <f>VLOOKUP(C49,ITEMS_BolsaOperador!$D$2:$AY$247,29,0)</f>
        <v>6500</v>
      </c>
      <c r="AV49" s="291" t="str">
        <f>VLOOKUP(C49,ITEMS_BolsaOperador!$D$2:$AY$247,36,0)</f>
        <v>Gran Papelera</v>
      </c>
      <c r="AW49" s="291">
        <f>VLOOKUP(C49,ITEMS_BolsaOperador!$D$2:$AY$247,42,0)</f>
        <v>5000</v>
      </c>
      <c r="AX49" s="293">
        <f>VLOOKUP(C49,ITEMS_BolsaOperador!$D$2:$AY$247,45,0)</f>
        <v>5830</v>
      </c>
      <c r="AY49" s="293">
        <f>VLOOKUP(C49,ITEMS_BolsaOperador!$D$2:$AY$247,46,0)</f>
        <v>5830</v>
      </c>
      <c r="AZ49" s="293">
        <f>VLOOKUP(C49,ITEMS_BolsaOperador!$D$2:$AY$247,47,0)</f>
        <v>762.6925986267338</v>
      </c>
      <c r="BA49" s="229">
        <f>VLOOKUP(C49,ITEMS_BolsaOperador!$D$2:$AY$247,48,0)</f>
        <v>0.13082205808348779</v>
      </c>
      <c r="BC49" s="7" t="b">
        <f t="shared" si="27"/>
        <v>1</v>
      </c>
      <c r="BD49" s="7" t="b">
        <f t="shared" si="28"/>
        <v>1</v>
      </c>
      <c r="BE49" s="7" t="b">
        <f t="shared" si="29"/>
        <v>0</v>
      </c>
      <c r="BF49" s="7" t="b">
        <f t="shared" si="30"/>
        <v>1</v>
      </c>
      <c r="BG49" s="7" t="b">
        <f t="shared" si="31"/>
        <v>0</v>
      </c>
      <c r="BH49" s="7" t="b">
        <f t="shared" si="32"/>
        <v>1</v>
      </c>
      <c r="BI49" s="7" t="b">
        <f t="shared" si="33"/>
        <v>0</v>
      </c>
      <c r="BJ49" s="7" t="b">
        <f t="shared" si="34"/>
        <v>0</v>
      </c>
      <c r="BK49" s="7" t="b">
        <f t="shared" si="35"/>
        <v>0</v>
      </c>
      <c r="BL49" s="7" t="b">
        <f t="shared" si="36"/>
        <v>0</v>
      </c>
      <c r="BM49" s="7" t="b">
        <f t="shared" si="37"/>
        <v>0</v>
      </c>
      <c r="BP49" s="7">
        <v>39</v>
      </c>
    </row>
    <row r="50" spans="1:68" s="7" customFormat="1" ht="330" hidden="1" x14ac:dyDescent="0.35">
      <c r="A50" s="276">
        <v>40</v>
      </c>
      <c r="B50" s="309" t="s">
        <v>138</v>
      </c>
      <c r="C50" s="277" t="s">
        <v>46</v>
      </c>
      <c r="D50" s="137" t="s">
        <v>47</v>
      </c>
      <c r="E50" s="309" t="s">
        <v>41</v>
      </c>
      <c r="F50" s="343">
        <v>6</v>
      </c>
      <c r="G50" s="343" t="s">
        <v>42</v>
      </c>
      <c r="H50" s="278" t="s">
        <v>48</v>
      </c>
      <c r="I50" s="280">
        <v>5407.56</v>
      </c>
      <c r="J50" s="280">
        <f t="shared" si="49"/>
        <v>1027.4364</v>
      </c>
      <c r="K50" s="280">
        <f t="shared" si="12"/>
        <v>6434.9964</v>
      </c>
      <c r="L50" s="281">
        <f t="shared" si="13"/>
        <v>32445.360000000001</v>
      </c>
      <c r="M50" s="281">
        <f t="shared" si="14"/>
        <v>38609.9784</v>
      </c>
      <c r="N50" s="282" t="s">
        <v>49</v>
      </c>
      <c r="O50" s="283">
        <v>4628.57</v>
      </c>
      <c r="P50" s="283">
        <f t="shared" si="50"/>
        <v>879.42829999999992</v>
      </c>
      <c r="Q50" s="283">
        <f t="shared" si="16"/>
        <v>5507.9982999999993</v>
      </c>
      <c r="R50" s="284">
        <f t="shared" si="17"/>
        <v>27771.42</v>
      </c>
      <c r="S50" s="284">
        <f t="shared" si="18"/>
        <v>33047.989799999996</v>
      </c>
      <c r="T50" s="285" t="s">
        <v>50</v>
      </c>
      <c r="U50" s="286">
        <v>4968.91</v>
      </c>
      <c r="V50" s="286">
        <f t="shared" si="55"/>
        <v>944.09289999999999</v>
      </c>
      <c r="W50" s="286">
        <f t="shared" si="19"/>
        <v>5913.0028999999995</v>
      </c>
      <c r="X50" s="287">
        <f t="shared" si="20"/>
        <v>29813.46</v>
      </c>
      <c r="Y50" s="287">
        <f t="shared" si="21"/>
        <v>35478.017399999997</v>
      </c>
      <c r="Z50" s="288">
        <f t="shared" si="56"/>
        <v>5951.9991999999993</v>
      </c>
      <c r="AA50" s="288">
        <f t="shared" si="57"/>
        <v>35711.995199999998</v>
      </c>
      <c r="AB50" s="288">
        <f t="shared" si="58"/>
        <v>2788.3666374424529</v>
      </c>
      <c r="AC50" s="229">
        <f t="shared" si="59"/>
        <v>7.807927341574164E-2</v>
      </c>
      <c r="AD50" s="5"/>
      <c r="AE50" s="290" t="b">
        <f t="shared" si="26"/>
        <v>0</v>
      </c>
      <c r="AF50" s="291" t="s">
        <v>342</v>
      </c>
      <c r="AO50" s="292">
        <f>VLOOKUP(C50,ITEMS_BolsaOperador!$D$2:$AY$247,48,0)</f>
        <v>7.8079461233536068E-2</v>
      </c>
      <c r="AP50" s="291" t="str">
        <f>VLOOKUP(C50,ITEMS_BolsaOperador!$D$2:$AY$247,1,0)</f>
        <v xml:space="preserve">Esfero cualquier color caja x 10 </v>
      </c>
      <c r="AQ50" s="291" t="str">
        <f>VLOOKUP(C50,ITEMS_BolsaOperador!$D$2:$AY$247,2,0)</f>
        <v>Caja de 10 bolígrafos con tinta suave de baja viscosidad en colores variados. Cuerpo ergonómico transparente para control de tinta, punta de tungsteno para trazos precisos y tapa de seguridad ventilada.</v>
      </c>
      <c r="AR50" s="291" t="str">
        <f>VLOOKUP(C50,ITEMS_BolsaOperador!$D$2:$AY$247,10,0)</f>
        <v>GUERRA EDITORES</v>
      </c>
      <c r="AS50" s="291">
        <f>VLOOKUP(C50,ITEMS_BolsaOperador!$D$2:$AY$247,16,0)</f>
        <v>6435.0000000000009</v>
      </c>
      <c r="AT50" s="291" t="str">
        <f>VLOOKUP(C50,ITEMS_BolsaOperador!$D$2:$AY$247,23,0)</f>
        <v>LIBRERIA Y PAPELERIA TIENDA ESTUDIANTIL LTDA</v>
      </c>
      <c r="AU50" s="291">
        <f>VLOOKUP(C50,ITEMS_BolsaOperador!$D$2:$AY$247,29,0)</f>
        <v>5508</v>
      </c>
      <c r="AV50" s="291" t="str">
        <f>VLOOKUP(C50,ITEMS_BolsaOperador!$D$2:$AY$247,36,0)</f>
        <v>ENTREPRISE</v>
      </c>
      <c r="AW50" s="291">
        <f>VLOOKUP(C50,ITEMS_BolsaOperador!$D$2:$AY$247,42,0)</f>
        <v>5913</v>
      </c>
      <c r="AX50" s="293">
        <f>VLOOKUP(C50,ITEMS_BolsaOperador!$D$2:$AY$247,45,0)</f>
        <v>5952</v>
      </c>
      <c r="AY50" s="293">
        <f>VLOOKUP(C50,ITEMS_BolsaOperador!$D$2:$AY$247,46,0)</f>
        <v>5952</v>
      </c>
      <c r="AZ50" s="293">
        <f>VLOOKUP(C50,ITEMS_BolsaOperador!$D$2:$AY$247,47,0)</f>
        <v>464.72895326200671</v>
      </c>
      <c r="BA50" s="229">
        <f>VLOOKUP(C50,ITEMS_BolsaOperador!$D$2:$AY$247,48,0)</f>
        <v>7.8079461233536068E-2</v>
      </c>
      <c r="BC50" s="7" t="b">
        <f t="shared" si="27"/>
        <v>1</v>
      </c>
      <c r="BD50" s="7" t="b">
        <f t="shared" si="28"/>
        <v>1</v>
      </c>
      <c r="BE50" s="7" t="b">
        <f t="shared" si="29"/>
        <v>0</v>
      </c>
      <c r="BF50" s="7" t="b">
        <f t="shared" si="30"/>
        <v>0</v>
      </c>
      <c r="BG50" s="7" t="b">
        <f t="shared" si="31"/>
        <v>0</v>
      </c>
      <c r="BH50" s="7" t="b">
        <f t="shared" si="32"/>
        <v>0</v>
      </c>
      <c r="BI50" s="7" t="b">
        <f t="shared" si="33"/>
        <v>0</v>
      </c>
      <c r="BJ50" s="7" t="b">
        <f t="shared" si="34"/>
        <v>0</v>
      </c>
      <c r="BK50" s="7" t="b">
        <f t="shared" si="35"/>
        <v>0</v>
      </c>
      <c r="BL50" s="7" t="b">
        <f t="shared" si="36"/>
        <v>0</v>
      </c>
      <c r="BM50" s="7" t="b">
        <f t="shared" si="37"/>
        <v>0</v>
      </c>
      <c r="BP50" s="7">
        <v>40</v>
      </c>
    </row>
    <row r="51" spans="1:68" s="7" customFormat="1" ht="299.25" hidden="1" x14ac:dyDescent="0.25">
      <c r="A51" s="276">
        <v>41</v>
      </c>
      <c r="B51" s="343" t="s">
        <v>138</v>
      </c>
      <c r="C51" s="343" t="s">
        <v>146</v>
      </c>
      <c r="D51" s="428" t="s">
        <v>147</v>
      </c>
      <c r="E51" s="343" t="s">
        <v>148</v>
      </c>
      <c r="F51" s="343">
        <v>60</v>
      </c>
      <c r="G51" s="343" t="s">
        <v>42</v>
      </c>
      <c r="H51" s="278" t="s">
        <v>48</v>
      </c>
      <c r="I51" s="280">
        <v>40250</v>
      </c>
      <c r="J51" s="280">
        <f t="shared" si="49"/>
        <v>7647.5</v>
      </c>
      <c r="K51" s="280">
        <f t="shared" si="12"/>
        <v>47897.5</v>
      </c>
      <c r="L51" s="281">
        <f t="shared" si="13"/>
        <v>2415000</v>
      </c>
      <c r="M51" s="281">
        <f t="shared" si="14"/>
        <v>2873850</v>
      </c>
      <c r="N51" s="282" t="s">
        <v>50</v>
      </c>
      <c r="O51" s="283">
        <v>38950</v>
      </c>
      <c r="P51" s="283">
        <f t="shared" si="50"/>
        <v>7400.5</v>
      </c>
      <c r="Q51" s="283">
        <f t="shared" si="16"/>
        <v>46350.5</v>
      </c>
      <c r="R51" s="284">
        <f t="shared" si="17"/>
        <v>2337000</v>
      </c>
      <c r="S51" s="284">
        <f t="shared" si="18"/>
        <v>2781030</v>
      </c>
      <c r="T51" s="285" t="s">
        <v>53</v>
      </c>
      <c r="U51" s="286">
        <v>41000</v>
      </c>
      <c r="V51" s="286">
        <f t="shared" si="55"/>
        <v>7790</v>
      </c>
      <c r="W51" s="286">
        <f t="shared" si="19"/>
        <v>48790</v>
      </c>
      <c r="X51" s="287">
        <f t="shared" si="20"/>
        <v>2460000</v>
      </c>
      <c r="Y51" s="287">
        <f t="shared" si="21"/>
        <v>2927400</v>
      </c>
      <c r="Z51" s="288">
        <f t="shared" si="56"/>
        <v>47679.333333333336</v>
      </c>
      <c r="AA51" s="288">
        <f t="shared" si="57"/>
        <v>2860760</v>
      </c>
      <c r="AB51" s="288">
        <f t="shared" si="58"/>
        <v>74057.783520707671</v>
      </c>
      <c r="AC51" s="229">
        <f t="shared" si="59"/>
        <v>2.5887450719636624E-2</v>
      </c>
      <c r="AD51" s="5"/>
      <c r="AE51" s="290" t="b">
        <f t="shared" si="26"/>
        <v>0</v>
      </c>
      <c r="AF51" s="7" t="s">
        <v>353</v>
      </c>
      <c r="AO51" s="292">
        <f>VLOOKUP(C51,ITEMS_BolsaOperador!$D$254:$AY$276,48,0)</f>
        <v>2.5899999999999999E-2</v>
      </c>
      <c r="AP51" s="291" t="str">
        <f>VLOOKUP(C51,ITEMS_BolsaOperador!$D$254:$AY$276,1,0)</f>
        <v>JUEGO DE CARTILLAS PEDAGÓGICAS – MÉTODO SUBA REGULA</v>
      </c>
      <c r="AQ51" s="291" t="str">
        <f>VLOOKUP(C51,ITEMS_BolsaOperador!$D$254:$AY$276,2,0)</f>
        <v>Material pedagógico de diseño propio del componente, no disponible como bien estandarizado en el mercado. Juego pedagógico compuesto por mínimo doce (12) láminas pedagógicas impresas a color en papel propalcote de alto gramaje (mínimo 240 gramos), tamaño aproximado media carta (A5) o superior, plastificadas en acabado mate o brillante para garantizar durabilidad y resistencia al uso continuo. El contenido conceptual y pedagógico será diseñado por el profesional en ciencias sociales del equipo del proyecto con formación certificada en Terapia Dialéctico Conductual (DBT) o metodologías de entrenamiento en habilidades socioemocionales, garantizando coherencia metodológica con el componente Núcleos de Entrenamiento en Regulación y con el enfoque del Método Suba Regula. Cada juego deberá incluir seis habilidades pedagógicas desarrolladas mediante dos láminas por habilidad (una lámina explicativa y una lámina práctica de aplicación): identificación emocional, regulación emocional, respiración consciente, comunicación asertiva, afrontamiento de situaciones difíciles y relajación corporal. El proceso incluye diseño pedagógico, diagramación, impresión, plastificado, corte y entrega final a los participantes. Las cartillas serán entregadas de manera individual a cada beneficiario como herramienta pedagógica permanente para la práctica y consulta posterior de las habilidades aprendidas.</v>
      </c>
      <c r="AR51" s="291" t="str">
        <f>VLOOKUP(C51,ITEMS_BolsaOperador!$D$254:$AY$276,10,0)</f>
        <v xml:space="preserve"> GUERRA EDITORES </v>
      </c>
      <c r="AS51" s="291">
        <f>VLOOKUP(C51,ITEMS_BolsaOperador!$D$254:$AY$276,16,0)</f>
        <v>47898</v>
      </c>
      <c r="AT51" s="291" t="str">
        <f>VLOOKUP(C51,ITEMS_BolsaOperador!$D$254:$AY$276,23,0)</f>
        <v xml:space="preserve"> ENTERPRISE </v>
      </c>
      <c r="AU51" s="291">
        <f>VLOOKUP(C51,ITEMS_BolsaOperador!$D$254:$AY$276,29,0)</f>
        <v>46351</v>
      </c>
      <c r="AV51" s="291" t="str">
        <f>VLOOKUP(C51,ITEMS_BolsaOperador!$D$254:$AY$276,36,0)</f>
        <v xml:space="preserve"> COMTEC </v>
      </c>
      <c r="AW51" s="291">
        <f>VLOOKUP(C51,ITEMS_BolsaOperador!$D$254:$AY$276,42,0)</f>
        <v>48790</v>
      </c>
      <c r="AX51" s="293">
        <f>VLOOKUP(C51,ITEMS_BolsaOperador!$D$254:$AY$276,45,0)</f>
        <v>47679.33</v>
      </c>
      <c r="AY51" s="293">
        <f>VLOOKUP(C51,ITEMS_BolsaOperador!$D$254:$AY$276,46,0)</f>
        <v>47679.33</v>
      </c>
      <c r="AZ51" s="293">
        <f>VLOOKUP(C51,ITEMS_BolsaOperador!$D$254:$AY$276,47,0)</f>
        <v>1234.3</v>
      </c>
      <c r="BA51" s="229">
        <f>VLOOKUP(C51,ITEMS_BolsaOperador!$D$254:$AY$276,48,0)</f>
        <v>2.5899999999999999E-2</v>
      </c>
      <c r="BC51" s="7" t="b">
        <f t="shared" si="27"/>
        <v>1</v>
      </c>
      <c r="BD51" s="7" t="b">
        <f t="shared" si="28"/>
        <v>0</v>
      </c>
      <c r="BE51" s="7" t="b">
        <f t="shared" si="29"/>
        <v>0</v>
      </c>
      <c r="BF51" s="7" t="b">
        <f t="shared" si="30"/>
        <v>0</v>
      </c>
      <c r="BG51" s="7" t="b">
        <f t="shared" si="31"/>
        <v>0</v>
      </c>
      <c r="BH51" s="7" t="b">
        <f t="shared" si="32"/>
        <v>0</v>
      </c>
      <c r="BI51" s="7" t="b">
        <f t="shared" si="33"/>
        <v>1</v>
      </c>
      <c r="BJ51" s="7" t="b">
        <f t="shared" si="34"/>
        <v>0</v>
      </c>
      <c r="BK51" s="7" t="b">
        <f t="shared" si="35"/>
        <v>0</v>
      </c>
      <c r="BL51" s="7" t="b">
        <f t="shared" si="36"/>
        <v>0</v>
      </c>
      <c r="BM51" s="7" t="b">
        <f t="shared" si="37"/>
        <v>0</v>
      </c>
      <c r="BP51" s="7">
        <v>41</v>
      </c>
    </row>
    <row r="52" spans="1:68" s="7" customFormat="1" ht="270" hidden="1" x14ac:dyDescent="0.35">
      <c r="A52" s="276">
        <v>42</v>
      </c>
      <c r="B52" s="429" t="s">
        <v>138</v>
      </c>
      <c r="C52" s="277" t="s">
        <v>81</v>
      </c>
      <c r="D52" s="137" t="s">
        <v>82</v>
      </c>
      <c r="E52" s="429" t="s">
        <v>41</v>
      </c>
      <c r="F52" s="429">
        <v>60</v>
      </c>
      <c r="G52" s="343" t="s">
        <v>42</v>
      </c>
      <c r="H52" s="278" t="s">
        <v>48</v>
      </c>
      <c r="I52" s="280">
        <v>2200</v>
      </c>
      <c r="J52" s="280">
        <f t="shared" si="49"/>
        <v>418</v>
      </c>
      <c r="K52" s="280">
        <f t="shared" si="12"/>
        <v>2618</v>
      </c>
      <c r="L52" s="281">
        <f t="shared" si="13"/>
        <v>132000</v>
      </c>
      <c r="M52" s="281">
        <f t="shared" si="14"/>
        <v>157080</v>
      </c>
      <c r="N52" s="298" t="s">
        <v>83</v>
      </c>
      <c r="O52" s="283">
        <v>2689.08</v>
      </c>
      <c r="P52" s="283">
        <f t="shared" ref="P52:P53" si="93">O52*19%</f>
        <v>510.92520000000002</v>
      </c>
      <c r="Q52" s="283">
        <f t="shared" si="16"/>
        <v>3200.0052000000001</v>
      </c>
      <c r="R52" s="284">
        <f t="shared" si="17"/>
        <v>161344.79999999999</v>
      </c>
      <c r="S52" s="284">
        <f t="shared" si="18"/>
        <v>192000.31200000001</v>
      </c>
      <c r="T52" s="285" t="s">
        <v>84</v>
      </c>
      <c r="U52" s="299">
        <v>3800</v>
      </c>
      <c r="V52" s="286"/>
      <c r="W52" s="286">
        <f t="shared" si="19"/>
        <v>3800</v>
      </c>
      <c r="X52" s="287">
        <f t="shared" si="20"/>
        <v>228000</v>
      </c>
      <c r="Y52" s="287">
        <f t="shared" si="21"/>
        <v>228000</v>
      </c>
      <c r="Z52" s="288">
        <f t="shared" si="56"/>
        <v>3206.001733333333</v>
      </c>
      <c r="AA52" s="288">
        <f t="shared" si="57"/>
        <v>192360.10399999999</v>
      </c>
      <c r="AB52" s="288">
        <f t="shared" si="58"/>
        <v>35461.368948652285</v>
      </c>
      <c r="AC52" s="229">
        <f t="shared" si="59"/>
        <v>0.18434887594286331</v>
      </c>
      <c r="AD52" s="5"/>
      <c r="AE52" s="290" t="b">
        <f t="shared" si="26"/>
        <v>0</v>
      </c>
      <c r="AF52" s="291" t="s">
        <v>342</v>
      </c>
      <c r="AO52" s="292">
        <f>VLOOKUP(C52,ITEMS_BolsaOperador!$D$2:$AY$247,48,0)</f>
        <v>0.18434898384222317</v>
      </c>
      <c r="AP52" s="291" t="str">
        <f>VLOOKUP(C52,ITEMS_BolsaOperador!$D$2:$AY$247,1,0)</f>
        <v>Certificado de participación</v>
      </c>
      <c r="AQ52" s="291" t="str">
        <f>VLOOKUP(C52,ITEMS_BolsaOperador!$D$2:$AY$247,2,0)</f>
        <v xml:space="preserve">Impresión a media carta 4 tintas en papel _x000D_
propalcote o kimberly 200 gr, tamaño 22x28 cm con nombres individuales o espacio para el mismo, refilados._x000D_
</v>
      </c>
      <c r="AR52" s="291" t="str">
        <f>VLOOKUP(C52,ITEMS_BolsaOperador!$D$2:$AY$247,10,0)</f>
        <v>GUERRA EDITORES</v>
      </c>
      <c r="AS52" s="291">
        <f>VLOOKUP(C52,ITEMS_BolsaOperador!$D$2:$AY$247,16,0)</f>
        <v>2618</v>
      </c>
      <c r="AT52" s="291" t="str">
        <f>VLOOKUP(C52,ITEMS_BolsaOperador!$D$2:$AY$247,23,0)</f>
        <v>SG DIGITAL S.A.S</v>
      </c>
      <c r="AU52" s="291">
        <f>VLOOKUP(C52,ITEMS_BolsaOperador!$D$2:$AY$247,29,0)</f>
        <v>3200</v>
      </c>
      <c r="AV52" s="291" t="str">
        <f>VLOOKUP(C52,ITEMS_BolsaOperador!$D$2:$AY$247,36,0)</f>
        <v>JEGAR PUBLICIDAD MISIONES</v>
      </c>
      <c r="AW52" s="291">
        <f>VLOOKUP(C52,ITEMS_BolsaOperador!$D$2:$AY$247,42,0)</f>
        <v>3800</v>
      </c>
      <c r="AX52" s="293">
        <f>VLOOKUP(C52,ITEMS_BolsaOperador!$D$2:$AY$247,45,0)</f>
        <v>3206</v>
      </c>
      <c r="AY52" s="293">
        <f>VLOOKUP(C52,ITEMS_BolsaOperador!$D$2:$AY$247,46,0)</f>
        <v>3206</v>
      </c>
      <c r="AZ52" s="293">
        <f>VLOOKUP(C52,ITEMS_BolsaOperador!$D$2:$AY$247,47,0)</f>
        <v>591.0228421981675</v>
      </c>
      <c r="BA52" s="229">
        <f>VLOOKUP(C52,ITEMS_BolsaOperador!$D$2:$AY$247,48,0)</f>
        <v>0.18434898384222317</v>
      </c>
      <c r="BC52" s="7" t="b">
        <f t="shared" si="27"/>
        <v>0</v>
      </c>
      <c r="BD52" s="7" t="b">
        <f t="shared" si="28"/>
        <v>1</v>
      </c>
      <c r="BE52" s="7" t="b">
        <f t="shared" si="29"/>
        <v>1</v>
      </c>
      <c r="BF52" s="7" t="b">
        <f t="shared" si="30"/>
        <v>0</v>
      </c>
      <c r="BG52" s="7" t="b">
        <f t="shared" si="31"/>
        <v>0</v>
      </c>
      <c r="BH52" s="7" t="b">
        <f t="shared" si="32"/>
        <v>1</v>
      </c>
      <c r="BI52" s="7" t="b">
        <f t="shared" si="33"/>
        <v>1</v>
      </c>
      <c r="BJ52" s="7" t="b">
        <f t="shared" si="34"/>
        <v>0</v>
      </c>
      <c r="BK52" s="7" t="b">
        <f t="shared" si="35"/>
        <v>0</v>
      </c>
      <c r="BL52" s="7" t="b">
        <f t="shared" si="36"/>
        <v>0</v>
      </c>
      <c r="BM52" s="7" t="b">
        <f t="shared" si="37"/>
        <v>0</v>
      </c>
      <c r="BP52" s="7">
        <v>42</v>
      </c>
    </row>
    <row r="53" spans="1:68" s="7" customFormat="1" ht="240" hidden="1" x14ac:dyDescent="0.35">
      <c r="A53" s="276">
        <v>43</v>
      </c>
      <c r="B53" s="343" t="s">
        <v>149</v>
      </c>
      <c r="C53" s="277" t="s">
        <v>39</v>
      </c>
      <c r="D53" s="137" t="s">
        <v>40</v>
      </c>
      <c r="E53" s="343" t="s">
        <v>150</v>
      </c>
      <c r="F53" s="343">
        <v>100</v>
      </c>
      <c r="G53" s="343" t="s">
        <v>42</v>
      </c>
      <c r="H53" s="278" t="s">
        <v>43</v>
      </c>
      <c r="I53" s="280">
        <v>5033.6099999999997</v>
      </c>
      <c r="J53" s="280">
        <f t="shared" si="49"/>
        <v>956.38589999999999</v>
      </c>
      <c r="K53" s="280">
        <f t="shared" si="12"/>
        <v>5989.9958999999999</v>
      </c>
      <c r="L53" s="281">
        <f t="shared" si="13"/>
        <v>503360.99999999994</v>
      </c>
      <c r="M53" s="281">
        <f t="shared" si="14"/>
        <v>598999.59</v>
      </c>
      <c r="N53" s="282" t="s">
        <v>44</v>
      </c>
      <c r="O53" s="283">
        <v>5462.18</v>
      </c>
      <c r="P53" s="283">
        <f t="shared" si="93"/>
        <v>1037.8142</v>
      </c>
      <c r="Q53" s="283">
        <f t="shared" si="16"/>
        <v>6499.9942000000001</v>
      </c>
      <c r="R53" s="284">
        <f t="shared" si="17"/>
        <v>546218</v>
      </c>
      <c r="S53" s="284">
        <f t="shared" si="18"/>
        <v>649999.42000000004</v>
      </c>
      <c r="T53" s="285" t="s">
        <v>45</v>
      </c>
      <c r="U53" s="286">
        <v>4201.68</v>
      </c>
      <c r="V53" s="286">
        <f t="shared" ref="V53" si="94">U53*19%</f>
        <v>798.31920000000002</v>
      </c>
      <c r="W53" s="286">
        <f t="shared" si="19"/>
        <v>4999.9992000000002</v>
      </c>
      <c r="X53" s="287">
        <f t="shared" si="20"/>
        <v>420168</v>
      </c>
      <c r="Y53" s="287">
        <f t="shared" si="21"/>
        <v>499999.92000000004</v>
      </c>
      <c r="Z53" s="288">
        <f t="shared" si="56"/>
        <v>5829.9964333333337</v>
      </c>
      <c r="AA53" s="288">
        <f t="shared" si="57"/>
        <v>582999.64333333331</v>
      </c>
      <c r="AB53" s="288">
        <f t="shared" si="58"/>
        <v>76269.00563180678</v>
      </c>
      <c r="AC53" s="229">
        <f t="shared" si="59"/>
        <v>0.13082170204382021</v>
      </c>
      <c r="AD53" s="5"/>
      <c r="AE53" s="290" t="b">
        <f t="shared" si="26"/>
        <v>0</v>
      </c>
      <c r="AF53" s="291" t="s">
        <v>342</v>
      </c>
      <c r="AO53" s="292">
        <f>VLOOKUP(C53,ITEMS_BolsaOperador!$D$2:$AY$247,48,0)</f>
        <v>0.13082205808348779</v>
      </c>
      <c r="AP53" s="291" t="str">
        <f>VLOOKUP(C53,ITEMS_BolsaOperador!$D$2:$AY$247,1,0)</f>
        <v>Cuaderno 100 hojas</v>
      </c>
      <c r="AQ53" s="291" t="str">
        <f>VLOOKUP(C53,ITEMS_BolsaOperador!$D$2:$AY$247,2,0)</f>
        <v>Cuaderno argollado de 100 hojas cuadriculadas, gramaje de 60g a 75g. Carátula en cartón rígido plastificado, espiral metálico sencillo o doble</v>
      </c>
      <c r="AR53" s="291" t="str">
        <f>VLOOKUP(C53,ITEMS_BolsaOperador!$D$2:$AY$247,10,0)</f>
        <v>Exito</v>
      </c>
      <c r="AS53" s="291">
        <f>VLOOKUP(C53,ITEMS_BolsaOperador!$D$2:$AY$247,16,0)</f>
        <v>5990</v>
      </c>
      <c r="AT53" s="291" t="str">
        <f>VLOOKUP(C53,ITEMS_BolsaOperador!$D$2:$AY$247,23,0)</f>
        <v>Multiexpress</v>
      </c>
      <c r="AU53" s="291">
        <f>VLOOKUP(C53,ITEMS_BolsaOperador!$D$2:$AY$247,29,0)</f>
        <v>6500</v>
      </c>
      <c r="AV53" s="291" t="str">
        <f>VLOOKUP(C53,ITEMS_BolsaOperador!$D$2:$AY$247,36,0)</f>
        <v>Gran Papelera</v>
      </c>
      <c r="AW53" s="291">
        <f>VLOOKUP(C53,ITEMS_BolsaOperador!$D$2:$AY$247,42,0)</f>
        <v>5000</v>
      </c>
      <c r="AX53" s="293">
        <f>VLOOKUP(C53,ITEMS_BolsaOperador!$D$2:$AY$247,45,0)</f>
        <v>5830</v>
      </c>
      <c r="AY53" s="293">
        <f>VLOOKUP(C53,ITEMS_BolsaOperador!$D$2:$AY$247,46,0)</f>
        <v>5830</v>
      </c>
      <c r="AZ53" s="293">
        <f>VLOOKUP(C53,ITEMS_BolsaOperador!$D$2:$AY$247,47,0)</f>
        <v>762.6925986267338</v>
      </c>
      <c r="BA53" s="229">
        <f>VLOOKUP(C53,ITEMS_BolsaOperador!$D$2:$AY$247,48,0)</f>
        <v>0.13082205808348779</v>
      </c>
      <c r="BC53" s="7" t="b">
        <f t="shared" si="27"/>
        <v>1</v>
      </c>
      <c r="BD53" s="7" t="b">
        <f t="shared" si="28"/>
        <v>1</v>
      </c>
      <c r="BE53" s="7" t="b">
        <f t="shared" si="29"/>
        <v>0</v>
      </c>
      <c r="BF53" s="7" t="b">
        <f t="shared" si="30"/>
        <v>1</v>
      </c>
      <c r="BG53" s="7" t="b">
        <f t="shared" si="31"/>
        <v>0</v>
      </c>
      <c r="BH53" s="7" t="b">
        <f t="shared" si="32"/>
        <v>1</v>
      </c>
      <c r="BI53" s="7" t="b">
        <f t="shared" si="33"/>
        <v>0</v>
      </c>
      <c r="BJ53" s="7" t="b">
        <f t="shared" si="34"/>
        <v>0</v>
      </c>
      <c r="BK53" s="7" t="b">
        <f t="shared" si="35"/>
        <v>0</v>
      </c>
      <c r="BL53" s="7" t="b">
        <f t="shared" si="36"/>
        <v>0</v>
      </c>
      <c r="BM53" s="7" t="b">
        <f t="shared" si="37"/>
        <v>0</v>
      </c>
      <c r="BP53" s="7">
        <v>43</v>
      </c>
    </row>
    <row r="54" spans="1:68" s="7" customFormat="1" ht="330" hidden="1" x14ac:dyDescent="0.35">
      <c r="A54" s="276">
        <v>44</v>
      </c>
      <c r="B54" s="343" t="s">
        <v>149</v>
      </c>
      <c r="C54" s="277" t="s">
        <v>46</v>
      </c>
      <c r="D54" s="137" t="s">
        <v>47</v>
      </c>
      <c r="E54" s="343" t="s">
        <v>41</v>
      </c>
      <c r="F54" s="343">
        <v>10</v>
      </c>
      <c r="G54" s="343" t="s">
        <v>42</v>
      </c>
      <c r="H54" s="278" t="s">
        <v>48</v>
      </c>
      <c r="I54" s="280">
        <v>5407.56</v>
      </c>
      <c r="J54" s="280">
        <f t="shared" si="49"/>
        <v>1027.4364</v>
      </c>
      <c r="K54" s="280">
        <f t="shared" si="12"/>
        <v>6434.9964</v>
      </c>
      <c r="L54" s="281">
        <f t="shared" si="13"/>
        <v>54075.600000000006</v>
      </c>
      <c r="M54" s="281">
        <f t="shared" si="14"/>
        <v>64349.964</v>
      </c>
      <c r="N54" s="282" t="s">
        <v>49</v>
      </c>
      <c r="O54" s="283">
        <v>4628.57</v>
      </c>
      <c r="P54" s="283">
        <f t="shared" si="50"/>
        <v>879.42829999999992</v>
      </c>
      <c r="Q54" s="283">
        <f t="shared" si="16"/>
        <v>5507.9982999999993</v>
      </c>
      <c r="R54" s="284">
        <f t="shared" si="17"/>
        <v>46285.7</v>
      </c>
      <c r="S54" s="284">
        <f t="shared" si="18"/>
        <v>55079.982999999993</v>
      </c>
      <c r="T54" s="285" t="s">
        <v>50</v>
      </c>
      <c r="U54" s="286">
        <v>4968.91</v>
      </c>
      <c r="V54" s="286">
        <f t="shared" si="55"/>
        <v>944.09289999999999</v>
      </c>
      <c r="W54" s="286">
        <f t="shared" si="19"/>
        <v>5913.0028999999995</v>
      </c>
      <c r="X54" s="287">
        <f t="shared" si="20"/>
        <v>49689.1</v>
      </c>
      <c r="Y54" s="287">
        <f t="shared" si="21"/>
        <v>59130.028999999995</v>
      </c>
      <c r="Z54" s="288">
        <f t="shared" si="56"/>
        <v>5951.9991999999993</v>
      </c>
      <c r="AA54" s="288">
        <f t="shared" si="57"/>
        <v>59519.991999999991</v>
      </c>
      <c r="AB54" s="288">
        <f t="shared" si="58"/>
        <v>4647.2777290707554</v>
      </c>
      <c r="AC54" s="229">
        <f t="shared" si="59"/>
        <v>7.8079273415741654E-2</v>
      </c>
      <c r="AD54" s="5"/>
      <c r="AE54" s="290" t="b">
        <f t="shared" si="26"/>
        <v>0</v>
      </c>
      <c r="AF54" s="291" t="s">
        <v>342</v>
      </c>
      <c r="AO54" s="292">
        <f>VLOOKUP(C54,ITEMS_BolsaOperador!$D$2:$AY$247,48,0)</f>
        <v>7.8079461233536068E-2</v>
      </c>
      <c r="AP54" s="291" t="str">
        <f>VLOOKUP(C54,ITEMS_BolsaOperador!$D$2:$AY$247,1,0)</f>
        <v xml:space="preserve">Esfero cualquier color caja x 10 </v>
      </c>
      <c r="AQ54" s="291" t="str">
        <f>VLOOKUP(C54,ITEMS_BolsaOperador!$D$2:$AY$247,2,0)</f>
        <v>Caja de 10 bolígrafos con tinta suave de baja viscosidad en colores variados. Cuerpo ergonómico transparente para control de tinta, punta de tungsteno para trazos precisos y tapa de seguridad ventilada.</v>
      </c>
      <c r="AR54" s="291" t="str">
        <f>VLOOKUP(C54,ITEMS_BolsaOperador!$D$2:$AY$247,10,0)</f>
        <v>GUERRA EDITORES</v>
      </c>
      <c r="AS54" s="291">
        <f>VLOOKUP(C54,ITEMS_BolsaOperador!$D$2:$AY$247,16,0)</f>
        <v>6435.0000000000009</v>
      </c>
      <c r="AT54" s="291" t="str">
        <f>VLOOKUP(C54,ITEMS_BolsaOperador!$D$2:$AY$247,23,0)</f>
        <v>LIBRERIA Y PAPELERIA TIENDA ESTUDIANTIL LTDA</v>
      </c>
      <c r="AU54" s="291">
        <f>VLOOKUP(C54,ITEMS_BolsaOperador!$D$2:$AY$247,29,0)</f>
        <v>5508</v>
      </c>
      <c r="AV54" s="291" t="str">
        <f>VLOOKUP(C54,ITEMS_BolsaOperador!$D$2:$AY$247,36,0)</f>
        <v>ENTREPRISE</v>
      </c>
      <c r="AW54" s="291">
        <f>VLOOKUP(C54,ITEMS_BolsaOperador!$D$2:$AY$247,42,0)</f>
        <v>5913</v>
      </c>
      <c r="AX54" s="293">
        <f>VLOOKUP(C54,ITEMS_BolsaOperador!$D$2:$AY$247,45,0)</f>
        <v>5952</v>
      </c>
      <c r="AY54" s="293">
        <f>VLOOKUP(C54,ITEMS_BolsaOperador!$D$2:$AY$247,46,0)</f>
        <v>5952</v>
      </c>
      <c r="AZ54" s="293">
        <f>VLOOKUP(C54,ITEMS_BolsaOperador!$D$2:$AY$247,47,0)</f>
        <v>464.72895326200671</v>
      </c>
      <c r="BA54" s="229">
        <f>VLOOKUP(C54,ITEMS_BolsaOperador!$D$2:$AY$247,48,0)</f>
        <v>7.8079461233536068E-2</v>
      </c>
      <c r="BC54" s="7" t="b">
        <f t="shared" si="27"/>
        <v>1</v>
      </c>
      <c r="BD54" s="7" t="b">
        <f t="shared" si="28"/>
        <v>1</v>
      </c>
      <c r="BE54" s="7" t="b">
        <f t="shared" si="29"/>
        <v>0</v>
      </c>
      <c r="BF54" s="7" t="b">
        <f t="shared" si="30"/>
        <v>0</v>
      </c>
      <c r="BG54" s="7" t="b">
        <f t="shared" si="31"/>
        <v>0</v>
      </c>
      <c r="BH54" s="7" t="b">
        <f t="shared" si="32"/>
        <v>0</v>
      </c>
      <c r="BI54" s="7" t="b">
        <f t="shared" si="33"/>
        <v>0</v>
      </c>
      <c r="BJ54" s="7" t="b">
        <f t="shared" si="34"/>
        <v>0</v>
      </c>
      <c r="BK54" s="7" t="b">
        <f t="shared" si="35"/>
        <v>0</v>
      </c>
      <c r="BL54" s="7" t="b">
        <f t="shared" si="36"/>
        <v>0</v>
      </c>
      <c r="BM54" s="7" t="b">
        <f t="shared" si="37"/>
        <v>0</v>
      </c>
      <c r="BP54" s="7">
        <v>44</v>
      </c>
    </row>
    <row r="55" spans="1:68" s="7" customFormat="1" ht="273" hidden="1" x14ac:dyDescent="0.25">
      <c r="A55" s="276">
        <v>45</v>
      </c>
      <c r="B55" s="343" t="s">
        <v>149</v>
      </c>
      <c r="C55" s="343" t="s">
        <v>151</v>
      </c>
      <c r="D55" s="343" t="s">
        <v>152</v>
      </c>
      <c r="E55" s="343" t="s">
        <v>41</v>
      </c>
      <c r="F55" s="343">
        <v>100</v>
      </c>
      <c r="G55" s="343" t="s">
        <v>42</v>
      </c>
      <c r="H55" s="278" t="s">
        <v>53</v>
      </c>
      <c r="I55" s="280">
        <v>7600</v>
      </c>
      <c r="J55" s="280">
        <f t="shared" ref="J55" si="95">I55*19%</f>
        <v>1444</v>
      </c>
      <c r="K55" s="280">
        <f t="shared" si="12"/>
        <v>9044</v>
      </c>
      <c r="L55" s="281">
        <f t="shared" si="13"/>
        <v>760000</v>
      </c>
      <c r="M55" s="281">
        <f t="shared" si="14"/>
        <v>904400</v>
      </c>
      <c r="N55" s="282" t="s">
        <v>50</v>
      </c>
      <c r="O55" s="283">
        <v>5860</v>
      </c>
      <c r="P55" s="283">
        <f t="shared" ref="P55" si="96">O55*19%</f>
        <v>1113.4000000000001</v>
      </c>
      <c r="Q55" s="283">
        <f t="shared" si="16"/>
        <v>6973.4</v>
      </c>
      <c r="R55" s="284">
        <f t="shared" si="17"/>
        <v>586000</v>
      </c>
      <c r="S55" s="284">
        <f t="shared" si="18"/>
        <v>697340</v>
      </c>
      <c r="T55" s="285" t="s">
        <v>137</v>
      </c>
      <c r="U55" s="286">
        <v>8040</v>
      </c>
      <c r="V55" s="286">
        <f t="shared" ref="V55" si="97">U55*19%</f>
        <v>1527.6</v>
      </c>
      <c r="W55" s="286">
        <f t="shared" si="19"/>
        <v>9567.6</v>
      </c>
      <c r="X55" s="287">
        <f t="shared" si="20"/>
        <v>804000</v>
      </c>
      <c r="Y55" s="287">
        <f t="shared" si="21"/>
        <v>956760</v>
      </c>
      <c r="Z55" s="288">
        <f t="shared" ref="Z55:Z109" si="98">IF(A55="","",AVERAGE(K55,Q55,W55))</f>
        <v>8528.3333333333339</v>
      </c>
      <c r="AA55" s="288">
        <f t="shared" ref="AA55:AA109" si="99">IF(B55="","",Z55*F55)</f>
        <v>852833.33333333337</v>
      </c>
      <c r="AB55" s="288">
        <f t="shared" ref="AB55:AB109" si="100">IF(B55="","",STDEV(M55,S55,Y55))</f>
        <v>137182.45125865543</v>
      </c>
      <c r="AC55" s="229">
        <f t="shared" ref="AC55:AC109" si="101">IF(B55="","",(AB55/AA55))</f>
        <v>0.1608549360078039</v>
      </c>
      <c r="AD55" s="5"/>
      <c r="AE55" s="290" t="b">
        <f t="shared" si="26"/>
        <v>0</v>
      </c>
      <c r="AF55" s="7" t="s">
        <v>354</v>
      </c>
      <c r="AO55" s="292">
        <f>VLOOKUP(C55,ITEMS_BolsaOperador!$D$254:$AY$276,48,0)</f>
        <v>0.16089999999999999</v>
      </c>
      <c r="AP55" s="291" t="str">
        <f>VLOOKUP(C55,ITEMS_BolsaOperador!$D$254:$AY$276,1,0)</f>
        <v>Llaveros Simbólicos RED AQUI ESTOY</v>
      </c>
      <c r="AQ55" s="291" t="str">
        <f>VLOOKUP(C55,ITEMS_BolsaOperador!$D$254:$AY$276,2,0)</f>
        <v>Elemento institucional de carácter simbólico elaborado en material resistente (acrílico, madera MDF sellada o PVC rígido), diseñado para representar la pertenencia a la Red AQUÍ ESTOY – Lazos Activos de Integración, Diálogo y Observación Solidaria. Presenta forma estándar (circular o rectangular), con dimensiones aproximadas entre 5 y 7 cm, impresión o grabado a una cara con el nombre de la red, imagen institucional y mensaje alusivo al acompañamiento comunitario. Incluye argolla metálica inoxidable de alta resistencia para su uso cotidiano en llaves u objetos personales. La aprobación del llavero estará dispuesta al comité técnico por parte del supervisor del contrato y/o apoyos a la supervisión. , Empaque individual</v>
      </c>
      <c r="AR55" s="291" t="str">
        <f>VLOOKUP(C55,ITEMS_BolsaOperador!$D$254:$AY$276,10,0)</f>
        <v xml:space="preserve"> COMTEC </v>
      </c>
      <c r="AS55" s="291">
        <f>VLOOKUP(C55,ITEMS_BolsaOperador!$D$254:$AY$276,16,0)</f>
        <v>9044</v>
      </c>
      <c r="AT55" s="291" t="str">
        <f>VLOOKUP(C55,ITEMS_BolsaOperador!$D$254:$AY$276,23,0)</f>
        <v xml:space="preserve"> ENTERPRISE </v>
      </c>
      <c r="AU55" s="291">
        <f>VLOOKUP(C55,ITEMS_BolsaOperador!$D$254:$AY$276,29,0)</f>
        <v>6973</v>
      </c>
      <c r="AV55" s="291" t="str">
        <f>VLOOKUP(C55,ITEMS_BolsaOperador!$D$254:$AY$276,36,0)</f>
        <v xml:space="preserve"> HYN PUBLICIDAD </v>
      </c>
      <c r="AW55" s="291">
        <f>VLOOKUP(C55,ITEMS_BolsaOperador!$D$254:$AY$276,42,0)</f>
        <v>9568</v>
      </c>
      <c r="AX55" s="293">
        <f>VLOOKUP(C55,ITEMS_BolsaOperador!$D$254:$AY$276,45,0)</f>
        <v>8528.33</v>
      </c>
      <c r="AY55" s="293">
        <f>VLOOKUP(C55,ITEMS_BolsaOperador!$D$254:$AY$276,46,0)</f>
        <v>8528.33</v>
      </c>
      <c r="AZ55" s="293">
        <f>VLOOKUP(C55,ITEMS_BolsaOperador!$D$254:$AY$276,47,0)</f>
        <v>1371.82</v>
      </c>
      <c r="BA55" s="229">
        <f>VLOOKUP(C55,ITEMS_BolsaOperador!$D$254:$AY$276,48,0)</f>
        <v>0.16089999999999999</v>
      </c>
      <c r="BC55" s="7" t="b">
        <f t="shared" si="27"/>
        <v>1</v>
      </c>
      <c r="BD55" s="7" t="b">
        <f t="shared" si="28"/>
        <v>0</v>
      </c>
      <c r="BE55" s="7" t="b">
        <f t="shared" si="29"/>
        <v>1</v>
      </c>
      <c r="BF55" s="7" t="b">
        <f t="shared" si="30"/>
        <v>0</v>
      </c>
      <c r="BG55" s="7" t="b">
        <f t="shared" si="31"/>
        <v>0</v>
      </c>
      <c r="BH55" s="7" t="b">
        <f t="shared" si="32"/>
        <v>0</v>
      </c>
      <c r="BI55" s="7" t="b">
        <f t="shared" si="33"/>
        <v>0</v>
      </c>
      <c r="BJ55" s="7" t="b">
        <f t="shared" si="34"/>
        <v>0</v>
      </c>
      <c r="BK55" s="7" t="b">
        <f t="shared" si="35"/>
        <v>0</v>
      </c>
      <c r="BL55" s="7" t="b">
        <f t="shared" si="36"/>
        <v>0</v>
      </c>
      <c r="BM55" s="7" t="b">
        <f t="shared" si="37"/>
        <v>0</v>
      </c>
      <c r="BP55" s="7">
        <v>45</v>
      </c>
    </row>
    <row r="56" spans="1:68" s="7" customFormat="1" ht="270" hidden="1" x14ac:dyDescent="0.35">
      <c r="A56" s="276">
        <v>46</v>
      </c>
      <c r="B56" s="343" t="s">
        <v>149</v>
      </c>
      <c r="C56" s="277" t="s">
        <v>81</v>
      </c>
      <c r="D56" s="137" t="s">
        <v>82</v>
      </c>
      <c r="E56" s="343" t="s">
        <v>41</v>
      </c>
      <c r="F56" s="343">
        <v>100</v>
      </c>
      <c r="G56" s="343" t="s">
        <v>42</v>
      </c>
      <c r="H56" s="278" t="s">
        <v>48</v>
      </c>
      <c r="I56" s="280">
        <v>2200</v>
      </c>
      <c r="J56" s="280">
        <f t="shared" si="49"/>
        <v>418</v>
      </c>
      <c r="K56" s="280">
        <f t="shared" si="12"/>
        <v>2618</v>
      </c>
      <c r="L56" s="281">
        <f t="shared" si="13"/>
        <v>220000</v>
      </c>
      <c r="M56" s="281">
        <f t="shared" si="14"/>
        <v>261800</v>
      </c>
      <c r="N56" s="298" t="s">
        <v>83</v>
      </c>
      <c r="O56" s="283">
        <v>2689.08</v>
      </c>
      <c r="P56" s="283">
        <f t="shared" si="50"/>
        <v>510.92520000000002</v>
      </c>
      <c r="Q56" s="283">
        <f t="shared" si="16"/>
        <v>3200.0052000000001</v>
      </c>
      <c r="R56" s="284">
        <f t="shared" si="17"/>
        <v>268908</v>
      </c>
      <c r="S56" s="284">
        <f t="shared" si="18"/>
        <v>320000.52</v>
      </c>
      <c r="T56" s="285" t="s">
        <v>84</v>
      </c>
      <c r="U56" s="299">
        <v>3800</v>
      </c>
      <c r="V56" s="286"/>
      <c r="W56" s="286">
        <f t="shared" si="19"/>
        <v>3800</v>
      </c>
      <c r="X56" s="287">
        <f t="shared" si="20"/>
        <v>380000</v>
      </c>
      <c r="Y56" s="287">
        <f t="shared" si="21"/>
        <v>380000</v>
      </c>
      <c r="Z56" s="288">
        <f t="shared" si="98"/>
        <v>3206.001733333333</v>
      </c>
      <c r="AA56" s="288">
        <f t="shared" si="99"/>
        <v>320600.17333333328</v>
      </c>
      <c r="AB56" s="288">
        <f t="shared" si="100"/>
        <v>59102.281581087191</v>
      </c>
      <c r="AC56" s="229">
        <f t="shared" si="101"/>
        <v>0.1843488759428635</v>
      </c>
      <c r="AD56" s="5"/>
      <c r="AE56" s="290" t="b">
        <f t="shared" si="26"/>
        <v>0</v>
      </c>
      <c r="AF56" s="291" t="s">
        <v>342</v>
      </c>
      <c r="AO56" s="292">
        <f>VLOOKUP(C56,ITEMS_BolsaOperador!$D$2:$AY$247,48,0)</f>
        <v>0.18434898384222317</v>
      </c>
      <c r="AP56" s="291" t="str">
        <f>VLOOKUP(C56,ITEMS_BolsaOperador!$D$2:$AY$247,1,0)</f>
        <v>Certificado de participación</v>
      </c>
      <c r="AQ56" s="291" t="str">
        <f>VLOOKUP(C56,ITEMS_BolsaOperador!$D$2:$AY$247,2,0)</f>
        <v xml:space="preserve">Impresión a media carta 4 tintas en papel _x000D_
propalcote o kimberly 200 gr, tamaño 22x28 cm con nombres individuales o espacio para el mismo, refilados._x000D_
</v>
      </c>
      <c r="AR56" s="291" t="str">
        <f>VLOOKUP(C56,ITEMS_BolsaOperador!$D$2:$AY$247,10,0)</f>
        <v>GUERRA EDITORES</v>
      </c>
      <c r="AS56" s="291">
        <f>VLOOKUP(C56,ITEMS_BolsaOperador!$D$2:$AY$247,16,0)</f>
        <v>2618</v>
      </c>
      <c r="AT56" s="291" t="str">
        <f>VLOOKUP(C56,ITEMS_BolsaOperador!$D$2:$AY$247,23,0)</f>
        <v>SG DIGITAL S.A.S</v>
      </c>
      <c r="AU56" s="291">
        <f>VLOOKUP(C56,ITEMS_BolsaOperador!$D$2:$AY$247,29,0)</f>
        <v>3200</v>
      </c>
      <c r="AV56" s="291" t="str">
        <f>VLOOKUP(C56,ITEMS_BolsaOperador!$D$2:$AY$247,36,0)</f>
        <v>JEGAR PUBLICIDAD MISIONES</v>
      </c>
      <c r="AW56" s="291">
        <f>VLOOKUP(C56,ITEMS_BolsaOperador!$D$2:$AY$247,42,0)</f>
        <v>3800</v>
      </c>
      <c r="AX56" s="293">
        <f>VLOOKUP(C56,ITEMS_BolsaOperador!$D$2:$AY$247,45,0)</f>
        <v>3206</v>
      </c>
      <c r="AY56" s="293">
        <f>VLOOKUP(C56,ITEMS_BolsaOperador!$D$2:$AY$247,46,0)</f>
        <v>3206</v>
      </c>
      <c r="AZ56" s="293">
        <f>VLOOKUP(C56,ITEMS_BolsaOperador!$D$2:$AY$247,47,0)</f>
        <v>591.0228421981675</v>
      </c>
      <c r="BA56" s="229">
        <f>VLOOKUP(C56,ITEMS_BolsaOperador!$D$2:$AY$247,48,0)</f>
        <v>0.18434898384222317</v>
      </c>
      <c r="BC56" s="7" t="b">
        <f t="shared" si="27"/>
        <v>0</v>
      </c>
      <c r="BD56" s="7" t="b">
        <f t="shared" si="28"/>
        <v>1</v>
      </c>
      <c r="BE56" s="7" t="b">
        <f t="shared" si="29"/>
        <v>1</v>
      </c>
      <c r="BF56" s="7" t="b">
        <f t="shared" si="30"/>
        <v>0</v>
      </c>
      <c r="BG56" s="7" t="b">
        <f t="shared" si="31"/>
        <v>0</v>
      </c>
      <c r="BH56" s="7" t="b">
        <f t="shared" si="32"/>
        <v>1</v>
      </c>
      <c r="BI56" s="7" t="b">
        <f t="shared" si="33"/>
        <v>1</v>
      </c>
      <c r="BJ56" s="7" t="b">
        <f t="shared" si="34"/>
        <v>0</v>
      </c>
      <c r="BK56" s="7" t="b">
        <f t="shared" si="35"/>
        <v>0</v>
      </c>
      <c r="BL56" s="7" t="b">
        <f t="shared" si="36"/>
        <v>0</v>
      </c>
      <c r="BM56" s="7" t="b">
        <f t="shared" si="37"/>
        <v>0</v>
      </c>
      <c r="BP56" s="7">
        <v>46</v>
      </c>
    </row>
    <row r="57" spans="1:68" s="7" customFormat="1" ht="405" hidden="1" x14ac:dyDescent="0.25">
      <c r="A57" s="276">
        <v>47</v>
      </c>
      <c r="B57" s="343" t="s">
        <v>149</v>
      </c>
      <c r="C57" s="300" t="s">
        <v>345</v>
      </c>
      <c r="D57" s="301" t="s">
        <v>86</v>
      </c>
      <c r="E57" s="343" t="s">
        <v>87</v>
      </c>
      <c r="F57" s="343">
        <v>144</v>
      </c>
      <c r="G57" s="343" t="s">
        <v>88</v>
      </c>
      <c r="H57" s="278" t="s">
        <v>89</v>
      </c>
      <c r="I57" s="280">
        <v>302522</v>
      </c>
      <c r="J57" s="280">
        <f t="shared" si="49"/>
        <v>57479.18</v>
      </c>
      <c r="K57" s="280">
        <f t="shared" si="12"/>
        <v>360001.18</v>
      </c>
      <c r="L57" s="281">
        <f t="shared" si="13"/>
        <v>43563168</v>
      </c>
      <c r="M57" s="281">
        <f t="shared" si="14"/>
        <v>51840169.920000002</v>
      </c>
      <c r="N57" s="282" t="s">
        <v>90</v>
      </c>
      <c r="O57" s="283">
        <v>252101</v>
      </c>
      <c r="P57" s="283">
        <f t="shared" si="50"/>
        <v>47899.19</v>
      </c>
      <c r="Q57" s="283">
        <f t="shared" si="16"/>
        <v>300000.19</v>
      </c>
      <c r="R57" s="284">
        <f t="shared" si="17"/>
        <v>36302544</v>
      </c>
      <c r="S57" s="284">
        <f t="shared" si="18"/>
        <v>43200027.359999999</v>
      </c>
      <c r="T57" s="285"/>
      <c r="U57" s="286"/>
      <c r="V57" s="286"/>
      <c r="W57" s="286"/>
      <c r="X57" s="287"/>
      <c r="Y57" s="287"/>
      <c r="Z57" s="288">
        <f t="shared" si="98"/>
        <v>330000.685</v>
      </c>
      <c r="AA57" s="288">
        <f t="shared" si="99"/>
        <v>47520098.640000001</v>
      </c>
      <c r="AB57" s="288">
        <f t="shared" si="100"/>
        <v>6109503.394594498</v>
      </c>
      <c r="AC57" s="229">
        <f t="shared" si="101"/>
        <v>0.12856672375363776</v>
      </c>
      <c r="AD57" s="5"/>
      <c r="AE57" s="290" t="b">
        <f t="shared" si="26"/>
        <v>1</v>
      </c>
      <c r="AF57" s="7" t="s">
        <v>346</v>
      </c>
      <c r="AO57" s="292">
        <f>VLOOKUP(C57,ITEMS_BolsaOperador!$D$2:$AY$247,48,0)</f>
        <v>0.12856672375363773</v>
      </c>
      <c r="AP57" s="291" t="str">
        <f>VLOOKUP(C57,ITEMS_BolsaOperador!$D$2:$AY$247,1,0)</f>
        <v>Salón - Espacio Apto para 50 personas  (media jornada más equipos audiovisuales)</v>
      </c>
      <c r="AQ57" s="291" t="str">
        <f>VLOOKUP(C57,ITEMS_BolsaOperador!$D$2:$AY$247,2,0)</f>
        <v>Espacio físico para 50 personas con baño, sillas y mesas, ubicado en la localidad de Suba, con disponibilidad de espacio exterior para desarrollo de actividades_x000D_
Dotado con equipo de computo, video beam y sonido_x000D_
Jornada de 4 horas</v>
      </c>
      <c r="AR57" s="291" t="str">
        <f>VLOOKUP(C57,ITEMS_BolsaOperador!$D$2:$AY$247,10,0)</f>
        <v xml:space="preserve">JAC PRADO PINZON </v>
      </c>
      <c r="AS57" s="291">
        <f>VLOOKUP(C57,ITEMS_BolsaOperador!$D$2:$AY$247,16,0)</f>
        <v>360001.18</v>
      </c>
      <c r="AT57" s="291" t="str">
        <f>VLOOKUP(C57,ITEMS_BolsaOperador!$D$2:$AY$247,23,0)</f>
        <v>JAC URBANIZACION EL LAGUITO DE SUBA</v>
      </c>
      <c r="AU57" s="291">
        <f>VLOOKUP(C57,ITEMS_BolsaOperador!$D$2:$AY$247,29,0)</f>
        <v>300000.19</v>
      </c>
      <c r="AV57" s="291">
        <f>VLOOKUP(C57,ITEMS_BolsaOperador!$D$2:$AY$247,36,0)</f>
        <v>0</v>
      </c>
      <c r="AW57" s="291">
        <f>VLOOKUP(C57,ITEMS_BolsaOperador!$D$2:$AY$247,42,0)</f>
        <v>0</v>
      </c>
      <c r="AX57" s="293">
        <f>VLOOKUP(C57,ITEMS_BolsaOperador!$D$2:$AY$247,45,0)</f>
        <v>330000.685</v>
      </c>
      <c r="AY57" s="293">
        <f>VLOOKUP(C57,ITEMS_BolsaOperador!$D$2:$AY$247,46,0)</f>
        <v>330000.685</v>
      </c>
      <c r="AZ57" s="293">
        <f>VLOOKUP(C57,ITEMS_BolsaOperador!$D$2:$AY$247,47,0)</f>
        <v>42427.106906906221</v>
      </c>
      <c r="BA57" s="229">
        <f>VLOOKUP(C57,ITEMS_BolsaOperador!$D$2:$AY$247,48,0)</f>
        <v>0.12856672375363773</v>
      </c>
      <c r="BC57" s="7" t="b">
        <f t="shared" si="27"/>
        <v>0</v>
      </c>
      <c r="BD57" s="7" t="b">
        <f t="shared" si="28"/>
        <v>0</v>
      </c>
      <c r="BE57" s="7" t="b">
        <f t="shared" si="29"/>
        <v>1</v>
      </c>
      <c r="BF57" s="7" t="b">
        <f t="shared" si="30"/>
        <v>1</v>
      </c>
      <c r="BG57" s="7" t="b">
        <f t="shared" si="31"/>
        <v>1</v>
      </c>
      <c r="BH57" s="7" t="b">
        <f t="shared" si="32"/>
        <v>1</v>
      </c>
      <c r="BI57" s="7" t="b">
        <f t="shared" si="33"/>
        <v>1</v>
      </c>
      <c r="BJ57" s="7" t="b">
        <f t="shared" si="34"/>
        <v>1</v>
      </c>
      <c r="BK57" s="7" t="b">
        <f t="shared" si="35"/>
        <v>0</v>
      </c>
      <c r="BL57" s="7" t="b">
        <f t="shared" si="36"/>
        <v>0</v>
      </c>
      <c r="BM57" s="7" t="b">
        <f t="shared" si="37"/>
        <v>1</v>
      </c>
      <c r="BP57" s="7">
        <v>47</v>
      </c>
    </row>
    <row r="58" spans="1:68" s="7" customFormat="1" ht="182.25" hidden="1" customHeight="1" x14ac:dyDescent="0.25">
      <c r="A58" s="276">
        <v>48</v>
      </c>
      <c r="B58" s="277" t="s">
        <v>149</v>
      </c>
      <c r="C58" s="308" t="s">
        <v>347</v>
      </c>
      <c r="D58" s="206" t="s">
        <v>352</v>
      </c>
      <c r="E58" s="277" t="s">
        <v>87</v>
      </c>
      <c r="F58" s="277">
        <v>5</v>
      </c>
      <c r="G58" s="277" t="s">
        <v>88</v>
      </c>
      <c r="H58" s="278" t="s">
        <v>89</v>
      </c>
      <c r="I58" s="280">
        <v>302522</v>
      </c>
      <c r="J58" s="280">
        <f t="shared" si="49"/>
        <v>57479.18</v>
      </c>
      <c r="K58" s="280">
        <f t="shared" si="12"/>
        <v>360001.18</v>
      </c>
      <c r="L58" s="281">
        <f t="shared" si="13"/>
        <v>1512610</v>
      </c>
      <c r="M58" s="281">
        <f t="shared" si="14"/>
        <v>1800005.9</v>
      </c>
      <c r="N58" s="282" t="s">
        <v>90</v>
      </c>
      <c r="O58" s="283">
        <v>252101</v>
      </c>
      <c r="P58" s="283">
        <f t="shared" si="50"/>
        <v>47899.19</v>
      </c>
      <c r="Q58" s="283">
        <f t="shared" si="16"/>
        <v>300000.19</v>
      </c>
      <c r="R58" s="284">
        <f t="shared" si="17"/>
        <v>1260505</v>
      </c>
      <c r="S58" s="284">
        <f t="shared" si="18"/>
        <v>1500000.95</v>
      </c>
      <c r="T58" s="285"/>
      <c r="U58" s="286"/>
      <c r="V58" s="286"/>
      <c r="W58" s="286"/>
      <c r="X58" s="287"/>
      <c r="Y58" s="287"/>
      <c r="Z58" s="288">
        <f t="shared" si="98"/>
        <v>330000.685</v>
      </c>
      <c r="AA58" s="288">
        <f t="shared" si="99"/>
        <v>1650003.425</v>
      </c>
      <c r="AB58" s="288">
        <f t="shared" si="100"/>
        <v>212135.53453453109</v>
      </c>
      <c r="AC58" s="229">
        <f t="shared" si="101"/>
        <v>0.1285667237536377</v>
      </c>
      <c r="AD58" s="5"/>
      <c r="AE58" s="290" t="b">
        <f t="shared" si="26"/>
        <v>1</v>
      </c>
      <c r="AF58" s="7" t="s">
        <v>348</v>
      </c>
      <c r="AO58" s="292">
        <f>VLOOKUP(C58,ITEMS_BolsaOperador!$D$2:$AY$247,48,0)</f>
        <v>0.12856672375363773</v>
      </c>
      <c r="AP58" s="291" t="str">
        <f>VLOOKUP(C58,ITEMS_BolsaOperador!$D$2:$AY$247,1,0)</f>
        <v>Salón - Espacio Apto para 100 personas  (media jornada más equipos audiovisuales)</v>
      </c>
      <c r="AQ58" s="291" t="str">
        <f>VLOOKUP(C58,ITEMS_BolsaOperador!$D$2:$AY$247,2,0)</f>
        <v>Espacio físico para 100 personas con baño, sillas y mesas, ubicado en la localidad de Suba, con disponibilidad de espacio exterior para desarrollo de actividades_x000D_
Dotado con equipo de computo, video beam y sonido_x000D_
Jornada de 4 horas</v>
      </c>
      <c r="AR58" s="291" t="str">
        <f>VLOOKUP(C58,ITEMS_BolsaOperador!$D$2:$AY$247,10,0)</f>
        <v xml:space="preserve">JAC PRADO PINZON </v>
      </c>
      <c r="AS58" s="291">
        <f>VLOOKUP(C58,ITEMS_BolsaOperador!$D$2:$AY$247,16,0)</f>
        <v>360001.18</v>
      </c>
      <c r="AT58" s="291" t="str">
        <f>VLOOKUP(C58,ITEMS_BolsaOperador!$D$2:$AY$247,23,0)</f>
        <v>JAC URBANIZACION EL LAGUITO DE SUBA</v>
      </c>
      <c r="AU58" s="291">
        <f>VLOOKUP(C58,ITEMS_BolsaOperador!$D$2:$AY$247,29,0)</f>
        <v>300000.19</v>
      </c>
      <c r="AV58" s="291">
        <f>VLOOKUP(C58,ITEMS_BolsaOperador!$D$2:$AY$247,36,0)</f>
        <v>0</v>
      </c>
      <c r="AW58" s="291">
        <f>VLOOKUP(C58,ITEMS_BolsaOperador!$D$2:$AY$247,42,0)</f>
        <v>0</v>
      </c>
      <c r="AX58" s="293" t="e">
        <f>VLOOKUP(C58,ITEMS_BolsaOperador!$D$254:$AY$276,45,0)</f>
        <v>#N/A</v>
      </c>
      <c r="AY58" s="293" t="e">
        <f>VLOOKUP(C58,ITEMS_BolsaOperador!$D$254:$AY$276,46,0)</f>
        <v>#N/A</v>
      </c>
      <c r="AZ58" s="293" t="e">
        <f>VLOOKUP(C58,ITEMS_BolsaOperador!$D$254:$AY$276,47,0)</f>
        <v>#N/A</v>
      </c>
      <c r="BA58" s="229" t="e">
        <f>VLOOKUP(C58,ITEMS_BolsaOperador!$D$254:$AY$276,48,0)</f>
        <v>#N/A</v>
      </c>
      <c r="BC58" s="7" t="b">
        <f t="shared" ref="BC58" si="102">AQ58=D58</f>
        <v>1</v>
      </c>
      <c r="BD58" s="7" t="b">
        <f t="shared" ref="BD58" si="103">AR58=H58</f>
        <v>0</v>
      </c>
      <c r="BE58" s="7" t="b">
        <f t="shared" ref="BE58" si="104">AS58=K58</f>
        <v>1</v>
      </c>
      <c r="BF58" s="7" t="b">
        <f t="shared" ref="BF58" si="105">N58=AT58</f>
        <v>1</v>
      </c>
      <c r="BG58" s="7" t="b">
        <f t="shared" ref="BG58" si="106">AU58=Q58</f>
        <v>1</v>
      </c>
      <c r="BH58" s="7" t="b">
        <f t="shared" ref="BH58" si="107">AV58=T58</f>
        <v>1</v>
      </c>
      <c r="BI58" s="7" t="b">
        <f t="shared" ref="BI58" si="108">AW58=W58</f>
        <v>1</v>
      </c>
      <c r="BJ58" s="7" t="e">
        <f t="shared" ref="BJ58" si="109">AX58=Z58</f>
        <v>#N/A</v>
      </c>
      <c r="BK58" s="7" t="e">
        <f t="shared" ref="BK58" si="110">AY58=AA58</f>
        <v>#N/A</v>
      </c>
      <c r="BL58" s="7" t="e">
        <f t="shared" ref="BL58" si="111">AZ58=AB58</f>
        <v>#N/A</v>
      </c>
      <c r="BM58" s="7" t="e">
        <f t="shared" ref="BM58" si="112">BA58=AC58</f>
        <v>#N/A</v>
      </c>
      <c r="BP58" s="7">
        <v>48</v>
      </c>
    </row>
    <row r="59" spans="1:68" s="7" customFormat="1" ht="409.5" hidden="1" customHeight="1" x14ac:dyDescent="0.25">
      <c r="A59" s="276">
        <v>49</v>
      </c>
      <c r="B59" s="343" t="s">
        <v>149</v>
      </c>
      <c r="C59" s="303" t="s">
        <v>93</v>
      </c>
      <c r="D59" s="305" t="s">
        <v>94</v>
      </c>
      <c r="E59" s="343" t="s">
        <v>41</v>
      </c>
      <c r="F59" s="343">
        <v>900</v>
      </c>
      <c r="G59" s="343" t="s">
        <v>42</v>
      </c>
      <c r="H59" s="278" t="s">
        <v>95</v>
      </c>
      <c r="I59" s="280">
        <v>11700</v>
      </c>
      <c r="J59" s="280">
        <f>I59*8%</f>
        <v>936</v>
      </c>
      <c r="K59" s="280">
        <f t="shared" si="12"/>
        <v>12636</v>
      </c>
      <c r="L59" s="281">
        <f t="shared" si="13"/>
        <v>10530000</v>
      </c>
      <c r="M59" s="281">
        <f t="shared" si="14"/>
        <v>11372400</v>
      </c>
      <c r="N59" s="282" t="s">
        <v>50</v>
      </c>
      <c r="O59" s="283">
        <v>8570</v>
      </c>
      <c r="P59" s="283">
        <f>O59*8%</f>
        <v>685.6</v>
      </c>
      <c r="Q59" s="283">
        <f t="shared" si="16"/>
        <v>9255.6</v>
      </c>
      <c r="R59" s="284">
        <f t="shared" si="17"/>
        <v>7713000</v>
      </c>
      <c r="S59" s="284">
        <f t="shared" si="18"/>
        <v>8330040</v>
      </c>
      <c r="T59" s="285" t="s">
        <v>96</v>
      </c>
      <c r="U59" s="286">
        <v>13871</v>
      </c>
      <c r="V59" s="286"/>
      <c r="W59" s="286">
        <f t="shared" si="19"/>
        <v>13871</v>
      </c>
      <c r="X59" s="287">
        <f t="shared" si="20"/>
        <v>12483900</v>
      </c>
      <c r="Y59" s="287">
        <f t="shared" si="21"/>
        <v>12483900</v>
      </c>
      <c r="Z59" s="288">
        <f t="shared" si="98"/>
        <v>11920.866666666667</v>
      </c>
      <c r="AA59" s="288">
        <f t="shared" si="99"/>
        <v>10728780</v>
      </c>
      <c r="AB59" s="288">
        <f t="shared" si="100"/>
        <v>2150423.9705695249</v>
      </c>
      <c r="AC59" s="229">
        <f t="shared" si="101"/>
        <v>0.20043508866520937</v>
      </c>
      <c r="AD59" s="5"/>
      <c r="AE59" s="290" t="b">
        <f t="shared" si="26"/>
        <v>0</v>
      </c>
      <c r="AF59" s="291" t="s">
        <v>342</v>
      </c>
      <c r="AO59" s="292">
        <f>VLOOKUP(C59,ITEMS_BolsaOperador!$D$2:$AY$247,48,0)</f>
        <v>0.20043508866520951</v>
      </c>
      <c r="AP59" s="291" t="str">
        <f>VLOOKUP(C59,ITEMS_BolsaOperador!$D$2:$AY$247,1,0)</f>
        <v>Refrigerio Tipo 1</v>
      </c>
      <c r="AQ59" s="291" t="str">
        <f>VLOOKUP(C59,ITEMS_BolsaOperador!$D$2:$AY$247,2,0)</f>
        <v>Compuesto por:  _x000D_
1. Bebida: Deberá contener al menos 200 mililitros. Jugo de frutas y/o yogurt y/o kumis y/o avena, naturales no procesados, no se permitirá el suministro de bebidas empacadas en bolsa plástica, la Alcaldía Local de Suba requiere que las mismas sean entregadas a los asistentes en empaque tetra pack.  _x000D_
2. Un producto cereal   o producto de panadería tipo: Deberán tener un peso mínimo de 100 gramos. Podrá ser  Pastel de pollo o carne, ponqué, arepa, empanada, mantecada,  arepa con queso, pastel gloria, croissant de jamón y queso, brownie, buñuelo o similares. Los gramajes corresponden a los productos ya elaborados.    _x000D_
3. Una fruta de temporada: Porción de fruta no menor de 100 gramos. Mandarina, naranja,  manzana, pera, durazno o similares.  _x000D_
4. Dulce: Deberá tener mínimo entre 12 y 15 gramos. Chocolatina, Arequipe,  bocadillo o similares.</v>
      </c>
      <c r="AR59" s="291" t="str">
        <f>VLOOKUP(C59,ITEMS_BolsaOperador!$D$2:$AY$247,10,0)</f>
        <v>INVERSIONES BECORATI E Y O SAS</v>
      </c>
      <c r="AS59" s="291">
        <f>VLOOKUP(C59,ITEMS_BolsaOperador!$D$2:$AY$247,16,0)</f>
        <v>12636</v>
      </c>
      <c r="AT59" s="291" t="str">
        <f>VLOOKUP(C59,ITEMS_BolsaOperador!$D$2:$AY$247,23,0)</f>
        <v>ENTERPRISE INVESTMENT DEVELOPMENT S.A.S.</v>
      </c>
      <c r="AU59" s="291">
        <f>VLOOKUP(C59,ITEMS_BolsaOperador!$D$2:$AY$247,29,0)</f>
        <v>9255.6</v>
      </c>
      <c r="AV59" s="291" t="str">
        <f>VLOOKUP(C59,ITEMS_BolsaOperador!$D$2:$AY$247,36,0)</f>
        <v>Estimación de precios con base en el proceso FDLSUBA-LP-013-2025 (140689) – Contrato 1000 – 2025, indexando el incremento de precios en el mercado con base en el Índice de Precios al Consumidor (IPC) para el mes de marzo de 2026, el cual fue de 5,56%.</v>
      </c>
      <c r="AW59" s="291">
        <f>VLOOKUP(C59,ITEMS_BolsaOperador!$D$2:$AY$247,42,0)</f>
        <v>13871</v>
      </c>
      <c r="AX59" s="293">
        <f>VLOOKUP(C59,ITEMS_BolsaOperador!$D$2:$AY$247,45,0)</f>
        <v>11920.866666666667</v>
      </c>
      <c r="AY59" s="293">
        <f>VLOOKUP(C59,ITEMS_BolsaOperador!$D$2:$AY$247,46,0)</f>
        <v>11920.866666666667</v>
      </c>
      <c r="AZ59" s="293">
        <f>VLOOKUP(C59,ITEMS_BolsaOperador!$D$2:$AY$247,47,0)</f>
        <v>2389.3599672994737</v>
      </c>
      <c r="BA59" s="229">
        <f>VLOOKUP(C59,ITEMS_BolsaOperador!$D$2:$AY$247,48,0)</f>
        <v>0.20043508866520951</v>
      </c>
      <c r="BC59" s="7" t="b">
        <f t="shared" si="27"/>
        <v>0</v>
      </c>
      <c r="BD59" s="7" t="b">
        <f t="shared" si="28"/>
        <v>1</v>
      </c>
      <c r="BE59" s="7" t="b">
        <f t="shared" si="29"/>
        <v>1</v>
      </c>
      <c r="BF59" s="7" t="b">
        <f t="shared" si="30"/>
        <v>0</v>
      </c>
      <c r="BG59" s="7" t="b">
        <f t="shared" si="31"/>
        <v>1</v>
      </c>
      <c r="BH59" s="7" t="b">
        <f t="shared" si="32"/>
        <v>0</v>
      </c>
      <c r="BI59" s="7" t="b">
        <f t="shared" si="33"/>
        <v>1</v>
      </c>
      <c r="BJ59" s="7" t="b">
        <f t="shared" si="34"/>
        <v>1</v>
      </c>
      <c r="BK59" s="7" t="b">
        <f t="shared" si="35"/>
        <v>0</v>
      </c>
      <c r="BL59" s="7" t="b">
        <f t="shared" si="36"/>
        <v>0</v>
      </c>
      <c r="BM59" s="7" t="b">
        <f t="shared" si="37"/>
        <v>0</v>
      </c>
      <c r="BP59" s="7">
        <v>49</v>
      </c>
    </row>
    <row r="60" spans="1:68" s="7" customFormat="1" ht="409.5" hidden="1" customHeight="1" x14ac:dyDescent="0.25">
      <c r="A60" s="276">
        <v>50</v>
      </c>
      <c r="B60" s="343" t="s">
        <v>149</v>
      </c>
      <c r="C60" s="303" t="s">
        <v>97</v>
      </c>
      <c r="D60" s="305" t="s">
        <v>98</v>
      </c>
      <c r="E60" s="343" t="s">
        <v>41</v>
      </c>
      <c r="F60" s="343">
        <v>105</v>
      </c>
      <c r="G60" s="343" t="s">
        <v>42</v>
      </c>
      <c r="H60" s="278" t="s">
        <v>99</v>
      </c>
      <c r="I60" s="280">
        <v>21600</v>
      </c>
      <c r="J60" s="280">
        <f>I60*8%</f>
        <v>1728</v>
      </c>
      <c r="K60" s="280">
        <f t="shared" si="12"/>
        <v>23328</v>
      </c>
      <c r="L60" s="281">
        <f t="shared" si="13"/>
        <v>2268000</v>
      </c>
      <c r="M60" s="281">
        <f t="shared" si="14"/>
        <v>2449440</v>
      </c>
      <c r="N60" s="282" t="s">
        <v>100</v>
      </c>
      <c r="O60" s="283">
        <v>25000</v>
      </c>
      <c r="P60" s="283">
        <f>O60*8%</f>
        <v>2000</v>
      </c>
      <c r="Q60" s="283">
        <f t="shared" si="16"/>
        <v>27000</v>
      </c>
      <c r="R60" s="284">
        <f t="shared" si="17"/>
        <v>2625000</v>
      </c>
      <c r="S60" s="284">
        <f t="shared" si="18"/>
        <v>2835000</v>
      </c>
      <c r="T60" s="285" t="s">
        <v>101</v>
      </c>
      <c r="U60" s="426">
        <v>26824</v>
      </c>
      <c r="V60" s="286">
        <f>U60*8%</f>
        <v>2145.92</v>
      </c>
      <c r="W60" s="286">
        <f t="shared" si="19"/>
        <v>28969.919999999998</v>
      </c>
      <c r="X60" s="287">
        <f t="shared" si="20"/>
        <v>2816520</v>
      </c>
      <c r="Y60" s="287">
        <f t="shared" si="21"/>
        <v>3041841.5999999996</v>
      </c>
      <c r="Z60" s="288">
        <f t="shared" si="98"/>
        <v>26432.639999999999</v>
      </c>
      <c r="AA60" s="288">
        <f t="shared" si="99"/>
        <v>2775427.1999999997</v>
      </c>
      <c r="AB60" s="288">
        <f t="shared" si="100"/>
        <v>300660.27804736677</v>
      </c>
      <c r="AC60" s="229">
        <f t="shared" si="101"/>
        <v>0.10832936927596833</v>
      </c>
      <c r="AD60" s="5"/>
      <c r="AE60" s="290" t="b">
        <f t="shared" si="26"/>
        <v>1</v>
      </c>
      <c r="AF60" s="291" t="s">
        <v>342</v>
      </c>
      <c r="AO60" s="292">
        <f>VLOOKUP(C60,ITEMS_BolsaOperador!$D$2:$AY$247,48,0)</f>
        <v>0.10832936927596835</v>
      </c>
      <c r="AP60" s="291" t="str">
        <f>VLOOKUP(C60,ITEMS_BolsaOperador!$D$2:$AY$247,1,0)</f>
        <v>Refrigerio Especial</v>
      </c>
      <c r="AQ60" s="291" t="str">
        <f>VLOOKUP(C60,ITEMS_BolsaOperador!$D$2:$AY$247,2,0)</f>
        <v>BEBIDA: Jugo natural  de fruta en agua o  néctares,  o refrescos de fruta,  con opción sin azúcar, o bajo en azúcar, o gaseosas ligth o normal; contenido mínimo 200 ml, en empaque comercial  duro ( no en bolsa, no de icopor o plástico), o servido en vaso de vidrio
ALIMENTO PRINCIPAL: Sánduche de jamón y/o queso o atún o pollo o espinaca y queso en pan común o integral  para sánduche,  ponqués o galletas o palito de queso o arepas  con queso o pasteles gloria, de pollo, de carne,  de queso, de harina  integral o comunes; porción entre  60 a 100 gr.
ACOMPAÑAMIENTO: Papas fritas de pollo o natural, o fruta deshidratada, paq de 30gr.
FRUTA: De temporada 150 gr.
EMPAQUE:  En bolsa plástica bio-degradable (si se requiere), preferiblemente que los productos se encuentren en empaques reciclables y/o biodegradables.
OPCIONAL: servicio de entrega al usuario final.</v>
      </c>
      <c r="AR60" s="291" t="str">
        <f>VLOOKUP(C60,ITEMS_BolsaOperador!$D$2:$AY$247,10,0)</f>
        <v>Esfera de Eventos</v>
      </c>
      <c r="AS60" s="291">
        <f>VLOOKUP(C60,ITEMS_BolsaOperador!$D$2:$AY$247,16,0)</f>
        <v>23328</v>
      </c>
      <c r="AT60" s="291" t="str">
        <f>VLOOKUP(C60,ITEMS_BolsaOperador!$D$2:$AY$247,23,0)</f>
        <v>Catering Depot</v>
      </c>
      <c r="AU60" s="291">
        <f>VLOOKUP(C60,ITEMS_BolsaOperador!$D$2:$AY$247,29,0)</f>
        <v>27000</v>
      </c>
      <c r="AV60" s="291" t="str">
        <f>VLOOKUP(C60,ITEMS_BolsaOperador!$D$2:$AY$247,36,0)</f>
        <v>D&amp;R PRODUCCIONES SAS</v>
      </c>
      <c r="AW60" s="291">
        <f>VLOOKUP(C60,ITEMS_BolsaOperador!$D$2:$AY$247,42,0)</f>
        <v>28969.919999999998</v>
      </c>
      <c r="AX60" s="293">
        <f>VLOOKUP(C60,ITEMS_BolsaOperador!$D$2:$AY$247,45,0)</f>
        <v>26432.639999999999</v>
      </c>
      <c r="AY60" s="293">
        <f>VLOOKUP(C60,ITEMS_BolsaOperador!$D$2:$AY$247,46,0)</f>
        <v>26432.639999999999</v>
      </c>
      <c r="AZ60" s="293">
        <f>VLOOKUP(C60,ITEMS_BolsaOperador!$D$2:$AY$247,47,0)</f>
        <v>2863.4312194987319</v>
      </c>
      <c r="BA60" s="229">
        <f>VLOOKUP(C60,ITEMS_BolsaOperador!$D$2:$AY$247,48,0)</f>
        <v>0.10832936927596835</v>
      </c>
      <c r="BC60" s="7" t="b">
        <f t="shared" si="27"/>
        <v>0</v>
      </c>
      <c r="BD60" s="7" t="b">
        <f t="shared" si="28"/>
        <v>0</v>
      </c>
      <c r="BE60" s="7" t="b">
        <f t="shared" si="29"/>
        <v>1</v>
      </c>
      <c r="BF60" s="7" t="b">
        <f t="shared" si="30"/>
        <v>0</v>
      </c>
      <c r="BG60" s="7" t="b">
        <f t="shared" si="31"/>
        <v>1</v>
      </c>
      <c r="BH60" s="7" t="b">
        <f t="shared" si="32"/>
        <v>1</v>
      </c>
      <c r="BI60" s="7" t="b">
        <f t="shared" si="33"/>
        <v>1</v>
      </c>
      <c r="BJ60" s="7" t="b">
        <f t="shared" si="34"/>
        <v>1</v>
      </c>
      <c r="BK60" s="7" t="b">
        <f t="shared" si="35"/>
        <v>0</v>
      </c>
      <c r="BL60" s="7" t="b">
        <f t="shared" si="36"/>
        <v>0</v>
      </c>
      <c r="BM60" s="7" t="b">
        <f t="shared" si="37"/>
        <v>1</v>
      </c>
      <c r="BP60" s="7">
        <v>50</v>
      </c>
    </row>
    <row r="61" spans="1:68" s="7" customFormat="1" ht="213.75" hidden="1" customHeight="1" x14ac:dyDescent="0.25">
      <c r="A61" s="276">
        <v>51</v>
      </c>
      <c r="B61" s="343" t="s">
        <v>153</v>
      </c>
      <c r="C61" s="306" t="s">
        <v>39</v>
      </c>
      <c r="D61" s="307" t="s">
        <v>40</v>
      </c>
      <c r="E61" s="343" t="s">
        <v>41</v>
      </c>
      <c r="F61" s="343">
        <v>60</v>
      </c>
      <c r="G61" s="343" t="s">
        <v>42</v>
      </c>
      <c r="H61" s="278" t="s">
        <v>43</v>
      </c>
      <c r="I61" s="280">
        <v>5033.6099999999997</v>
      </c>
      <c r="J61" s="280">
        <f t="shared" si="49"/>
        <v>956.38589999999999</v>
      </c>
      <c r="K61" s="280">
        <f t="shared" si="12"/>
        <v>5989.9958999999999</v>
      </c>
      <c r="L61" s="281">
        <f t="shared" si="13"/>
        <v>302016.59999999998</v>
      </c>
      <c r="M61" s="281">
        <f t="shared" si="14"/>
        <v>359399.75400000002</v>
      </c>
      <c r="N61" s="282" t="s">
        <v>44</v>
      </c>
      <c r="O61" s="283">
        <v>5462.18</v>
      </c>
      <c r="P61" s="283">
        <f t="shared" si="50"/>
        <v>1037.8142</v>
      </c>
      <c r="Q61" s="283">
        <f t="shared" si="16"/>
        <v>6499.9942000000001</v>
      </c>
      <c r="R61" s="284">
        <f t="shared" si="17"/>
        <v>327730.80000000005</v>
      </c>
      <c r="S61" s="284">
        <f t="shared" si="18"/>
        <v>389999.652</v>
      </c>
      <c r="T61" s="285" t="s">
        <v>45</v>
      </c>
      <c r="U61" s="286">
        <v>4201.68</v>
      </c>
      <c r="V61" s="286">
        <f t="shared" si="55"/>
        <v>798.31920000000002</v>
      </c>
      <c r="W61" s="286">
        <f t="shared" si="19"/>
        <v>4999.9992000000002</v>
      </c>
      <c r="X61" s="287">
        <f t="shared" si="20"/>
        <v>252100.80000000002</v>
      </c>
      <c r="Y61" s="287">
        <f t="shared" si="21"/>
        <v>299999.95199999999</v>
      </c>
      <c r="Z61" s="288">
        <f t="shared" si="98"/>
        <v>5829.9964333333337</v>
      </c>
      <c r="AA61" s="288">
        <f t="shared" si="99"/>
        <v>349799.78600000002</v>
      </c>
      <c r="AB61" s="288">
        <f t="shared" si="100"/>
        <v>45761.403379083953</v>
      </c>
      <c r="AC61" s="229">
        <f t="shared" si="101"/>
        <v>0.13082170204381985</v>
      </c>
      <c r="AD61" s="5"/>
      <c r="AE61" s="290" t="b">
        <f t="shared" si="26"/>
        <v>0</v>
      </c>
      <c r="AF61" s="291" t="s">
        <v>342</v>
      </c>
      <c r="AO61" s="292">
        <f>VLOOKUP(C61,ITEMS_BolsaOperador!$D$2:$AY$247,48,0)</f>
        <v>0.13082205808348779</v>
      </c>
      <c r="AP61" s="291" t="str">
        <f>VLOOKUP(C61,ITEMS_BolsaOperador!$D$2:$AY$247,1,0)</f>
        <v>Cuaderno 100 hojas</v>
      </c>
      <c r="AQ61" s="291" t="str">
        <f>VLOOKUP(C61,ITEMS_BolsaOperador!$D$2:$AY$247,2,0)</f>
        <v>Cuaderno argollado de 100 hojas cuadriculadas, gramaje de 60g a 75g. Carátula en cartón rígido plastificado, espiral metálico sencillo o doble</v>
      </c>
      <c r="AR61" s="291" t="str">
        <f>VLOOKUP(C61,ITEMS_BolsaOperador!$D$2:$AY$247,10,0)</f>
        <v>Exito</v>
      </c>
      <c r="AS61" s="291">
        <f>VLOOKUP(C61,ITEMS_BolsaOperador!$D$2:$AY$247,16,0)</f>
        <v>5990</v>
      </c>
      <c r="AT61" s="291" t="str">
        <f>VLOOKUP(C61,ITEMS_BolsaOperador!$D$2:$AY$247,23,0)</f>
        <v>Multiexpress</v>
      </c>
      <c r="AU61" s="291">
        <f>VLOOKUP(C61,ITEMS_BolsaOperador!$D$2:$AY$247,29,0)</f>
        <v>6500</v>
      </c>
      <c r="AV61" s="291" t="str">
        <f>VLOOKUP(C61,ITEMS_BolsaOperador!$D$2:$AY$247,36,0)</f>
        <v>Gran Papelera</v>
      </c>
      <c r="AW61" s="291">
        <f>VLOOKUP(C61,ITEMS_BolsaOperador!$D$2:$AY$247,42,0)</f>
        <v>5000</v>
      </c>
      <c r="AX61" s="293">
        <f>VLOOKUP(C61,ITEMS_BolsaOperador!$D$2:$AY$247,45,0)</f>
        <v>5830</v>
      </c>
      <c r="AY61" s="293">
        <f>VLOOKUP(C61,ITEMS_BolsaOperador!$D$2:$AY$247,46,0)</f>
        <v>5830</v>
      </c>
      <c r="AZ61" s="293">
        <f>VLOOKUP(C61,ITEMS_BolsaOperador!$D$2:$AY$247,47,0)</f>
        <v>762.6925986267338</v>
      </c>
      <c r="BA61" s="229">
        <f>VLOOKUP(C61,ITEMS_BolsaOperador!$D$2:$AY$247,48,0)</f>
        <v>0.13082205808348779</v>
      </c>
      <c r="BC61" s="7" t="b">
        <f t="shared" si="27"/>
        <v>1</v>
      </c>
      <c r="BD61" s="7" t="b">
        <f t="shared" si="28"/>
        <v>1</v>
      </c>
      <c r="BE61" s="7" t="b">
        <f t="shared" si="29"/>
        <v>0</v>
      </c>
      <c r="BF61" s="7" t="b">
        <f t="shared" si="30"/>
        <v>1</v>
      </c>
      <c r="BG61" s="7" t="b">
        <f t="shared" si="31"/>
        <v>0</v>
      </c>
      <c r="BH61" s="7" t="b">
        <f t="shared" si="32"/>
        <v>1</v>
      </c>
      <c r="BI61" s="7" t="b">
        <f t="shared" si="33"/>
        <v>0</v>
      </c>
      <c r="BJ61" s="7" t="b">
        <f t="shared" si="34"/>
        <v>0</v>
      </c>
      <c r="BK61" s="7" t="b">
        <f t="shared" si="35"/>
        <v>0</v>
      </c>
      <c r="BL61" s="7" t="b">
        <f t="shared" si="36"/>
        <v>0</v>
      </c>
      <c r="BM61" s="7" t="b">
        <f t="shared" si="37"/>
        <v>0</v>
      </c>
      <c r="BP61" s="7">
        <v>51</v>
      </c>
    </row>
    <row r="62" spans="1:68" s="7" customFormat="1" ht="330" hidden="1" x14ac:dyDescent="0.35">
      <c r="A62" s="276">
        <v>52</v>
      </c>
      <c r="B62" s="343" t="s">
        <v>153</v>
      </c>
      <c r="C62" s="277" t="s">
        <v>46</v>
      </c>
      <c r="D62" s="137" t="s">
        <v>47</v>
      </c>
      <c r="E62" s="343" t="s">
        <v>41</v>
      </c>
      <c r="F62" s="343">
        <v>6</v>
      </c>
      <c r="G62" s="343" t="s">
        <v>42</v>
      </c>
      <c r="H62" s="278" t="s">
        <v>48</v>
      </c>
      <c r="I62" s="280">
        <v>5407.56</v>
      </c>
      <c r="J62" s="280">
        <f t="shared" si="49"/>
        <v>1027.4364</v>
      </c>
      <c r="K62" s="280">
        <f t="shared" si="12"/>
        <v>6434.9964</v>
      </c>
      <c r="L62" s="281">
        <f t="shared" si="13"/>
        <v>32445.360000000001</v>
      </c>
      <c r="M62" s="281">
        <f t="shared" si="14"/>
        <v>38609.9784</v>
      </c>
      <c r="N62" s="282" t="s">
        <v>49</v>
      </c>
      <c r="O62" s="283">
        <v>4628.57</v>
      </c>
      <c r="P62" s="283">
        <f t="shared" si="50"/>
        <v>879.42829999999992</v>
      </c>
      <c r="Q62" s="283">
        <f t="shared" si="16"/>
        <v>5507.9982999999993</v>
      </c>
      <c r="R62" s="284">
        <f t="shared" si="17"/>
        <v>27771.42</v>
      </c>
      <c r="S62" s="284">
        <f t="shared" si="18"/>
        <v>33047.989799999996</v>
      </c>
      <c r="T62" s="285" t="s">
        <v>50</v>
      </c>
      <c r="U62" s="286">
        <v>4968.91</v>
      </c>
      <c r="V62" s="286">
        <f t="shared" si="55"/>
        <v>944.09289999999999</v>
      </c>
      <c r="W62" s="286">
        <f t="shared" si="19"/>
        <v>5913.0028999999995</v>
      </c>
      <c r="X62" s="287">
        <f t="shared" si="20"/>
        <v>29813.46</v>
      </c>
      <c r="Y62" s="287">
        <f t="shared" si="21"/>
        <v>35478.017399999997</v>
      </c>
      <c r="Z62" s="288">
        <f t="shared" si="98"/>
        <v>5951.9991999999993</v>
      </c>
      <c r="AA62" s="288">
        <f t="shared" si="99"/>
        <v>35711.995199999998</v>
      </c>
      <c r="AB62" s="288">
        <f t="shared" si="100"/>
        <v>2788.3666374424529</v>
      </c>
      <c r="AC62" s="229">
        <f t="shared" si="101"/>
        <v>7.807927341574164E-2</v>
      </c>
      <c r="AD62" s="5"/>
      <c r="AE62" s="290" t="b">
        <f t="shared" si="26"/>
        <v>0</v>
      </c>
      <c r="AF62" s="291" t="s">
        <v>342</v>
      </c>
      <c r="AO62" s="292">
        <f>VLOOKUP(C62,ITEMS_BolsaOperador!$D$2:$AY$247,48,0)</f>
        <v>7.8079461233536068E-2</v>
      </c>
      <c r="AP62" s="291" t="str">
        <f>VLOOKUP(C62,ITEMS_BolsaOperador!$D$2:$AY$247,1,0)</f>
        <v xml:space="preserve">Esfero cualquier color caja x 10 </v>
      </c>
      <c r="AQ62" s="291" t="str">
        <f>VLOOKUP(C62,ITEMS_BolsaOperador!$D$2:$AY$247,2,0)</f>
        <v>Caja de 10 bolígrafos con tinta suave de baja viscosidad en colores variados. Cuerpo ergonómico transparente para control de tinta, punta de tungsteno para trazos precisos y tapa de seguridad ventilada.</v>
      </c>
      <c r="AR62" s="291" t="str">
        <f>VLOOKUP(C62,ITEMS_BolsaOperador!$D$2:$AY$247,10,0)</f>
        <v>GUERRA EDITORES</v>
      </c>
      <c r="AS62" s="291">
        <f>VLOOKUP(C62,ITEMS_BolsaOperador!$D$2:$AY$247,16,0)</f>
        <v>6435.0000000000009</v>
      </c>
      <c r="AT62" s="291" t="str">
        <f>VLOOKUP(C62,ITEMS_BolsaOperador!$D$2:$AY$247,23,0)</f>
        <v>LIBRERIA Y PAPELERIA TIENDA ESTUDIANTIL LTDA</v>
      </c>
      <c r="AU62" s="291">
        <f>VLOOKUP(C62,ITEMS_BolsaOperador!$D$2:$AY$247,29,0)</f>
        <v>5508</v>
      </c>
      <c r="AV62" s="291" t="str">
        <f>VLOOKUP(C62,ITEMS_BolsaOperador!$D$2:$AY$247,36,0)</f>
        <v>ENTREPRISE</v>
      </c>
      <c r="AW62" s="291">
        <f>VLOOKUP(C62,ITEMS_BolsaOperador!$D$2:$AY$247,42,0)</f>
        <v>5913</v>
      </c>
      <c r="AX62" s="293">
        <f>VLOOKUP(C62,ITEMS_BolsaOperador!$D$2:$AY$247,45,0)</f>
        <v>5952</v>
      </c>
      <c r="AY62" s="293">
        <f>VLOOKUP(C62,ITEMS_BolsaOperador!$D$2:$AY$247,46,0)</f>
        <v>5952</v>
      </c>
      <c r="AZ62" s="293">
        <f>VLOOKUP(C62,ITEMS_BolsaOperador!$D$2:$AY$247,47,0)</f>
        <v>464.72895326200671</v>
      </c>
      <c r="BA62" s="229">
        <f>VLOOKUP(C62,ITEMS_BolsaOperador!$D$2:$AY$247,48,0)</f>
        <v>7.8079461233536068E-2</v>
      </c>
      <c r="BC62" s="7" t="b">
        <f t="shared" si="27"/>
        <v>1</v>
      </c>
      <c r="BD62" s="7" t="b">
        <f t="shared" si="28"/>
        <v>1</v>
      </c>
      <c r="BE62" s="7" t="b">
        <f t="shared" si="29"/>
        <v>0</v>
      </c>
      <c r="BF62" s="7" t="b">
        <f t="shared" si="30"/>
        <v>0</v>
      </c>
      <c r="BG62" s="7" t="b">
        <f t="shared" si="31"/>
        <v>0</v>
      </c>
      <c r="BH62" s="7" t="b">
        <f t="shared" si="32"/>
        <v>0</v>
      </c>
      <c r="BI62" s="7" t="b">
        <f t="shared" si="33"/>
        <v>0</v>
      </c>
      <c r="BJ62" s="7" t="b">
        <f t="shared" si="34"/>
        <v>0</v>
      </c>
      <c r="BK62" s="7" t="b">
        <f t="shared" si="35"/>
        <v>0</v>
      </c>
      <c r="BL62" s="7" t="b">
        <f t="shared" si="36"/>
        <v>0</v>
      </c>
      <c r="BM62" s="7" t="b">
        <f t="shared" si="37"/>
        <v>0</v>
      </c>
      <c r="BP62" s="7">
        <v>52</v>
      </c>
    </row>
    <row r="63" spans="1:68" s="7" customFormat="1" ht="409.5" hidden="1" x14ac:dyDescent="0.35">
      <c r="A63" s="276">
        <v>53</v>
      </c>
      <c r="B63" s="343" t="s">
        <v>153</v>
      </c>
      <c r="C63" s="343" t="s">
        <v>154</v>
      </c>
      <c r="D63" s="135" t="s">
        <v>155</v>
      </c>
      <c r="E63" s="343" t="s">
        <v>41</v>
      </c>
      <c r="F63" s="343">
        <v>60</v>
      </c>
      <c r="G63" s="343" t="s">
        <v>42</v>
      </c>
      <c r="H63" s="278" t="s">
        <v>53</v>
      </c>
      <c r="I63" s="280">
        <v>31000</v>
      </c>
      <c r="J63" s="280">
        <f t="shared" si="49"/>
        <v>5890</v>
      </c>
      <c r="K63" s="280">
        <f t="shared" si="12"/>
        <v>36890</v>
      </c>
      <c r="L63" s="281">
        <f t="shared" si="13"/>
        <v>1860000</v>
      </c>
      <c r="M63" s="281">
        <f t="shared" si="14"/>
        <v>2213400</v>
      </c>
      <c r="N63" s="282" t="s">
        <v>110</v>
      </c>
      <c r="O63" s="283">
        <v>32820</v>
      </c>
      <c r="P63" s="283">
        <f t="shared" si="50"/>
        <v>6235.8</v>
      </c>
      <c r="Q63" s="283">
        <f t="shared" si="16"/>
        <v>39055.800000000003</v>
      </c>
      <c r="R63" s="284">
        <f t="shared" si="17"/>
        <v>1969200</v>
      </c>
      <c r="S63" s="284">
        <f t="shared" si="18"/>
        <v>2343348</v>
      </c>
      <c r="T63" s="285" t="s">
        <v>156</v>
      </c>
      <c r="U63" s="286">
        <v>34200</v>
      </c>
      <c r="V63" s="286">
        <f t="shared" si="55"/>
        <v>6498</v>
      </c>
      <c r="W63" s="286">
        <f t="shared" si="19"/>
        <v>40698</v>
      </c>
      <c r="X63" s="287">
        <f t="shared" si="20"/>
        <v>2052000</v>
      </c>
      <c r="Y63" s="287">
        <f t="shared" si="21"/>
        <v>2441880</v>
      </c>
      <c r="Z63" s="288">
        <f t="shared" si="98"/>
        <v>38881.26666666667</v>
      </c>
      <c r="AA63" s="288">
        <f t="shared" si="99"/>
        <v>2332876</v>
      </c>
      <c r="AB63" s="288">
        <f t="shared" si="100"/>
        <v>114599.4096319872</v>
      </c>
      <c r="AC63" s="229">
        <f t="shared" si="101"/>
        <v>4.9123660936966733E-2</v>
      </c>
      <c r="AD63" s="5"/>
      <c r="AE63" s="290" t="b">
        <f t="shared" si="26"/>
        <v>0</v>
      </c>
      <c r="AF63" s="7" t="s">
        <v>332</v>
      </c>
      <c r="AO63" s="292">
        <f>VLOOKUP(C63,ITEMS_BolsaOperador!$D$254:$AY$276,48,0)</f>
        <v>4.9099999999999998E-2</v>
      </c>
      <c r="AP63" s="291" t="str">
        <f>VLOOKUP(C63,ITEMS_BolsaOperador!$D$254:$AY$276,1,0)</f>
        <v>Guía de Bolsillo primeros auxilios psicológicos</v>
      </c>
      <c r="AQ63" s="291" t="str">
        <f>VLOOKUP(C63,ITEMS_BolsaOperador!$D$254:$AY$276,2,0)</f>
        <v>Impresión fotográfica, Tipo de material:
Guía impresa pedagógica tipo folleto de bolsillo, Formato:
Díptico, tríptico o cuadernillo plegado (según diseño aprobado).
Dimensiones:
Cerrado: entre 9 x 14 cm y 11 x 16 cm
Abierto: proporcional al tipo de plegado
Número de páginas:
Entre 6 y 12 caras (según contenido aprobado).
Papel: Propalcote mate o bond de alta calidad
Gramaje entre 90 g/m² y 150 g/m²
Impresión: Tinta negra o policromía (según disponibilidad presupuestal)
Alta legibilidad
Acabados: Mate (evita reflejo y facilita lectura)
Doblado preciso
Opcional: laminado mate para mayor durabilidad
Encuadernación: Plegado simple o grapado (si es tipo cuadernillo), diseño aprobado en comité técnico de supervisión y/o apoyos a la supervisión</v>
      </c>
      <c r="AR63" s="291" t="str">
        <f>VLOOKUP(C63,ITEMS_BolsaOperador!$D$254:$AY$276,10,0)</f>
        <v xml:space="preserve"> COMTEC </v>
      </c>
      <c r="AS63" s="291">
        <f>VLOOKUP(C63,ITEMS_BolsaOperador!$D$254:$AY$276,16,0)</f>
        <v>36890</v>
      </c>
      <c r="AT63" s="291" t="str">
        <f>VLOOKUP(C63,ITEMS_BolsaOperador!$D$254:$AY$276,23,0)</f>
        <v xml:space="preserve"> HYN PUBLICIDAD </v>
      </c>
      <c r="AU63" s="291">
        <f>VLOOKUP(C63,ITEMS_BolsaOperador!$D$254:$AY$276,29,0)</f>
        <v>39056</v>
      </c>
      <c r="AV63" s="291" t="str">
        <f>VLOOKUP(C63,ITEMS_BolsaOperador!$D$254:$AY$276,36,0)</f>
        <v xml:space="preserve"> GUERRA EDITORES </v>
      </c>
      <c r="AW63" s="291">
        <f>VLOOKUP(C63,ITEMS_BolsaOperador!$D$254:$AY$276,42,0)</f>
        <v>40698</v>
      </c>
      <c r="AX63" s="293">
        <f>VLOOKUP(C63,ITEMS_BolsaOperador!$D$254:$AY$276,45,0)</f>
        <v>38881.269999999997</v>
      </c>
      <c r="AY63" s="293">
        <f>VLOOKUP(C63,ITEMS_BolsaOperador!$D$254:$AY$276,46,0)</f>
        <v>38881.269999999997</v>
      </c>
      <c r="AZ63" s="293">
        <f>VLOOKUP(C63,ITEMS_BolsaOperador!$D$254:$AY$276,47,0)</f>
        <v>1909.99</v>
      </c>
      <c r="BA63" s="229">
        <f>VLOOKUP(C63,ITEMS_BolsaOperador!$D$254:$AY$276,48,0)</f>
        <v>4.9099999999999998E-2</v>
      </c>
      <c r="BC63" s="7" t="b">
        <f t="shared" si="27"/>
        <v>1</v>
      </c>
      <c r="BD63" s="7" t="b">
        <f t="shared" si="28"/>
        <v>0</v>
      </c>
      <c r="BE63" s="7" t="b">
        <f t="shared" si="29"/>
        <v>1</v>
      </c>
      <c r="BF63" s="7" t="b">
        <f t="shared" si="30"/>
        <v>0</v>
      </c>
      <c r="BG63" s="7" t="b">
        <f t="shared" si="31"/>
        <v>0</v>
      </c>
      <c r="BH63" s="7" t="b">
        <f t="shared" si="32"/>
        <v>0</v>
      </c>
      <c r="BI63" s="7" t="b">
        <f t="shared" si="33"/>
        <v>1</v>
      </c>
      <c r="BJ63" s="7" t="b">
        <f t="shared" si="34"/>
        <v>0</v>
      </c>
      <c r="BK63" s="7" t="b">
        <f t="shared" si="35"/>
        <v>0</v>
      </c>
      <c r="BL63" s="7" t="b">
        <f t="shared" si="36"/>
        <v>0</v>
      </c>
      <c r="BM63" s="7" t="b">
        <f t="shared" si="37"/>
        <v>0</v>
      </c>
      <c r="BP63" s="7">
        <v>53</v>
      </c>
    </row>
    <row r="64" spans="1:68" s="7" customFormat="1" ht="270" hidden="1" x14ac:dyDescent="0.35">
      <c r="A64" s="276">
        <v>54</v>
      </c>
      <c r="B64" s="343" t="s">
        <v>153</v>
      </c>
      <c r="C64" s="277" t="s">
        <v>81</v>
      </c>
      <c r="D64" s="137" t="s">
        <v>82</v>
      </c>
      <c r="E64" s="343" t="s">
        <v>41</v>
      </c>
      <c r="F64" s="343">
        <v>60</v>
      </c>
      <c r="G64" s="343" t="s">
        <v>42</v>
      </c>
      <c r="H64" s="278" t="s">
        <v>48</v>
      </c>
      <c r="I64" s="280">
        <v>2200</v>
      </c>
      <c r="J64" s="280">
        <f t="shared" si="49"/>
        <v>418</v>
      </c>
      <c r="K64" s="280">
        <f t="shared" si="12"/>
        <v>2618</v>
      </c>
      <c r="L64" s="281">
        <f t="shared" si="13"/>
        <v>132000</v>
      </c>
      <c r="M64" s="281">
        <f t="shared" si="14"/>
        <v>157080</v>
      </c>
      <c r="N64" s="298" t="s">
        <v>83</v>
      </c>
      <c r="O64" s="283">
        <v>2689.08</v>
      </c>
      <c r="P64" s="283">
        <f t="shared" si="50"/>
        <v>510.92520000000002</v>
      </c>
      <c r="Q64" s="283">
        <f t="shared" si="16"/>
        <v>3200.0052000000001</v>
      </c>
      <c r="R64" s="284">
        <f t="shared" si="17"/>
        <v>161344.79999999999</v>
      </c>
      <c r="S64" s="284">
        <f t="shared" si="18"/>
        <v>192000.31200000001</v>
      </c>
      <c r="T64" s="285" t="s">
        <v>84</v>
      </c>
      <c r="U64" s="299">
        <v>3800</v>
      </c>
      <c r="V64" s="286"/>
      <c r="W64" s="286">
        <f t="shared" si="19"/>
        <v>3800</v>
      </c>
      <c r="X64" s="287">
        <f t="shared" si="20"/>
        <v>228000</v>
      </c>
      <c r="Y64" s="287">
        <f t="shared" si="21"/>
        <v>228000</v>
      </c>
      <c r="Z64" s="288">
        <f t="shared" si="98"/>
        <v>3206.001733333333</v>
      </c>
      <c r="AA64" s="288">
        <f t="shared" si="99"/>
        <v>192360.10399999999</v>
      </c>
      <c r="AB64" s="288">
        <f t="shared" si="100"/>
        <v>35461.368948652285</v>
      </c>
      <c r="AC64" s="229">
        <f t="shared" si="101"/>
        <v>0.18434887594286331</v>
      </c>
      <c r="AD64" s="143"/>
      <c r="AE64" s="290" t="b">
        <f t="shared" si="26"/>
        <v>0</v>
      </c>
      <c r="AF64" s="291" t="s">
        <v>342</v>
      </c>
      <c r="AO64" s="292">
        <f>VLOOKUP(C64,ITEMS_BolsaOperador!$D$2:$AY$247,48,0)</f>
        <v>0.18434898384222317</v>
      </c>
      <c r="AP64" s="291" t="str">
        <f>VLOOKUP(C64,ITEMS_BolsaOperador!$D$2:$AY$247,1,0)</f>
        <v>Certificado de participación</v>
      </c>
      <c r="AQ64" s="291" t="str">
        <f>VLOOKUP(C64,ITEMS_BolsaOperador!$D$2:$AY$247,2,0)</f>
        <v xml:space="preserve">Impresión a media carta 4 tintas en papel _x000D_
propalcote o kimberly 200 gr, tamaño 22x28 cm con nombres individuales o espacio para el mismo, refilados._x000D_
</v>
      </c>
      <c r="AR64" s="291" t="str">
        <f>VLOOKUP(C64,ITEMS_BolsaOperador!$D$2:$AY$247,10,0)</f>
        <v>GUERRA EDITORES</v>
      </c>
      <c r="AS64" s="291">
        <f>VLOOKUP(C64,ITEMS_BolsaOperador!$D$2:$AY$247,16,0)</f>
        <v>2618</v>
      </c>
      <c r="AT64" s="291" t="str">
        <f>VLOOKUP(C64,ITEMS_BolsaOperador!$D$2:$AY$247,23,0)</f>
        <v>SG DIGITAL S.A.S</v>
      </c>
      <c r="AU64" s="291">
        <f>VLOOKUP(C64,ITEMS_BolsaOperador!$D$2:$AY$247,29,0)</f>
        <v>3200</v>
      </c>
      <c r="AV64" s="291" t="str">
        <f>VLOOKUP(C64,ITEMS_BolsaOperador!$D$2:$AY$247,36,0)</f>
        <v>JEGAR PUBLICIDAD MISIONES</v>
      </c>
      <c r="AW64" s="291">
        <f>VLOOKUP(C64,ITEMS_BolsaOperador!$D$2:$AY$247,42,0)</f>
        <v>3800</v>
      </c>
      <c r="AX64" s="293">
        <f>VLOOKUP(C64,ITEMS_BolsaOperador!$D$2:$AY$247,45,0)</f>
        <v>3206</v>
      </c>
      <c r="AY64" s="293">
        <f>VLOOKUP(C64,ITEMS_BolsaOperador!$D$2:$AY$247,46,0)</f>
        <v>3206</v>
      </c>
      <c r="AZ64" s="293">
        <f>VLOOKUP(C64,ITEMS_BolsaOperador!$D$2:$AY$247,47,0)</f>
        <v>591.0228421981675</v>
      </c>
      <c r="BA64" s="229">
        <f>VLOOKUP(C64,ITEMS_BolsaOperador!$D$2:$AY$247,48,0)</f>
        <v>0.18434898384222317</v>
      </c>
      <c r="BC64" s="7" t="b">
        <f t="shared" si="27"/>
        <v>0</v>
      </c>
      <c r="BD64" s="7" t="b">
        <f t="shared" si="28"/>
        <v>1</v>
      </c>
      <c r="BE64" s="7" t="b">
        <f t="shared" si="29"/>
        <v>1</v>
      </c>
      <c r="BF64" s="7" t="b">
        <f t="shared" si="30"/>
        <v>0</v>
      </c>
      <c r="BG64" s="7" t="b">
        <f t="shared" si="31"/>
        <v>0</v>
      </c>
      <c r="BH64" s="7" t="b">
        <f t="shared" si="32"/>
        <v>1</v>
      </c>
      <c r="BI64" s="7" t="b">
        <f t="shared" si="33"/>
        <v>1</v>
      </c>
      <c r="BJ64" s="7" t="b">
        <f t="shared" si="34"/>
        <v>0</v>
      </c>
      <c r="BK64" s="7" t="b">
        <f t="shared" si="35"/>
        <v>0</v>
      </c>
      <c r="BL64" s="7" t="b">
        <f t="shared" si="36"/>
        <v>0</v>
      </c>
      <c r="BM64" s="7" t="b">
        <f t="shared" si="37"/>
        <v>0</v>
      </c>
      <c r="BP64" s="7">
        <v>54</v>
      </c>
    </row>
    <row r="65" spans="1:68" s="7" customFormat="1" ht="405" hidden="1" x14ac:dyDescent="0.25">
      <c r="A65" s="276">
        <v>55</v>
      </c>
      <c r="B65" s="343" t="s">
        <v>153</v>
      </c>
      <c r="C65" s="300" t="s">
        <v>345</v>
      </c>
      <c r="D65" s="301" t="s">
        <v>86</v>
      </c>
      <c r="E65" s="309" t="s">
        <v>87</v>
      </c>
      <c r="F65" s="343">
        <v>108</v>
      </c>
      <c r="G65" s="343" t="s">
        <v>88</v>
      </c>
      <c r="H65" s="278" t="s">
        <v>89</v>
      </c>
      <c r="I65" s="280">
        <v>302522</v>
      </c>
      <c r="J65" s="310">
        <f t="shared" si="49"/>
        <v>57479.18</v>
      </c>
      <c r="K65" s="280">
        <f t="shared" si="12"/>
        <v>360001.18</v>
      </c>
      <c r="L65" s="281">
        <f t="shared" si="13"/>
        <v>32672376</v>
      </c>
      <c r="M65" s="281">
        <f t="shared" si="14"/>
        <v>38880127.439999998</v>
      </c>
      <c r="N65" s="282" t="s">
        <v>90</v>
      </c>
      <c r="O65" s="283">
        <v>252101</v>
      </c>
      <c r="P65" s="311">
        <f t="shared" si="50"/>
        <v>47899.19</v>
      </c>
      <c r="Q65" s="283">
        <f t="shared" si="16"/>
        <v>300000.19</v>
      </c>
      <c r="R65" s="284">
        <f t="shared" si="17"/>
        <v>27226908</v>
      </c>
      <c r="S65" s="284">
        <f t="shared" si="18"/>
        <v>32400020.52</v>
      </c>
      <c r="T65" s="285"/>
      <c r="U65" s="312"/>
      <c r="V65" s="312"/>
      <c r="W65" s="286"/>
      <c r="X65" s="287"/>
      <c r="Y65" s="287"/>
      <c r="Z65" s="288">
        <f t="shared" si="98"/>
        <v>330000.685</v>
      </c>
      <c r="AA65" s="288">
        <f t="shared" si="99"/>
        <v>35640073.979999997</v>
      </c>
      <c r="AB65" s="288">
        <f t="shared" si="100"/>
        <v>4582127.5459458707</v>
      </c>
      <c r="AC65" s="229">
        <f t="shared" si="101"/>
        <v>0.1285667237536377</v>
      </c>
      <c r="AD65" s="141"/>
      <c r="AE65" s="290" t="b">
        <f t="shared" si="26"/>
        <v>1</v>
      </c>
      <c r="AF65" s="7" t="s">
        <v>346</v>
      </c>
      <c r="AO65" s="292">
        <f>VLOOKUP(C65,ITEMS_BolsaOperador!$D$2:$AY$247,48,0)</f>
        <v>0.12856672375363773</v>
      </c>
      <c r="AP65" s="291" t="str">
        <f>VLOOKUP(C65,ITEMS_BolsaOperador!$D$2:$AY$247,1,0)</f>
        <v>Salón - Espacio Apto para 50 personas  (media jornada más equipos audiovisuales)</v>
      </c>
      <c r="AQ65" s="291" t="str">
        <f>VLOOKUP(C65,ITEMS_BolsaOperador!$D$2:$AY$247,2,0)</f>
        <v>Espacio físico para 50 personas con baño, sillas y mesas, ubicado en la localidad de Suba, con disponibilidad de espacio exterior para desarrollo de actividades_x000D_
Dotado con equipo de computo, video beam y sonido_x000D_
Jornada de 4 horas</v>
      </c>
      <c r="AR65" s="291" t="str">
        <f>VLOOKUP(C65,ITEMS_BolsaOperador!$D$2:$AY$247,10,0)</f>
        <v xml:space="preserve">JAC PRADO PINZON </v>
      </c>
      <c r="AS65" s="291">
        <f>VLOOKUP(C65,ITEMS_BolsaOperador!$D$2:$AY$247,16,0)</f>
        <v>360001.18</v>
      </c>
      <c r="AT65" s="291" t="str">
        <f>VLOOKUP(C65,ITEMS_BolsaOperador!$D$2:$AY$247,23,0)</f>
        <v>JAC URBANIZACION EL LAGUITO DE SUBA</v>
      </c>
      <c r="AU65" s="291">
        <f>VLOOKUP(C65,ITEMS_BolsaOperador!$D$2:$AY$247,29,0)</f>
        <v>300000.19</v>
      </c>
      <c r="AV65" s="291">
        <f>VLOOKUP(C65,ITEMS_BolsaOperador!$D$2:$AY$247,36,0)</f>
        <v>0</v>
      </c>
      <c r="AW65" s="291">
        <f>VLOOKUP(C65,ITEMS_BolsaOperador!$D$2:$AY$247,42,0)</f>
        <v>0</v>
      </c>
      <c r="AX65" s="293">
        <f>VLOOKUP(C65,ITEMS_BolsaOperador!$D$2:$AY$247,45,0)</f>
        <v>330000.685</v>
      </c>
      <c r="AY65" s="293">
        <f>VLOOKUP(C65,ITEMS_BolsaOperador!$D$2:$AY$247,46,0)</f>
        <v>330000.685</v>
      </c>
      <c r="AZ65" s="293">
        <f>VLOOKUP(C65,ITEMS_BolsaOperador!$D$2:$AY$247,47,0)</f>
        <v>42427.106906906221</v>
      </c>
      <c r="BA65" s="229">
        <f>VLOOKUP(C65,ITEMS_BolsaOperador!$D$2:$AY$247,48,0)</f>
        <v>0.12856672375363773</v>
      </c>
      <c r="BC65" s="7" t="b">
        <f t="shared" si="27"/>
        <v>0</v>
      </c>
      <c r="BD65" s="7" t="b">
        <f t="shared" si="28"/>
        <v>0</v>
      </c>
      <c r="BE65" s="7" t="b">
        <f t="shared" si="29"/>
        <v>1</v>
      </c>
      <c r="BF65" s="7" t="b">
        <f t="shared" si="30"/>
        <v>1</v>
      </c>
      <c r="BG65" s="7" t="b">
        <f t="shared" si="31"/>
        <v>1</v>
      </c>
      <c r="BH65" s="7" t="b">
        <f t="shared" si="32"/>
        <v>1</v>
      </c>
      <c r="BI65" s="7" t="b">
        <f t="shared" si="33"/>
        <v>1</v>
      </c>
      <c r="BJ65" s="7" t="b">
        <f t="shared" si="34"/>
        <v>1</v>
      </c>
      <c r="BK65" s="7" t="b">
        <f t="shared" si="35"/>
        <v>0</v>
      </c>
      <c r="BL65" s="7" t="b">
        <f t="shared" si="36"/>
        <v>0</v>
      </c>
      <c r="BM65" s="7" t="b">
        <f t="shared" si="37"/>
        <v>1</v>
      </c>
      <c r="BP65" s="7">
        <v>55</v>
      </c>
    </row>
    <row r="66" spans="1:68" s="7" customFormat="1" ht="182.25" hidden="1" customHeight="1" x14ac:dyDescent="0.25">
      <c r="A66" s="276">
        <v>56</v>
      </c>
      <c r="B66" s="343" t="s">
        <v>153</v>
      </c>
      <c r="C66" s="308" t="s">
        <v>347</v>
      </c>
      <c r="D66" s="206" t="s">
        <v>352</v>
      </c>
      <c r="E66" s="343" t="s">
        <v>87</v>
      </c>
      <c r="F66" s="343">
        <v>5</v>
      </c>
      <c r="G66" s="430" t="s">
        <v>88</v>
      </c>
      <c r="H66" s="278" t="s">
        <v>89</v>
      </c>
      <c r="I66" s="280">
        <v>302522</v>
      </c>
      <c r="J66" s="310">
        <f t="shared" si="49"/>
        <v>57479.18</v>
      </c>
      <c r="K66" s="280">
        <f t="shared" si="12"/>
        <v>360001.18</v>
      </c>
      <c r="L66" s="281">
        <f t="shared" si="13"/>
        <v>1512610</v>
      </c>
      <c r="M66" s="281">
        <f t="shared" si="14"/>
        <v>1800005.9</v>
      </c>
      <c r="N66" s="282" t="s">
        <v>90</v>
      </c>
      <c r="O66" s="283">
        <v>252101</v>
      </c>
      <c r="P66" s="311">
        <f t="shared" si="50"/>
        <v>47899.19</v>
      </c>
      <c r="Q66" s="283">
        <f t="shared" si="16"/>
        <v>300000.19</v>
      </c>
      <c r="R66" s="284">
        <f t="shared" si="17"/>
        <v>1260505</v>
      </c>
      <c r="S66" s="284">
        <f t="shared" si="18"/>
        <v>1500000.95</v>
      </c>
      <c r="T66" s="313"/>
      <c r="U66" s="314"/>
      <c r="V66" s="312"/>
      <c r="W66" s="286"/>
      <c r="X66" s="287"/>
      <c r="Y66" s="287"/>
      <c r="Z66" s="288">
        <f t="shared" si="98"/>
        <v>330000.685</v>
      </c>
      <c r="AA66" s="288">
        <f t="shared" si="99"/>
        <v>1650003.425</v>
      </c>
      <c r="AB66" s="288">
        <f t="shared" si="100"/>
        <v>212135.53453453109</v>
      </c>
      <c r="AC66" s="229">
        <f t="shared" si="101"/>
        <v>0.1285667237536377</v>
      </c>
      <c r="AD66" s="141"/>
      <c r="AE66" s="290" t="b">
        <f t="shared" si="26"/>
        <v>1</v>
      </c>
      <c r="AF66" s="7" t="s">
        <v>348</v>
      </c>
      <c r="AO66" s="292">
        <f>VLOOKUP(C66,ITEMS_BolsaOperador!$D$2:$AY$247,48,0)</f>
        <v>0.12856672375363773</v>
      </c>
      <c r="AP66" s="291" t="str">
        <f>VLOOKUP(C66,ITEMS_BolsaOperador!$D$2:$AY$247,1,0)</f>
        <v>Salón - Espacio Apto para 100 personas  (media jornada más equipos audiovisuales)</v>
      </c>
      <c r="AQ66" s="291" t="str">
        <f>VLOOKUP(C66,ITEMS_BolsaOperador!$D$2:$AY$247,2,0)</f>
        <v>Espacio físico para 100 personas con baño, sillas y mesas, ubicado en la localidad de Suba, con disponibilidad de espacio exterior para desarrollo de actividades_x000D_
Dotado con equipo de computo, video beam y sonido_x000D_
Jornada de 4 horas</v>
      </c>
      <c r="AR66" s="291" t="str">
        <f>VLOOKUP(C66,ITEMS_BolsaOperador!$D$2:$AY$247,10,0)</f>
        <v xml:space="preserve">JAC PRADO PINZON </v>
      </c>
      <c r="AS66" s="291">
        <f>VLOOKUP(C66,ITEMS_BolsaOperador!$D$2:$AY$247,16,0)</f>
        <v>360001.18</v>
      </c>
      <c r="AT66" s="291" t="str">
        <f>VLOOKUP(C66,ITEMS_BolsaOperador!$D$2:$AY$247,23,0)</f>
        <v>JAC URBANIZACION EL LAGUITO DE SUBA</v>
      </c>
      <c r="AU66" s="291">
        <f>VLOOKUP(C66,ITEMS_BolsaOperador!$D$2:$AY$247,29,0)</f>
        <v>300000.19</v>
      </c>
      <c r="AV66" s="291">
        <f>VLOOKUP(C66,ITEMS_BolsaOperador!$D$2:$AY$247,36,0)</f>
        <v>0</v>
      </c>
      <c r="AW66" s="291">
        <f>VLOOKUP(C66,ITEMS_BolsaOperador!$D$2:$AY$247,42,0)</f>
        <v>0</v>
      </c>
      <c r="AX66" s="293" t="e">
        <f>VLOOKUP(C66,ITEMS_BolsaOperador!$D$254:$AY$276,45,0)</f>
        <v>#N/A</v>
      </c>
      <c r="AY66" s="293" t="e">
        <f>VLOOKUP(C66,ITEMS_BolsaOperador!$D$254:$AY$276,46,0)</f>
        <v>#N/A</v>
      </c>
      <c r="AZ66" s="293" t="e">
        <f>VLOOKUP(C66,ITEMS_BolsaOperador!$D$254:$AY$276,47,0)</f>
        <v>#N/A</v>
      </c>
      <c r="BA66" s="229" t="e">
        <f>VLOOKUP(C66,ITEMS_BolsaOperador!$D$254:$AY$276,48,0)</f>
        <v>#N/A</v>
      </c>
      <c r="BC66" s="7" t="b">
        <f t="shared" ref="BC66" si="113">AQ66=D66</f>
        <v>1</v>
      </c>
      <c r="BD66" s="7" t="b">
        <f t="shared" ref="BD66" si="114">AR66=H66</f>
        <v>0</v>
      </c>
      <c r="BE66" s="7" t="b">
        <f t="shared" ref="BE66" si="115">AS66=K66</f>
        <v>1</v>
      </c>
      <c r="BF66" s="7" t="b">
        <f t="shared" ref="BF66" si="116">N66=AT66</f>
        <v>1</v>
      </c>
      <c r="BG66" s="7" t="b">
        <f t="shared" ref="BG66" si="117">AU66=Q66</f>
        <v>1</v>
      </c>
      <c r="BH66" s="7" t="b">
        <f t="shared" ref="BH66" si="118">AV66=T66</f>
        <v>1</v>
      </c>
      <c r="BI66" s="7" t="b">
        <f t="shared" ref="BI66" si="119">AW66=W66</f>
        <v>1</v>
      </c>
      <c r="BJ66" s="7" t="e">
        <f t="shared" ref="BJ66" si="120">AX66=Z66</f>
        <v>#N/A</v>
      </c>
      <c r="BK66" s="7" t="e">
        <f t="shared" ref="BK66" si="121">AY66=AA66</f>
        <v>#N/A</v>
      </c>
      <c r="BL66" s="7" t="e">
        <f t="shared" ref="BL66" si="122">AZ66=AB66</f>
        <v>#N/A</v>
      </c>
      <c r="BM66" s="7" t="e">
        <f t="shared" ref="BM66" si="123">BA66=AC66</f>
        <v>#N/A</v>
      </c>
    </row>
    <row r="67" spans="1:68" s="7" customFormat="1" ht="409.5" hidden="1" customHeight="1" x14ac:dyDescent="0.25">
      <c r="A67" s="276">
        <v>57</v>
      </c>
      <c r="B67" s="343" t="s">
        <v>153</v>
      </c>
      <c r="C67" s="303" t="s">
        <v>93</v>
      </c>
      <c r="D67" s="305" t="s">
        <v>94</v>
      </c>
      <c r="E67" s="343" t="s">
        <v>41</v>
      </c>
      <c r="F67" s="343">
        <v>540</v>
      </c>
      <c r="G67" s="430" t="s">
        <v>42</v>
      </c>
      <c r="H67" s="278" t="s">
        <v>95</v>
      </c>
      <c r="I67" s="280">
        <v>11700</v>
      </c>
      <c r="J67" s="280">
        <f>I67*8%</f>
        <v>936</v>
      </c>
      <c r="K67" s="280">
        <f t="shared" si="12"/>
        <v>12636</v>
      </c>
      <c r="L67" s="281">
        <f t="shared" si="13"/>
        <v>6318000</v>
      </c>
      <c r="M67" s="281">
        <f t="shared" si="14"/>
        <v>6823440</v>
      </c>
      <c r="N67" s="282" t="s">
        <v>50</v>
      </c>
      <c r="O67" s="283">
        <v>8570</v>
      </c>
      <c r="P67" s="283">
        <f>O67*8%</f>
        <v>685.6</v>
      </c>
      <c r="Q67" s="283">
        <f t="shared" si="16"/>
        <v>9255.6</v>
      </c>
      <c r="R67" s="284">
        <f t="shared" si="17"/>
        <v>4627800</v>
      </c>
      <c r="S67" s="284">
        <f t="shared" si="18"/>
        <v>4998024</v>
      </c>
      <c r="T67" s="285" t="s">
        <v>96</v>
      </c>
      <c r="U67" s="286">
        <v>13871</v>
      </c>
      <c r="V67" s="312"/>
      <c r="W67" s="286">
        <f t="shared" si="19"/>
        <v>13871</v>
      </c>
      <c r="X67" s="287">
        <f t="shared" si="20"/>
        <v>7490340</v>
      </c>
      <c r="Y67" s="287">
        <f t="shared" si="21"/>
        <v>7490340</v>
      </c>
      <c r="Z67" s="288">
        <f t="shared" si="98"/>
        <v>11920.866666666667</v>
      </c>
      <c r="AA67" s="288">
        <f t="shared" si="99"/>
        <v>6437268</v>
      </c>
      <c r="AB67" s="288">
        <f t="shared" si="100"/>
        <v>1290254.3823417148</v>
      </c>
      <c r="AC67" s="229">
        <f t="shared" si="101"/>
        <v>0.20043508866520934</v>
      </c>
      <c r="AD67" s="141"/>
      <c r="AE67" s="290" t="b">
        <f t="shared" si="26"/>
        <v>0</v>
      </c>
      <c r="AF67" s="291" t="s">
        <v>342</v>
      </c>
      <c r="AO67" s="292">
        <f>VLOOKUP(C67,ITEMS_BolsaOperador!$D$2:$AY$247,48,0)</f>
        <v>0.20043508866520951</v>
      </c>
      <c r="AP67" s="291" t="str">
        <f>VLOOKUP(C67,ITEMS_BolsaOperador!$D$2:$AY$247,1,0)</f>
        <v>Refrigerio Tipo 1</v>
      </c>
      <c r="AQ67" s="291" t="str">
        <f>VLOOKUP(C67,ITEMS_BolsaOperador!$D$2:$AY$247,2,0)</f>
        <v>Compuesto por:  _x000D_
1. Bebida: Deberá contener al menos 200 mililitros. Jugo de frutas y/o yogurt y/o kumis y/o avena, naturales no procesados, no se permitirá el suministro de bebidas empacadas en bolsa plástica, la Alcaldía Local de Suba requiere que las mismas sean entregadas a los asistentes en empaque tetra pack.  _x000D_
2. Un producto cereal   o producto de panadería tipo: Deberán tener un peso mínimo de 100 gramos. Podrá ser  Pastel de pollo o carne, ponqué, arepa, empanada, mantecada,  arepa con queso, pastel gloria, croissant de jamón y queso, brownie, buñuelo o similares. Los gramajes corresponden a los productos ya elaborados.    _x000D_
3. Una fruta de temporada: Porción de fruta no menor de 100 gramos. Mandarina, naranja,  manzana, pera, durazno o similares.  _x000D_
4. Dulce: Deberá tener mínimo entre 12 y 15 gramos. Chocolatina, Arequipe,  bocadillo o similares.</v>
      </c>
      <c r="AR67" s="291" t="str">
        <f>VLOOKUP(C67,ITEMS_BolsaOperador!$D$2:$AY$247,10,0)</f>
        <v>INVERSIONES BECORATI E Y O SAS</v>
      </c>
      <c r="AS67" s="291">
        <f>VLOOKUP(C67,ITEMS_BolsaOperador!$D$2:$AY$247,16,0)</f>
        <v>12636</v>
      </c>
      <c r="AT67" s="291" t="str">
        <f>VLOOKUP(C67,ITEMS_BolsaOperador!$D$2:$AY$247,23,0)</f>
        <v>ENTERPRISE INVESTMENT DEVELOPMENT S.A.S.</v>
      </c>
      <c r="AU67" s="291">
        <f>VLOOKUP(C67,ITEMS_BolsaOperador!$D$2:$AY$247,29,0)</f>
        <v>9255.6</v>
      </c>
      <c r="AV67" s="291" t="str">
        <f>VLOOKUP(C67,ITEMS_BolsaOperador!$D$2:$AY$247,36,0)</f>
        <v>Estimación de precios con base en el proceso FDLSUBA-LP-013-2025 (140689) – Contrato 1000 – 2025, indexando el incremento de precios en el mercado con base en el Índice de Precios al Consumidor (IPC) para el mes de marzo de 2026, el cual fue de 5,56%.</v>
      </c>
      <c r="AW67" s="291">
        <f>VLOOKUP(C67,ITEMS_BolsaOperador!$D$2:$AY$247,42,0)</f>
        <v>13871</v>
      </c>
      <c r="AX67" s="293">
        <f>VLOOKUP(C67,ITEMS_BolsaOperador!$D$2:$AY$247,45,0)</f>
        <v>11920.866666666667</v>
      </c>
      <c r="AY67" s="293">
        <f>VLOOKUP(C67,ITEMS_BolsaOperador!$D$2:$AY$247,46,0)</f>
        <v>11920.866666666667</v>
      </c>
      <c r="AZ67" s="293">
        <f>VLOOKUP(C67,ITEMS_BolsaOperador!$D$2:$AY$247,47,0)</f>
        <v>2389.3599672994737</v>
      </c>
      <c r="BA67" s="229">
        <f>VLOOKUP(C67,ITEMS_BolsaOperador!$D$2:$AY$247,48,0)</f>
        <v>0.20043508866520951</v>
      </c>
      <c r="BC67" s="7" t="b">
        <f t="shared" si="27"/>
        <v>0</v>
      </c>
      <c r="BD67" s="7" t="b">
        <f t="shared" si="28"/>
        <v>1</v>
      </c>
      <c r="BE67" s="7" t="b">
        <f t="shared" si="29"/>
        <v>1</v>
      </c>
      <c r="BF67" s="7" t="b">
        <f t="shared" si="30"/>
        <v>0</v>
      </c>
      <c r="BG67" s="7" t="b">
        <f t="shared" si="31"/>
        <v>1</v>
      </c>
      <c r="BH67" s="7" t="b">
        <f t="shared" si="32"/>
        <v>0</v>
      </c>
      <c r="BI67" s="7" t="b">
        <f t="shared" si="33"/>
        <v>1</v>
      </c>
      <c r="BJ67" s="7" t="b">
        <f t="shared" si="34"/>
        <v>1</v>
      </c>
      <c r="BK67" s="7" t="b">
        <f t="shared" si="35"/>
        <v>0</v>
      </c>
      <c r="BL67" s="7" t="b">
        <f t="shared" si="36"/>
        <v>0</v>
      </c>
      <c r="BM67" s="7" t="b">
        <f t="shared" si="37"/>
        <v>0</v>
      </c>
    </row>
    <row r="68" spans="1:68" s="7" customFormat="1" ht="409.5" hidden="1" customHeight="1" x14ac:dyDescent="0.25">
      <c r="A68" s="276">
        <v>58</v>
      </c>
      <c r="B68" s="429" t="s">
        <v>153</v>
      </c>
      <c r="C68" s="303" t="s">
        <v>97</v>
      </c>
      <c r="D68" s="305" t="s">
        <v>98</v>
      </c>
      <c r="E68" s="429" t="s">
        <v>41</v>
      </c>
      <c r="F68" s="429">
        <v>65</v>
      </c>
      <c r="G68" s="430" t="s">
        <v>42</v>
      </c>
      <c r="H68" s="278" t="s">
        <v>99</v>
      </c>
      <c r="I68" s="280">
        <v>21600</v>
      </c>
      <c r="J68" s="280">
        <f>I68*8%</f>
        <v>1728</v>
      </c>
      <c r="K68" s="280">
        <f t="shared" si="12"/>
        <v>23328</v>
      </c>
      <c r="L68" s="281">
        <f t="shared" si="13"/>
        <v>1404000</v>
      </c>
      <c r="M68" s="281">
        <f t="shared" si="14"/>
        <v>1516320</v>
      </c>
      <c r="N68" s="282" t="s">
        <v>100</v>
      </c>
      <c r="O68" s="283">
        <v>25000</v>
      </c>
      <c r="P68" s="283">
        <f>O68*8%</f>
        <v>2000</v>
      </c>
      <c r="Q68" s="283">
        <f t="shared" si="16"/>
        <v>27000</v>
      </c>
      <c r="R68" s="284">
        <f t="shared" si="17"/>
        <v>1625000</v>
      </c>
      <c r="S68" s="284">
        <f t="shared" si="18"/>
        <v>1755000</v>
      </c>
      <c r="T68" s="285" t="s">
        <v>101</v>
      </c>
      <c r="U68" s="426">
        <v>26824</v>
      </c>
      <c r="V68" s="286">
        <f>U68*8%</f>
        <v>2145.92</v>
      </c>
      <c r="W68" s="286">
        <f t="shared" si="19"/>
        <v>28969.919999999998</v>
      </c>
      <c r="X68" s="287">
        <f t="shared" si="20"/>
        <v>1743560</v>
      </c>
      <c r="Y68" s="287">
        <f t="shared" si="21"/>
        <v>1883044.7999999998</v>
      </c>
      <c r="Z68" s="288">
        <f t="shared" si="98"/>
        <v>26432.639999999999</v>
      </c>
      <c r="AA68" s="288">
        <f t="shared" si="99"/>
        <v>1718121.5999999999</v>
      </c>
      <c r="AB68" s="288">
        <f t="shared" si="100"/>
        <v>186123.02926741756</v>
      </c>
      <c r="AC68" s="229">
        <f t="shared" si="101"/>
        <v>0.10832936927596834</v>
      </c>
      <c r="AD68" s="141"/>
      <c r="AE68" s="290" t="b">
        <f t="shared" si="26"/>
        <v>1</v>
      </c>
      <c r="AF68" s="291" t="s">
        <v>342</v>
      </c>
      <c r="AO68" s="292">
        <f>VLOOKUP(C68,ITEMS_BolsaOperador!$D$2:$AY$247,48,0)</f>
        <v>0.10832936927596835</v>
      </c>
      <c r="AP68" s="291" t="str">
        <f>VLOOKUP(C68,ITEMS_BolsaOperador!$D$2:$AY$247,1,0)</f>
        <v>Refrigerio Especial</v>
      </c>
      <c r="AQ68" s="291" t="str">
        <f>VLOOKUP(C68,ITEMS_BolsaOperador!$D$2:$AY$247,2,0)</f>
        <v>BEBIDA: Jugo natural  de fruta en agua o  néctares,  o refrescos de fruta,  con opción sin azúcar, o bajo en azúcar, o gaseosas ligth o normal; contenido mínimo 200 ml, en empaque comercial  duro ( no en bolsa, no de icopor o plástico), o servido en vaso de vidrio
ALIMENTO PRINCIPAL: Sánduche de jamón y/o queso o atún o pollo o espinaca y queso en pan común o integral  para sánduche,  ponqués o galletas o palito de queso o arepas  con queso o pasteles gloria, de pollo, de carne,  de queso, de harina  integral o comunes; porción entre  60 a 100 gr.
ACOMPAÑAMIENTO: Papas fritas de pollo o natural, o fruta deshidratada, paq de 30gr.
FRUTA: De temporada 150 gr.
EMPAQUE:  En bolsa plástica bio-degradable (si se requiere), preferiblemente que los productos se encuentren en empaques reciclables y/o biodegradables.
OPCIONAL: servicio de entrega al usuario final.</v>
      </c>
      <c r="AR68" s="291" t="str">
        <f>VLOOKUP(C68,ITEMS_BolsaOperador!$D$2:$AY$247,10,0)</f>
        <v>Esfera de Eventos</v>
      </c>
      <c r="AS68" s="291">
        <f>VLOOKUP(C68,ITEMS_BolsaOperador!$D$2:$AY$247,16,0)</f>
        <v>23328</v>
      </c>
      <c r="AT68" s="291" t="str">
        <f>VLOOKUP(C68,ITEMS_BolsaOperador!$D$2:$AY$247,23,0)</f>
        <v>Catering Depot</v>
      </c>
      <c r="AU68" s="291">
        <f>VLOOKUP(C68,ITEMS_BolsaOperador!$D$2:$AY$247,29,0)</f>
        <v>27000</v>
      </c>
      <c r="AV68" s="291" t="str">
        <f>VLOOKUP(C68,ITEMS_BolsaOperador!$D$2:$AY$247,36,0)</f>
        <v>D&amp;R PRODUCCIONES SAS</v>
      </c>
      <c r="AW68" s="291">
        <f>VLOOKUP(C68,ITEMS_BolsaOperador!$D$2:$AY$247,42,0)</f>
        <v>28969.919999999998</v>
      </c>
      <c r="AX68" s="293">
        <f>VLOOKUP(C68,ITEMS_BolsaOperador!$D$2:$AY$247,45,0)</f>
        <v>26432.639999999999</v>
      </c>
      <c r="AY68" s="293">
        <f>VLOOKUP(C68,ITEMS_BolsaOperador!$D$2:$AY$247,46,0)</f>
        <v>26432.639999999999</v>
      </c>
      <c r="AZ68" s="293">
        <f>VLOOKUP(C68,ITEMS_BolsaOperador!$D$2:$AY$247,47,0)</f>
        <v>2863.4312194987319</v>
      </c>
      <c r="BA68" s="229">
        <f>VLOOKUP(C68,ITEMS_BolsaOperador!$D$2:$AY$247,48,0)</f>
        <v>0.10832936927596835</v>
      </c>
      <c r="BC68" s="7" t="b">
        <f t="shared" si="27"/>
        <v>0</v>
      </c>
      <c r="BD68" s="7" t="b">
        <f t="shared" si="28"/>
        <v>0</v>
      </c>
      <c r="BE68" s="7" t="b">
        <f t="shared" si="29"/>
        <v>1</v>
      </c>
      <c r="BF68" s="7" t="b">
        <f t="shared" si="30"/>
        <v>0</v>
      </c>
      <c r="BG68" s="7" t="b">
        <f t="shared" si="31"/>
        <v>1</v>
      </c>
      <c r="BH68" s="7" t="b">
        <f t="shared" si="32"/>
        <v>1</v>
      </c>
      <c r="BI68" s="7" t="b">
        <f t="shared" si="33"/>
        <v>1</v>
      </c>
      <c r="BJ68" s="7" t="b">
        <f t="shared" si="34"/>
        <v>1</v>
      </c>
      <c r="BK68" s="7" t="b">
        <f t="shared" si="35"/>
        <v>0</v>
      </c>
      <c r="BL68" s="7" t="b">
        <f t="shared" si="36"/>
        <v>0</v>
      </c>
      <c r="BM68" s="7" t="b">
        <f t="shared" si="37"/>
        <v>1</v>
      </c>
    </row>
    <row r="69" spans="1:68" s="7" customFormat="1" ht="192" hidden="1" x14ac:dyDescent="0.25">
      <c r="A69" s="276">
        <v>59</v>
      </c>
      <c r="B69" s="315" t="s">
        <v>157</v>
      </c>
      <c r="C69" s="316" t="s">
        <v>71</v>
      </c>
      <c r="D69" s="317" t="s">
        <v>355</v>
      </c>
      <c r="E69" s="318" t="s">
        <v>41</v>
      </c>
      <c r="F69" s="318">
        <v>410</v>
      </c>
      <c r="G69" s="319" t="s">
        <v>42</v>
      </c>
      <c r="H69" s="320" t="str">
        <f>VLOOKUP(C69,ITEMS_BolsaOperador!$D$2:$AQ$499,10,0)</f>
        <v>DICOES GRUPÓ PUBLICITARIO SAS</v>
      </c>
      <c r="I69" s="321">
        <v>38000</v>
      </c>
      <c r="J69" s="322">
        <f t="shared" ref="J69" si="124">I69*19%</f>
        <v>7220</v>
      </c>
      <c r="K69" s="280">
        <f t="shared" si="12"/>
        <v>45220</v>
      </c>
      <c r="L69" s="281">
        <f t="shared" si="13"/>
        <v>15580000</v>
      </c>
      <c r="M69" s="281">
        <f t="shared" si="14"/>
        <v>18540200</v>
      </c>
      <c r="N69" s="320" t="str">
        <f>VLOOKUP(C69,ITEMS_BolsaOperador!$D$2:$AQ$499,23,0)</f>
        <v>NEXUS ESTUDIO GRÁFICOS</v>
      </c>
      <c r="O69" s="323">
        <v>38000</v>
      </c>
      <c r="P69" s="322">
        <f t="shared" ref="P69" si="125">O69*19%</f>
        <v>7220</v>
      </c>
      <c r="Q69" s="283">
        <f t="shared" si="16"/>
        <v>45220</v>
      </c>
      <c r="R69" s="284">
        <f t="shared" si="17"/>
        <v>15580000</v>
      </c>
      <c r="S69" s="284">
        <f t="shared" si="18"/>
        <v>18540200</v>
      </c>
      <c r="T69" s="320" t="str">
        <f>VLOOKUP(C69,ITEMS_BolsaOperador!$D$2:$AQ$499,36,0)</f>
        <v>angie Pachon (personalizado INK)</v>
      </c>
      <c r="U69" s="321">
        <v>38000</v>
      </c>
      <c r="V69" s="322"/>
      <c r="W69" s="286">
        <f t="shared" si="19"/>
        <v>38000</v>
      </c>
      <c r="X69" s="287">
        <f t="shared" si="20"/>
        <v>15580000</v>
      </c>
      <c r="Y69" s="287">
        <f t="shared" si="21"/>
        <v>15580000</v>
      </c>
      <c r="Z69" s="288">
        <f t="shared" si="98"/>
        <v>42813.333333333336</v>
      </c>
      <c r="AA69" s="288">
        <f t="shared" si="99"/>
        <v>17553466.666666668</v>
      </c>
      <c r="AB69" s="288">
        <f t="shared" si="100"/>
        <v>1709072.2668551302</v>
      </c>
      <c r="AC69" s="229">
        <f t="shared" si="101"/>
        <v>9.7363802792333337E-2</v>
      </c>
      <c r="AD69" s="141" t="s">
        <v>356</v>
      </c>
      <c r="AE69" s="290" t="b">
        <f t="shared" si="26"/>
        <v>1</v>
      </c>
      <c r="AF69" s="291" t="s">
        <v>357</v>
      </c>
      <c r="AG69" s="7" t="e">
        <f>VLOOKUP(#REF!,ITEMS_BolsaOperador!$D$1:$AY$276,48,0)</f>
        <v>#REF!</v>
      </c>
      <c r="AH69" s="7" t="e">
        <f>VLOOKUP(#REF!,ITEMS_BolsaOperador!$D$1:$AY$276,1,0)</f>
        <v>#REF!</v>
      </c>
      <c r="AI69" s="7" t="e">
        <f>VLOOKUP(#REF!,ITEMS_BolsaOperador!$D$1:$AY$276,2,0)</f>
        <v>#REF!</v>
      </c>
      <c r="AJ69" s="7" t="e">
        <f>VLOOKUP(#REF!,ITEMS_BolsaOperador!$D$1:$AY$276,10,0)</f>
        <v>#REF!</v>
      </c>
      <c r="AK69" s="7" t="e">
        <f>VLOOKUP(#REF!,ITEMS_BolsaOperador!$D$1:$AY$276,16,0)</f>
        <v>#REF!</v>
      </c>
      <c r="AL69" s="7" t="e">
        <f>VLOOKUP(#REF!,ITEMS_BolsaOperador!$D$1:$AY$276,23,0)</f>
        <v>#REF!</v>
      </c>
      <c r="AM69" s="7" t="e">
        <f>VLOOKUP(#REF!,ITEMS_BolsaOperador!$D$1:$AY$276,29,0)</f>
        <v>#REF!</v>
      </c>
      <c r="AN69" s="7" t="e">
        <f>VLOOKUP(#REF!,ITEMS_BolsaOperador!$D$1:$AY$276,36,0)</f>
        <v>#REF!</v>
      </c>
      <c r="AO69" s="292">
        <f>VLOOKUP(C69,ITEMS_BolsaOperador!$D$2:$AY$287,48,0)</f>
        <v>9.7363802792333337E-2</v>
      </c>
      <c r="AP69" s="7" t="e">
        <f>VLOOKUP(C69,ITEMS_BolsaOperador!$D$254:$AY$276,1,0)</f>
        <v>#N/A</v>
      </c>
      <c r="AQ69" s="7" t="e">
        <f>VLOOKUP(C69,ITEMS_BolsaOperador!$D$254:$AY$276,2,0)</f>
        <v>#N/A</v>
      </c>
      <c r="AR69" s="7" t="e">
        <f>VLOOKUP(C69,ITEMS_BolsaOperador!$D$254:$AY$276,10,0)</f>
        <v>#N/A</v>
      </c>
      <c r="AS69" s="7" t="e">
        <f>VLOOKUP(C69,ITEMS_BolsaOperador!$D$254:$AY$276,16,0)</f>
        <v>#N/A</v>
      </c>
      <c r="AT69" s="7" t="e">
        <f>VLOOKUP(C69,ITEMS_BolsaOperador!$D$254:$AY$276,23,0)</f>
        <v>#N/A</v>
      </c>
      <c r="AU69" s="7" t="e">
        <f>VLOOKUP(C69,ITEMS_BolsaOperador!$D$254:$AY$276,29,0)</f>
        <v>#N/A</v>
      </c>
      <c r="AV69" s="7" t="e">
        <f>VLOOKUP(C69,ITEMS_BolsaOperador!$D$254:$AY$276,36,0)</f>
        <v>#N/A</v>
      </c>
      <c r="AW69" s="7" t="e">
        <f>VLOOKUP(C69,ITEMS_BolsaOperador!$D$254:$AY$276,42,0)</f>
        <v>#N/A</v>
      </c>
      <c r="AX69" s="7" t="e">
        <f>VLOOKUP(C69,ITEMS_BolsaOperador!$D$254:$AY$276,45,0)</f>
        <v>#N/A</v>
      </c>
      <c r="AY69" s="7" t="e">
        <f>VLOOKUP(C69,ITEMS_BolsaOperador!$D$254:$AY$276,46,0)</f>
        <v>#N/A</v>
      </c>
      <c r="AZ69" s="7" t="e">
        <f>VLOOKUP(C69,ITEMS_BolsaOperador!$D$254:$AY$276,47,0)</f>
        <v>#N/A</v>
      </c>
      <c r="BA69" s="7" t="e">
        <f>VLOOKUP(C69,ITEMS_BolsaOperador!$D$254:$AY$276,48,0)</f>
        <v>#N/A</v>
      </c>
      <c r="BC69" s="7" t="e">
        <f t="shared" ref="BC69:BC71" si="126">AQ69=D69</f>
        <v>#N/A</v>
      </c>
      <c r="BD69" s="7" t="e">
        <f t="shared" ref="BD69:BD71" si="127">AR69=H69</f>
        <v>#N/A</v>
      </c>
      <c r="BE69" s="7" t="e">
        <f t="shared" ref="BE69:BE71" si="128">AS69=K69</f>
        <v>#N/A</v>
      </c>
      <c r="BF69" s="7" t="e">
        <f t="shared" ref="BF69:BF71" si="129">N69=AT69</f>
        <v>#N/A</v>
      </c>
      <c r="BG69" s="7" t="e">
        <f t="shared" ref="BG69:BG71" si="130">AU69=Q69</f>
        <v>#N/A</v>
      </c>
      <c r="BH69" s="7" t="e">
        <f t="shared" ref="BH69:BH71" si="131">AV69=T69</f>
        <v>#N/A</v>
      </c>
      <c r="BI69" s="7" t="e">
        <f t="shared" ref="BI69:BI71" si="132">AW69=W69</f>
        <v>#N/A</v>
      </c>
      <c r="BJ69" s="7" t="e">
        <f t="shared" ref="BJ69:BJ71" si="133">AX69=Z69</f>
        <v>#N/A</v>
      </c>
      <c r="BK69" s="7" t="e">
        <f t="shared" ref="BK69:BK71" si="134">AY69=AA69</f>
        <v>#N/A</v>
      </c>
      <c r="BL69" s="7" t="e">
        <f t="shared" ref="BL69:BL71" si="135">AZ69=AB69</f>
        <v>#N/A</v>
      </c>
      <c r="BM69" s="7" t="e">
        <f t="shared" ref="BM69:BM71" si="136">BA69=AC69</f>
        <v>#N/A</v>
      </c>
    </row>
    <row r="70" spans="1:68" s="7" customFormat="1" ht="120" hidden="1" x14ac:dyDescent="0.35">
      <c r="A70" s="276">
        <v>60</v>
      </c>
      <c r="B70" s="324" t="s">
        <v>157</v>
      </c>
      <c r="C70" s="431" t="s">
        <v>358</v>
      </c>
      <c r="D70" s="432" t="s">
        <v>359</v>
      </c>
      <c r="E70" s="325" t="s">
        <v>41</v>
      </c>
      <c r="F70" s="325">
        <v>410</v>
      </c>
      <c r="G70" s="326" t="s">
        <v>42</v>
      </c>
      <c r="H70" s="327" t="s">
        <v>360</v>
      </c>
      <c r="I70" s="328">
        <v>2500</v>
      </c>
      <c r="J70" s="329">
        <f t="shared" ref="J70" si="137">I70*19%</f>
        <v>475</v>
      </c>
      <c r="K70" s="280">
        <f t="shared" si="12"/>
        <v>2975</v>
      </c>
      <c r="L70" s="281">
        <f t="shared" si="13"/>
        <v>1025000</v>
      </c>
      <c r="M70" s="281">
        <f t="shared" si="14"/>
        <v>1219750</v>
      </c>
      <c r="N70" s="327" t="s">
        <v>361</v>
      </c>
      <c r="O70" s="330">
        <v>2500</v>
      </c>
      <c r="P70" s="329">
        <f t="shared" ref="P70:P71" si="138">O70*19%</f>
        <v>475</v>
      </c>
      <c r="Q70" s="283">
        <f t="shared" si="16"/>
        <v>2975</v>
      </c>
      <c r="R70" s="284">
        <f t="shared" si="17"/>
        <v>1025000</v>
      </c>
      <c r="S70" s="284">
        <f t="shared" si="18"/>
        <v>1219750</v>
      </c>
      <c r="T70" s="327"/>
      <c r="U70" s="328"/>
      <c r="V70" s="329"/>
      <c r="W70" s="286"/>
      <c r="X70" s="287"/>
      <c r="Y70" s="287"/>
      <c r="Z70" s="288">
        <f t="shared" si="98"/>
        <v>2975</v>
      </c>
      <c r="AA70" s="288">
        <f t="shared" si="99"/>
        <v>1219750</v>
      </c>
      <c r="AB70" s="288">
        <f t="shared" si="100"/>
        <v>0</v>
      </c>
      <c r="AC70" s="229">
        <f t="shared" si="101"/>
        <v>0</v>
      </c>
      <c r="AD70" s="141"/>
      <c r="AE70" s="290" t="b">
        <f t="shared" si="26"/>
        <v>1</v>
      </c>
      <c r="AF70" s="291" t="s">
        <v>362</v>
      </c>
      <c r="AO70" s="292"/>
    </row>
    <row r="71" spans="1:68" s="7" customFormat="1" ht="126" hidden="1" x14ac:dyDescent="0.25">
      <c r="A71" s="276">
        <v>61</v>
      </c>
      <c r="B71" s="343" t="s">
        <v>157</v>
      </c>
      <c r="C71" s="331" t="s">
        <v>78</v>
      </c>
      <c r="D71" s="332" t="s">
        <v>363</v>
      </c>
      <c r="E71" s="343" t="s">
        <v>41</v>
      </c>
      <c r="F71" s="343">
        <v>410</v>
      </c>
      <c r="G71" s="430" t="s">
        <v>42</v>
      </c>
      <c r="H71" s="278" t="s">
        <v>75</v>
      </c>
      <c r="I71" s="280">
        <v>15000</v>
      </c>
      <c r="J71" s="280"/>
      <c r="K71" s="280">
        <f t="shared" ref="K71" si="139">I71+J71</f>
        <v>15000</v>
      </c>
      <c r="L71" s="281">
        <f t="shared" ref="L71" si="140">IF(B71="","",(I71*F71))</f>
        <v>6150000</v>
      </c>
      <c r="M71" s="281">
        <f t="shared" ref="M71" si="141">IF(B71="","",(K71*F71))</f>
        <v>6150000</v>
      </c>
      <c r="N71" s="298" t="s">
        <v>80</v>
      </c>
      <c r="O71" s="283">
        <v>12000</v>
      </c>
      <c r="P71" s="283">
        <f t="shared" si="138"/>
        <v>2280</v>
      </c>
      <c r="Q71" s="283">
        <f t="shared" ref="Q71" si="142">O71+P71</f>
        <v>14280</v>
      </c>
      <c r="R71" s="284">
        <f t="shared" ref="R71" si="143">IF(B71="","",(O71*F71))</f>
        <v>4920000</v>
      </c>
      <c r="S71" s="284">
        <f t="shared" ref="S71" si="144">IF(B71="","",(Q71*F71))</f>
        <v>5854800</v>
      </c>
      <c r="T71" s="285"/>
      <c r="U71" s="295"/>
      <c r="V71" s="286"/>
      <c r="W71" s="286"/>
      <c r="X71" s="287"/>
      <c r="Y71" s="287"/>
      <c r="Z71" s="288">
        <f t="shared" si="98"/>
        <v>14640</v>
      </c>
      <c r="AA71" s="288">
        <f t="shared" si="99"/>
        <v>6002400</v>
      </c>
      <c r="AB71" s="288">
        <f t="shared" si="100"/>
        <v>208737.92180626883</v>
      </c>
      <c r="AC71" s="229">
        <f t="shared" si="101"/>
        <v>3.4775743337043322E-2</v>
      </c>
      <c r="AD71" s="141" t="s">
        <v>356</v>
      </c>
      <c r="AE71" s="290" t="b">
        <f t="shared" si="26"/>
        <v>0</v>
      </c>
      <c r="AF71" s="291" t="s">
        <v>357</v>
      </c>
      <c r="AG71" s="292" t="e">
        <f>VLOOKUP(#REF!,ITEMS_BolsaOperador!$D$1:$AY$276,48,0)</f>
        <v>#REF!</v>
      </c>
      <c r="AH71" s="291" t="e">
        <f>VLOOKUP(#REF!,ITEMS_BolsaOperador!$D$1:$AY$276,1,0)</f>
        <v>#REF!</v>
      </c>
      <c r="AI71" s="291" t="e">
        <f>VLOOKUP(#REF!,ITEMS_BolsaOperador!$D$1:$AY$276,2,0)</f>
        <v>#REF!</v>
      </c>
      <c r="AJ71" s="291" t="e">
        <f>VLOOKUP(#REF!,ITEMS_BolsaOperador!$D$1:$AY$276,10,0)</f>
        <v>#REF!</v>
      </c>
      <c r="AK71" s="291" t="e">
        <f>VLOOKUP(#REF!,ITEMS_BolsaOperador!$D$1:$AY$276,16,0)</f>
        <v>#REF!</v>
      </c>
      <c r="AL71" s="291" t="e">
        <f>VLOOKUP(#REF!,ITEMS_BolsaOperador!$D$1:$AY$276,23,0)</f>
        <v>#REF!</v>
      </c>
      <c r="AM71" s="291" t="e">
        <f>VLOOKUP(#REF!,ITEMS_BolsaOperador!$D$1:$AY$276,29,0)</f>
        <v>#REF!</v>
      </c>
      <c r="AN71" s="291" t="e">
        <f>VLOOKUP(#REF!,ITEMS_BolsaOperador!$D$1:$AY$276,36,0)</f>
        <v>#REF!</v>
      </c>
      <c r="AO71" s="292">
        <f>VLOOKUP(C71,ITEMS_BolsaOperador!$D$2:$AY$287,48,0)</f>
        <v>3.4799999999999998E-2</v>
      </c>
      <c r="AP71" s="291" t="e">
        <f>VLOOKUP(C71,ITEMS_BolsaOperador!$D$254:$AY$276,1,0)</f>
        <v>#N/A</v>
      </c>
      <c r="AQ71" s="291" t="e">
        <f>VLOOKUP(C71,ITEMS_BolsaOperador!$D$254:$AY$276,2,0)</f>
        <v>#N/A</v>
      </c>
      <c r="AR71" s="291" t="e">
        <f>VLOOKUP(C71,ITEMS_BolsaOperador!$D$254:$AY$276,10,0)</f>
        <v>#N/A</v>
      </c>
      <c r="AS71" s="291" t="e">
        <f>VLOOKUP(C71,ITEMS_BolsaOperador!$D$254:$AY$276,16,0)</f>
        <v>#N/A</v>
      </c>
      <c r="AT71" s="291" t="e">
        <f>VLOOKUP(C71,ITEMS_BolsaOperador!$D$254:$AY$276,23,0)</f>
        <v>#N/A</v>
      </c>
      <c r="AU71" s="291" t="e">
        <f>VLOOKUP(C71,ITEMS_BolsaOperador!$D$254:$AY$276,29,0)</f>
        <v>#N/A</v>
      </c>
      <c r="AV71" s="291" t="e">
        <f>VLOOKUP(C71,ITEMS_BolsaOperador!$D$254:$AY$276,36,0)</f>
        <v>#N/A</v>
      </c>
      <c r="AW71" s="291" t="e">
        <f>VLOOKUP(C71,ITEMS_BolsaOperador!$D$254:$AY$276,42,0)</f>
        <v>#N/A</v>
      </c>
      <c r="AX71" s="293" t="e">
        <f>VLOOKUP(C71,ITEMS_BolsaOperador!$D$254:$AY$276,45,0)</f>
        <v>#N/A</v>
      </c>
      <c r="AY71" s="293" t="e">
        <f>VLOOKUP(C71,ITEMS_BolsaOperador!$D$254:$AY$276,46,0)</f>
        <v>#N/A</v>
      </c>
      <c r="AZ71" s="293" t="e">
        <f>VLOOKUP(C71,ITEMS_BolsaOperador!$D$254:$AY$276,47,0)</f>
        <v>#N/A</v>
      </c>
      <c r="BA71" s="229" t="e">
        <f>VLOOKUP(C71,ITEMS_BolsaOperador!$D$254:$AY$276,48,0)</f>
        <v>#N/A</v>
      </c>
      <c r="BC71" s="7" t="e">
        <f t="shared" si="126"/>
        <v>#N/A</v>
      </c>
      <c r="BD71" s="7" t="e">
        <f t="shared" si="127"/>
        <v>#N/A</v>
      </c>
      <c r="BE71" s="7" t="e">
        <f t="shared" si="128"/>
        <v>#N/A</v>
      </c>
      <c r="BF71" s="7" t="e">
        <f t="shared" si="129"/>
        <v>#N/A</v>
      </c>
      <c r="BG71" s="7" t="e">
        <f t="shared" si="130"/>
        <v>#N/A</v>
      </c>
      <c r="BH71" s="7" t="e">
        <f t="shared" si="131"/>
        <v>#N/A</v>
      </c>
      <c r="BI71" s="7" t="e">
        <f t="shared" si="132"/>
        <v>#N/A</v>
      </c>
      <c r="BJ71" s="7" t="e">
        <f t="shared" si="133"/>
        <v>#N/A</v>
      </c>
      <c r="BK71" s="7" t="e">
        <f t="shared" si="134"/>
        <v>#N/A</v>
      </c>
      <c r="BL71" s="7" t="e">
        <f t="shared" si="135"/>
        <v>#N/A</v>
      </c>
      <c r="BM71" s="7" t="e">
        <f t="shared" si="136"/>
        <v>#N/A</v>
      </c>
    </row>
    <row r="72" spans="1:68" s="7" customFormat="1" ht="336" hidden="1" x14ac:dyDescent="0.25">
      <c r="A72" s="276">
        <v>62</v>
      </c>
      <c r="B72" s="315" t="s">
        <v>157</v>
      </c>
      <c r="C72" s="316" t="s">
        <v>364</v>
      </c>
      <c r="D72" s="317" t="s">
        <v>162</v>
      </c>
      <c r="E72" s="318" t="s">
        <v>41</v>
      </c>
      <c r="F72" s="318">
        <v>410</v>
      </c>
      <c r="G72" s="319" t="s">
        <v>42</v>
      </c>
      <c r="H72" s="320" t="s">
        <v>53</v>
      </c>
      <c r="I72" s="321">
        <v>14000</v>
      </c>
      <c r="J72" s="322">
        <f t="shared" ref="J72" si="145">I72*19%</f>
        <v>2660</v>
      </c>
      <c r="K72" s="280">
        <f t="shared" si="12"/>
        <v>16660</v>
      </c>
      <c r="L72" s="281">
        <f t="shared" si="13"/>
        <v>5740000</v>
      </c>
      <c r="M72" s="281">
        <f t="shared" si="14"/>
        <v>6830600</v>
      </c>
      <c r="N72" s="320" t="s">
        <v>50</v>
      </c>
      <c r="O72" s="323">
        <v>11890</v>
      </c>
      <c r="P72" s="322">
        <f t="shared" ref="P72" si="146">O72*19%</f>
        <v>2259.1</v>
      </c>
      <c r="Q72" s="283">
        <f t="shared" si="16"/>
        <v>14149.1</v>
      </c>
      <c r="R72" s="284">
        <f t="shared" si="17"/>
        <v>4874900</v>
      </c>
      <c r="S72" s="284">
        <f t="shared" si="18"/>
        <v>5801131</v>
      </c>
      <c r="T72" s="320" t="s">
        <v>137</v>
      </c>
      <c r="U72" s="321">
        <v>15000</v>
      </c>
      <c r="V72" s="322">
        <f t="shared" ref="V72" si="147">U72*19%</f>
        <v>2850</v>
      </c>
      <c r="W72" s="286">
        <f t="shared" si="19"/>
        <v>17850</v>
      </c>
      <c r="X72" s="287">
        <f t="shared" si="20"/>
        <v>6150000</v>
      </c>
      <c r="Y72" s="287">
        <f t="shared" si="21"/>
        <v>7318500</v>
      </c>
      <c r="Z72" s="288">
        <f t="shared" si="98"/>
        <v>16219.699999999999</v>
      </c>
      <c r="AA72" s="288">
        <f t="shared" si="99"/>
        <v>6650077</v>
      </c>
      <c r="AB72" s="288">
        <f t="shared" si="100"/>
        <v>774624.80317054142</v>
      </c>
      <c r="AC72" s="229">
        <f t="shared" si="101"/>
        <v>0.11648358405031121</v>
      </c>
      <c r="AD72" s="141"/>
      <c r="AE72" s="291" t="e">
        <f t="shared" si="26"/>
        <v>#N/A</v>
      </c>
      <c r="AF72" s="291" t="s">
        <v>357</v>
      </c>
      <c r="AG72" s="291"/>
      <c r="AH72" s="293"/>
      <c r="AI72" s="293"/>
      <c r="AJ72" s="293"/>
      <c r="AK72" s="229"/>
      <c r="AO72" s="292" t="e">
        <f>VLOOKUP(C72,ITEMS_BolsaOperador!$D$2:$AY$287,48,0)</f>
        <v>#N/A</v>
      </c>
      <c r="AP72" s="291" t="e">
        <f>VLOOKUP(C72,ITEMS_BolsaOperador!$D$254:$AY$276,1,0)</f>
        <v>#N/A</v>
      </c>
      <c r="AQ72" s="291" t="e">
        <f>VLOOKUP(C72,ITEMS_BolsaOperador!$D$254:$AY$276,2,0)</f>
        <v>#N/A</v>
      </c>
      <c r="AR72" s="291" t="e">
        <f>VLOOKUP(C72,ITEMS_BolsaOperador!$D$254:$AY$276,10,0)</f>
        <v>#N/A</v>
      </c>
      <c r="AS72" s="291" t="e">
        <f>VLOOKUP(C72,ITEMS_BolsaOperador!$D$254:$AY$276,16,0)</f>
        <v>#N/A</v>
      </c>
      <c r="AT72" s="291" t="e">
        <f>VLOOKUP(C72,ITEMS_BolsaOperador!$D$254:$AY$276,23,0)</f>
        <v>#N/A</v>
      </c>
      <c r="AU72" s="291" t="e">
        <f>VLOOKUP(C72,ITEMS_BolsaOperador!$D$254:$AY$276,29,0)</f>
        <v>#N/A</v>
      </c>
      <c r="AV72" s="291" t="e">
        <f>VLOOKUP(C72,ITEMS_BolsaOperador!$D$254:$AY$276,36,0)</f>
        <v>#N/A</v>
      </c>
      <c r="AW72" s="291" t="e">
        <f>VLOOKUP(C72,ITEMS_BolsaOperador!$D$254:$AY$276,42,0)</f>
        <v>#N/A</v>
      </c>
      <c r="AX72" s="293" t="e">
        <f>VLOOKUP(C72,ITEMS_BolsaOperador!$D$254:$AY$276,45,0)</f>
        <v>#N/A</v>
      </c>
      <c r="AY72" s="293" t="e">
        <f>VLOOKUP(C72,ITEMS_BolsaOperador!$D$254:$AY$276,46,0)</f>
        <v>#N/A</v>
      </c>
      <c r="AZ72" s="293" t="e">
        <f>VLOOKUP(C72,ITEMS_BolsaOperador!$D$254:$AY$276,47,0)</f>
        <v>#N/A</v>
      </c>
      <c r="BA72" s="229" t="e">
        <f>VLOOKUP(C72,ITEMS_BolsaOperador!$D$254:$AY$276,48,0)</f>
        <v>#N/A</v>
      </c>
    </row>
    <row r="73" spans="1:68" s="7" customFormat="1" ht="252" hidden="1" x14ac:dyDescent="0.35">
      <c r="A73" s="276">
        <v>63</v>
      </c>
      <c r="B73" s="343" t="s">
        <v>157</v>
      </c>
      <c r="C73" s="316" t="s">
        <v>364</v>
      </c>
      <c r="D73" s="135" t="s">
        <v>162</v>
      </c>
      <c r="E73" s="343" t="s">
        <v>41</v>
      </c>
      <c r="F73" s="343">
        <v>50</v>
      </c>
      <c r="G73" s="430" t="s">
        <v>42</v>
      </c>
      <c r="H73" s="333" t="s">
        <v>53</v>
      </c>
      <c r="I73" s="334">
        <v>14000</v>
      </c>
      <c r="J73" s="310">
        <f t="shared" si="49"/>
        <v>2660</v>
      </c>
      <c r="K73" s="280">
        <f t="shared" si="12"/>
        <v>16660</v>
      </c>
      <c r="L73" s="281">
        <f t="shared" si="13"/>
        <v>700000</v>
      </c>
      <c r="M73" s="281">
        <f t="shared" si="14"/>
        <v>833000</v>
      </c>
      <c r="N73" s="335" t="s">
        <v>50</v>
      </c>
      <c r="O73" s="336">
        <v>11890</v>
      </c>
      <c r="P73" s="311">
        <f t="shared" si="50"/>
        <v>2259.1</v>
      </c>
      <c r="Q73" s="283">
        <f t="shared" si="16"/>
        <v>14149.1</v>
      </c>
      <c r="R73" s="284">
        <f t="shared" si="17"/>
        <v>594500</v>
      </c>
      <c r="S73" s="284">
        <f t="shared" si="18"/>
        <v>707455</v>
      </c>
      <c r="T73" s="313" t="s">
        <v>137</v>
      </c>
      <c r="U73" s="314">
        <v>15000</v>
      </c>
      <c r="V73" s="312">
        <f t="shared" si="55"/>
        <v>2850</v>
      </c>
      <c r="W73" s="286">
        <f t="shared" si="19"/>
        <v>17850</v>
      </c>
      <c r="X73" s="287">
        <f t="shared" si="20"/>
        <v>750000</v>
      </c>
      <c r="Y73" s="287">
        <f t="shared" si="21"/>
        <v>892500</v>
      </c>
      <c r="Z73" s="288">
        <f t="shared" si="98"/>
        <v>16219.699999999999</v>
      </c>
      <c r="AA73" s="288">
        <f t="shared" si="99"/>
        <v>810985</v>
      </c>
      <c r="AB73" s="288">
        <f t="shared" si="100"/>
        <v>94466.439411041632</v>
      </c>
      <c r="AC73" s="229">
        <f t="shared" si="101"/>
        <v>0.1164835840503112</v>
      </c>
      <c r="AD73" s="141"/>
      <c r="AE73" s="291" t="e">
        <f t="shared" si="26"/>
        <v>#N/A</v>
      </c>
      <c r="AF73" s="291" t="s">
        <v>344</v>
      </c>
      <c r="AO73" s="292" t="e">
        <f>VLOOKUP(C73,ITEMS_BolsaOperador!$D$2:$AY$287,48,0)</f>
        <v>#N/A</v>
      </c>
      <c r="AP73" s="291" t="e">
        <f>VLOOKUP(C73,ITEMS_BolsaOperador!$D$254:$AY$276,1,0)</f>
        <v>#N/A</v>
      </c>
      <c r="AQ73" s="291" t="e">
        <f>VLOOKUP(C73,ITEMS_BolsaOperador!$D$254:$AY$276,2,0)</f>
        <v>#N/A</v>
      </c>
      <c r="AR73" s="291" t="e">
        <f>VLOOKUP(C73,ITEMS_BolsaOperador!$D$254:$AY$276,10,0)</f>
        <v>#N/A</v>
      </c>
      <c r="AS73" s="291" t="e">
        <f>VLOOKUP(C73,ITEMS_BolsaOperador!$D$254:$AY$276,16,0)</f>
        <v>#N/A</v>
      </c>
      <c r="AT73" s="291" t="e">
        <f>VLOOKUP(C73,ITEMS_BolsaOperador!$D$254:$AY$276,23,0)</f>
        <v>#N/A</v>
      </c>
      <c r="AU73" s="291" t="e">
        <f>VLOOKUP(C73,ITEMS_BolsaOperador!$D$254:$AY$276,29,0)</f>
        <v>#N/A</v>
      </c>
      <c r="AV73" s="291" t="e">
        <f>VLOOKUP(C73,ITEMS_BolsaOperador!$D$254:$AY$276,36,0)</f>
        <v>#N/A</v>
      </c>
      <c r="AW73" s="291" t="e">
        <f>VLOOKUP(C73,ITEMS_BolsaOperador!$D$254:$AY$276,42,0)</f>
        <v>#N/A</v>
      </c>
      <c r="AX73" s="293" t="e">
        <f>VLOOKUP(C73,ITEMS_BolsaOperador!$D$254:$AY$276,45,0)</f>
        <v>#N/A</v>
      </c>
      <c r="AY73" s="293" t="e">
        <f>VLOOKUP(C73,ITEMS_BolsaOperador!$D$254:$AY$276,46,0)</f>
        <v>#N/A</v>
      </c>
      <c r="AZ73" s="293" t="e">
        <f>VLOOKUP(C73,ITEMS_BolsaOperador!$D$254:$AY$276,47,0)</f>
        <v>#N/A</v>
      </c>
      <c r="BA73" s="229" t="e">
        <f>VLOOKUP(C73,ITEMS_BolsaOperador!$D$254:$AY$276,48,0)</f>
        <v>#N/A</v>
      </c>
      <c r="BC73" s="7" t="e">
        <f t="shared" si="27"/>
        <v>#N/A</v>
      </c>
      <c r="BD73" s="7" t="e">
        <f t="shared" si="28"/>
        <v>#N/A</v>
      </c>
      <c r="BE73" s="7" t="e">
        <f t="shared" si="29"/>
        <v>#N/A</v>
      </c>
      <c r="BF73" s="7" t="e">
        <f t="shared" si="30"/>
        <v>#N/A</v>
      </c>
      <c r="BG73" s="7" t="e">
        <f t="shared" si="31"/>
        <v>#N/A</v>
      </c>
      <c r="BH73" s="7" t="e">
        <f t="shared" si="32"/>
        <v>#N/A</v>
      </c>
      <c r="BI73" s="7" t="e">
        <f t="shared" si="33"/>
        <v>#N/A</v>
      </c>
      <c r="BJ73" s="7" t="e">
        <f t="shared" si="34"/>
        <v>#N/A</v>
      </c>
      <c r="BK73" s="7" t="e">
        <f t="shared" si="35"/>
        <v>#N/A</v>
      </c>
      <c r="BL73" s="7" t="e">
        <f t="shared" si="36"/>
        <v>#N/A</v>
      </c>
      <c r="BM73" s="7" t="e">
        <f t="shared" si="37"/>
        <v>#N/A</v>
      </c>
    </row>
    <row r="74" spans="1:68" s="7" customFormat="1" ht="409.5" hidden="1" x14ac:dyDescent="0.25">
      <c r="A74" s="276">
        <v>64</v>
      </c>
      <c r="B74" s="343" t="s">
        <v>157</v>
      </c>
      <c r="C74" s="308" t="s">
        <v>365</v>
      </c>
      <c r="D74" s="337" t="s">
        <v>164</v>
      </c>
      <c r="E74" s="343" t="s">
        <v>41</v>
      </c>
      <c r="F74" s="343">
        <v>10</v>
      </c>
      <c r="G74" s="430" t="s">
        <v>88</v>
      </c>
      <c r="H74" s="333" t="s">
        <v>165</v>
      </c>
      <c r="I74" s="334">
        <v>385870.58823529416</v>
      </c>
      <c r="J74" s="310">
        <f t="shared" si="49"/>
        <v>73315.411764705888</v>
      </c>
      <c r="K74" s="280">
        <f t="shared" si="12"/>
        <v>459186.00000000006</v>
      </c>
      <c r="L74" s="281">
        <f t="shared" si="13"/>
        <v>3858705.8823529417</v>
      </c>
      <c r="M74" s="281">
        <f t="shared" si="14"/>
        <v>4591860.0000000009</v>
      </c>
      <c r="N74" s="335" t="s">
        <v>166</v>
      </c>
      <c r="O74" s="336">
        <v>380168</v>
      </c>
      <c r="P74" s="311">
        <f t="shared" si="50"/>
        <v>72231.92</v>
      </c>
      <c r="Q74" s="283">
        <f t="shared" si="16"/>
        <v>452399.92</v>
      </c>
      <c r="R74" s="284">
        <f t="shared" si="17"/>
        <v>3801680</v>
      </c>
      <c r="S74" s="284">
        <f t="shared" si="18"/>
        <v>4523999.2</v>
      </c>
      <c r="T74" s="313"/>
      <c r="U74" s="314"/>
      <c r="V74" s="312"/>
      <c r="W74" s="286"/>
      <c r="X74" s="287"/>
      <c r="Y74" s="287"/>
      <c r="Z74" s="288">
        <f t="shared" si="98"/>
        <v>455792.96</v>
      </c>
      <c r="AA74" s="288">
        <f t="shared" si="99"/>
        <v>4557929.6000000006</v>
      </c>
      <c r="AB74" s="288">
        <f t="shared" si="100"/>
        <v>47984.831856744589</v>
      </c>
      <c r="AC74" s="229">
        <f t="shared" si="101"/>
        <v>1.0527769418980185E-2</v>
      </c>
      <c r="AD74" s="141"/>
      <c r="AE74" s="290" t="b">
        <f t="shared" si="26"/>
        <v>0</v>
      </c>
      <c r="AF74" s="7" t="s">
        <v>348</v>
      </c>
      <c r="AO74" s="292">
        <f>VLOOKUP(C74,ITEMS_BolsaOperador!$D$2:$AY$247,48,0)</f>
        <v>1.0500000000000001E-2</v>
      </c>
      <c r="AP74" s="291" t="str">
        <f>VLOOKUP(C74,ITEMS_BolsaOperador!$D$2:$AY$247,1,0)</f>
        <v>Alquiler Carpa 3 x 3</v>
      </c>
      <c r="AQ74" s="291" t="str">
        <f>VLOOKUP(C74,ITEMS_BolsaOperador!$D$2:$AY$247,2,0)</f>
        <v>Alquiler Carpa 3X3 con laterales. Incluye transporte, instalación y entrega en el lugar requerido, montaje y desmontaje, alquiler por día.</v>
      </c>
      <c r="AR74" s="291" t="str">
        <f>VLOOKUP(C74,ITEMS_BolsaOperador!$D$2:$AY$247,10,0)</f>
        <v>OPERADOR LOGÍSTICO</v>
      </c>
      <c r="AS74" s="291" t="str">
        <f>VLOOKUP(C74,ITEMS_BolsaOperador!$D$2:$AY$247,16,0)</f>
        <v> </v>
      </c>
      <c r="AT74" s="291" t="str">
        <f>VLOOKUP(C74,ITEMS_BolsaOperador!$D$2:$AY$247,23,0)</f>
        <v>Estimación de precios con base en el proceso FDLSUBA-LP-013-2025 (140689) – Contrato 1000 – 2025, indexando el incremento de precios en el mercado con base en el Índice de Precios al Consumidor (IPC) para el mes de marzo de 2026, el cual fue de 5,56%.</v>
      </c>
      <c r="AU74" s="291">
        <f>VLOOKUP(C74,ITEMS_BolsaOperador!$D$2:$AY$247,29,0)</f>
        <v>435000</v>
      </c>
      <c r="AV74" s="291" t="str">
        <f>VLOOKUP(C74,ITEMS_BolsaOperador!$D$2:$AY$247,36,0)</f>
        <v>FUNCAS</v>
      </c>
      <c r="AW74" s="291">
        <f>VLOOKUP(C74,ITEMS_BolsaOperador!$D$2:$AY$247,42,0)</f>
        <v>452400</v>
      </c>
      <c r="AX74" s="293">
        <f>VLOOKUP(C74,ITEMS_BolsaOperador!$D$2:$AY$247,45,0)</f>
        <v>455793</v>
      </c>
      <c r="AY74" s="293">
        <f>VLOOKUP(C74,ITEMS_BolsaOperador!$D$2:$AY$247,46,0)</f>
        <v>455793</v>
      </c>
      <c r="AZ74" s="293">
        <f>VLOOKUP(C74,ITEMS_BolsaOperador!$D$2:$AY$247,47,0)</f>
        <v>4798.43</v>
      </c>
      <c r="BA74" s="229">
        <f>VLOOKUP(C74,ITEMS_BolsaOperador!$D$2:$AY$247,48,0)</f>
        <v>1.0500000000000001E-2</v>
      </c>
      <c r="BC74" s="7" t="b">
        <f t="shared" si="27"/>
        <v>1</v>
      </c>
      <c r="BD74" s="7" t="b">
        <f t="shared" si="28"/>
        <v>0</v>
      </c>
      <c r="BE74" s="7" t="b">
        <f t="shared" si="29"/>
        <v>0</v>
      </c>
      <c r="BF74" s="7" t="b">
        <f t="shared" si="30"/>
        <v>0</v>
      </c>
      <c r="BG74" s="7" t="b">
        <f t="shared" si="31"/>
        <v>0</v>
      </c>
      <c r="BH74" s="7" t="b">
        <f t="shared" si="32"/>
        <v>0</v>
      </c>
      <c r="BI74" s="7" t="b">
        <f t="shared" si="33"/>
        <v>0</v>
      </c>
      <c r="BJ74" s="7" t="b">
        <f t="shared" si="34"/>
        <v>0</v>
      </c>
      <c r="BK74" s="7" t="b">
        <f t="shared" si="35"/>
        <v>0</v>
      </c>
      <c r="BL74" s="7" t="b">
        <f t="shared" si="36"/>
        <v>0</v>
      </c>
      <c r="BM74" s="7" t="b">
        <f t="shared" si="37"/>
        <v>0</v>
      </c>
    </row>
    <row r="75" spans="1:68" s="7" customFormat="1" ht="105" x14ac:dyDescent="0.25">
      <c r="A75" s="276">
        <v>65</v>
      </c>
      <c r="B75" s="343" t="s">
        <v>157</v>
      </c>
      <c r="C75" s="308" t="s">
        <v>366</v>
      </c>
      <c r="D75" s="206" t="s">
        <v>367</v>
      </c>
      <c r="E75" s="343" t="s">
        <v>169</v>
      </c>
      <c r="F75" s="343">
        <v>80</v>
      </c>
      <c r="G75" s="430" t="s">
        <v>88</v>
      </c>
      <c r="H75" s="333" t="s">
        <v>170</v>
      </c>
      <c r="I75" s="334">
        <v>4436.79</v>
      </c>
      <c r="J75" s="310">
        <f t="shared" si="49"/>
        <v>842.99009999999998</v>
      </c>
      <c r="K75" s="280">
        <f t="shared" si="12"/>
        <v>5279.7800999999999</v>
      </c>
      <c r="L75" s="281">
        <f t="shared" si="13"/>
        <v>354943.2</v>
      </c>
      <c r="M75" s="281">
        <f t="shared" si="14"/>
        <v>422382.408</v>
      </c>
      <c r="N75" s="335" t="s">
        <v>166</v>
      </c>
      <c r="O75" s="336">
        <v>4997</v>
      </c>
      <c r="P75" s="311">
        <v>0</v>
      </c>
      <c r="Q75" s="283">
        <f t="shared" si="16"/>
        <v>4997</v>
      </c>
      <c r="R75" s="284">
        <f t="shared" si="17"/>
        <v>399760</v>
      </c>
      <c r="S75" s="284">
        <f t="shared" si="18"/>
        <v>399760</v>
      </c>
      <c r="T75" s="313" t="s">
        <v>171</v>
      </c>
      <c r="U75" s="314">
        <v>4033.61</v>
      </c>
      <c r="V75" s="312">
        <f t="shared" si="55"/>
        <v>766.38589999999999</v>
      </c>
      <c r="W75" s="286">
        <f t="shared" si="19"/>
        <v>4799.9958999999999</v>
      </c>
      <c r="X75" s="287">
        <f t="shared" si="20"/>
        <v>322688.8</v>
      </c>
      <c r="Y75" s="287">
        <f t="shared" si="21"/>
        <v>383999.67200000002</v>
      </c>
      <c r="Z75" s="288">
        <f t="shared" si="98"/>
        <v>5025.5919999999996</v>
      </c>
      <c r="AA75" s="288">
        <f t="shared" si="99"/>
        <v>402047.36</v>
      </c>
      <c r="AB75" s="288">
        <f t="shared" si="100"/>
        <v>19293.330908337823</v>
      </c>
      <c r="AC75" s="229">
        <f t="shared" si="101"/>
        <v>4.7987706991379879E-2</v>
      </c>
      <c r="AD75" s="141"/>
      <c r="AE75" s="290" t="b">
        <f t="shared" si="26"/>
        <v>0</v>
      </c>
      <c r="AF75" s="7" t="s">
        <v>349</v>
      </c>
      <c r="AO75" s="292">
        <f>VLOOKUP(C75,ITEMS_BolsaOperador!$D$2:$AY$276,48,0)</f>
        <v>4.8000000000000001E-2</v>
      </c>
      <c r="AP75" s="291" t="e">
        <f>VLOOKUP(C75,ITEMS_BolsaOperador!$D$254:$AY$276,1,0)</f>
        <v>#N/A</v>
      </c>
      <c r="AQ75" s="291" t="e">
        <f>VLOOKUP(C75,ITEMS_BolsaOperador!$D$254:$AY$276,2,0)</f>
        <v>#N/A</v>
      </c>
      <c r="AR75" s="291" t="e">
        <f>VLOOKUP(C75,ITEMS_BolsaOperador!$D$254:$AY$276,10,0)</f>
        <v>#N/A</v>
      </c>
      <c r="AS75" s="291" t="e">
        <f>VLOOKUP(C75,ITEMS_BolsaOperador!$D$254:$AY$276,16,0)</f>
        <v>#N/A</v>
      </c>
      <c r="AT75" s="291" t="e">
        <f>VLOOKUP(C75,ITEMS_BolsaOperador!$D$254:$AY$276,23,0)</f>
        <v>#N/A</v>
      </c>
      <c r="AU75" s="291" t="e">
        <f>VLOOKUP(C75,ITEMS_BolsaOperador!$D$254:$AY$276,29,0)</f>
        <v>#N/A</v>
      </c>
      <c r="AV75" s="291" t="e">
        <f>VLOOKUP(C75,ITEMS_BolsaOperador!$D$254:$AY$276,36,0)</f>
        <v>#N/A</v>
      </c>
      <c r="AW75" s="291" t="e">
        <f>VLOOKUP(C75,ITEMS_BolsaOperador!$D$254:$AY$276,42,0)</f>
        <v>#N/A</v>
      </c>
      <c r="AX75" s="293" t="e">
        <f>VLOOKUP(C75,ITEMS_BolsaOperador!$D$254:$AY$276,45,0)</f>
        <v>#N/A</v>
      </c>
      <c r="AY75" s="293" t="e">
        <f>VLOOKUP(C75,ITEMS_BolsaOperador!$D$254:$AY$276,46,0)</f>
        <v>#N/A</v>
      </c>
      <c r="AZ75" s="293" t="e">
        <f>VLOOKUP(C75,ITEMS_BolsaOperador!$D$254:$AY$276,47,0)</f>
        <v>#N/A</v>
      </c>
      <c r="BA75" s="229" t="e">
        <f>VLOOKUP(C75,ITEMS_BolsaOperador!$D$254:$AY$276,48,0)</f>
        <v>#N/A</v>
      </c>
      <c r="BC75" s="7" t="e">
        <f t="shared" si="27"/>
        <v>#N/A</v>
      </c>
      <c r="BD75" s="7" t="e">
        <f t="shared" si="28"/>
        <v>#N/A</v>
      </c>
      <c r="BE75" s="7" t="e">
        <f t="shared" si="29"/>
        <v>#N/A</v>
      </c>
      <c r="BF75" s="7" t="e">
        <f t="shared" si="30"/>
        <v>#N/A</v>
      </c>
      <c r="BG75" s="7" t="e">
        <f t="shared" si="31"/>
        <v>#N/A</v>
      </c>
      <c r="BH75" s="7" t="e">
        <f t="shared" si="32"/>
        <v>#N/A</v>
      </c>
      <c r="BI75" s="7" t="e">
        <f t="shared" si="33"/>
        <v>#N/A</v>
      </c>
      <c r="BJ75" s="7" t="e">
        <f t="shared" si="34"/>
        <v>#N/A</v>
      </c>
      <c r="BK75" s="7" t="e">
        <f t="shared" si="35"/>
        <v>#N/A</v>
      </c>
      <c r="BL75" s="7" t="e">
        <f t="shared" si="36"/>
        <v>#N/A</v>
      </c>
      <c r="BM75" s="7" t="e">
        <f t="shared" si="37"/>
        <v>#N/A</v>
      </c>
    </row>
    <row r="76" spans="1:68" s="7" customFormat="1" ht="252" hidden="1" x14ac:dyDescent="0.25">
      <c r="A76" s="276">
        <v>66</v>
      </c>
      <c r="B76" s="343" t="s">
        <v>157</v>
      </c>
      <c r="C76" s="308" t="s">
        <v>368</v>
      </c>
      <c r="D76" s="206" t="s">
        <v>173</v>
      </c>
      <c r="E76" s="343" t="s">
        <v>41</v>
      </c>
      <c r="F76" s="343">
        <v>20</v>
      </c>
      <c r="G76" s="430" t="s">
        <v>88</v>
      </c>
      <c r="H76" s="333" t="s">
        <v>165</v>
      </c>
      <c r="I76" s="334">
        <v>11508</v>
      </c>
      <c r="J76" s="310"/>
      <c r="K76" s="280">
        <f t="shared" ref="K76:K109" si="148">I76+J76</f>
        <v>11508</v>
      </c>
      <c r="L76" s="281">
        <f t="shared" ref="L76:L109" si="149">IF(B76="","",(I76*F76))</f>
        <v>230160</v>
      </c>
      <c r="M76" s="281">
        <f t="shared" ref="M76:M109" si="150">IF(B76="","",(K76*F76))</f>
        <v>230160</v>
      </c>
      <c r="N76" s="335" t="s">
        <v>166</v>
      </c>
      <c r="O76" s="336">
        <v>9528</v>
      </c>
      <c r="P76" s="311">
        <f t="shared" si="50"/>
        <v>1810.32</v>
      </c>
      <c r="Q76" s="283">
        <f t="shared" ref="Q76:Q109" si="151">O76+P76</f>
        <v>11338.32</v>
      </c>
      <c r="R76" s="284">
        <f t="shared" ref="R76:R109" si="152">IF(B76="","",(O76*F76))</f>
        <v>190560</v>
      </c>
      <c r="S76" s="284">
        <f t="shared" ref="S76:S109" si="153">IF(B76="","",(Q76*F76))</f>
        <v>226766.4</v>
      </c>
      <c r="T76" s="313"/>
      <c r="U76" s="314"/>
      <c r="V76" s="312"/>
      <c r="W76" s="286"/>
      <c r="X76" s="287"/>
      <c r="Y76" s="287"/>
      <c r="Z76" s="288">
        <f t="shared" si="98"/>
        <v>11423.16</v>
      </c>
      <c r="AA76" s="288">
        <f t="shared" si="99"/>
        <v>228463.2</v>
      </c>
      <c r="AB76" s="288">
        <f t="shared" si="100"/>
        <v>2399.6375726346719</v>
      </c>
      <c r="AC76" s="229">
        <f t="shared" si="101"/>
        <v>1.0503387734368912E-2</v>
      </c>
      <c r="AD76" s="141"/>
      <c r="AE76" s="290" t="b">
        <f t="shared" ref="AE76:AE111" si="154">AO76=AC76</f>
        <v>1</v>
      </c>
      <c r="AF76" s="7" t="s">
        <v>348</v>
      </c>
      <c r="AO76" s="292">
        <f>VLOOKUP(C76,ITEMS_BolsaOperador!$D$2:$AY$276,48,0)</f>
        <v>1.0503387734368914E-2</v>
      </c>
      <c r="AP76" s="291" t="e">
        <f>VLOOKUP(C76,ITEMS_BolsaOperador!$D$254:$AY$276,1,0)</f>
        <v>#N/A</v>
      </c>
      <c r="AQ76" s="291" t="e">
        <f>VLOOKUP(C76,ITEMS_BolsaOperador!$D$254:$AY$276,2,0)</f>
        <v>#N/A</v>
      </c>
      <c r="AR76" s="291" t="e">
        <f>VLOOKUP(C76,ITEMS_BolsaOperador!$D$254:$AY$276,10,0)</f>
        <v>#N/A</v>
      </c>
      <c r="AS76" s="291" t="e">
        <f>VLOOKUP(C76,ITEMS_BolsaOperador!$D$254:$AY$276,16,0)</f>
        <v>#N/A</v>
      </c>
      <c r="AT76" s="291" t="e">
        <f>VLOOKUP(C76,ITEMS_BolsaOperador!$D$254:$AY$276,23,0)</f>
        <v>#N/A</v>
      </c>
      <c r="AU76" s="291" t="e">
        <f>VLOOKUP(C76,ITEMS_BolsaOperador!$D$254:$AY$276,29,0)</f>
        <v>#N/A</v>
      </c>
      <c r="AV76" s="291" t="e">
        <f>VLOOKUP(C76,ITEMS_BolsaOperador!$D$254:$AY$276,36,0)</f>
        <v>#N/A</v>
      </c>
      <c r="AW76" s="291" t="e">
        <f>VLOOKUP(C76,ITEMS_BolsaOperador!$D$254:$AY$276,42,0)</f>
        <v>#N/A</v>
      </c>
      <c r="AX76" s="293" t="e">
        <f>VLOOKUP(C76,ITEMS_BolsaOperador!$D$254:$AY$276,45,0)</f>
        <v>#N/A</v>
      </c>
      <c r="AY76" s="293" t="e">
        <f>VLOOKUP(C76,ITEMS_BolsaOperador!$D$254:$AY$276,46,0)</f>
        <v>#N/A</v>
      </c>
      <c r="AZ76" s="293" t="e">
        <f>VLOOKUP(C76,ITEMS_BolsaOperador!$D$254:$AY$276,47,0)</f>
        <v>#N/A</v>
      </c>
      <c r="BA76" s="229" t="e">
        <f>VLOOKUP(C76,ITEMS_BolsaOperador!$D$254:$AY$276,48,0)</f>
        <v>#N/A</v>
      </c>
      <c r="BC76" s="7" t="e">
        <f t="shared" si="27"/>
        <v>#N/A</v>
      </c>
      <c r="BD76" s="7" t="e">
        <f t="shared" si="28"/>
        <v>#N/A</v>
      </c>
      <c r="BE76" s="7" t="e">
        <f t="shared" si="29"/>
        <v>#N/A</v>
      </c>
      <c r="BF76" s="7" t="e">
        <f t="shared" si="30"/>
        <v>#N/A</v>
      </c>
      <c r="BG76" s="7" t="e">
        <f t="shared" si="31"/>
        <v>#N/A</v>
      </c>
      <c r="BH76" s="7" t="e">
        <f t="shared" si="32"/>
        <v>#N/A</v>
      </c>
      <c r="BI76" s="7" t="e">
        <f t="shared" si="33"/>
        <v>#N/A</v>
      </c>
      <c r="BJ76" s="7" t="e">
        <f t="shared" si="34"/>
        <v>#N/A</v>
      </c>
      <c r="BK76" s="7" t="e">
        <f t="shared" si="35"/>
        <v>#N/A</v>
      </c>
      <c r="BL76" s="7" t="e">
        <f t="shared" si="36"/>
        <v>#N/A</v>
      </c>
      <c r="BM76" s="7" t="e">
        <f t="shared" si="37"/>
        <v>#N/A</v>
      </c>
    </row>
    <row r="77" spans="1:68" s="7" customFormat="1" ht="300" hidden="1" x14ac:dyDescent="0.25">
      <c r="A77" s="276">
        <v>67</v>
      </c>
      <c r="B77" s="343" t="s">
        <v>157</v>
      </c>
      <c r="C77" s="308" t="s">
        <v>369</v>
      </c>
      <c r="D77" s="277" t="s">
        <v>175</v>
      </c>
      <c r="E77" s="343" t="s">
        <v>176</v>
      </c>
      <c r="F77" s="343">
        <v>1</v>
      </c>
      <c r="G77" s="430" t="s">
        <v>88</v>
      </c>
      <c r="H77" s="333" t="s">
        <v>101</v>
      </c>
      <c r="I77" s="334">
        <v>1050000</v>
      </c>
      <c r="J77" s="310">
        <f t="shared" si="49"/>
        <v>199500</v>
      </c>
      <c r="K77" s="280">
        <f t="shared" si="148"/>
        <v>1249500</v>
      </c>
      <c r="L77" s="281">
        <f t="shared" si="149"/>
        <v>1050000</v>
      </c>
      <c r="M77" s="281">
        <f t="shared" si="150"/>
        <v>1249500</v>
      </c>
      <c r="N77" s="335" t="s">
        <v>177</v>
      </c>
      <c r="O77" s="336">
        <v>1500000</v>
      </c>
      <c r="P77" s="311">
        <f t="shared" si="50"/>
        <v>285000</v>
      </c>
      <c r="Q77" s="283">
        <f t="shared" si="151"/>
        <v>1785000</v>
      </c>
      <c r="R77" s="284">
        <f t="shared" si="152"/>
        <v>1500000</v>
      </c>
      <c r="S77" s="284">
        <f t="shared" si="153"/>
        <v>1785000</v>
      </c>
      <c r="T77" s="313" t="s">
        <v>178</v>
      </c>
      <c r="U77" s="314">
        <v>1260504</v>
      </c>
      <c r="V77" s="312">
        <f t="shared" si="55"/>
        <v>239495.76</v>
      </c>
      <c r="W77" s="286">
        <f t="shared" ref="W77:W109" si="155">U77+V77</f>
        <v>1499999.76</v>
      </c>
      <c r="X77" s="287">
        <f t="shared" ref="X77:X109" si="156">IF(B77="","",(U77*F77))</f>
        <v>1260504</v>
      </c>
      <c r="Y77" s="287">
        <f t="shared" ref="Y77:Y109" si="157">IF(B77="","",(W77*F77))</f>
        <v>1499999.76</v>
      </c>
      <c r="Z77" s="288">
        <f t="shared" si="98"/>
        <v>1511499.92</v>
      </c>
      <c r="AA77" s="288">
        <f t="shared" si="99"/>
        <v>1511499.92</v>
      </c>
      <c r="AB77" s="288">
        <f t="shared" si="100"/>
        <v>267935.1652172957</v>
      </c>
      <c r="AC77" s="229">
        <f t="shared" si="101"/>
        <v>0.17726442566883874</v>
      </c>
      <c r="AD77" s="141"/>
      <c r="AE77" s="290" t="b">
        <f t="shared" si="154"/>
        <v>1</v>
      </c>
      <c r="AF77" s="7" t="s">
        <v>348</v>
      </c>
      <c r="AO77" s="292">
        <f>VLOOKUP(C77,ITEMS_BolsaOperador!$D$2:$AY$247,48,0)</f>
        <v>0.17726442566883874</v>
      </c>
      <c r="AP77" s="291" t="str">
        <f>VLOOKUP(C77,ITEMS_BolsaOperador!$D$2:$AY$247,1,0)</f>
        <v>Alquiler Sonido 1000 w 8 a 12 horas</v>
      </c>
      <c r="AQ77" s="291" t="str">
        <f>VLOOKUP(C77,ITEMS_BolsaOperador!$D$2:$AY$247,2,0)</f>
        <v>Alquiler de Sonido de 1000 watios con operario por un periodo de 8 a 12 horas 2 cabinas de sonido, 2 trípodes para cabinas, sistema de monitoreo, set de micrófono, 1 consola de sonido.</v>
      </c>
      <c r="AR77" s="291" t="str">
        <f>VLOOKUP(C77,ITEMS_BolsaOperador!$D$2:$AY$247,10,0)</f>
        <v>D&amp;R PRODUCCIONES SAS</v>
      </c>
      <c r="AS77" s="291">
        <f>VLOOKUP(C77,ITEMS_BolsaOperador!$D$2:$AY$247,16,0)</f>
        <v>1249500</v>
      </c>
      <c r="AT77" s="291" t="str">
        <f>VLOOKUP(C77,ITEMS_BolsaOperador!$D$2:$AY$247,23,0)</f>
        <v>ACTIVO2 EVENTOS</v>
      </c>
      <c r="AU77" s="291">
        <f>VLOOKUP(C77,ITEMS_BolsaOperador!$D$2:$AY$247,29,0)</f>
        <v>1785000</v>
      </c>
      <c r="AV77" s="291" t="str">
        <f>VLOOKUP(C77,ITEMS_BolsaOperador!$D$2:$AY$247,36,0)</f>
        <v>EFECTO_MASIVO</v>
      </c>
      <c r="AW77" s="291">
        <f>VLOOKUP(C77,ITEMS_BolsaOperador!$D$2:$AY$247,42,0)</f>
        <v>1499999.76</v>
      </c>
      <c r="AX77" s="293">
        <f>VLOOKUP(C77,ITEMS_BolsaOperador!$D$2:$AY$247,45,0)</f>
        <v>1511499.92</v>
      </c>
      <c r="AY77" s="293">
        <f>VLOOKUP(C77,ITEMS_BolsaOperador!$D$2:$AY$247,46,0)</f>
        <v>1511499.92</v>
      </c>
      <c r="AZ77" s="293">
        <f>VLOOKUP(C77,ITEMS_BolsaOperador!$D$2:$AY$247,47,0)</f>
        <v>267935.1652172957</v>
      </c>
      <c r="BA77" s="229">
        <f>VLOOKUP(C77,ITEMS_BolsaOperador!$D$2:$AY$247,48,0)</f>
        <v>0.17726442566883874</v>
      </c>
      <c r="BC77" s="7" t="b">
        <f t="shared" si="27"/>
        <v>0</v>
      </c>
      <c r="BD77" s="7" t="b">
        <f t="shared" si="28"/>
        <v>1</v>
      </c>
      <c r="BE77" s="7" t="b">
        <f t="shared" si="29"/>
        <v>1</v>
      </c>
      <c r="BF77" s="7" t="b">
        <f t="shared" si="30"/>
        <v>1</v>
      </c>
      <c r="BG77" s="7" t="b">
        <f t="shared" si="31"/>
        <v>1</v>
      </c>
      <c r="BH77" s="7" t="b">
        <f t="shared" si="32"/>
        <v>0</v>
      </c>
      <c r="BI77" s="7" t="b">
        <f t="shared" si="33"/>
        <v>1</v>
      </c>
      <c r="BJ77" s="7" t="b">
        <f t="shared" si="34"/>
        <v>1</v>
      </c>
      <c r="BK77" s="7" t="b">
        <f t="shared" si="35"/>
        <v>1</v>
      </c>
      <c r="BL77" s="7" t="b">
        <f t="shared" si="36"/>
        <v>1</v>
      </c>
      <c r="BM77" s="7" t="b">
        <f t="shared" si="37"/>
        <v>1</v>
      </c>
    </row>
    <row r="78" spans="1:68" s="7" customFormat="1" ht="168" hidden="1" x14ac:dyDescent="0.25">
      <c r="A78" s="276">
        <v>68</v>
      </c>
      <c r="B78" s="343" t="s">
        <v>157</v>
      </c>
      <c r="C78" s="308" t="s">
        <v>370</v>
      </c>
      <c r="D78" s="277" t="s">
        <v>180</v>
      </c>
      <c r="E78" s="343" t="s">
        <v>41</v>
      </c>
      <c r="F78" s="343">
        <v>1</v>
      </c>
      <c r="G78" s="430" t="s">
        <v>88</v>
      </c>
      <c r="H78" s="333" t="s">
        <v>101</v>
      </c>
      <c r="I78" s="334">
        <v>1250000</v>
      </c>
      <c r="J78" s="310">
        <f t="shared" si="49"/>
        <v>237500</v>
      </c>
      <c r="K78" s="280">
        <f t="shared" si="148"/>
        <v>1487500</v>
      </c>
      <c r="L78" s="281">
        <f t="shared" si="149"/>
        <v>1250000</v>
      </c>
      <c r="M78" s="281">
        <f t="shared" si="150"/>
        <v>1487500</v>
      </c>
      <c r="N78" s="335" t="s">
        <v>178</v>
      </c>
      <c r="O78" s="336">
        <v>1008403</v>
      </c>
      <c r="P78" s="311">
        <f t="shared" si="50"/>
        <v>191596.57</v>
      </c>
      <c r="Q78" s="283">
        <f t="shared" si="151"/>
        <v>1199999.57</v>
      </c>
      <c r="R78" s="284">
        <f t="shared" si="152"/>
        <v>1008403</v>
      </c>
      <c r="S78" s="284">
        <f t="shared" si="153"/>
        <v>1199999.57</v>
      </c>
      <c r="T78" s="313" t="s">
        <v>181</v>
      </c>
      <c r="U78" s="314">
        <v>1100000</v>
      </c>
      <c r="V78" s="312">
        <f t="shared" si="55"/>
        <v>209000</v>
      </c>
      <c r="W78" s="286">
        <f t="shared" si="155"/>
        <v>1309000</v>
      </c>
      <c r="X78" s="287">
        <f t="shared" si="156"/>
        <v>1100000</v>
      </c>
      <c r="Y78" s="287">
        <f t="shared" si="157"/>
        <v>1309000</v>
      </c>
      <c r="Z78" s="288">
        <f t="shared" si="98"/>
        <v>1332166.5233333334</v>
      </c>
      <c r="AA78" s="288">
        <f t="shared" si="99"/>
        <v>1332166.5233333334</v>
      </c>
      <c r="AB78" s="288">
        <f t="shared" si="100"/>
        <v>145143.51575272533</v>
      </c>
      <c r="AC78" s="229">
        <f t="shared" si="101"/>
        <v>0.10895298238657786</v>
      </c>
      <c r="AD78" s="141"/>
      <c r="AE78" s="290" t="b">
        <f t="shared" si="154"/>
        <v>1</v>
      </c>
      <c r="AF78" s="7" t="s">
        <v>348</v>
      </c>
      <c r="AO78" s="292">
        <f>VLOOKUP(C78,ITEMS_BolsaOperador!$D$2:$AY$276,48,0)</f>
        <v>0.10895298238657786</v>
      </c>
      <c r="AP78" s="291" t="e">
        <f>VLOOKUP(C78,ITEMS_BolsaOperador!$D$254:$AY$276,1,0)</f>
        <v>#N/A</v>
      </c>
      <c r="AQ78" s="291" t="e">
        <f>VLOOKUP(C78,ITEMS_BolsaOperador!$D$254:$AY$276,2,0)</f>
        <v>#N/A</v>
      </c>
      <c r="AR78" s="291" t="e">
        <f>VLOOKUP(C78,ITEMS_BolsaOperador!$D$254:$AY$276,10,0)</f>
        <v>#N/A</v>
      </c>
      <c r="AS78" s="291" t="e">
        <f>VLOOKUP(C78,ITEMS_BolsaOperador!$D$254:$AY$276,16,0)</f>
        <v>#N/A</v>
      </c>
      <c r="AT78" s="291" t="e">
        <f>VLOOKUP(C78,ITEMS_BolsaOperador!$D$254:$AY$276,23,0)</f>
        <v>#N/A</v>
      </c>
      <c r="AU78" s="291" t="e">
        <f>VLOOKUP(C78,ITEMS_BolsaOperador!$D$254:$AY$276,29,0)</f>
        <v>#N/A</v>
      </c>
      <c r="AV78" s="291" t="e">
        <f>VLOOKUP(C78,ITEMS_BolsaOperador!$D$254:$AY$276,36,0)</f>
        <v>#N/A</v>
      </c>
      <c r="AW78" s="291" t="e">
        <f>VLOOKUP(C78,ITEMS_BolsaOperador!$D$254:$AY$276,42,0)</f>
        <v>#N/A</v>
      </c>
      <c r="AX78" s="293" t="e">
        <f>VLOOKUP(C78,ITEMS_BolsaOperador!$D$254:$AY$276,45,0)</f>
        <v>#N/A</v>
      </c>
      <c r="AY78" s="293" t="e">
        <f>VLOOKUP(C78,ITEMS_BolsaOperador!$D$254:$AY$276,46,0)</f>
        <v>#N/A</v>
      </c>
      <c r="AZ78" s="293" t="e">
        <f>VLOOKUP(C78,ITEMS_BolsaOperador!$D$254:$AY$276,47,0)</f>
        <v>#N/A</v>
      </c>
      <c r="BA78" s="229" t="e">
        <f>VLOOKUP(C78,ITEMS_BolsaOperador!$D$254:$AY$276,48,0)</f>
        <v>#N/A</v>
      </c>
      <c r="BC78" s="7" t="e">
        <f t="shared" si="27"/>
        <v>#N/A</v>
      </c>
      <c r="BD78" s="7" t="e">
        <f t="shared" si="28"/>
        <v>#N/A</v>
      </c>
      <c r="BE78" s="7" t="e">
        <f t="shared" si="29"/>
        <v>#N/A</v>
      </c>
      <c r="BF78" s="7" t="e">
        <f t="shared" si="30"/>
        <v>#N/A</v>
      </c>
      <c r="BG78" s="7" t="e">
        <f t="shared" si="31"/>
        <v>#N/A</v>
      </c>
      <c r="BH78" s="7" t="e">
        <f t="shared" si="32"/>
        <v>#N/A</v>
      </c>
      <c r="BI78" s="7" t="e">
        <f t="shared" si="33"/>
        <v>#N/A</v>
      </c>
      <c r="BJ78" s="7" t="e">
        <f t="shared" si="34"/>
        <v>#N/A</v>
      </c>
      <c r="BK78" s="7" t="e">
        <f t="shared" si="35"/>
        <v>#N/A</v>
      </c>
      <c r="BL78" s="7" t="e">
        <f t="shared" si="36"/>
        <v>#N/A</v>
      </c>
      <c r="BM78" s="7" t="e">
        <f t="shared" si="37"/>
        <v>#N/A</v>
      </c>
    </row>
    <row r="79" spans="1:68" s="7" customFormat="1" ht="105" hidden="1" x14ac:dyDescent="0.25">
      <c r="A79" s="276">
        <v>69</v>
      </c>
      <c r="B79" s="277" t="s">
        <v>157</v>
      </c>
      <c r="C79" s="277" t="s">
        <v>139</v>
      </c>
      <c r="D79" s="277" t="s">
        <v>140</v>
      </c>
      <c r="E79" s="425" t="s">
        <v>182</v>
      </c>
      <c r="F79" s="425">
        <v>40</v>
      </c>
      <c r="G79" s="427" t="s">
        <v>42</v>
      </c>
      <c r="H79" s="278" t="s">
        <v>43</v>
      </c>
      <c r="I79" s="280">
        <v>13277.31</v>
      </c>
      <c r="J79" s="310">
        <f t="shared" si="49"/>
        <v>2522.6889000000001</v>
      </c>
      <c r="K79" s="280">
        <f t="shared" si="148"/>
        <v>15799.998899999999</v>
      </c>
      <c r="L79" s="281">
        <f t="shared" si="149"/>
        <v>531092.4</v>
      </c>
      <c r="M79" s="281">
        <f t="shared" si="150"/>
        <v>631999.95600000001</v>
      </c>
      <c r="N79" s="282" t="s">
        <v>142</v>
      </c>
      <c r="O79" s="283">
        <v>16369.75</v>
      </c>
      <c r="P79" s="311">
        <f t="shared" si="50"/>
        <v>3110.2525000000001</v>
      </c>
      <c r="Q79" s="283">
        <f t="shared" si="151"/>
        <v>19480.002499999999</v>
      </c>
      <c r="R79" s="284">
        <f t="shared" si="152"/>
        <v>654790</v>
      </c>
      <c r="S79" s="284">
        <f t="shared" si="153"/>
        <v>779200.1</v>
      </c>
      <c r="T79" s="285" t="s">
        <v>143</v>
      </c>
      <c r="U79" s="295">
        <v>14621.85</v>
      </c>
      <c r="V79" s="312">
        <f t="shared" si="55"/>
        <v>2778.1514999999999</v>
      </c>
      <c r="W79" s="286">
        <f t="shared" si="155"/>
        <v>17400.001499999998</v>
      </c>
      <c r="X79" s="287">
        <f t="shared" si="156"/>
        <v>584874</v>
      </c>
      <c r="Y79" s="287">
        <f t="shared" si="157"/>
        <v>696000.05999999994</v>
      </c>
      <c r="Z79" s="288">
        <f t="shared" si="98"/>
        <v>17560.000966666663</v>
      </c>
      <c r="AA79" s="288">
        <f t="shared" si="99"/>
        <v>702400.03866666649</v>
      </c>
      <c r="AB79" s="288">
        <f t="shared" si="100"/>
        <v>73808.47101522646</v>
      </c>
      <c r="AC79" s="229">
        <f t="shared" si="101"/>
        <v>0.10508039144663726</v>
      </c>
      <c r="AD79" s="141"/>
      <c r="AE79" s="290" t="b">
        <f t="shared" si="154"/>
        <v>0</v>
      </c>
      <c r="AF79" s="291" t="s">
        <v>342</v>
      </c>
      <c r="AO79" s="292">
        <f>VLOOKUP(C79,ITEMS_BolsaOperador!$D$2:$AY$247,48,0)</f>
        <v>0.10508029699016665</v>
      </c>
      <c r="AP79" s="291" t="str">
        <f>VLOOKUP(C79,ITEMS_BolsaOperador!$D$2:$AY$247,1,0)</f>
        <v>Agua en botella x 24 unidades 300 ml</v>
      </c>
      <c r="AQ79" s="291" t="str">
        <f>VLOOKUP(C79,ITEMS_BolsaOperador!$D$2:$AY$247,2,0)</f>
        <v>Bandeja X 24 unidades de agua en botella por 300 ML.</v>
      </c>
      <c r="AR79" s="291" t="str">
        <f>VLOOKUP(C79,ITEMS_BolsaOperador!$D$2:$AY$247,10,0)</f>
        <v>Exito</v>
      </c>
      <c r="AS79" s="291">
        <f>VLOOKUP(C79,ITEMS_BolsaOperador!$D$2:$AY$247,16,0)</f>
        <v>15800.000000000002</v>
      </c>
      <c r="AT79" s="291" t="str">
        <f>VLOOKUP(C79,ITEMS_BolsaOperador!$D$2:$AY$247,23,0)</f>
        <v>Olimpica</v>
      </c>
      <c r="AU79" s="291">
        <f>VLOOKUP(C79,ITEMS_BolsaOperador!$D$2:$AY$247,29,0)</f>
        <v>19480</v>
      </c>
      <c r="AV79" s="291" t="str">
        <f>VLOOKUP(C79,ITEMS_BolsaOperador!$D$2:$AY$247,36,0)</f>
        <v>Tiendas Jumbo</v>
      </c>
      <c r="AW79" s="291">
        <f>VLOOKUP(C79,ITEMS_BolsaOperador!$D$2:$AY$247,42,0)</f>
        <v>17400</v>
      </c>
      <c r="AX79" s="293">
        <f>VLOOKUP(C79,ITEMS_BolsaOperador!$D$2:$AY$247,45,0)</f>
        <v>17560</v>
      </c>
      <c r="AY79" s="293">
        <f>VLOOKUP(C79,ITEMS_BolsaOperador!$D$2:$AY$247,46,0)</f>
        <v>17560</v>
      </c>
      <c r="AZ79" s="293">
        <f>VLOOKUP(C79,ITEMS_BolsaOperador!$D$2:$AY$247,47,0)</f>
        <v>1845.2100151473264</v>
      </c>
      <c r="BA79" s="229">
        <f>VLOOKUP(C79,ITEMS_BolsaOperador!$D$2:$AY$247,48,0)</f>
        <v>0.10508029699016665</v>
      </c>
      <c r="BC79" s="7" t="b">
        <f t="shared" ref="BC79:BC111" si="158">AQ79=D79</f>
        <v>1</v>
      </c>
      <c r="BD79" s="7" t="b">
        <f t="shared" ref="BD79:BD111" si="159">AR79=H79</f>
        <v>1</v>
      </c>
      <c r="BE79" s="7" t="b">
        <f t="shared" ref="BE79:BE111" si="160">AS79=K79</f>
        <v>0</v>
      </c>
      <c r="BF79" s="7" t="b">
        <f t="shared" ref="BF79:BF111" si="161">N79=AT79</f>
        <v>1</v>
      </c>
      <c r="BG79" s="7" t="b">
        <f t="shared" ref="BG79:BG111" si="162">AU79=Q79</f>
        <v>0</v>
      </c>
      <c r="BH79" s="7" t="b">
        <f t="shared" ref="BH79:BH111" si="163">AV79=T79</f>
        <v>1</v>
      </c>
      <c r="BI79" s="7" t="b">
        <f t="shared" ref="BI79:BI111" si="164">AW79=W79</f>
        <v>0</v>
      </c>
      <c r="BJ79" s="7" t="b">
        <f t="shared" ref="BJ79:BJ111" si="165">AX79=Z79</f>
        <v>0</v>
      </c>
      <c r="BK79" s="7" t="b">
        <f t="shared" ref="BK79:BK111" si="166">AY79=AA79</f>
        <v>0</v>
      </c>
      <c r="BL79" s="7" t="b">
        <f t="shared" ref="BL79:BL111" si="167">AZ79=AB79</f>
        <v>0</v>
      </c>
      <c r="BM79" s="7" t="b">
        <f t="shared" ref="BM79:BM111" si="168">BA79=AC79</f>
        <v>0</v>
      </c>
    </row>
    <row r="80" spans="1:68" s="7" customFormat="1" ht="105" hidden="1" x14ac:dyDescent="0.25">
      <c r="A80" s="276">
        <v>70</v>
      </c>
      <c r="B80" s="277" t="s">
        <v>157</v>
      </c>
      <c r="C80" s="277" t="s">
        <v>183</v>
      </c>
      <c r="D80" s="139" t="s">
        <v>184</v>
      </c>
      <c r="E80" s="277" t="s">
        <v>41</v>
      </c>
      <c r="F80" s="277">
        <v>410</v>
      </c>
      <c r="G80" s="427" t="s">
        <v>42</v>
      </c>
      <c r="H80" s="333" t="s">
        <v>101</v>
      </c>
      <c r="I80" s="334">
        <v>14500</v>
      </c>
      <c r="J80" s="310">
        <f>I80*8%</f>
        <v>1160</v>
      </c>
      <c r="K80" s="280">
        <f t="shared" si="148"/>
        <v>15660</v>
      </c>
      <c r="L80" s="281">
        <f t="shared" si="149"/>
        <v>5945000</v>
      </c>
      <c r="M80" s="281">
        <f t="shared" si="150"/>
        <v>6420600</v>
      </c>
      <c r="N80" s="335" t="s">
        <v>185</v>
      </c>
      <c r="O80" s="336">
        <v>16300</v>
      </c>
      <c r="P80" s="311">
        <f>O80*8%</f>
        <v>1304</v>
      </c>
      <c r="Q80" s="283">
        <f t="shared" si="151"/>
        <v>17604</v>
      </c>
      <c r="R80" s="284">
        <f t="shared" si="152"/>
        <v>6683000</v>
      </c>
      <c r="S80" s="284">
        <f t="shared" si="153"/>
        <v>7217640</v>
      </c>
      <c r="T80" s="313" t="s">
        <v>186</v>
      </c>
      <c r="U80" s="314">
        <v>15000</v>
      </c>
      <c r="V80" s="312">
        <f>U80*8%</f>
        <v>1200</v>
      </c>
      <c r="W80" s="286">
        <f t="shared" si="155"/>
        <v>16200</v>
      </c>
      <c r="X80" s="287">
        <f t="shared" si="156"/>
        <v>6150000</v>
      </c>
      <c r="Y80" s="287">
        <f t="shared" si="157"/>
        <v>6642000</v>
      </c>
      <c r="Z80" s="288">
        <f t="shared" si="98"/>
        <v>16488</v>
      </c>
      <c r="AA80" s="288">
        <f t="shared" si="99"/>
        <v>6760080</v>
      </c>
      <c r="AB80" s="288">
        <f t="shared" si="100"/>
        <v>411430.86320790276</v>
      </c>
      <c r="AC80" s="229">
        <f t="shared" si="101"/>
        <v>6.0861833470595428E-2</v>
      </c>
      <c r="AD80" s="141"/>
      <c r="AE80" s="290" t="b">
        <f t="shared" si="154"/>
        <v>1</v>
      </c>
      <c r="AF80" s="291" t="s">
        <v>342</v>
      </c>
      <c r="AO80" s="292">
        <f>VLOOKUP(C80,ITEMS_BolsaOperador!$D$2:$AY$247,48,0)</f>
        <v>6.0861833470595435E-2</v>
      </c>
      <c r="AP80" s="291" t="str">
        <f>VLOOKUP(C80,ITEMS_BolsaOperador!$D$2:$AY$247,1,0)</f>
        <v>Refrigerio para deportista</v>
      </c>
      <c r="AQ80" s="291" t="str">
        <f>VLOOKUP(C80,ITEMS_BolsaOperador!$D$2:$AY$247,2,0)</f>
        <v>Refrigerio para deportista Una fruta fresca (banano, manzana, pera, mandarina o guayaba), botella plástica sellada de agua de 600ml, 2 bocadillos veleño en empaque individual, 1 Barra de proteína con 20g de proteína premium, baja en azúcar y enriquecida con fibra y superalimentos para recuperar energía y favorecer el crecimiento muscular. (No se aceptarán productos con alto contenido de azúcares añadidos, colorantes o conservantes artificiales).</v>
      </c>
      <c r="AR80" s="291" t="str">
        <f>VLOOKUP(C80,ITEMS_BolsaOperador!$D$2:$AY$247,10,0)</f>
        <v>D&amp;R PRODUCCIONES SAS</v>
      </c>
      <c r="AS80" s="291">
        <f>VLOOKUP(C80,ITEMS_BolsaOperador!$D$2:$AY$247,16,0)</f>
        <v>15660</v>
      </c>
      <c r="AT80" s="291" t="str">
        <f>VLOOKUP(C80,ITEMS_BolsaOperador!$D$2:$AY$247,23,0)</f>
        <v>LOGISTBOX L&amp;L SAS</v>
      </c>
      <c r="AU80" s="291">
        <f>VLOOKUP(C80,ITEMS_BolsaOperador!$D$2:$AY$247,29,0)</f>
        <v>17604</v>
      </c>
      <c r="AV80" s="291" t="str">
        <f>VLOOKUP(C80,ITEMS_BolsaOperador!$D$2:$AY$247,36,0)</f>
        <v>DISTRIBUIDORA CATERING Y CAFÉ SAS</v>
      </c>
      <c r="AW80" s="291">
        <f>VLOOKUP(C80,ITEMS_BolsaOperador!$D$2:$AY$247,42,0)</f>
        <v>16200</v>
      </c>
      <c r="AX80" s="293">
        <f>VLOOKUP(C80,ITEMS_BolsaOperador!$D$2:$AY$247,45,0)</f>
        <v>16488</v>
      </c>
      <c r="AY80" s="293">
        <f>VLOOKUP(C80,ITEMS_BolsaOperador!$D$2:$AY$247,46,0)</f>
        <v>16488</v>
      </c>
      <c r="AZ80" s="293">
        <f>VLOOKUP(C80,ITEMS_BolsaOperador!$D$2:$AY$247,47,0)</f>
        <v>1003.4899102631775</v>
      </c>
      <c r="BA80" s="229">
        <f>VLOOKUP(C80,ITEMS_BolsaOperador!$D$2:$AY$247,48,0)</f>
        <v>6.0861833470595435E-2</v>
      </c>
      <c r="BC80" s="7" t="b">
        <f t="shared" si="158"/>
        <v>1</v>
      </c>
      <c r="BD80" s="7" t="b">
        <f t="shared" si="159"/>
        <v>1</v>
      </c>
      <c r="BE80" s="7" t="b">
        <f t="shared" si="160"/>
        <v>1</v>
      </c>
      <c r="BF80" s="7" t="b">
        <f t="shared" si="161"/>
        <v>1</v>
      </c>
      <c r="BG80" s="7" t="b">
        <f t="shared" si="162"/>
        <v>1</v>
      </c>
      <c r="BH80" s="7" t="b">
        <f t="shared" si="163"/>
        <v>0</v>
      </c>
      <c r="BI80" s="7" t="b">
        <f t="shared" si="164"/>
        <v>1</v>
      </c>
      <c r="BJ80" s="7" t="b">
        <f t="shared" si="165"/>
        <v>1</v>
      </c>
      <c r="BK80" s="7" t="b">
        <f t="shared" si="166"/>
        <v>0</v>
      </c>
      <c r="BL80" s="7" t="b">
        <f t="shared" si="167"/>
        <v>0</v>
      </c>
      <c r="BM80" s="7" t="b">
        <f t="shared" si="168"/>
        <v>1</v>
      </c>
    </row>
    <row r="81" spans="1:65" s="7" customFormat="1" ht="409.5" hidden="1" x14ac:dyDescent="0.35">
      <c r="A81" s="276">
        <v>71</v>
      </c>
      <c r="B81" s="343" t="s">
        <v>157</v>
      </c>
      <c r="C81" s="277" t="s">
        <v>93</v>
      </c>
      <c r="D81" s="137" t="s">
        <v>94</v>
      </c>
      <c r="E81" s="343" t="s">
        <v>41</v>
      </c>
      <c r="F81" s="343">
        <v>50</v>
      </c>
      <c r="G81" s="430" t="s">
        <v>42</v>
      </c>
      <c r="H81" s="278" t="s">
        <v>95</v>
      </c>
      <c r="I81" s="280">
        <v>11700</v>
      </c>
      <c r="J81" s="280">
        <f>I81*8%</f>
        <v>936</v>
      </c>
      <c r="K81" s="280">
        <f t="shared" si="148"/>
        <v>12636</v>
      </c>
      <c r="L81" s="281">
        <f t="shared" si="149"/>
        <v>585000</v>
      </c>
      <c r="M81" s="281">
        <f t="shared" si="150"/>
        <v>631800</v>
      </c>
      <c r="N81" s="282" t="s">
        <v>50</v>
      </c>
      <c r="O81" s="283">
        <v>8570</v>
      </c>
      <c r="P81" s="283">
        <f>O81*8%</f>
        <v>685.6</v>
      </c>
      <c r="Q81" s="283">
        <f t="shared" si="151"/>
        <v>9255.6</v>
      </c>
      <c r="R81" s="284">
        <f t="shared" si="152"/>
        <v>428500</v>
      </c>
      <c r="S81" s="284">
        <f t="shared" si="153"/>
        <v>462780</v>
      </c>
      <c r="T81" s="285" t="s">
        <v>96</v>
      </c>
      <c r="U81" s="286">
        <v>13871</v>
      </c>
      <c r="V81" s="312"/>
      <c r="W81" s="286">
        <f t="shared" si="155"/>
        <v>13871</v>
      </c>
      <c r="X81" s="287">
        <f t="shared" si="156"/>
        <v>693550</v>
      </c>
      <c r="Y81" s="287">
        <f t="shared" si="157"/>
        <v>693550</v>
      </c>
      <c r="Z81" s="288">
        <f t="shared" si="98"/>
        <v>11920.866666666667</v>
      </c>
      <c r="AA81" s="288">
        <f t="shared" si="99"/>
        <v>596043.33333333337</v>
      </c>
      <c r="AB81" s="288">
        <f t="shared" si="100"/>
        <v>119467.99836497351</v>
      </c>
      <c r="AC81" s="229">
        <f t="shared" si="101"/>
        <v>0.20043508866520918</v>
      </c>
      <c r="AD81" s="141"/>
      <c r="AE81" s="290" t="b">
        <f t="shared" si="154"/>
        <v>0</v>
      </c>
      <c r="AF81" s="291" t="s">
        <v>342</v>
      </c>
      <c r="AO81" s="292">
        <f>VLOOKUP(C81,ITEMS_BolsaOperador!$D$2:$AY$247,48,0)</f>
        <v>0.20043508866520951</v>
      </c>
      <c r="AP81" s="291" t="str">
        <f>VLOOKUP(C81,ITEMS_BolsaOperador!$D$2:$AY$247,1,0)</f>
        <v>Refrigerio Tipo 1</v>
      </c>
      <c r="AQ81" s="291" t="str">
        <f>VLOOKUP(C81,ITEMS_BolsaOperador!$D$2:$AY$247,2,0)</f>
        <v>Compuesto por:  _x000D_
1. Bebida: Deberá contener al menos 200 mililitros. Jugo de frutas y/o yogurt y/o kumis y/o avena, naturales no procesados, no se permitirá el suministro de bebidas empacadas en bolsa plástica, la Alcaldía Local de Suba requiere que las mismas sean entregadas a los asistentes en empaque tetra pack.  _x000D_
2. Un producto cereal   o producto de panadería tipo: Deberán tener un peso mínimo de 100 gramos. Podrá ser  Pastel de pollo o carne, ponqué, arepa, empanada, mantecada,  arepa con queso, pastel gloria, croissant de jamón y queso, brownie, buñuelo o similares. Los gramajes corresponden a los productos ya elaborados.    _x000D_
3. Una fruta de temporada: Porción de fruta no menor de 100 gramos. Mandarina, naranja,  manzana, pera, durazno o similares.  _x000D_
4. Dulce: Deberá tener mínimo entre 12 y 15 gramos. Chocolatina, Arequipe,  bocadillo o similares.</v>
      </c>
      <c r="AR81" s="291" t="str">
        <f>VLOOKUP(C81,ITEMS_BolsaOperador!$D$2:$AY$247,10,0)</f>
        <v>INVERSIONES BECORATI E Y O SAS</v>
      </c>
      <c r="AS81" s="291">
        <f>VLOOKUP(C81,ITEMS_BolsaOperador!$D$2:$AY$247,16,0)</f>
        <v>12636</v>
      </c>
      <c r="AT81" s="291" t="str">
        <f>VLOOKUP(C81,ITEMS_BolsaOperador!$D$2:$AY$247,23,0)</f>
        <v>ENTERPRISE INVESTMENT DEVELOPMENT S.A.S.</v>
      </c>
      <c r="AU81" s="291">
        <f>VLOOKUP(C81,ITEMS_BolsaOperador!$D$2:$AY$247,29,0)</f>
        <v>9255.6</v>
      </c>
      <c r="AV81" s="291" t="str">
        <f>VLOOKUP(C81,ITEMS_BolsaOperador!$D$2:$AY$247,36,0)</f>
        <v>Estimación de precios con base en el proceso FDLSUBA-LP-013-2025 (140689) – Contrato 1000 – 2025, indexando el incremento de precios en el mercado con base en el Índice de Precios al Consumidor (IPC) para el mes de marzo de 2026, el cual fue de 5,56%.</v>
      </c>
      <c r="AW81" s="291">
        <f>VLOOKUP(C81,ITEMS_BolsaOperador!$D$2:$AY$247,42,0)</f>
        <v>13871</v>
      </c>
      <c r="AX81" s="293">
        <f>VLOOKUP(C81,ITEMS_BolsaOperador!$D$2:$AY$247,45,0)</f>
        <v>11920.866666666667</v>
      </c>
      <c r="AY81" s="293">
        <f>VLOOKUP(C81,ITEMS_BolsaOperador!$D$2:$AY$247,46,0)</f>
        <v>11920.866666666667</v>
      </c>
      <c r="AZ81" s="293">
        <f>VLOOKUP(C81,ITEMS_BolsaOperador!$D$2:$AY$247,47,0)</f>
        <v>2389.3599672994737</v>
      </c>
      <c r="BA81" s="229">
        <f>VLOOKUP(C81,ITEMS_BolsaOperador!$D$2:$AY$247,48,0)</f>
        <v>0.20043508866520951</v>
      </c>
      <c r="BC81" s="7" t="b">
        <f t="shared" si="158"/>
        <v>0</v>
      </c>
      <c r="BD81" s="7" t="b">
        <f t="shared" si="159"/>
        <v>1</v>
      </c>
      <c r="BE81" s="7" t="b">
        <f t="shared" si="160"/>
        <v>1</v>
      </c>
      <c r="BF81" s="7" t="b">
        <f t="shared" si="161"/>
        <v>0</v>
      </c>
      <c r="BG81" s="7" t="b">
        <f t="shared" si="162"/>
        <v>1</v>
      </c>
      <c r="BH81" s="7" t="b">
        <f t="shared" si="163"/>
        <v>0</v>
      </c>
      <c r="BI81" s="7" t="b">
        <f t="shared" si="164"/>
        <v>1</v>
      </c>
      <c r="BJ81" s="7" t="b">
        <f t="shared" si="165"/>
        <v>1</v>
      </c>
      <c r="BK81" s="7" t="b">
        <f t="shared" si="166"/>
        <v>0</v>
      </c>
      <c r="BL81" s="7" t="b">
        <f t="shared" si="167"/>
        <v>0</v>
      </c>
      <c r="BM81" s="7" t="b">
        <f t="shared" si="168"/>
        <v>0</v>
      </c>
    </row>
    <row r="82" spans="1:65" s="7" customFormat="1" ht="195" hidden="1" x14ac:dyDescent="0.25">
      <c r="A82" s="276">
        <v>72</v>
      </c>
      <c r="B82" s="315" t="s">
        <v>157</v>
      </c>
      <c r="C82" s="316" t="s">
        <v>371</v>
      </c>
      <c r="D82" s="317" t="s">
        <v>372</v>
      </c>
      <c r="E82" s="318" t="s">
        <v>41</v>
      </c>
      <c r="F82" s="318">
        <v>30</v>
      </c>
      <c r="G82" s="319" t="s">
        <v>42</v>
      </c>
      <c r="H82" s="320" t="str">
        <f>VLOOKUP(C82,ITEMS_BolsaOperador!$D$2:$AQ$499,10,0)</f>
        <v>Tienda Estudiantil</v>
      </c>
      <c r="I82" s="321">
        <v>2171</v>
      </c>
      <c r="J82" s="322">
        <f t="shared" ref="J82:J90" si="169">I82*19%</f>
        <v>412.49</v>
      </c>
      <c r="K82" s="280">
        <f t="shared" si="148"/>
        <v>2583.4899999999998</v>
      </c>
      <c r="L82" s="281">
        <f t="shared" si="149"/>
        <v>65130</v>
      </c>
      <c r="M82" s="281">
        <f t="shared" si="150"/>
        <v>77504.7</v>
      </c>
      <c r="N82" s="320" t="str">
        <f>VLOOKUP(C82,ITEMS_BolsaOperador!$D$2:$AQ$499,23,0)</f>
        <v>Renovacion Libreria y Papeleria</v>
      </c>
      <c r="O82" s="323">
        <v>2185</v>
      </c>
      <c r="P82" s="322">
        <f t="shared" ref="P82:P90" si="170">O82*19%</f>
        <v>415.15</v>
      </c>
      <c r="Q82" s="283">
        <f t="shared" si="151"/>
        <v>2600.15</v>
      </c>
      <c r="R82" s="284">
        <f t="shared" si="152"/>
        <v>65550</v>
      </c>
      <c r="S82" s="284">
        <f t="shared" si="153"/>
        <v>78004.5</v>
      </c>
      <c r="T82" s="320" t="str">
        <f>VLOOKUP(C82,ITEMS_BolsaOperador!$D$2:$AQ$499,36,0)</f>
        <v>Papeleria Jonan</v>
      </c>
      <c r="U82" s="321">
        <v>2352.9411764705883</v>
      </c>
      <c r="V82" s="322">
        <f t="shared" ref="V82:V90" si="171">U82*19%</f>
        <v>447.05882352941177</v>
      </c>
      <c r="W82" s="286">
        <f t="shared" si="155"/>
        <v>2800</v>
      </c>
      <c r="X82" s="287">
        <f t="shared" si="156"/>
        <v>70588.23529411765</v>
      </c>
      <c r="Y82" s="287">
        <f t="shared" si="157"/>
        <v>84000</v>
      </c>
      <c r="Z82" s="288">
        <f t="shared" si="98"/>
        <v>2661.2133333333331</v>
      </c>
      <c r="AA82" s="288">
        <f t="shared" si="99"/>
        <v>79836.399999999994</v>
      </c>
      <c r="AB82" s="288">
        <f t="shared" si="100"/>
        <v>3614.4326982252701</v>
      </c>
      <c r="AC82" s="229">
        <f t="shared" si="101"/>
        <v>4.5272991996448617E-2</v>
      </c>
      <c r="AD82" s="141"/>
      <c r="AE82" s="290" t="b">
        <f t="shared" si="154"/>
        <v>1</v>
      </c>
      <c r="AF82" s="291" t="s">
        <v>357</v>
      </c>
      <c r="AO82" s="292">
        <f>VLOOKUP(C82,ITEMS_BolsaOperador!$D$1:$AY$276,48,0)</f>
        <v>4.5272991996448624E-2</v>
      </c>
      <c r="AP82" s="291" t="str">
        <f>VLOOKUP(C82,ITEMS_BolsaOperador!$D$1:$AY$276,1,0)</f>
        <v>Carton Cartulina Blanco x pliego</v>
      </c>
      <c r="AQ82" s="291" t="str">
        <f>VLOOKUP(C82,ITEMS_BolsaOperador!$D$1:$AY$276,2,0)</f>
        <v>Cartulina blanca 70x100 cm: Pliego de alto gramaje con superficie lisa y acabado uniforme en ambas caras.</v>
      </c>
      <c r="AR82" s="291" t="str">
        <f>VLOOKUP(C82,ITEMS_BolsaOperador!$D$1:$AY$276,10,0)</f>
        <v>Tienda Estudiantil</v>
      </c>
      <c r="AS82" s="291">
        <f>VLOOKUP(C82,ITEMS_BolsaOperador!$D$1:$AY$276,16,0)</f>
        <v>2583.4899999999998</v>
      </c>
      <c r="AT82" s="291" t="str">
        <f>VLOOKUP(C82,ITEMS_BolsaOperador!$D$1:$AY$276,23,0)</f>
        <v>Renovacion Libreria y Papeleria</v>
      </c>
      <c r="AU82" s="291">
        <f>VLOOKUP(C82,ITEMS_BolsaOperador!$D$1:$AY$276,29,0)</f>
        <v>2600.15</v>
      </c>
      <c r="AV82" s="291" t="str">
        <f>VLOOKUP(C82,ITEMS_BolsaOperador!$D$1:$AY$276,36,0)</f>
        <v>Papeleria Jonan</v>
      </c>
      <c r="AW82" s="291">
        <f>VLOOKUP(C82,ITEMS_BolsaOperador!$D$1:$AY$276,42,0)</f>
        <v>2800</v>
      </c>
      <c r="AX82" s="293">
        <f>VLOOKUP(C82,ITEMS_BolsaOperador!$D$1:$AY$276,45,0)</f>
        <v>2661.2133333333331</v>
      </c>
      <c r="AY82" s="293">
        <f>VLOOKUP(C82,ITEMS_BolsaOperador!$D$1:$AY$276,46,0)</f>
        <v>2661.2133333333331</v>
      </c>
      <c r="AZ82" s="293">
        <f>VLOOKUP(C82,ITEMS_BolsaOperador!$D$1:$AY$276,47,0)</f>
        <v>120.48108994084235</v>
      </c>
      <c r="BA82" s="229">
        <f>VLOOKUP(C82,ITEMS_BolsaOperador!$D$1:$AY$276,48,0)</f>
        <v>4.5272991996448624E-2</v>
      </c>
      <c r="BC82" s="7" t="b">
        <f t="shared" ref="BC82:BC90" si="172">AQ82=D82</f>
        <v>1</v>
      </c>
      <c r="BD82" s="7" t="b">
        <f t="shared" ref="BD82:BD90" si="173">AR82=H82</f>
        <v>1</v>
      </c>
      <c r="BE82" s="7" t="b">
        <f t="shared" ref="BE82:BE90" si="174">AS82=K82</f>
        <v>1</v>
      </c>
      <c r="BF82" s="7" t="b">
        <f t="shared" ref="BF82:BF90" si="175">N82=AT82</f>
        <v>1</v>
      </c>
      <c r="BG82" s="7" t="b">
        <f t="shared" ref="BG82:BG90" si="176">AU82=Q82</f>
        <v>1</v>
      </c>
      <c r="BH82" s="7" t="b">
        <f t="shared" ref="BH82:BH90" si="177">AV82=T82</f>
        <v>1</v>
      </c>
      <c r="BI82" s="7" t="b">
        <f t="shared" ref="BI82:BI90" si="178">AW82=W82</f>
        <v>1</v>
      </c>
      <c r="BJ82" s="7" t="b">
        <f t="shared" ref="BJ82:BJ90" si="179">AX82=Z82</f>
        <v>1</v>
      </c>
      <c r="BK82" s="7" t="b">
        <f t="shared" ref="BK82:BK90" si="180">AY82=AA82</f>
        <v>0</v>
      </c>
      <c r="BL82" s="7" t="b">
        <f t="shared" ref="BL82:BL90" si="181">AZ82=AB82</f>
        <v>0</v>
      </c>
      <c r="BM82" s="7" t="b">
        <f t="shared" ref="BM82:BM90" si="182">BA82=AC82</f>
        <v>1</v>
      </c>
    </row>
    <row r="83" spans="1:65" s="7" customFormat="1" ht="135" hidden="1" x14ac:dyDescent="0.25">
      <c r="A83" s="276">
        <v>73</v>
      </c>
      <c r="B83" s="315" t="s">
        <v>157</v>
      </c>
      <c r="C83" s="316" t="s">
        <v>373</v>
      </c>
      <c r="D83" s="317" t="s">
        <v>374</v>
      </c>
      <c r="E83" s="318" t="s">
        <v>41</v>
      </c>
      <c r="F83" s="318">
        <v>6</v>
      </c>
      <c r="G83" s="319" t="s">
        <v>42</v>
      </c>
      <c r="H83" s="320" t="str">
        <f>VLOOKUP(C83,ITEMS_BolsaOperador!$D$2:$AQ$499,10,0)</f>
        <v>Papeleria  la Estacion de Suba</v>
      </c>
      <c r="I83" s="321">
        <v>1680.6722689075632</v>
      </c>
      <c r="J83" s="322">
        <f t="shared" si="169"/>
        <v>319.32773109243703</v>
      </c>
      <c r="K83" s="280">
        <f t="shared" si="148"/>
        <v>2000.0000000000002</v>
      </c>
      <c r="L83" s="281">
        <f t="shared" si="149"/>
        <v>10084.033613445379</v>
      </c>
      <c r="M83" s="281">
        <f t="shared" si="150"/>
        <v>12000.000000000002</v>
      </c>
      <c r="N83" s="320" t="str">
        <f>VLOOKUP(C83,ITEMS_BolsaOperador!$D$2:$AQ$499,23,0)</f>
        <v>Renovacion Libreria y papeleria</v>
      </c>
      <c r="O83" s="323">
        <v>1681</v>
      </c>
      <c r="P83" s="322">
        <f t="shared" si="170"/>
        <v>319.39</v>
      </c>
      <c r="Q83" s="283">
        <f t="shared" si="151"/>
        <v>2000.3899999999999</v>
      </c>
      <c r="R83" s="284">
        <f t="shared" si="152"/>
        <v>10086</v>
      </c>
      <c r="S83" s="284">
        <f t="shared" si="153"/>
        <v>12002.34</v>
      </c>
      <c r="T83" s="320" t="str">
        <f>VLOOKUP(C83,ITEMS_BolsaOperador!$D$2:$AQ$499,36,0)</f>
        <v>Tienda Estudiantil</v>
      </c>
      <c r="U83" s="321">
        <v>1694</v>
      </c>
      <c r="V83" s="322">
        <f t="shared" si="171"/>
        <v>321.86</v>
      </c>
      <c r="W83" s="286">
        <f t="shared" si="155"/>
        <v>2015.8600000000001</v>
      </c>
      <c r="X83" s="287">
        <f t="shared" si="156"/>
        <v>10164</v>
      </c>
      <c r="Y83" s="287">
        <f t="shared" si="157"/>
        <v>12095.16</v>
      </c>
      <c r="Z83" s="288">
        <f t="shared" si="98"/>
        <v>2005.4166666666667</v>
      </c>
      <c r="AA83" s="288">
        <f t="shared" si="99"/>
        <v>12032.5</v>
      </c>
      <c r="AB83" s="288">
        <f t="shared" si="100"/>
        <v>54.277763402704124</v>
      </c>
      <c r="AC83" s="229">
        <f t="shared" si="101"/>
        <v>4.510929848552182E-3</v>
      </c>
      <c r="AD83" s="141"/>
      <c r="AE83" s="290" t="b">
        <f t="shared" si="154"/>
        <v>0</v>
      </c>
      <c r="AF83" s="291" t="s">
        <v>357</v>
      </c>
      <c r="AO83" s="292">
        <f>VLOOKUP(C83,ITEMS_BolsaOperador!$D$1:$AY$276,48,0)</f>
        <v>4.5109298485522574E-3</v>
      </c>
      <c r="AP83" s="291" t="str">
        <f>VLOOKUP(C83,ITEMS_BolsaOperador!$D$1:$AY$276,1,0)</f>
        <v>Cartulina Papel Iris Pliegos 70×100</v>
      </c>
      <c r="AQ83" s="291" t="str">
        <f>VLOOKUP(C83,ITEMS_BolsaOperador!$D$1:$AY$276,2,0)</f>
        <v>Paquete de 10 pliegos de papel Iris de 70 x 100 cm, gramaje de 125 g/m² y colores surtidos</v>
      </c>
      <c r="AR83" s="291" t="str">
        <f>VLOOKUP(C83,ITEMS_BolsaOperador!$D$1:$AY$276,10,0)</f>
        <v>Papeleria  la Estacion de Suba</v>
      </c>
      <c r="AS83" s="291">
        <f>VLOOKUP(C83,ITEMS_BolsaOperador!$D$1:$AY$276,16,0)</f>
        <v>2000.0000000000002</v>
      </c>
      <c r="AT83" s="291" t="str">
        <f>VLOOKUP(C83,ITEMS_BolsaOperador!$D$1:$AY$276,23,0)</f>
        <v>Renovacion Libreria y papeleria</v>
      </c>
      <c r="AU83" s="291">
        <f>VLOOKUP(C83,ITEMS_BolsaOperador!$D$1:$AY$276,29,0)</f>
        <v>2000.3899999999999</v>
      </c>
      <c r="AV83" s="291" t="str">
        <f>VLOOKUP(C83,ITEMS_BolsaOperador!$D$1:$AY$276,36,0)</f>
        <v>Tienda Estudiantil</v>
      </c>
      <c r="AW83" s="291">
        <f>VLOOKUP(C83,ITEMS_BolsaOperador!$D$1:$AY$276,42,0)</f>
        <v>2015.8600000000001</v>
      </c>
      <c r="AX83" s="293">
        <f>VLOOKUP(C83,ITEMS_BolsaOperador!$D$1:$AY$276,45,0)</f>
        <v>2005.4166666666667</v>
      </c>
      <c r="AY83" s="293">
        <f>VLOOKUP(C83,ITEMS_BolsaOperador!$D$1:$AY$276,46,0)</f>
        <v>2005.4166666666667</v>
      </c>
      <c r="AZ83" s="293">
        <f>VLOOKUP(C83,ITEMS_BolsaOperador!$D$1:$AY$276,47,0)</f>
        <v>9.0462939004508396</v>
      </c>
      <c r="BA83" s="229">
        <f>VLOOKUP(C83,ITEMS_BolsaOperador!$D$1:$AY$276,48,0)</f>
        <v>4.5109298485522574E-3</v>
      </c>
      <c r="BC83" s="7" t="b">
        <f t="shared" si="172"/>
        <v>1</v>
      </c>
      <c r="BD83" s="7" t="b">
        <f t="shared" si="173"/>
        <v>1</v>
      </c>
      <c r="BE83" s="7" t="b">
        <f t="shared" si="174"/>
        <v>1</v>
      </c>
      <c r="BF83" s="7" t="b">
        <f t="shared" si="175"/>
        <v>1</v>
      </c>
      <c r="BG83" s="7" t="b">
        <f t="shared" si="176"/>
        <v>1</v>
      </c>
      <c r="BH83" s="7" t="b">
        <f t="shared" si="177"/>
        <v>1</v>
      </c>
      <c r="BI83" s="7" t="b">
        <f t="shared" si="178"/>
        <v>1</v>
      </c>
      <c r="BJ83" s="7" t="b">
        <f t="shared" si="179"/>
        <v>1</v>
      </c>
      <c r="BK83" s="7" t="b">
        <f t="shared" si="180"/>
        <v>0</v>
      </c>
      <c r="BL83" s="7" t="b">
        <f t="shared" si="181"/>
        <v>0</v>
      </c>
      <c r="BM83" s="7" t="b">
        <f t="shared" si="182"/>
        <v>0</v>
      </c>
    </row>
    <row r="84" spans="1:65" s="7" customFormat="1" ht="180" hidden="1" x14ac:dyDescent="0.25">
      <c r="A84" s="276">
        <v>74</v>
      </c>
      <c r="B84" s="315" t="s">
        <v>157</v>
      </c>
      <c r="C84" s="316" t="s">
        <v>375</v>
      </c>
      <c r="D84" s="317" t="s">
        <v>376</v>
      </c>
      <c r="E84" s="318" t="s">
        <v>41</v>
      </c>
      <c r="F84" s="318">
        <v>12</v>
      </c>
      <c r="G84" s="319" t="s">
        <v>42</v>
      </c>
      <c r="H84" s="320" t="str">
        <f>VLOOKUP(C84,ITEMS_BolsaOperador!$D$2:$AQ$499,10,0)</f>
        <v>Ofix</v>
      </c>
      <c r="I84" s="321">
        <v>1786.5546218487395</v>
      </c>
      <c r="J84" s="322">
        <f t="shared" si="169"/>
        <v>339.44537815126051</v>
      </c>
      <c r="K84" s="280">
        <f t="shared" si="148"/>
        <v>2126</v>
      </c>
      <c r="L84" s="281">
        <f t="shared" si="149"/>
        <v>21438.655462184874</v>
      </c>
      <c r="M84" s="281">
        <f t="shared" si="150"/>
        <v>25512</v>
      </c>
      <c r="N84" s="320" t="str">
        <f>VLOOKUP(C84,ITEMS_BolsaOperador!$D$2:$AQ$499,23,0)</f>
        <v>La Garza</v>
      </c>
      <c r="O84" s="323">
        <v>2100.840336134454</v>
      </c>
      <c r="P84" s="322">
        <f t="shared" si="170"/>
        <v>399.15966386554624</v>
      </c>
      <c r="Q84" s="283">
        <f t="shared" si="151"/>
        <v>2500</v>
      </c>
      <c r="R84" s="284">
        <f t="shared" si="152"/>
        <v>25210.08403361345</v>
      </c>
      <c r="S84" s="284">
        <f t="shared" si="153"/>
        <v>30000</v>
      </c>
      <c r="T84" s="320" t="str">
        <f>VLOOKUP(C84,ITEMS_BolsaOperador!$D$2:$AQ$499,36,0)</f>
        <v>DINGLI - DETALSHOP</v>
      </c>
      <c r="U84" s="321">
        <v>1500</v>
      </c>
      <c r="V84" s="322">
        <f t="shared" si="171"/>
        <v>285</v>
      </c>
      <c r="W84" s="286">
        <f t="shared" si="155"/>
        <v>1785</v>
      </c>
      <c r="X84" s="287">
        <f t="shared" si="156"/>
        <v>18000</v>
      </c>
      <c r="Y84" s="287">
        <f t="shared" si="157"/>
        <v>21420</v>
      </c>
      <c r="Z84" s="288">
        <f t="shared" si="98"/>
        <v>2137</v>
      </c>
      <c r="AA84" s="288">
        <f t="shared" si="99"/>
        <v>25644</v>
      </c>
      <c r="AB84" s="288">
        <f t="shared" si="100"/>
        <v>4291.5228066503387</v>
      </c>
      <c r="AC84" s="229">
        <f t="shared" si="101"/>
        <v>0.16734997686204722</v>
      </c>
      <c r="AD84" s="141"/>
      <c r="AE84" s="290" t="b">
        <f t="shared" si="154"/>
        <v>1</v>
      </c>
      <c r="AF84" s="291" t="s">
        <v>357</v>
      </c>
      <c r="AO84" s="292">
        <f>VLOOKUP(C84,ITEMS_BolsaOperador!$D$1:$AY$276,48,0)</f>
        <v>0.16734997686204722</v>
      </c>
      <c r="AP84" s="291" t="str">
        <f>VLOOKUP(C84,ITEMS_BolsaOperador!$D$1:$AY$276,1,0)</f>
        <v>Notas Adhesivas (Post-it) cuadradas 5x 5 cm</v>
      </c>
      <c r="AQ84" s="291" t="str">
        <f>VLOOKUP(C84,ITEMS_BolsaOperador!$D$1:$AY$276,2,0)</f>
        <v>Bloque de 100 notas adhesivas de 5 x 5 cm (2" x 2"), fabricadas en papel de alto gramaje con acabado mate.</v>
      </c>
      <c r="AR84" s="291" t="str">
        <f>VLOOKUP(C84,ITEMS_BolsaOperador!$D$1:$AY$276,10,0)</f>
        <v>Ofix</v>
      </c>
      <c r="AS84" s="291">
        <f>VLOOKUP(C84,ITEMS_BolsaOperador!$D$1:$AY$276,16,0)</f>
        <v>2126</v>
      </c>
      <c r="AT84" s="291" t="str">
        <f>VLOOKUP(C84,ITEMS_BolsaOperador!$D$1:$AY$276,23,0)</f>
        <v>La Garza</v>
      </c>
      <c r="AU84" s="291">
        <f>VLOOKUP(C84,ITEMS_BolsaOperador!$D$1:$AY$276,29,0)</f>
        <v>2500</v>
      </c>
      <c r="AV84" s="291" t="str">
        <f>VLOOKUP(C84,ITEMS_BolsaOperador!$D$1:$AY$276,36,0)</f>
        <v>DINGLI - DETALSHOP</v>
      </c>
      <c r="AW84" s="291">
        <f>VLOOKUP(C84,ITEMS_BolsaOperador!$D$1:$AY$276,42,0)</f>
        <v>1785</v>
      </c>
      <c r="AX84" s="293">
        <f>VLOOKUP(C84,ITEMS_BolsaOperador!$D$1:$AY$276,45,0)</f>
        <v>2137</v>
      </c>
      <c r="AY84" s="293">
        <f>VLOOKUP(C84,ITEMS_BolsaOperador!$D$1:$AY$276,46,0)</f>
        <v>2137</v>
      </c>
      <c r="AZ84" s="293">
        <f>VLOOKUP(C84,ITEMS_BolsaOperador!$D$1:$AY$276,47,0)</f>
        <v>357.62690055419489</v>
      </c>
      <c r="BA84" s="229">
        <f>VLOOKUP(C84,ITEMS_BolsaOperador!$D$1:$AY$276,48,0)</f>
        <v>0.16734997686204722</v>
      </c>
      <c r="BC84" s="7" t="b">
        <f t="shared" si="172"/>
        <v>1</v>
      </c>
      <c r="BD84" s="7" t="b">
        <f t="shared" si="173"/>
        <v>1</v>
      </c>
      <c r="BE84" s="7" t="b">
        <f t="shared" si="174"/>
        <v>1</v>
      </c>
      <c r="BF84" s="7" t="b">
        <f t="shared" si="175"/>
        <v>1</v>
      </c>
      <c r="BG84" s="7" t="b">
        <f t="shared" si="176"/>
        <v>1</v>
      </c>
      <c r="BH84" s="7" t="b">
        <f t="shared" si="177"/>
        <v>1</v>
      </c>
      <c r="BI84" s="7" t="b">
        <f t="shared" si="178"/>
        <v>1</v>
      </c>
      <c r="BJ84" s="7" t="b">
        <f t="shared" si="179"/>
        <v>1</v>
      </c>
      <c r="BK84" s="7" t="b">
        <f t="shared" si="180"/>
        <v>0</v>
      </c>
      <c r="BL84" s="7" t="b">
        <f t="shared" si="181"/>
        <v>0</v>
      </c>
      <c r="BM84" s="7" t="b">
        <f t="shared" si="182"/>
        <v>1</v>
      </c>
    </row>
    <row r="85" spans="1:65" s="7" customFormat="1" ht="285" hidden="1" x14ac:dyDescent="0.25">
      <c r="A85" s="276">
        <v>75</v>
      </c>
      <c r="B85" s="315" t="s">
        <v>157</v>
      </c>
      <c r="C85" s="316" t="s">
        <v>377</v>
      </c>
      <c r="D85" s="317" t="s">
        <v>378</v>
      </c>
      <c r="E85" s="318" t="s">
        <v>41</v>
      </c>
      <c r="F85" s="318">
        <v>6</v>
      </c>
      <c r="G85" s="319" t="s">
        <v>42</v>
      </c>
      <c r="H85" s="320" t="str">
        <f>VLOOKUP(C85,ITEMS_BolsaOperador!$D$2:$AQ$499,10,0)</f>
        <v>Gran Papelera</v>
      </c>
      <c r="I85" s="321">
        <v>5042.0168067226896</v>
      </c>
      <c r="J85" s="322">
        <f t="shared" si="169"/>
        <v>957.98319327731099</v>
      </c>
      <c r="K85" s="280">
        <f t="shared" si="148"/>
        <v>6000.0000000000009</v>
      </c>
      <c r="L85" s="281">
        <f t="shared" si="149"/>
        <v>30252.100840336137</v>
      </c>
      <c r="M85" s="281">
        <f t="shared" si="150"/>
        <v>36000.000000000007</v>
      </c>
      <c r="N85" s="320" t="str">
        <f>VLOOKUP(C85,ITEMS_BolsaOperador!$D$2:$AQ$499,23,0)</f>
        <v>Papeleria la Estacion de Suba</v>
      </c>
      <c r="O85" s="323">
        <v>5966.3865546218494</v>
      </c>
      <c r="P85" s="322">
        <f t="shared" si="170"/>
        <v>1133.6134453781515</v>
      </c>
      <c r="Q85" s="283">
        <f t="shared" si="151"/>
        <v>7100.0000000000009</v>
      </c>
      <c r="R85" s="284">
        <f t="shared" si="152"/>
        <v>35798.319327731093</v>
      </c>
      <c r="S85" s="284">
        <f t="shared" si="153"/>
        <v>42600.000000000007</v>
      </c>
      <c r="T85" s="320" t="str">
        <f>VLOOKUP(C85,ITEMS_BolsaOperador!$D$2:$AQ$499,36,0)</f>
        <v>Papeleria Gran Central</v>
      </c>
      <c r="U85" s="321">
        <v>5462.1848739495799</v>
      </c>
      <c r="V85" s="322">
        <f t="shared" si="171"/>
        <v>1037.8151260504203</v>
      </c>
      <c r="W85" s="286">
        <f t="shared" si="155"/>
        <v>6500</v>
      </c>
      <c r="X85" s="287">
        <f t="shared" si="156"/>
        <v>32773.10924369748</v>
      </c>
      <c r="Y85" s="287">
        <f t="shared" si="157"/>
        <v>39000</v>
      </c>
      <c r="Z85" s="288">
        <f t="shared" si="98"/>
        <v>6533.333333333333</v>
      </c>
      <c r="AA85" s="288">
        <f t="shared" si="99"/>
        <v>39200</v>
      </c>
      <c r="AB85" s="288">
        <f t="shared" si="100"/>
        <v>3304.5423283716614</v>
      </c>
      <c r="AC85" s="229">
        <f t="shared" si="101"/>
        <v>8.4299549193154633E-2</v>
      </c>
      <c r="AD85" s="141"/>
      <c r="AE85" s="290" t="b">
        <f t="shared" si="154"/>
        <v>1</v>
      </c>
      <c r="AF85" s="291" t="s">
        <v>357</v>
      </c>
      <c r="AO85" s="292">
        <f>VLOOKUP(C85,ITEMS_BolsaOperador!$D$1:$AY$276,48,0)</f>
        <v>8.4299549193154633E-2</v>
      </c>
      <c r="AP85" s="291" t="str">
        <f>VLOOKUP(C85,ITEMS_BolsaOperador!$D$1:$AY$276,1,0)</f>
        <v>Cinta transparente gruesa</v>
      </c>
      <c r="AQ85" s="291" t="str">
        <f>VLOOKUP(C85,ITEMS_BolsaOperador!$D$1:$AY$276,2,0)</f>
        <v>Cinta de polipropileno transparente de 48 mm de ancho x 160 m de longitud, con un espesor de 1143 µm y acabado brillante. Adhesivo de alta adherencia y película resistente a la tensión.</v>
      </c>
      <c r="AR85" s="291" t="str">
        <f>VLOOKUP(C85,ITEMS_BolsaOperador!$D$1:$AY$276,10,0)</f>
        <v>Gran Papelera</v>
      </c>
      <c r="AS85" s="291">
        <f>VLOOKUP(C85,ITEMS_BolsaOperador!$D$1:$AY$276,16,0)</f>
        <v>6000.0000000000009</v>
      </c>
      <c r="AT85" s="291" t="str">
        <f>VLOOKUP(C85,ITEMS_BolsaOperador!$D$1:$AY$276,23,0)</f>
        <v>Papeleria la Estacion de Suba</v>
      </c>
      <c r="AU85" s="291">
        <f>VLOOKUP(C85,ITEMS_BolsaOperador!$D$1:$AY$276,29,0)</f>
        <v>7100.0000000000009</v>
      </c>
      <c r="AV85" s="291" t="str">
        <f>VLOOKUP(C85,ITEMS_BolsaOperador!$D$1:$AY$276,36,0)</f>
        <v>Papeleria Gran Central</v>
      </c>
      <c r="AW85" s="291">
        <f>VLOOKUP(C85,ITEMS_BolsaOperador!$D$1:$AY$276,42,0)</f>
        <v>6500</v>
      </c>
      <c r="AX85" s="293">
        <f>VLOOKUP(C85,ITEMS_BolsaOperador!$D$1:$AY$276,45,0)</f>
        <v>6533.333333333333</v>
      </c>
      <c r="AY85" s="293">
        <f>VLOOKUP(C85,ITEMS_BolsaOperador!$D$1:$AY$276,46,0)</f>
        <v>6533.333333333333</v>
      </c>
      <c r="AZ85" s="293">
        <f>VLOOKUP(C85,ITEMS_BolsaOperador!$D$1:$AY$276,47,0)</f>
        <v>550.75705472861023</v>
      </c>
      <c r="BA85" s="229">
        <f>VLOOKUP(C85,ITEMS_BolsaOperador!$D$1:$AY$276,48,0)</f>
        <v>8.4299549193154633E-2</v>
      </c>
      <c r="BC85" s="7" t="b">
        <f t="shared" si="172"/>
        <v>1</v>
      </c>
      <c r="BD85" s="7" t="b">
        <f t="shared" si="173"/>
        <v>1</v>
      </c>
      <c r="BE85" s="7" t="b">
        <f t="shared" si="174"/>
        <v>1</v>
      </c>
      <c r="BF85" s="7" t="b">
        <f t="shared" si="175"/>
        <v>1</v>
      </c>
      <c r="BG85" s="7" t="b">
        <f t="shared" si="176"/>
        <v>1</v>
      </c>
      <c r="BH85" s="7" t="b">
        <f t="shared" si="177"/>
        <v>1</v>
      </c>
      <c r="BI85" s="7" t="b">
        <f t="shared" si="178"/>
        <v>1</v>
      </c>
      <c r="BJ85" s="7" t="b">
        <f t="shared" si="179"/>
        <v>1</v>
      </c>
      <c r="BK85" s="7" t="b">
        <f t="shared" si="180"/>
        <v>0</v>
      </c>
      <c r="BL85" s="7" t="b">
        <f t="shared" si="181"/>
        <v>0</v>
      </c>
      <c r="BM85" s="7" t="b">
        <f t="shared" si="182"/>
        <v>1</v>
      </c>
    </row>
    <row r="86" spans="1:65" s="7" customFormat="1" ht="180" hidden="1" x14ac:dyDescent="0.25">
      <c r="A86" s="276">
        <v>76</v>
      </c>
      <c r="B86" s="315" t="s">
        <v>157</v>
      </c>
      <c r="C86" s="316" t="s">
        <v>379</v>
      </c>
      <c r="D86" s="317" t="s">
        <v>380</v>
      </c>
      <c r="E86" s="318" t="s">
        <v>41</v>
      </c>
      <c r="F86" s="318">
        <v>1</v>
      </c>
      <c r="G86" s="319" t="s">
        <v>42</v>
      </c>
      <c r="H86" s="320" t="str">
        <f>VLOOKUP(C86,ITEMS_BolsaOperador!$D$2:$AQ$499,10,0)</f>
        <v>INVER Y DISTRIBUIDORES DIAMOND</v>
      </c>
      <c r="I86" s="321">
        <v>6620</v>
      </c>
      <c r="J86" s="322">
        <f t="shared" si="169"/>
        <v>1257.8</v>
      </c>
      <c r="K86" s="280">
        <f t="shared" si="148"/>
        <v>7877.8</v>
      </c>
      <c r="L86" s="281">
        <f t="shared" si="149"/>
        <v>6620</v>
      </c>
      <c r="M86" s="281">
        <f t="shared" si="150"/>
        <v>7877.8</v>
      </c>
      <c r="N86" s="320" t="str">
        <f>VLOOKUP(C86,ITEMS_BolsaOperador!$D$2:$AQ$499,23,0)</f>
        <v>Papeleria Paraiso</v>
      </c>
      <c r="O86" s="323">
        <v>5462.1848739495799</v>
      </c>
      <c r="P86" s="322">
        <f t="shared" si="170"/>
        <v>1037.8151260504203</v>
      </c>
      <c r="Q86" s="283">
        <f t="shared" si="151"/>
        <v>6500</v>
      </c>
      <c r="R86" s="284">
        <f t="shared" si="152"/>
        <v>5462.1848739495799</v>
      </c>
      <c r="S86" s="284">
        <f t="shared" si="153"/>
        <v>6500</v>
      </c>
      <c r="T86" s="320" t="str">
        <f>VLOOKUP(C86,ITEMS_BolsaOperador!$D$2:$AQ$499,36,0)</f>
        <v>Papeleria La Mayor</v>
      </c>
      <c r="U86" s="321">
        <v>7046.2184873949582</v>
      </c>
      <c r="V86" s="322">
        <f t="shared" si="171"/>
        <v>1338.7815126050421</v>
      </c>
      <c r="W86" s="286">
        <f t="shared" si="155"/>
        <v>8385</v>
      </c>
      <c r="X86" s="287">
        <f t="shared" si="156"/>
        <v>7046.2184873949582</v>
      </c>
      <c r="Y86" s="287">
        <f t="shared" si="157"/>
        <v>8385</v>
      </c>
      <c r="Z86" s="288">
        <f t="shared" si="98"/>
        <v>7587.5999999999995</v>
      </c>
      <c r="AA86" s="288">
        <f t="shared" si="99"/>
        <v>7587.5999999999995</v>
      </c>
      <c r="AB86" s="288">
        <f t="shared" si="100"/>
        <v>975.43235541989338</v>
      </c>
      <c r="AC86" s="229">
        <f t="shared" si="101"/>
        <v>0.12855611200114575</v>
      </c>
      <c r="AD86" s="141"/>
      <c r="AE86" s="290" t="b">
        <f t="shared" si="154"/>
        <v>1</v>
      </c>
      <c r="AF86" s="291" t="s">
        <v>357</v>
      </c>
      <c r="AO86" s="292">
        <f>VLOOKUP(C86,ITEMS_BolsaOperador!$D$1:$AY$276,48,0)</f>
        <v>0.12855611200114575</v>
      </c>
      <c r="AP86" s="291" t="str">
        <f>VLOOKUP(C86,ITEMS_BolsaOperador!$D$1:$AY$276,1,0)</f>
        <v>Papel Kraft (Paquete x 25 Pliegos)</v>
      </c>
      <c r="AQ86" s="291" t="str">
        <f>VLOOKUP(C86,ITEMS_BolsaOperador!$D$1:$AY$276,2,0)</f>
        <v>Paquete de papel kraft de alta resistencia y gramaje uniforme, que contiene 25 pliegos de 100 cm x 70 cm cada uno</v>
      </c>
      <c r="AR86" s="291" t="str">
        <f>VLOOKUP(C86,ITEMS_BolsaOperador!$D$1:$AY$276,10,0)</f>
        <v>INVER Y DISTRIBUIDORES DIAMOND</v>
      </c>
      <c r="AS86" s="291">
        <f>VLOOKUP(C86,ITEMS_BolsaOperador!$D$1:$AY$276,16,0)</f>
        <v>7877.8</v>
      </c>
      <c r="AT86" s="291" t="str">
        <f>VLOOKUP(C86,ITEMS_BolsaOperador!$D$1:$AY$276,23,0)</f>
        <v>Papeleria Paraiso</v>
      </c>
      <c r="AU86" s="291">
        <f>VLOOKUP(C86,ITEMS_BolsaOperador!$D$1:$AY$276,29,0)</f>
        <v>6500</v>
      </c>
      <c r="AV86" s="291" t="str">
        <f>VLOOKUP(C86,ITEMS_BolsaOperador!$D$1:$AY$276,36,0)</f>
        <v>Papeleria La Mayor</v>
      </c>
      <c r="AW86" s="291">
        <f>VLOOKUP(C86,ITEMS_BolsaOperador!$D$1:$AY$276,42,0)</f>
        <v>8385</v>
      </c>
      <c r="AX86" s="293">
        <f>VLOOKUP(C86,ITEMS_BolsaOperador!$D$1:$AY$276,45,0)</f>
        <v>7587.5999999999995</v>
      </c>
      <c r="AY86" s="293">
        <f>VLOOKUP(C86,ITEMS_BolsaOperador!$D$1:$AY$276,46,0)</f>
        <v>7587.5999999999995</v>
      </c>
      <c r="AZ86" s="293">
        <f>VLOOKUP(C86,ITEMS_BolsaOperador!$D$1:$AY$276,47,0)</f>
        <v>975.43235541989338</v>
      </c>
      <c r="BA86" s="229">
        <f>VLOOKUP(C86,ITEMS_BolsaOperador!$D$1:$AY$276,48,0)</f>
        <v>0.12855611200114575</v>
      </c>
      <c r="BC86" s="7" t="b">
        <f t="shared" si="172"/>
        <v>1</v>
      </c>
      <c r="BD86" s="7" t="b">
        <f t="shared" si="173"/>
        <v>1</v>
      </c>
      <c r="BE86" s="7" t="b">
        <f t="shared" si="174"/>
        <v>1</v>
      </c>
      <c r="BF86" s="7" t="b">
        <f t="shared" si="175"/>
        <v>1</v>
      </c>
      <c r="BG86" s="7" t="b">
        <f t="shared" si="176"/>
        <v>1</v>
      </c>
      <c r="BH86" s="7" t="b">
        <f t="shared" si="177"/>
        <v>1</v>
      </c>
      <c r="BI86" s="7" t="b">
        <f t="shared" si="178"/>
        <v>1</v>
      </c>
      <c r="BJ86" s="7" t="b">
        <f t="shared" si="179"/>
        <v>1</v>
      </c>
      <c r="BK86" s="7" t="b">
        <f t="shared" si="180"/>
        <v>1</v>
      </c>
      <c r="BL86" s="7" t="b">
        <f t="shared" si="181"/>
        <v>1</v>
      </c>
      <c r="BM86" s="7" t="b">
        <f t="shared" si="182"/>
        <v>1</v>
      </c>
    </row>
    <row r="87" spans="1:65" s="7" customFormat="1" ht="345" hidden="1" x14ac:dyDescent="0.25">
      <c r="A87" s="276">
        <v>77</v>
      </c>
      <c r="B87" s="315" t="s">
        <v>157</v>
      </c>
      <c r="C87" s="316" t="s">
        <v>381</v>
      </c>
      <c r="D87" s="317" t="s">
        <v>382</v>
      </c>
      <c r="E87" s="318" t="s">
        <v>41</v>
      </c>
      <c r="F87" s="318">
        <v>6</v>
      </c>
      <c r="G87" s="319" t="s">
        <v>42</v>
      </c>
      <c r="H87" s="320" t="str">
        <f>VLOOKUP(C87,ITEMS_BolsaOperador!$D$2:$AQ$499,10,0)</f>
        <v>INVER Y DISTRIBUIDORES DIAMOND</v>
      </c>
      <c r="I87" s="321">
        <v>13000</v>
      </c>
      <c r="J87" s="322">
        <f t="shared" si="169"/>
        <v>2470</v>
      </c>
      <c r="K87" s="280">
        <f t="shared" si="148"/>
        <v>15470</v>
      </c>
      <c r="L87" s="281">
        <f t="shared" si="149"/>
        <v>78000</v>
      </c>
      <c r="M87" s="281">
        <f t="shared" si="150"/>
        <v>92820</v>
      </c>
      <c r="N87" s="320" t="str">
        <f>VLOOKUP(C87,ITEMS_BolsaOperador!$D$2:$AQ$499,23,0)</f>
        <v>PAPELERIA LA ESTACION DE SUBA</v>
      </c>
      <c r="O87" s="323">
        <v>13613.44537815126</v>
      </c>
      <c r="P87" s="322">
        <f t="shared" si="170"/>
        <v>2586.5546218487393</v>
      </c>
      <c r="Q87" s="283">
        <f t="shared" si="151"/>
        <v>16200</v>
      </c>
      <c r="R87" s="284">
        <f t="shared" si="152"/>
        <v>81680.672268907569</v>
      </c>
      <c r="S87" s="284">
        <f t="shared" si="153"/>
        <v>97200</v>
      </c>
      <c r="T87" s="320" t="str">
        <f>VLOOKUP(C87,ITEMS_BolsaOperador!$D$2:$AQ$499,36,0)</f>
        <v>Editorial Zapata</v>
      </c>
      <c r="U87" s="321">
        <v>14117.64705882353</v>
      </c>
      <c r="V87" s="322">
        <f t="shared" si="171"/>
        <v>2682.3529411764707</v>
      </c>
      <c r="W87" s="286">
        <f t="shared" si="155"/>
        <v>16800</v>
      </c>
      <c r="X87" s="287">
        <f t="shared" si="156"/>
        <v>84705.882352941175</v>
      </c>
      <c r="Y87" s="287">
        <f t="shared" si="157"/>
        <v>100800</v>
      </c>
      <c r="Z87" s="288">
        <f t="shared" si="98"/>
        <v>16156.666666666666</v>
      </c>
      <c r="AA87" s="288">
        <f t="shared" si="99"/>
        <v>96940</v>
      </c>
      <c r="AB87" s="288">
        <f t="shared" si="100"/>
        <v>3996.3483331661669</v>
      </c>
      <c r="AC87" s="229">
        <f t="shared" si="101"/>
        <v>4.122496733202153E-2</v>
      </c>
      <c r="AD87" s="141"/>
      <c r="AE87" s="290" t="b">
        <f t="shared" si="154"/>
        <v>1</v>
      </c>
      <c r="AF87" s="291" t="s">
        <v>357</v>
      </c>
      <c r="AO87" s="292">
        <f>VLOOKUP(C87,ITEMS_BolsaOperador!$D$1:$AY$276,48,0)</f>
        <v>4.122496733202153E-2</v>
      </c>
      <c r="AP87" s="291" t="str">
        <f>VLOOKUP(C87,ITEMS_BolsaOperador!$D$1:$AY$276,1,0)</f>
        <v>Pegante liquido por 1.000 cc</v>
      </c>
      <c r="AQ87" s="291" t="str">
        <f>VLOOKUP(C87,ITEMS_BolsaOperador!$D$1:$AY$276,2,0)</f>
        <v>Colbon-Pegante-Liquido-UniversalVolumen de la unidad 1.000 cc Con Tapa dosificadora - esparcidora con  cierre anti secado, no deja arrugas, lavable e inofensivo a la piel.  Coloreable en cualquier pigmento</v>
      </c>
      <c r="AR87" s="291" t="str">
        <f>VLOOKUP(C87,ITEMS_BolsaOperador!$D$1:$AY$276,10,0)</f>
        <v>INVER Y DISTRIBUIDORES DIAMOND</v>
      </c>
      <c r="AS87" s="291">
        <f>VLOOKUP(C87,ITEMS_BolsaOperador!$D$1:$AY$276,16,0)</f>
        <v>15470</v>
      </c>
      <c r="AT87" s="291" t="str">
        <f>VLOOKUP(C87,ITEMS_BolsaOperador!$D$1:$AY$276,23,0)</f>
        <v>PAPELERIA LA ESTACION DE SUBA</v>
      </c>
      <c r="AU87" s="291">
        <f>VLOOKUP(C87,ITEMS_BolsaOperador!$D$1:$AY$276,29,0)</f>
        <v>16200</v>
      </c>
      <c r="AV87" s="291" t="str">
        <f>VLOOKUP(C87,ITEMS_BolsaOperador!$D$1:$AY$276,36,0)</f>
        <v>Editorial Zapata</v>
      </c>
      <c r="AW87" s="291">
        <f>VLOOKUP(C87,ITEMS_BolsaOperador!$D$1:$AY$276,42,0)</f>
        <v>16800</v>
      </c>
      <c r="AX87" s="293">
        <f>VLOOKUP(C87,ITEMS_BolsaOperador!$D$1:$AY$276,45,0)</f>
        <v>16156.666666666666</v>
      </c>
      <c r="AY87" s="293">
        <f>VLOOKUP(C87,ITEMS_BolsaOperador!$D$1:$AY$276,46,0)</f>
        <v>16156.666666666666</v>
      </c>
      <c r="AZ87" s="293">
        <f>VLOOKUP(C87,ITEMS_BolsaOperador!$D$1:$AY$276,47,0)</f>
        <v>666.05805552769448</v>
      </c>
      <c r="BA87" s="229">
        <f>VLOOKUP(C87,ITEMS_BolsaOperador!$D$1:$AY$276,48,0)</f>
        <v>4.122496733202153E-2</v>
      </c>
      <c r="BC87" s="7" t="b">
        <f t="shared" si="172"/>
        <v>1</v>
      </c>
      <c r="BD87" s="7" t="b">
        <f t="shared" si="173"/>
        <v>1</v>
      </c>
      <c r="BE87" s="7" t="b">
        <f t="shared" si="174"/>
        <v>1</v>
      </c>
      <c r="BF87" s="7" t="b">
        <f t="shared" si="175"/>
        <v>1</v>
      </c>
      <c r="BG87" s="7" t="b">
        <f t="shared" si="176"/>
        <v>1</v>
      </c>
      <c r="BH87" s="7" t="b">
        <f t="shared" si="177"/>
        <v>1</v>
      </c>
      <c r="BI87" s="7" t="b">
        <f t="shared" si="178"/>
        <v>1</v>
      </c>
      <c r="BJ87" s="7" t="b">
        <f t="shared" si="179"/>
        <v>1</v>
      </c>
      <c r="BK87" s="7" t="b">
        <f t="shared" si="180"/>
        <v>0</v>
      </c>
      <c r="BL87" s="7" t="b">
        <f t="shared" si="181"/>
        <v>0</v>
      </c>
      <c r="BM87" s="7" t="b">
        <f t="shared" si="182"/>
        <v>1</v>
      </c>
    </row>
    <row r="88" spans="1:65" s="7" customFormat="1" ht="330" hidden="1" x14ac:dyDescent="0.25">
      <c r="A88" s="276">
        <v>78</v>
      </c>
      <c r="B88" s="315" t="s">
        <v>157</v>
      </c>
      <c r="C88" s="316" t="s">
        <v>383</v>
      </c>
      <c r="D88" s="317" t="s">
        <v>384</v>
      </c>
      <c r="E88" s="318" t="s">
        <v>41</v>
      </c>
      <c r="F88" s="318">
        <v>12</v>
      </c>
      <c r="G88" s="319" t="s">
        <v>42</v>
      </c>
      <c r="H88" s="320" t="str">
        <f>VLOOKUP(C88,ITEMS_BolsaOperador!$D$2:$AQ$499,10,0)</f>
        <v>Mil Herrajes</v>
      </c>
      <c r="I88" s="321">
        <v>1260.5042016806724</v>
      </c>
      <c r="J88" s="322">
        <f t="shared" si="169"/>
        <v>239.49579831932775</v>
      </c>
      <c r="K88" s="280">
        <f t="shared" si="148"/>
        <v>1500.0000000000002</v>
      </c>
      <c r="L88" s="281">
        <f t="shared" si="149"/>
        <v>15126.050420168069</v>
      </c>
      <c r="M88" s="281">
        <f t="shared" si="150"/>
        <v>18000.000000000004</v>
      </c>
      <c r="N88" s="320" t="str">
        <f>VLOOKUP(C88,ITEMS_BolsaOperador!$D$2:$AQ$499,23,0)</f>
        <v>Exito</v>
      </c>
      <c r="O88" s="323">
        <v>1680.6722689075632</v>
      </c>
      <c r="P88" s="322">
        <f t="shared" si="170"/>
        <v>319.32773109243703</v>
      </c>
      <c r="Q88" s="283">
        <f t="shared" si="151"/>
        <v>2000.0000000000002</v>
      </c>
      <c r="R88" s="284">
        <f t="shared" si="152"/>
        <v>20168.067226890758</v>
      </c>
      <c r="S88" s="284">
        <f t="shared" si="153"/>
        <v>24000.000000000004</v>
      </c>
      <c r="T88" s="320" t="str">
        <f>VLOOKUP(C88,ITEMS_BolsaOperador!$D$2:$AQ$499,36,0)</f>
        <v>PAPELERIA LA GRAN 12</v>
      </c>
      <c r="U88" s="321">
        <v>1176.4705882352941</v>
      </c>
      <c r="V88" s="322">
        <f t="shared" si="171"/>
        <v>223.52941176470588</v>
      </c>
      <c r="W88" s="286">
        <f t="shared" si="155"/>
        <v>1400</v>
      </c>
      <c r="X88" s="287">
        <f t="shared" si="156"/>
        <v>14117.64705882353</v>
      </c>
      <c r="Y88" s="287">
        <f t="shared" si="157"/>
        <v>16800</v>
      </c>
      <c r="Z88" s="288">
        <f t="shared" si="98"/>
        <v>1633.3333333333333</v>
      </c>
      <c r="AA88" s="288">
        <f t="shared" si="99"/>
        <v>19600</v>
      </c>
      <c r="AB88" s="288">
        <f t="shared" si="100"/>
        <v>3857.460304397182</v>
      </c>
      <c r="AC88" s="229">
        <f t="shared" si="101"/>
        <v>0.19680919920393786</v>
      </c>
      <c r="AD88" s="141"/>
      <c r="AE88" s="290" t="b">
        <f t="shared" si="154"/>
        <v>0</v>
      </c>
      <c r="AF88" s="291" t="s">
        <v>357</v>
      </c>
      <c r="AO88" s="292">
        <f>VLOOKUP(C88,ITEMS_BolsaOperador!$D$1:$AY$276,48,0)</f>
        <v>0.19680919920393888</v>
      </c>
      <c r="AP88" s="291" t="str">
        <f>VLOOKUP(C88,ITEMS_BolsaOperador!$D$1:$AY$276,1,0)</f>
        <v>Tijera punta roma</v>
      </c>
      <c r="AQ88" s="291" t="str">
        <f>VLOOKUP(C88,ITEMS_BolsaOperador!$D$1:$AY$276,2,0)</f>
        <v>Tijera punta roma: Herramienta de corte con hojas de acero inoxidable y puntas redondeadas para mayor seguridad. Mango ergonómico de polímero de alta resistencia. Tamaño entre 5 y 5.5 pulgadas</v>
      </c>
      <c r="AR88" s="291" t="str">
        <f>VLOOKUP(C88,ITEMS_BolsaOperador!$D$1:$AY$276,10,0)</f>
        <v>Mil Herrajes</v>
      </c>
      <c r="AS88" s="291">
        <f>VLOOKUP(C88,ITEMS_BolsaOperador!$D$1:$AY$276,16,0)</f>
        <v>1500.0000000000002</v>
      </c>
      <c r="AT88" s="291" t="str">
        <f>VLOOKUP(C88,ITEMS_BolsaOperador!$D$1:$AY$276,23,0)</f>
        <v>Exito</v>
      </c>
      <c r="AU88" s="291">
        <f>VLOOKUP(C88,ITEMS_BolsaOperador!$D$1:$AY$276,29,0)</f>
        <v>2000.0000000000002</v>
      </c>
      <c r="AV88" s="291" t="str">
        <f>VLOOKUP(C88,ITEMS_BolsaOperador!$D$1:$AY$276,36,0)</f>
        <v>PAPELERIA LA GRAN 12</v>
      </c>
      <c r="AW88" s="291">
        <f>VLOOKUP(C88,ITEMS_BolsaOperador!$D$1:$AY$276,42,0)</f>
        <v>1400</v>
      </c>
      <c r="AX88" s="293">
        <f>VLOOKUP(C88,ITEMS_BolsaOperador!$D$1:$AY$276,45,0)</f>
        <v>1633.3333333333333</v>
      </c>
      <c r="AY88" s="293">
        <f>VLOOKUP(C88,ITEMS_BolsaOperador!$D$1:$AY$276,46,0)</f>
        <v>1633.3333333333333</v>
      </c>
      <c r="AZ88" s="293">
        <f>VLOOKUP(C88,ITEMS_BolsaOperador!$D$1:$AY$276,47,0)</f>
        <v>321.45502536643352</v>
      </c>
      <c r="BA88" s="229">
        <f>VLOOKUP(C88,ITEMS_BolsaOperador!$D$1:$AY$276,48,0)</f>
        <v>0.19680919920393888</v>
      </c>
      <c r="BC88" s="7" t="b">
        <f t="shared" si="172"/>
        <v>1</v>
      </c>
      <c r="BD88" s="7" t="b">
        <f t="shared" si="173"/>
        <v>1</v>
      </c>
      <c r="BE88" s="7" t="b">
        <f t="shared" si="174"/>
        <v>1</v>
      </c>
      <c r="BF88" s="7" t="b">
        <f t="shared" si="175"/>
        <v>1</v>
      </c>
      <c r="BG88" s="7" t="b">
        <f t="shared" si="176"/>
        <v>1</v>
      </c>
      <c r="BH88" s="7" t="b">
        <f t="shared" si="177"/>
        <v>1</v>
      </c>
      <c r="BI88" s="7" t="b">
        <f t="shared" si="178"/>
        <v>1</v>
      </c>
      <c r="BJ88" s="7" t="b">
        <f t="shared" si="179"/>
        <v>1</v>
      </c>
      <c r="BK88" s="7" t="b">
        <f t="shared" si="180"/>
        <v>0</v>
      </c>
      <c r="BL88" s="7" t="b">
        <f t="shared" si="181"/>
        <v>0</v>
      </c>
      <c r="BM88" s="7" t="b">
        <f t="shared" si="182"/>
        <v>0</v>
      </c>
    </row>
    <row r="89" spans="1:65" s="7" customFormat="1" ht="255" hidden="1" x14ac:dyDescent="0.25">
      <c r="A89" s="276">
        <v>79</v>
      </c>
      <c r="B89" s="315" t="s">
        <v>157</v>
      </c>
      <c r="C89" s="316" t="s">
        <v>385</v>
      </c>
      <c r="D89" s="317" t="s">
        <v>386</v>
      </c>
      <c r="E89" s="318" t="s">
        <v>41</v>
      </c>
      <c r="F89" s="318">
        <v>6</v>
      </c>
      <c r="G89" s="319" t="s">
        <v>42</v>
      </c>
      <c r="H89" s="320" t="str">
        <f>VLOOKUP(C89,ITEMS_BolsaOperador!$D$2:$AQ$499,10,0)</f>
        <v>LibreriaTroya.com</v>
      </c>
      <c r="I89" s="321">
        <v>11652.100840336136</v>
      </c>
      <c r="J89" s="322">
        <f t="shared" ref="J89" si="183">I89*19%</f>
        <v>2213.8991596638657</v>
      </c>
      <c r="K89" s="280">
        <f t="shared" si="148"/>
        <v>13866.000000000002</v>
      </c>
      <c r="L89" s="281">
        <f t="shared" si="149"/>
        <v>69912.605042016818</v>
      </c>
      <c r="M89" s="281">
        <f t="shared" si="150"/>
        <v>83196.000000000015</v>
      </c>
      <c r="N89" s="320" t="str">
        <f>VLOOKUP(C89,ITEMS_BolsaOperador!$D$2:$AQ$499,23,0)</f>
        <v>INVER Y DISTRIBUIDORES DIAMOND</v>
      </c>
      <c r="O89" s="323">
        <v>14034</v>
      </c>
      <c r="P89" s="322">
        <f t="shared" si="170"/>
        <v>2666.46</v>
      </c>
      <c r="Q89" s="283">
        <f t="shared" si="151"/>
        <v>16700.46</v>
      </c>
      <c r="R89" s="284">
        <f t="shared" si="152"/>
        <v>84204</v>
      </c>
      <c r="S89" s="284">
        <f t="shared" si="153"/>
        <v>100202.76</v>
      </c>
      <c r="T89" s="320" t="str">
        <f>VLOOKUP(C89,ITEMS_BolsaOperador!$D$2:$AQ$499,36,0)</f>
        <v>Papeleria Paraiso</v>
      </c>
      <c r="U89" s="321">
        <v>12605.042016806723</v>
      </c>
      <c r="V89" s="322">
        <f t="shared" si="171"/>
        <v>2394.9579831932774</v>
      </c>
      <c r="W89" s="286">
        <f t="shared" si="155"/>
        <v>15000</v>
      </c>
      <c r="X89" s="287">
        <f t="shared" si="156"/>
        <v>75630.252100840342</v>
      </c>
      <c r="Y89" s="287">
        <f t="shared" si="157"/>
        <v>90000</v>
      </c>
      <c r="Z89" s="288">
        <f t="shared" si="98"/>
        <v>15188.82</v>
      </c>
      <c r="AA89" s="288">
        <f t="shared" si="99"/>
        <v>91132.92</v>
      </c>
      <c r="AB89" s="288">
        <f t="shared" si="100"/>
        <v>8559.7956879355388</v>
      </c>
      <c r="AC89" s="229">
        <f t="shared" si="101"/>
        <v>9.3926494267225713E-2</v>
      </c>
      <c r="AD89" s="141"/>
      <c r="AE89" s="290" t="b">
        <f t="shared" si="154"/>
        <v>1</v>
      </c>
      <c r="AF89" s="291" t="s">
        <v>357</v>
      </c>
      <c r="AO89" s="292">
        <f>VLOOKUP(C89,ITEMS_BolsaOperador!$D$1:$AY$276,48,0)</f>
        <v>9.3926494267225727E-2</v>
      </c>
      <c r="AP89" s="291" t="str">
        <f>VLOOKUP(C89,ITEMS_BolsaOperador!$D$1:$AY$276,1,0)</f>
        <v>Marcador borrable caja x 10</v>
      </c>
      <c r="AQ89" s="291" t="str">
        <f>VLOOKUP(C89,ITEMS_BolsaOperador!$D$1:$AY$276,2,0)</f>
        <v>Caja de 10 marcadores para tablero blanco con tinta de borrado en seco, colores intensos y bajo olor. Punta acrílica de alta resistencia (redonda o biselada)</v>
      </c>
      <c r="AR89" s="291" t="str">
        <f>VLOOKUP(C89,ITEMS_BolsaOperador!$D$1:$AY$276,10,0)</f>
        <v>LibreriaTroya.com</v>
      </c>
      <c r="AS89" s="291">
        <f>VLOOKUP(C89,ITEMS_BolsaOperador!$D$1:$AY$276,16,0)</f>
        <v>13866.000000000002</v>
      </c>
      <c r="AT89" s="291" t="str">
        <f>VLOOKUP(C89,ITEMS_BolsaOperador!$D$1:$AY$276,23,0)</f>
        <v>INVER Y DISTRIBUIDORES DIAMOND</v>
      </c>
      <c r="AU89" s="291">
        <f>VLOOKUP(C89,ITEMS_BolsaOperador!$D$1:$AY$276,29,0)</f>
        <v>16700.46</v>
      </c>
      <c r="AV89" s="291" t="str">
        <f>VLOOKUP(C89,ITEMS_BolsaOperador!$D$1:$AY$276,36,0)</f>
        <v>Papeleria Paraiso</v>
      </c>
      <c r="AW89" s="291">
        <f>VLOOKUP(C89,ITEMS_BolsaOperador!$D$1:$AY$276,42,0)</f>
        <v>15000</v>
      </c>
      <c r="AX89" s="293">
        <f>VLOOKUP(C89,ITEMS_BolsaOperador!$D$1:$AY$276,45,0)</f>
        <v>15188.82</v>
      </c>
      <c r="AY89" s="293">
        <f>VLOOKUP(C89,ITEMS_BolsaOperador!$D$1:$AY$276,46,0)</f>
        <v>15188.82</v>
      </c>
      <c r="AZ89" s="293">
        <f>VLOOKUP(C89,ITEMS_BolsaOperador!$D$1:$AY$276,47,0)</f>
        <v>1426.6326146559234</v>
      </c>
      <c r="BA89" s="229">
        <f>VLOOKUP(C89,ITEMS_BolsaOperador!$D$1:$AY$276,48,0)</f>
        <v>9.3926494267225727E-2</v>
      </c>
      <c r="BC89" s="7" t="b">
        <f t="shared" si="172"/>
        <v>1</v>
      </c>
      <c r="BD89" s="7" t="b">
        <f t="shared" si="173"/>
        <v>1</v>
      </c>
      <c r="BE89" s="7" t="b">
        <f t="shared" si="174"/>
        <v>1</v>
      </c>
      <c r="BF89" s="7" t="b">
        <f t="shared" si="175"/>
        <v>1</v>
      </c>
      <c r="BG89" s="7" t="b">
        <f t="shared" si="176"/>
        <v>1</v>
      </c>
      <c r="BH89" s="7" t="b">
        <f t="shared" si="177"/>
        <v>1</v>
      </c>
      <c r="BI89" s="7" t="b">
        <f t="shared" si="178"/>
        <v>1</v>
      </c>
      <c r="BJ89" s="7" t="b">
        <f t="shared" si="179"/>
        <v>1</v>
      </c>
      <c r="BK89" s="7" t="b">
        <f t="shared" si="180"/>
        <v>0</v>
      </c>
      <c r="BL89" s="7" t="b">
        <f t="shared" si="181"/>
        <v>0</v>
      </c>
      <c r="BM89" s="7" t="b">
        <f t="shared" si="182"/>
        <v>1</v>
      </c>
    </row>
    <row r="90" spans="1:65" s="7" customFormat="1" ht="195" hidden="1" x14ac:dyDescent="0.25">
      <c r="A90" s="276">
        <v>80</v>
      </c>
      <c r="B90" s="315" t="s">
        <v>157</v>
      </c>
      <c r="C90" s="316" t="s">
        <v>387</v>
      </c>
      <c r="D90" s="317" t="s">
        <v>388</v>
      </c>
      <c r="E90" s="318" t="s">
        <v>41</v>
      </c>
      <c r="F90" s="318">
        <v>6</v>
      </c>
      <c r="G90" s="319" t="s">
        <v>42</v>
      </c>
      <c r="H90" s="320" t="str">
        <f>VLOOKUP(C90,ITEMS_BolsaOperador!$D$2:$AQ$499,10,0)</f>
        <v>INVER Y DISTRIBUIDORES DIAMOND</v>
      </c>
      <c r="I90" s="321">
        <v>106000</v>
      </c>
      <c r="J90" s="322">
        <f t="shared" si="169"/>
        <v>20140</v>
      </c>
      <c r="K90" s="280">
        <f t="shared" si="148"/>
        <v>126140</v>
      </c>
      <c r="L90" s="281">
        <f t="shared" si="149"/>
        <v>636000</v>
      </c>
      <c r="M90" s="281">
        <f t="shared" si="150"/>
        <v>756840</v>
      </c>
      <c r="N90" s="320" t="str">
        <f>VLOOKUP(C90,ITEMS_BolsaOperador!$D$2:$AQ$499,23,0)</f>
        <v>Falabella</v>
      </c>
      <c r="O90" s="323">
        <v>110924.36974789917</v>
      </c>
      <c r="P90" s="322">
        <f t="shared" si="170"/>
        <v>21075.630252100844</v>
      </c>
      <c r="Q90" s="283">
        <f t="shared" si="151"/>
        <v>132000</v>
      </c>
      <c r="R90" s="284">
        <f t="shared" si="152"/>
        <v>665546.21848739497</v>
      </c>
      <c r="S90" s="284">
        <f t="shared" si="153"/>
        <v>792000</v>
      </c>
      <c r="T90" s="320" t="str">
        <f>VLOOKUP(C90,ITEMS_BolsaOperador!$D$2:$AQ$499,36,0)</f>
        <v>Hommecenter</v>
      </c>
      <c r="U90" s="321">
        <v>134369.74789915967</v>
      </c>
      <c r="V90" s="322">
        <f t="shared" si="171"/>
        <v>25530.252100840338</v>
      </c>
      <c r="W90" s="286">
        <f t="shared" si="155"/>
        <v>159900</v>
      </c>
      <c r="X90" s="287">
        <f t="shared" si="156"/>
        <v>806218.48739495804</v>
      </c>
      <c r="Y90" s="287">
        <f t="shared" si="157"/>
        <v>959400</v>
      </c>
      <c r="Z90" s="288">
        <f t="shared" si="98"/>
        <v>139346.66666666666</v>
      </c>
      <c r="AA90" s="288">
        <f t="shared" si="99"/>
        <v>836080</v>
      </c>
      <c r="AB90" s="288">
        <f t="shared" si="100"/>
        <v>108235.49879776043</v>
      </c>
      <c r="AC90" s="229">
        <f t="shared" si="101"/>
        <v>0.12945591187178312</v>
      </c>
      <c r="AD90" s="141"/>
      <c r="AE90" s="290" t="b">
        <f t="shared" si="154"/>
        <v>1</v>
      </c>
      <c r="AF90" s="291" t="s">
        <v>357</v>
      </c>
      <c r="AO90" s="292">
        <f>VLOOKUP(C90,ITEMS_BolsaOperador!$D$1:$AY$276,48,0)</f>
        <v>0.12945591187178287</v>
      </c>
      <c r="AP90" s="291" t="str">
        <f>VLOOKUP(C90,ITEMS_BolsaOperador!$D$1:$AY$276,1,0)</f>
        <v>Tablero acrílico</v>
      </c>
      <c r="AQ90" s="291" t="str">
        <f>VLOOKUP(C90,ITEMS_BolsaOperador!$D$1:$AY$276,2,0)</f>
        <v>Tablero acrílico con base trípode caballete metálico medida trípode 150cm de alto , medidas tablero 120x80cm</v>
      </c>
      <c r="AR90" s="291" t="str">
        <f>VLOOKUP(C90,ITEMS_BolsaOperador!$D$1:$AY$276,10,0)</f>
        <v>INVER Y DISTRIBUIDORES DIAMOND</v>
      </c>
      <c r="AS90" s="291">
        <f>VLOOKUP(C90,ITEMS_BolsaOperador!$D$1:$AY$276,16,0)</f>
        <v>126140</v>
      </c>
      <c r="AT90" s="291" t="str">
        <f>VLOOKUP(C90,ITEMS_BolsaOperador!$D$1:$AY$276,23,0)</f>
        <v>Falabella</v>
      </c>
      <c r="AU90" s="291">
        <f>VLOOKUP(C90,ITEMS_BolsaOperador!$D$1:$AY$276,29,0)</f>
        <v>132000</v>
      </c>
      <c r="AV90" s="291" t="str">
        <f>VLOOKUP(C90,ITEMS_BolsaOperador!$D$1:$AY$276,36,0)</f>
        <v>Hommecenter</v>
      </c>
      <c r="AW90" s="291">
        <f>VLOOKUP(C90,ITEMS_BolsaOperador!$D$1:$AY$276,42,0)</f>
        <v>159900</v>
      </c>
      <c r="AX90" s="293">
        <f>VLOOKUP(C90,ITEMS_BolsaOperador!$D$1:$AY$276,45,0)</f>
        <v>139346.66666666666</v>
      </c>
      <c r="AY90" s="293">
        <f>VLOOKUP(C90,ITEMS_BolsaOperador!$D$1:$AY$276,46,0)</f>
        <v>139346.66666666666</v>
      </c>
      <c r="AZ90" s="293">
        <f>VLOOKUP(C90,ITEMS_BolsaOperador!$D$1:$AY$276,47,0)</f>
        <v>18039.249799626705</v>
      </c>
      <c r="BA90" s="229">
        <f>VLOOKUP(C90,ITEMS_BolsaOperador!$D$1:$AY$276,48,0)</f>
        <v>0.12945591187178287</v>
      </c>
      <c r="BC90" s="7" t="b">
        <f t="shared" si="172"/>
        <v>1</v>
      </c>
      <c r="BD90" s="7" t="b">
        <f t="shared" si="173"/>
        <v>1</v>
      </c>
      <c r="BE90" s="7" t="b">
        <f t="shared" si="174"/>
        <v>1</v>
      </c>
      <c r="BF90" s="7" t="b">
        <f t="shared" si="175"/>
        <v>1</v>
      </c>
      <c r="BG90" s="7" t="b">
        <f t="shared" si="176"/>
        <v>1</v>
      </c>
      <c r="BH90" s="7" t="b">
        <f t="shared" si="177"/>
        <v>1</v>
      </c>
      <c r="BI90" s="7" t="b">
        <f t="shared" si="178"/>
        <v>1</v>
      </c>
      <c r="BJ90" s="7" t="b">
        <f t="shared" si="179"/>
        <v>1</v>
      </c>
      <c r="BK90" s="7" t="b">
        <f t="shared" si="180"/>
        <v>0</v>
      </c>
      <c r="BL90" s="7" t="b">
        <f t="shared" si="181"/>
        <v>0</v>
      </c>
      <c r="BM90" s="7" t="b">
        <f t="shared" si="182"/>
        <v>1</v>
      </c>
    </row>
    <row r="91" spans="1:65" s="7" customFormat="1" ht="336" hidden="1" x14ac:dyDescent="0.35">
      <c r="A91" s="276">
        <v>81</v>
      </c>
      <c r="B91" s="343" t="s">
        <v>157</v>
      </c>
      <c r="C91" s="343" t="s">
        <v>190</v>
      </c>
      <c r="D91" s="135" t="s">
        <v>191</v>
      </c>
      <c r="E91" s="343" t="s">
        <v>176</v>
      </c>
      <c r="F91" s="343">
        <v>1</v>
      </c>
      <c r="G91" s="430" t="s">
        <v>42</v>
      </c>
      <c r="H91" s="333" t="s">
        <v>53</v>
      </c>
      <c r="I91" s="334">
        <v>4546000</v>
      </c>
      <c r="J91" s="310">
        <f t="shared" si="49"/>
        <v>863740</v>
      </c>
      <c r="K91" s="280">
        <f t="shared" si="148"/>
        <v>5409740</v>
      </c>
      <c r="L91" s="281">
        <f t="shared" si="149"/>
        <v>4546000</v>
      </c>
      <c r="M91" s="281">
        <f t="shared" si="150"/>
        <v>5409740</v>
      </c>
      <c r="N91" s="335" t="s">
        <v>99</v>
      </c>
      <c r="O91" s="336">
        <v>3850000</v>
      </c>
      <c r="P91" s="311">
        <f t="shared" si="50"/>
        <v>731500</v>
      </c>
      <c r="Q91" s="283">
        <f t="shared" si="151"/>
        <v>4581500</v>
      </c>
      <c r="R91" s="284">
        <f t="shared" si="152"/>
        <v>3850000</v>
      </c>
      <c r="S91" s="284">
        <f t="shared" si="153"/>
        <v>4581500</v>
      </c>
      <c r="T91" s="313" t="s">
        <v>192</v>
      </c>
      <c r="U91" s="314">
        <v>4100000</v>
      </c>
      <c r="V91" s="312">
        <f t="shared" si="55"/>
        <v>779000</v>
      </c>
      <c r="W91" s="286">
        <f t="shared" si="155"/>
        <v>4879000</v>
      </c>
      <c r="X91" s="287">
        <f t="shared" si="156"/>
        <v>4100000</v>
      </c>
      <c r="Y91" s="287">
        <f t="shared" si="157"/>
        <v>4879000</v>
      </c>
      <c r="Z91" s="288">
        <f t="shared" si="98"/>
        <v>4956746.666666667</v>
      </c>
      <c r="AA91" s="288">
        <f t="shared" si="99"/>
        <v>4956746.666666667</v>
      </c>
      <c r="AB91" s="288">
        <f t="shared" si="100"/>
        <v>419557.84170163394</v>
      </c>
      <c r="AC91" s="229">
        <f t="shared" si="101"/>
        <v>8.464379358402431E-2</v>
      </c>
      <c r="AD91" s="141"/>
      <c r="AE91" s="290" t="b">
        <f t="shared" si="154"/>
        <v>0</v>
      </c>
      <c r="AF91" s="291" t="s">
        <v>344</v>
      </c>
      <c r="AO91" s="292">
        <f>VLOOKUP(C91,ITEMS_BolsaOperador!$D$254:$AY$276,48,0)</f>
        <v>8.4599999999999995E-2</v>
      </c>
      <c r="AP91" s="291" t="str">
        <f>VLOOKUP(C91,ITEMS_BolsaOperador!$D$254:$AY$276,1,0)</f>
        <v>REGISTRO FOTOGRÁFICO Y AUDIOVISUAL</v>
      </c>
      <c r="AQ91" s="291" t="str">
        <f>VLOOKUP(C91,ITEMS_BolsaOperador!$D$254:$AY$276,2,0)</f>
        <v>"Registro fotográfico profesional y video institucional donde se evidencie el resumen del evento con edición.
Registro fotográfico profesional y producción de video institucional del evento. El registro fotográfico deberá incluir una cobertura suficiente que evidencie las diferentes fases de la jornada (montaje, desarrollo de la carrera, estaciones metodológicas, participación de la comunidad y cierre), con un mínimo de cincuenta (50) fotografías editadas en alta resolución.
El video institucional deberá tener una duración mínima de dos (2) minutos, con edición básica que incluya selección de tomas representativas, ambientación musical libre de restricciones legales, inclusión de créditos institucionales y elementos gráficos básicos. Este deberá evidenciar de manera integral el desarrollo del evento, la participación comunitaria y los principales momentos de la jornada."</v>
      </c>
      <c r="AR91" s="291" t="str">
        <f>VLOOKUP(C91,ITEMS_BolsaOperador!$D$254:$AY$276,10,0)</f>
        <v xml:space="preserve"> COMTEC </v>
      </c>
      <c r="AS91" s="291">
        <f>VLOOKUP(C91,ITEMS_BolsaOperador!$D$254:$AY$276,16,0)</f>
        <v>5409740</v>
      </c>
      <c r="AT91" s="291" t="str">
        <f>VLOOKUP(C91,ITEMS_BolsaOperador!$D$254:$AY$276,23,0)</f>
        <v xml:space="preserve"> ESFERA DE EVENTO  </v>
      </c>
      <c r="AU91" s="291">
        <f>VLOOKUP(C91,ITEMS_BolsaOperador!$D$254:$AY$276,29,0)</f>
        <v>4581500</v>
      </c>
      <c r="AV91" s="291" t="str">
        <f>VLOOKUP(C91,ITEMS_BolsaOperador!$D$254:$AY$276,36,0)</f>
        <v>SOLUCIONES 360</v>
      </c>
      <c r="AW91" s="291">
        <f>VLOOKUP(C91,ITEMS_BolsaOperador!$D$254:$AY$276,42,0)</f>
        <v>4879000</v>
      </c>
      <c r="AX91" s="293">
        <f>VLOOKUP(C91,ITEMS_BolsaOperador!$D$254:$AY$276,45,0)</f>
        <v>4956746.67</v>
      </c>
      <c r="AY91" s="293">
        <f>VLOOKUP(C91,ITEMS_BolsaOperador!$D$254:$AY$276,46,0)</f>
        <v>4956746.67</v>
      </c>
      <c r="AZ91" s="293">
        <f>VLOOKUP(C91,ITEMS_BolsaOperador!$D$254:$AY$276,47,0)</f>
        <v>419557.84</v>
      </c>
      <c r="BA91" s="229">
        <f>VLOOKUP(C91,ITEMS_BolsaOperador!$D$254:$AY$276,48,0)</f>
        <v>8.4599999999999995E-2</v>
      </c>
      <c r="BC91" s="7" t="b">
        <f t="shared" si="158"/>
        <v>1</v>
      </c>
      <c r="BD91" s="7" t="b">
        <f t="shared" si="159"/>
        <v>0</v>
      </c>
      <c r="BE91" s="7" t="b">
        <f t="shared" si="160"/>
        <v>1</v>
      </c>
      <c r="BF91" s="7" t="b">
        <f t="shared" si="161"/>
        <v>0</v>
      </c>
      <c r="BG91" s="7" t="b">
        <f t="shared" si="162"/>
        <v>1</v>
      </c>
      <c r="BH91" s="7" t="b">
        <f t="shared" si="163"/>
        <v>0</v>
      </c>
      <c r="BI91" s="7" t="b">
        <f t="shared" si="164"/>
        <v>1</v>
      </c>
      <c r="BJ91" s="7" t="b">
        <f t="shared" si="165"/>
        <v>0</v>
      </c>
      <c r="BK91" s="7" t="b">
        <f t="shared" si="166"/>
        <v>0</v>
      </c>
      <c r="BL91" s="7" t="b">
        <f t="shared" si="167"/>
        <v>0</v>
      </c>
      <c r="BM91" s="7" t="b">
        <f t="shared" si="168"/>
        <v>0</v>
      </c>
    </row>
    <row r="92" spans="1:65" s="7" customFormat="1" ht="252" hidden="1" x14ac:dyDescent="0.35">
      <c r="A92" s="276">
        <v>82</v>
      </c>
      <c r="B92" s="343" t="s">
        <v>157</v>
      </c>
      <c r="C92" s="433" t="s">
        <v>389</v>
      </c>
      <c r="D92" s="338" t="s">
        <v>390</v>
      </c>
      <c r="E92" s="433" t="s">
        <v>176</v>
      </c>
      <c r="F92" s="433">
        <v>1</v>
      </c>
      <c r="G92" s="434" t="s">
        <v>195</v>
      </c>
      <c r="H92" s="339" t="s">
        <v>165</v>
      </c>
      <c r="I92" s="340">
        <v>241626.05042016809</v>
      </c>
      <c r="J92" s="341">
        <f t="shared" si="49"/>
        <v>45908.94957983194</v>
      </c>
      <c r="K92" s="280">
        <f t="shared" si="148"/>
        <v>287535</v>
      </c>
      <c r="L92" s="281">
        <f t="shared" si="149"/>
        <v>241626.05042016809</v>
      </c>
      <c r="M92" s="281">
        <f t="shared" si="150"/>
        <v>287535</v>
      </c>
      <c r="N92" s="342" t="s">
        <v>166</v>
      </c>
      <c r="O92" s="340">
        <v>234622</v>
      </c>
      <c r="P92" s="341">
        <f t="shared" si="50"/>
        <v>44578.18</v>
      </c>
      <c r="Q92" s="283">
        <f t="shared" si="151"/>
        <v>279200.18</v>
      </c>
      <c r="R92" s="284">
        <f t="shared" si="152"/>
        <v>234622</v>
      </c>
      <c r="S92" s="284">
        <f t="shared" si="153"/>
        <v>279200.18</v>
      </c>
      <c r="T92" s="313"/>
      <c r="U92" s="314"/>
      <c r="V92" s="312"/>
      <c r="W92" s="286"/>
      <c r="X92" s="287"/>
      <c r="Y92" s="287"/>
      <c r="Z92" s="288">
        <f t="shared" si="98"/>
        <v>283367.58999999997</v>
      </c>
      <c r="AA92" s="288">
        <f t="shared" si="99"/>
        <v>283367.58999999997</v>
      </c>
      <c r="AB92" s="288">
        <f t="shared" si="100"/>
        <v>5893.6077419692647</v>
      </c>
      <c r="AC92" s="229">
        <f t="shared" si="101"/>
        <v>2.0798453845654211E-2</v>
      </c>
      <c r="AD92" s="141"/>
      <c r="AE92" s="290" t="b">
        <f t="shared" si="154"/>
        <v>0</v>
      </c>
      <c r="AF92" s="291" t="s">
        <v>391</v>
      </c>
      <c r="AO92" s="292">
        <f>VLOOKUP(C92,ITEMS_BolsaOperador!$D$2:$AY$287,48,0)</f>
        <v>2.0799999999999999E-2</v>
      </c>
      <c r="AP92" s="291" t="e">
        <f>VLOOKUP(C92,ITEMS_BolsaOperador!$D$254:$AY$276,1,0)</f>
        <v>#N/A</v>
      </c>
      <c r="AQ92" s="291" t="e">
        <f>VLOOKUP(C92,ITEMS_BolsaOperador!$D$254:$AY$276,2,0)</f>
        <v>#N/A</v>
      </c>
      <c r="AR92" s="291" t="e">
        <f>VLOOKUP(C92,ITEMS_BolsaOperador!$D$254:$AY$276,10,0)</f>
        <v>#N/A</v>
      </c>
      <c r="AS92" s="291" t="e">
        <f>VLOOKUP(C92,ITEMS_BolsaOperador!$D$254:$AY$276,16,0)</f>
        <v>#N/A</v>
      </c>
      <c r="AT92" s="291" t="e">
        <f>VLOOKUP(C92,ITEMS_BolsaOperador!$D$254:$AY$276,23,0)</f>
        <v>#N/A</v>
      </c>
      <c r="AU92" s="291" t="e">
        <f>VLOOKUP(C92,ITEMS_BolsaOperador!$D$254:$AY$276,29,0)</f>
        <v>#N/A</v>
      </c>
      <c r="AV92" s="291" t="e">
        <f>VLOOKUP(C92,ITEMS_BolsaOperador!$D$254:$AY$276,36,0)</f>
        <v>#N/A</v>
      </c>
      <c r="AW92" s="291" t="e">
        <f>VLOOKUP(C92,ITEMS_BolsaOperador!$D$254:$AY$276,42,0)</f>
        <v>#N/A</v>
      </c>
      <c r="AX92" s="293" t="e">
        <f>VLOOKUP(C92,ITEMS_BolsaOperador!$D$254:$AY$276,45,0)</f>
        <v>#N/A</v>
      </c>
      <c r="AY92" s="293" t="e">
        <f>VLOOKUP(C92,ITEMS_BolsaOperador!$D$254:$AY$276,46,0)</f>
        <v>#N/A</v>
      </c>
      <c r="AZ92" s="293" t="e">
        <f>VLOOKUP(C92,ITEMS_BolsaOperador!$D$254:$AY$276,47,0)</f>
        <v>#N/A</v>
      </c>
      <c r="BA92" s="229" t="e">
        <f>VLOOKUP(C92,ITEMS_BolsaOperador!$D$254:$AY$276,48,0)</f>
        <v>#N/A</v>
      </c>
      <c r="BC92" s="7" t="e">
        <f t="shared" si="158"/>
        <v>#N/A</v>
      </c>
      <c r="BD92" s="7" t="e">
        <f t="shared" si="159"/>
        <v>#N/A</v>
      </c>
      <c r="BE92" s="7" t="e">
        <f t="shared" si="160"/>
        <v>#N/A</v>
      </c>
      <c r="BF92" s="7" t="e">
        <f t="shared" si="161"/>
        <v>#N/A</v>
      </c>
      <c r="BG92" s="7" t="e">
        <f t="shared" si="162"/>
        <v>#N/A</v>
      </c>
      <c r="BH92" s="7" t="e">
        <f t="shared" si="163"/>
        <v>#N/A</v>
      </c>
      <c r="BI92" s="7" t="e">
        <f t="shared" si="164"/>
        <v>#N/A</v>
      </c>
      <c r="BJ92" s="7" t="e">
        <f t="shared" si="165"/>
        <v>#N/A</v>
      </c>
      <c r="BK92" s="7" t="e">
        <f t="shared" si="166"/>
        <v>#N/A</v>
      </c>
      <c r="BL92" s="7" t="e">
        <f t="shared" si="167"/>
        <v>#N/A</v>
      </c>
      <c r="BM92" s="7" t="e">
        <f t="shared" si="168"/>
        <v>#N/A</v>
      </c>
    </row>
    <row r="93" spans="1:65" s="7" customFormat="1" ht="243" hidden="1" customHeight="1" x14ac:dyDescent="0.25">
      <c r="A93" s="276">
        <v>83</v>
      </c>
      <c r="B93" s="343" t="s">
        <v>157</v>
      </c>
      <c r="C93" s="343" t="s">
        <v>392</v>
      </c>
      <c r="D93" s="139" t="s">
        <v>199</v>
      </c>
      <c r="E93" s="343" t="s">
        <v>176</v>
      </c>
      <c r="F93" s="343">
        <v>4</v>
      </c>
      <c r="G93" s="430" t="s">
        <v>88</v>
      </c>
      <c r="H93" s="333" t="s">
        <v>165</v>
      </c>
      <c r="I93" s="334">
        <v>397642.01680672274</v>
      </c>
      <c r="J93" s="310">
        <f>I93*19%</f>
        <v>75551.983193277323</v>
      </c>
      <c r="K93" s="280">
        <f t="shared" si="148"/>
        <v>473194.00000000006</v>
      </c>
      <c r="L93" s="281">
        <f t="shared" si="149"/>
        <v>1590568.0672268909</v>
      </c>
      <c r="M93" s="281">
        <f t="shared" si="150"/>
        <v>1892776.0000000002</v>
      </c>
      <c r="N93" s="335" t="s">
        <v>166</v>
      </c>
      <c r="O93" s="336">
        <v>395532</v>
      </c>
      <c r="P93" s="311">
        <f t="shared" si="50"/>
        <v>75151.08</v>
      </c>
      <c r="Q93" s="283">
        <f t="shared" si="151"/>
        <v>470683.08</v>
      </c>
      <c r="R93" s="284">
        <f t="shared" si="152"/>
        <v>1582128</v>
      </c>
      <c r="S93" s="284">
        <f t="shared" si="153"/>
        <v>1882732.32</v>
      </c>
      <c r="T93" s="313"/>
      <c r="U93" s="314"/>
      <c r="V93" s="312"/>
      <c r="W93" s="286"/>
      <c r="X93" s="287"/>
      <c r="Y93" s="287"/>
      <c r="Z93" s="288">
        <f t="shared" si="98"/>
        <v>471938.54000000004</v>
      </c>
      <c r="AA93" s="288">
        <f t="shared" si="99"/>
        <v>1887754.1600000001</v>
      </c>
      <c r="AB93" s="288">
        <f t="shared" si="100"/>
        <v>7101.9542360678215</v>
      </c>
      <c r="AC93" s="229">
        <f t="shared" si="101"/>
        <v>3.7621181754237645E-3</v>
      </c>
      <c r="AD93" s="141"/>
      <c r="AE93" s="290" t="b">
        <f t="shared" si="154"/>
        <v>0</v>
      </c>
      <c r="AF93" s="7" t="s">
        <v>393</v>
      </c>
      <c r="AO93" s="292">
        <f>VLOOKUP(C93,ITEMS_BolsaOperador!$D$2:$AY$287,48,0)</f>
        <v>3.8E-3</v>
      </c>
      <c r="AP93" s="291" t="str">
        <f>VLOOKUP(C93,ITEMS_BolsaOperador!$D$2:$AY$247,1,0)</f>
        <v>Alquiler baño portatil tipo 1</v>
      </c>
      <c r="AQ93" s="291" t="str">
        <f>VLOOKUP(C93,ITEMS_BolsaOperador!$D$2:$AY$247,2,0)</f>
        <v>ALQUILER DE 2 BAÑOS PORTÁTILES PERSONAS DISCAPACITADAS: INCLUYE SUMINISTRO DE PAPEL HIGIÉNICO – PERSONA DE ASEO (JORNADA POR EVENTO O DÍA)   INCLUYE INSTALACIÓN, TRASPORTE Y ENTREGA EN EL LUGAR REQUERIDO, MONTAJE Y DESMONTAJE</v>
      </c>
      <c r="AR93" s="291" t="str">
        <f>VLOOKUP(C93,ITEMS_BolsaOperador!$D$2:$AY$247,10,0)</f>
        <v>OPERADOR LOGÍSTICO</v>
      </c>
      <c r="AS93" s="291" t="str">
        <f>VLOOKUP(C93,ITEMS_BolsaOperador!$D$2:$AY$247,16,0)</f>
        <v> </v>
      </c>
      <c r="AT93" s="291" t="str">
        <f>VLOOKUP(C93,ITEMS_BolsaOperador!$D$2:$AY$247,23,0)</f>
        <v>Estimación de precios con base en el proceso FDLSUBA-LP-013-2025 (140689) – Contrato 1000 – 2025, indexando el incremento de precios en el mercado con base en el Índice de Precios al Consumidor (IPC) para el mes de marzo de 2026, el cual fue de 5,56%.</v>
      </c>
      <c r="AU93" s="291">
        <f>VLOOKUP(C93,ITEMS_BolsaOperador!$D$2:$AY$247,29,0)</f>
        <v>448270</v>
      </c>
      <c r="AV93" s="291" t="str">
        <f>VLOOKUP(C93,ITEMS_BolsaOperador!$D$2:$AY$247,36,0)</f>
        <v>FUNCAS</v>
      </c>
      <c r="AW93" s="291">
        <f>VLOOKUP(C93,ITEMS_BolsaOperador!$D$2:$AY$247,42,0)</f>
        <v>470684</v>
      </c>
      <c r="AX93" s="293">
        <f>VLOOKUP(C93,ITEMS_BolsaOperador!$D$2:$AY$247,45,0)</f>
        <v>471939</v>
      </c>
      <c r="AY93" s="293">
        <f>VLOOKUP(C93,ITEMS_BolsaOperador!$D$2:$AY$247,46,0)</f>
        <v>471939</v>
      </c>
      <c r="AZ93" s="293">
        <f>VLOOKUP(C93,ITEMS_BolsaOperador!$D$2:$AY$247,47,0)</f>
        <v>1775.06</v>
      </c>
      <c r="BA93" s="229">
        <f>VLOOKUP(C93,ITEMS_BolsaOperador!$D$2:$AY$247,48,0)</f>
        <v>3.8E-3</v>
      </c>
      <c r="BC93" s="7" t="b">
        <f t="shared" si="158"/>
        <v>1</v>
      </c>
      <c r="BD93" s="7" t="b">
        <f t="shared" si="159"/>
        <v>0</v>
      </c>
      <c r="BE93" s="7" t="b">
        <f t="shared" si="160"/>
        <v>0</v>
      </c>
      <c r="BF93" s="7" t="b">
        <f t="shared" si="161"/>
        <v>0</v>
      </c>
      <c r="BG93" s="7" t="b">
        <f t="shared" si="162"/>
        <v>0</v>
      </c>
      <c r="BH93" s="7" t="b">
        <f t="shared" si="163"/>
        <v>0</v>
      </c>
      <c r="BI93" s="7" t="b">
        <f t="shared" si="164"/>
        <v>0</v>
      </c>
      <c r="BJ93" s="7" t="b">
        <f t="shared" si="165"/>
        <v>0</v>
      </c>
      <c r="BK93" s="7" t="b">
        <f t="shared" si="166"/>
        <v>0</v>
      </c>
      <c r="BL93" s="7" t="b">
        <f t="shared" si="167"/>
        <v>0</v>
      </c>
      <c r="BM93" s="7" t="b">
        <f t="shared" si="168"/>
        <v>0</v>
      </c>
    </row>
    <row r="94" spans="1:65" s="7" customFormat="1" ht="230.45" hidden="1" customHeight="1" x14ac:dyDescent="0.25">
      <c r="A94" s="276">
        <v>84</v>
      </c>
      <c r="B94" s="435" t="s">
        <v>157</v>
      </c>
      <c r="C94" s="300" t="s">
        <v>394</v>
      </c>
      <c r="D94" s="301" t="s">
        <v>395</v>
      </c>
      <c r="E94" s="435" t="s">
        <v>176</v>
      </c>
      <c r="F94" s="435">
        <v>1</v>
      </c>
      <c r="G94" s="427" t="s">
        <v>88</v>
      </c>
      <c r="H94" s="344" t="s">
        <v>165</v>
      </c>
      <c r="I94" s="334">
        <v>133251.26050420169</v>
      </c>
      <c r="J94" s="310">
        <f t="shared" si="49"/>
        <v>25317.739495798323</v>
      </c>
      <c r="K94" s="280">
        <f t="shared" si="148"/>
        <v>158569.00000000003</v>
      </c>
      <c r="L94" s="281">
        <f t="shared" si="149"/>
        <v>133251.26050420169</v>
      </c>
      <c r="M94" s="281">
        <f t="shared" si="150"/>
        <v>158569.00000000003</v>
      </c>
      <c r="N94" s="345" t="s">
        <v>166</v>
      </c>
      <c r="O94" s="295">
        <v>129389</v>
      </c>
      <c r="P94" s="311">
        <f t="shared" si="50"/>
        <v>24583.91</v>
      </c>
      <c r="Q94" s="283">
        <f t="shared" si="151"/>
        <v>153972.91</v>
      </c>
      <c r="R94" s="284">
        <f t="shared" si="152"/>
        <v>129389</v>
      </c>
      <c r="S94" s="284">
        <f t="shared" si="153"/>
        <v>153972.91</v>
      </c>
      <c r="T94" s="313"/>
      <c r="U94" s="314"/>
      <c r="V94" s="312"/>
      <c r="W94" s="286"/>
      <c r="X94" s="287"/>
      <c r="Y94" s="287"/>
      <c r="Z94" s="288">
        <f t="shared" si="98"/>
        <v>156270.95500000002</v>
      </c>
      <c r="AA94" s="288">
        <f t="shared" si="99"/>
        <v>156270.95500000002</v>
      </c>
      <c r="AB94" s="288">
        <f t="shared" si="100"/>
        <v>3249.9264059436973</v>
      </c>
      <c r="AC94" s="229">
        <f t="shared" si="101"/>
        <v>2.0796739905657433E-2</v>
      </c>
      <c r="AD94" s="141"/>
      <c r="AE94" s="290" t="b">
        <f t="shared" si="154"/>
        <v>0</v>
      </c>
      <c r="AF94" s="291" t="s">
        <v>391</v>
      </c>
      <c r="AO94" s="292">
        <f>VLOOKUP(C94,ITEMS_BolsaOperador!$D$2:$AY$287,48,0)</f>
        <v>2.0799999999999999E-2</v>
      </c>
      <c r="AP94" s="291" t="e">
        <f>VLOOKUP(C94,ITEMS_BolsaOperador!$D$254:$AY$276,1,0)</f>
        <v>#N/A</v>
      </c>
      <c r="AQ94" s="291" t="e">
        <f>VLOOKUP(C94,ITEMS_BolsaOperador!$D$254:$AY$276,2,0)</f>
        <v>#N/A</v>
      </c>
      <c r="AR94" s="291" t="e">
        <f>VLOOKUP(C94,ITEMS_BolsaOperador!$D$254:$AY$276,10,0)</f>
        <v>#N/A</v>
      </c>
      <c r="AS94" s="291" t="e">
        <f>VLOOKUP(C94,ITEMS_BolsaOperador!$D$254:$AY$276,16,0)</f>
        <v>#N/A</v>
      </c>
      <c r="AT94" s="291" t="e">
        <f>VLOOKUP(C94,ITEMS_BolsaOperador!$D$254:$AY$276,23,0)</f>
        <v>#N/A</v>
      </c>
      <c r="AU94" s="291" t="e">
        <f>VLOOKUP(C94,ITEMS_BolsaOperador!$D$254:$AY$276,29,0)</f>
        <v>#N/A</v>
      </c>
      <c r="AV94" s="291" t="e">
        <f>VLOOKUP(C94,ITEMS_BolsaOperador!$D$254:$AY$276,36,0)</f>
        <v>#N/A</v>
      </c>
      <c r="AW94" s="291" t="e">
        <f>VLOOKUP(C94,ITEMS_BolsaOperador!$D$254:$AY$276,42,0)</f>
        <v>#N/A</v>
      </c>
      <c r="AX94" s="293" t="e">
        <f>VLOOKUP(C94,ITEMS_BolsaOperador!$D$254:$AY$276,45,0)</f>
        <v>#N/A</v>
      </c>
      <c r="AY94" s="293" t="e">
        <f>VLOOKUP(C94,ITEMS_BolsaOperador!$D$254:$AY$276,46,0)</f>
        <v>#N/A</v>
      </c>
      <c r="AZ94" s="293" t="e">
        <f>VLOOKUP(C94,ITEMS_BolsaOperador!$D$254:$AY$276,47,0)</f>
        <v>#N/A</v>
      </c>
      <c r="BA94" s="229" t="e">
        <f>VLOOKUP(C94,ITEMS_BolsaOperador!$D$254:$AY$276,48,0)</f>
        <v>#N/A</v>
      </c>
      <c r="BC94" s="7" t="e">
        <f t="shared" si="158"/>
        <v>#N/A</v>
      </c>
      <c r="BD94" s="7" t="e">
        <f t="shared" si="159"/>
        <v>#N/A</v>
      </c>
      <c r="BE94" s="7" t="e">
        <f t="shared" si="160"/>
        <v>#N/A</v>
      </c>
      <c r="BF94" s="7" t="e">
        <f t="shared" si="161"/>
        <v>#N/A</v>
      </c>
      <c r="BG94" s="7" t="e">
        <f t="shared" si="162"/>
        <v>#N/A</v>
      </c>
      <c r="BH94" s="7" t="e">
        <f t="shared" si="163"/>
        <v>#N/A</v>
      </c>
      <c r="BI94" s="7" t="e">
        <f t="shared" si="164"/>
        <v>#N/A</v>
      </c>
      <c r="BJ94" s="7" t="e">
        <f t="shared" si="165"/>
        <v>#N/A</v>
      </c>
      <c r="BK94" s="7" t="e">
        <f t="shared" si="166"/>
        <v>#N/A</v>
      </c>
      <c r="BL94" s="7" t="e">
        <f t="shared" si="167"/>
        <v>#N/A</v>
      </c>
      <c r="BM94" s="7" t="e">
        <f t="shared" si="168"/>
        <v>#N/A</v>
      </c>
    </row>
    <row r="95" spans="1:65" s="7" customFormat="1" ht="409.6" hidden="1" customHeight="1" x14ac:dyDescent="0.25">
      <c r="A95" s="276">
        <v>85</v>
      </c>
      <c r="B95" s="343" t="s">
        <v>203</v>
      </c>
      <c r="C95" s="277" t="s">
        <v>93</v>
      </c>
      <c r="D95" s="305" t="s">
        <v>94</v>
      </c>
      <c r="E95" s="343" t="s">
        <v>169</v>
      </c>
      <c r="F95" s="343">
        <v>660</v>
      </c>
      <c r="G95" s="430" t="s">
        <v>42</v>
      </c>
      <c r="H95" s="278" t="s">
        <v>95</v>
      </c>
      <c r="I95" s="280">
        <v>11700</v>
      </c>
      <c r="J95" s="280">
        <f>I95*8%</f>
        <v>936</v>
      </c>
      <c r="K95" s="280">
        <f t="shared" si="148"/>
        <v>12636</v>
      </c>
      <c r="L95" s="281">
        <f t="shared" si="149"/>
        <v>7722000</v>
      </c>
      <c r="M95" s="281">
        <f t="shared" si="150"/>
        <v>8339760</v>
      </c>
      <c r="N95" s="282" t="s">
        <v>50</v>
      </c>
      <c r="O95" s="283">
        <v>8570</v>
      </c>
      <c r="P95" s="283">
        <f>O95*8%</f>
        <v>685.6</v>
      </c>
      <c r="Q95" s="283">
        <f t="shared" si="151"/>
        <v>9255.6</v>
      </c>
      <c r="R95" s="284">
        <f t="shared" si="152"/>
        <v>5656200</v>
      </c>
      <c r="S95" s="284">
        <f t="shared" si="153"/>
        <v>6108696</v>
      </c>
      <c r="T95" s="285" t="s">
        <v>96</v>
      </c>
      <c r="U95" s="286">
        <v>13871</v>
      </c>
      <c r="V95" s="312"/>
      <c r="W95" s="286">
        <f t="shared" si="155"/>
        <v>13871</v>
      </c>
      <c r="X95" s="287">
        <f t="shared" si="156"/>
        <v>9154860</v>
      </c>
      <c r="Y95" s="287">
        <f t="shared" si="157"/>
        <v>9154860</v>
      </c>
      <c r="Z95" s="288">
        <f t="shared" si="98"/>
        <v>11920.866666666667</v>
      </c>
      <c r="AA95" s="288">
        <f t="shared" si="99"/>
        <v>7867772</v>
      </c>
      <c r="AB95" s="288">
        <f t="shared" si="100"/>
        <v>1576977.5784176514</v>
      </c>
      <c r="AC95" s="229">
        <f t="shared" si="101"/>
        <v>0.20043508866520934</v>
      </c>
      <c r="AD95" s="141"/>
      <c r="AE95" s="290" t="b">
        <f t="shared" si="154"/>
        <v>0</v>
      </c>
      <c r="AF95" s="291" t="s">
        <v>342</v>
      </c>
      <c r="AO95" s="292">
        <f>VLOOKUP(C95,ITEMS_BolsaOperador!$D$2:$AY$247,48,0)</f>
        <v>0.20043508866520951</v>
      </c>
      <c r="AP95" s="291" t="str">
        <f>VLOOKUP(C95,ITEMS_BolsaOperador!$D$2:$AY$247,1,0)</f>
        <v>Refrigerio Tipo 1</v>
      </c>
      <c r="AQ95" s="291" t="str">
        <f>VLOOKUP(C95,ITEMS_BolsaOperador!$D$2:$AY$247,2,0)</f>
        <v>Compuesto por:  _x000D_
1. Bebida: Deberá contener al menos 200 mililitros. Jugo de frutas y/o yogurt y/o kumis y/o avena, naturales no procesados, no se permitirá el suministro de bebidas empacadas en bolsa plástica, la Alcaldía Local de Suba requiere que las mismas sean entregadas a los asistentes en empaque tetra pack.  _x000D_
2. Un producto cereal   o producto de panadería tipo: Deberán tener un peso mínimo de 100 gramos. Podrá ser  Pastel de pollo o carne, ponqué, arepa, empanada, mantecada,  arepa con queso, pastel gloria, croissant de jamón y queso, brownie, buñuelo o similares. Los gramajes corresponden a los productos ya elaborados.    _x000D_
3. Una fruta de temporada: Porción de fruta no menor de 100 gramos. Mandarina, naranja,  manzana, pera, durazno o similares.  _x000D_
4. Dulce: Deberá tener mínimo entre 12 y 15 gramos. Chocolatina, Arequipe,  bocadillo o similares.</v>
      </c>
      <c r="AR95" s="291" t="str">
        <f>VLOOKUP(C95,ITEMS_BolsaOperador!$D$2:$AY$247,10,0)</f>
        <v>INVERSIONES BECORATI E Y O SAS</v>
      </c>
      <c r="AS95" s="291">
        <f>VLOOKUP(C95,ITEMS_BolsaOperador!$D$2:$AY$247,16,0)</f>
        <v>12636</v>
      </c>
      <c r="AT95" s="291" t="str">
        <f>VLOOKUP(C95,ITEMS_BolsaOperador!$D$2:$AY$247,23,0)</f>
        <v>ENTERPRISE INVESTMENT DEVELOPMENT S.A.S.</v>
      </c>
      <c r="AU95" s="291">
        <f>VLOOKUP(C95,ITEMS_BolsaOperador!$D$2:$AY$247,29,0)</f>
        <v>9255.6</v>
      </c>
      <c r="AV95" s="291" t="str">
        <f>VLOOKUP(C95,ITEMS_BolsaOperador!$D$2:$AY$247,36,0)</f>
        <v>Estimación de precios con base en el proceso FDLSUBA-LP-013-2025 (140689) – Contrato 1000 – 2025, indexando el incremento de precios en el mercado con base en el Índice de Precios al Consumidor (IPC) para el mes de marzo de 2026, el cual fue de 5,56%.</v>
      </c>
      <c r="AW95" s="291">
        <f>VLOOKUP(C95,ITEMS_BolsaOperador!$D$2:$AY$247,42,0)</f>
        <v>13871</v>
      </c>
      <c r="AX95" s="293">
        <f>VLOOKUP(C95,ITEMS_BolsaOperador!$D$2:$AY$247,45,0)</f>
        <v>11920.866666666667</v>
      </c>
      <c r="AY95" s="293">
        <f>VLOOKUP(C95,ITEMS_BolsaOperador!$D$2:$AY$247,46,0)</f>
        <v>11920.866666666667</v>
      </c>
      <c r="AZ95" s="293">
        <f>VLOOKUP(C95,ITEMS_BolsaOperador!$D$2:$AY$247,47,0)</f>
        <v>2389.3599672994737</v>
      </c>
      <c r="BA95" s="229">
        <f>VLOOKUP(C95,ITEMS_BolsaOperador!$D$2:$AY$247,48,0)</f>
        <v>0.20043508866520951</v>
      </c>
      <c r="BC95" s="7" t="b">
        <f t="shared" si="158"/>
        <v>0</v>
      </c>
      <c r="BD95" s="7" t="b">
        <f t="shared" si="159"/>
        <v>1</v>
      </c>
      <c r="BE95" s="7" t="b">
        <f t="shared" si="160"/>
        <v>1</v>
      </c>
      <c r="BF95" s="7" t="b">
        <f t="shared" si="161"/>
        <v>0</v>
      </c>
      <c r="BG95" s="7" t="b">
        <f t="shared" si="162"/>
        <v>1</v>
      </c>
      <c r="BH95" s="7" t="b">
        <f t="shared" si="163"/>
        <v>0</v>
      </c>
      <c r="BI95" s="7" t="b">
        <f t="shared" si="164"/>
        <v>1</v>
      </c>
      <c r="BJ95" s="7" t="b">
        <f t="shared" si="165"/>
        <v>1</v>
      </c>
      <c r="BK95" s="7" t="b">
        <f t="shared" si="166"/>
        <v>0</v>
      </c>
      <c r="BL95" s="7" t="b">
        <f t="shared" si="167"/>
        <v>0</v>
      </c>
      <c r="BM95" s="7" t="b">
        <f t="shared" si="168"/>
        <v>0</v>
      </c>
    </row>
    <row r="96" spans="1:65" s="7" customFormat="1" ht="81" hidden="1" customHeight="1" x14ac:dyDescent="0.35">
      <c r="A96" s="276">
        <v>86</v>
      </c>
      <c r="B96" s="343" t="s">
        <v>203</v>
      </c>
      <c r="C96" s="300" t="s">
        <v>345</v>
      </c>
      <c r="D96" s="137" t="s">
        <v>86</v>
      </c>
      <c r="E96" s="343" t="s">
        <v>204</v>
      </c>
      <c r="F96" s="343">
        <v>80</v>
      </c>
      <c r="G96" s="430" t="s">
        <v>88</v>
      </c>
      <c r="H96" s="278" t="s">
        <v>89</v>
      </c>
      <c r="I96" s="280">
        <v>302522</v>
      </c>
      <c r="J96" s="310">
        <f t="shared" si="49"/>
        <v>57479.18</v>
      </c>
      <c r="K96" s="280">
        <f t="shared" si="148"/>
        <v>360001.18</v>
      </c>
      <c r="L96" s="281">
        <f t="shared" si="149"/>
        <v>24201760</v>
      </c>
      <c r="M96" s="281">
        <f t="shared" si="150"/>
        <v>28800094.399999999</v>
      </c>
      <c r="N96" s="282" t="s">
        <v>90</v>
      </c>
      <c r="O96" s="283">
        <v>252101</v>
      </c>
      <c r="P96" s="311">
        <f t="shared" ref="P96:P109" si="184">O96*19%</f>
        <v>47899.19</v>
      </c>
      <c r="Q96" s="283">
        <f t="shared" si="151"/>
        <v>300000.19</v>
      </c>
      <c r="R96" s="284">
        <f t="shared" si="152"/>
        <v>20168080</v>
      </c>
      <c r="S96" s="284">
        <f t="shared" si="153"/>
        <v>24000015.199999999</v>
      </c>
      <c r="T96" s="285"/>
      <c r="U96" s="314"/>
      <c r="V96" s="312"/>
      <c r="W96" s="286"/>
      <c r="X96" s="287"/>
      <c r="Y96" s="287"/>
      <c r="Z96" s="288">
        <f t="shared" si="98"/>
        <v>330000.685</v>
      </c>
      <c r="AA96" s="288">
        <f t="shared" si="99"/>
        <v>26400054.800000001</v>
      </c>
      <c r="AB96" s="288">
        <f t="shared" si="100"/>
        <v>3394168.5525524975</v>
      </c>
      <c r="AC96" s="229">
        <f t="shared" si="101"/>
        <v>0.1285667237536377</v>
      </c>
      <c r="AD96" s="141"/>
      <c r="AE96" s="290" t="b">
        <f t="shared" si="154"/>
        <v>1</v>
      </c>
      <c r="AF96" s="7" t="s">
        <v>346</v>
      </c>
      <c r="AO96" s="292">
        <f>VLOOKUP(C96,ITEMS_BolsaOperador!$D$2:$AY$247,48,0)</f>
        <v>0.12856672375363773</v>
      </c>
      <c r="AP96" s="291" t="str">
        <f>VLOOKUP(C96,ITEMS_BolsaOperador!$D$2:$AY$247,1,0)</f>
        <v>Salón - Espacio Apto para 50 personas  (media jornada más equipos audiovisuales)</v>
      </c>
      <c r="AQ96" s="291" t="str">
        <f>VLOOKUP(C96,ITEMS_BolsaOperador!$D$2:$AY$247,2,0)</f>
        <v>Espacio físico para 50 personas con baño, sillas y mesas, ubicado en la localidad de Suba, con disponibilidad de espacio exterior para desarrollo de actividades_x000D_
Dotado con equipo de computo, video beam y sonido_x000D_
Jornada de 4 horas</v>
      </c>
      <c r="AR96" s="291" t="str">
        <f>VLOOKUP(C96,ITEMS_BolsaOperador!$D$2:$AY$247,10,0)</f>
        <v xml:space="preserve">JAC PRADO PINZON </v>
      </c>
      <c r="AS96" s="291">
        <f>VLOOKUP(C96,ITEMS_BolsaOperador!$D$2:$AY$247,16,0)</f>
        <v>360001.18</v>
      </c>
      <c r="AT96" s="291" t="str">
        <f>VLOOKUP(C96,ITEMS_BolsaOperador!$D$2:$AY$247,23,0)</f>
        <v>JAC URBANIZACION EL LAGUITO DE SUBA</v>
      </c>
      <c r="AU96" s="291">
        <f>VLOOKUP(C96,ITEMS_BolsaOperador!$D$2:$AY$247,29,0)</f>
        <v>300000.19</v>
      </c>
      <c r="AV96" s="291">
        <f>VLOOKUP(C96,ITEMS_BolsaOperador!$D$2:$AY$247,36,0)</f>
        <v>0</v>
      </c>
      <c r="AW96" s="291">
        <f>VLOOKUP(C96,ITEMS_BolsaOperador!$D$2:$AY$247,42,0)</f>
        <v>0</v>
      </c>
      <c r="AX96" s="293">
        <f>VLOOKUP(C96,ITEMS_BolsaOperador!$D$2:$AY$247,45,0)</f>
        <v>330000.685</v>
      </c>
      <c r="AY96" s="293">
        <f>VLOOKUP(C96,ITEMS_BolsaOperador!$D$2:$AY$247,46,0)</f>
        <v>330000.685</v>
      </c>
      <c r="AZ96" s="293">
        <f>VLOOKUP(C96,ITEMS_BolsaOperador!$D$2:$AY$247,47,0)</f>
        <v>42427.106906906221</v>
      </c>
      <c r="BA96" s="229">
        <f>VLOOKUP(C96,ITEMS_BolsaOperador!$D$2:$AY$247,48,0)</f>
        <v>0.12856672375363773</v>
      </c>
      <c r="BC96" s="7" t="b">
        <f t="shared" si="158"/>
        <v>0</v>
      </c>
      <c r="BD96" s="7" t="b">
        <f t="shared" si="159"/>
        <v>0</v>
      </c>
      <c r="BE96" s="7" t="b">
        <f t="shared" si="160"/>
        <v>1</v>
      </c>
      <c r="BF96" s="7" t="b">
        <f t="shared" si="161"/>
        <v>1</v>
      </c>
      <c r="BG96" s="7" t="b">
        <f t="shared" si="162"/>
        <v>1</v>
      </c>
      <c r="BH96" s="7" t="b">
        <f t="shared" si="163"/>
        <v>1</v>
      </c>
      <c r="BI96" s="7" t="b">
        <f t="shared" si="164"/>
        <v>1</v>
      </c>
      <c r="BJ96" s="7" t="b">
        <f t="shared" si="165"/>
        <v>1</v>
      </c>
      <c r="BK96" s="7" t="b">
        <f t="shared" si="166"/>
        <v>0</v>
      </c>
      <c r="BL96" s="7" t="b">
        <f t="shared" si="167"/>
        <v>0</v>
      </c>
      <c r="BM96" s="7" t="b">
        <f t="shared" si="168"/>
        <v>1</v>
      </c>
    </row>
    <row r="97" spans="1:65" s="7" customFormat="1" ht="202.5" hidden="1" customHeight="1" x14ac:dyDescent="0.25">
      <c r="A97" s="276">
        <v>87</v>
      </c>
      <c r="B97" s="309" t="s">
        <v>203</v>
      </c>
      <c r="C97" s="277" t="s">
        <v>205</v>
      </c>
      <c r="D97" s="277" t="s">
        <v>206</v>
      </c>
      <c r="E97" s="309" t="s">
        <v>41</v>
      </c>
      <c r="F97" s="343">
        <v>70</v>
      </c>
      <c r="G97" s="427" t="s">
        <v>42</v>
      </c>
      <c r="H97" s="333" t="s">
        <v>73</v>
      </c>
      <c r="I97" s="334">
        <v>28000</v>
      </c>
      <c r="J97" s="310">
        <f t="shared" ref="J97:J109" si="185">I97*19%</f>
        <v>5320</v>
      </c>
      <c r="K97" s="280">
        <f t="shared" si="148"/>
        <v>33320</v>
      </c>
      <c r="L97" s="281">
        <f t="shared" si="149"/>
        <v>1960000</v>
      </c>
      <c r="M97" s="281">
        <f t="shared" si="150"/>
        <v>2332400</v>
      </c>
      <c r="N97" s="335" t="s">
        <v>83</v>
      </c>
      <c r="O97" s="336">
        <v>26554.62</v>
      </c>
      <c r="P97" s="311">
        <f t="shared" si="184"/>
        <v>5045.3778000000002</v>
      </c>
      <c r="Q97" s="283">
        <f t="shared" si="151"/>
        <v>31599.997799999997</v>
      </c>
      <c r="R97" s="284">
        <f t="shared" si="152"/>
        <v>1858823.4</v>
      </c>
      <c r="S97" s="284">
        <f t="shared" si="153"/>
        <v>2211999.8459999999</v>
      </c>
      <c r="T97" s="313" t="s">
        <v>129</v>
      </c>
      <c r="U97" s="314">
        <v>30000</v>
      </c>
      <c r="V97" s="312"/>
      <c r="W97" s="286">
        <f t="shared" si="155"/>
        <v>30000</v>
      </c>
      <c r="X97" s="287">
        <f t="shared" si="156"/>
        <v>2100000</v>
      </c>
      <c r="Y97" s="287">
        <f t="shared" si="157"/>
        <v>2100000</v>
      </c>
      <c r="Z97" s="288">
        <f t="shared" si="98"/>
        <v>31639.999266666666</v>
      </c>
      <c r="AA97" s="288">
        <f t="shared" si="99"/>
        <v>2214799.9486666666</v>
      </c>
      <c r="AB97" s="288">
        <f t="shared" si="100"/>
        <v>116225.30030594846</v>
      </c>
      <c r="AC97" s="229">
        <f t="shared" si="101"/>
        <v>5.2476658388906562E-2</v>
      </c>
      <c r="AD97" s="141"/>
      <c r="AE97" s="290" t="b">
        <f t="shared" si="154"/>
        <v>0</v>
      </c>
      <c r="AF97" s="291" t="s">
        <v>342</v>
      </c>
      <c r="AO97" s="292">
        <f>VLOOKUP(C97,ITEMS_BolsaOperador!$D$2:$AY$247,48,0)</f>
        <v>5.2476656335062599E-2</v>
      </c>
      <c r="AP97" s="291" t="str">
        <f>VLOOKUP(C97,ITEMS_BolsaOperador!$D$2:$AY$247,1,0)</f>
        <v>Agendas con esfero con logos institucionales</v>
      </c>
      <c r="AQ97" s="291" t="str">
        <f>VLOOKUP(C97,ITEMS_BolsaOperador!$D$2:$AY$247,2,0)</f>
        <v xml:space="preserve">Agenda:  Tamaño cuaderno (21,5 x 14 cm), 80 hojas internas  papel bond 76 gms impresas a una tinta (1x2)  hojas cuadriculadas, tapa dura, full color, plastificada, anillo doble. Con Logos de la Alcaldía aprobados por la oficina de prensa_x000D_
_x000D_
Esfero: Bolígrafo plástico tinta negra Medidas: 14.5 cm, con sistema retráctil._x000D_
_x000D_
</v>
      </c>
      <c r="AR97" s="291" t="str">
        <f>VLOOKUP(C97,ITEMS_BolsaOperador!$D$2:$AY$247,10,0)</f>
        <v>DICOES GRUPÓ PUBLICITARIO SAS</v>
      </c>
      <c r="AS97" s="291">
        <f>VLOOKUP(C97,ITEMS_BolsaOperador!$D$2:$AY$247,16,0)</f>
        <v>33320</v>
      </c>
      <c r="AT97" s="291" t="str">
        <f>VLOOKUP(C97,ITEMS_BolsaOperador!$D$2:$AY$247,23,0)</f>
        <v>SG DIGITAL S.A.S</v>
      </c>
      <c r="AU97" s="291">
        <f>VLOOKUP(C97,ITEMS_BolsaOperador!$D$2:$AY$247,29,0)</f>
        <v>31600.000000000004</v>
      </c>
      <c r="AV97" s="291" t="str">
        <f>VLOOKUP(C97,ITEMS_BolsaOperador!$D$2:$AY$247,36,0)</f>
        <v>Angie Pachon (personalizado INK)</v>
      </c>
      <c r="AW97" s="291">
        <f>VLOOKUP(C97,ITEMS_BolsaOperador!$D$2:$AY$247,42,0)</f>
        <v>30000</v>
      </c>
      <c r="AX97" s="293">
        <f>VLOOKUP(C97,ITEMS_BolsaOperador!$D$2:$AY$247,45,0)</f>
        <v>31640</v>
      </c>
      <c r="AY97" s="293">
        <f>VLOOKUP(C97,ITEMS_BolsaOperador!$D$2:$AY$247,46,0)</f>
        <v>31640</v>
      </c>
      <c r="AZ97" s="293">
        <f>VLOOKUP(C97,ITEMS_BolsaOperador!$D$2:$AY$247,47,0)</f>
        <v>1660.3614064413807</v>
      </c>
      <c r="BA97" s="229">
        <f>VLOOKUP(C97,ITEMS_BolsaOperador!$D$2:$AY$247,48,0)</f>
        <v>5.2476656335062599E-2</v>
      </c>
      <c r="BC97" s="7" t="b">
        <f t="shared" si="158"/>
        <v>0</v>
      </c>
      <c r="BD97" s="7" t="b">
        <f t="shared" si="159"/>
        <v>0</v>
      </c>
      <c r="BE97" s="7" t="b">
        <f t="shared" si="160"/>
        <v>1</v>
      </c>
      <c r="BF97" s="7" t="b">
        <f t="shared" si="161"/>
        <v>0</v>
      </c>
      <c r="BG97" s="7" t="b">
        <f t="shared" si="162"/>
        <v>0</v>
      </c>
      <c r="BH97" s="7" t="b">
        <f t="shared" si="163"/>
        <v>0</v>
      </c>
      <c r="BI97" s="7" t="b">
        <f t="shared" si="164"/>
        <v>1</v>
      </c>
      <c r="BJ97" s="7" t="b">
        <f t="shared" si="165"/>
        <v>0</v>
      </c>
      <c r="BK97" s="7" t="b">
        <f t="shared" si="166"/>
        <v>0</v>
      </c>
      <c r="BL97" s="7" t="b">
        <f t="shared" si="167"/>
        <v>0</v>
      </c>
      <c r="BM97" s="7" t="b">
        <f t="shared" si="168"/>
        <v>0</v>
      </c>
    </row>
    <row r="98" spans="1:65" s="7" customFormat="1" ht="409.5" hidden="1" customHeight="1" x14ac:dyDescent="0.25">
      <c r="A98" s="276">
        <v>88</v>
      </c>
      <c r="B98" s="309" t="s">
        <v>203</v>
      </c>
      <c r="C98" s="277" t="s">
        <v>97</v>
      </c>
      <c r="D98" s="277" t="s">
        <v>98</v>
      </c>
      <c r="E98" s="309" t="s">
        <v>41</v>
      </c>
      <c r="F98" s="343">
        <v>80</v>
      </c>
      <c r="G98" s="430" t="s">
        <v>42</v>
      </c>
      <c r="H98" s="278" t="s">
        <v>99</v>
      </c>
      <c r="I98" s="280">
        <v>21600</v>
      </c>
      <c r="J98" s="280">
        <f>I98*8%</f>
        <v>1728</v>
      </c>
      <c r="K98" s="280">
        <f t="shared" si="148"/>
        <v>23328</v>
      </c>
      <c r="L98" s="281">
        <f t="shared" si="149"/>
        <v>1728000</v>
      </c>
      <c r="M98" s="281">
        <f t="shared" si="150"/>
        <v>1866240</v>
      </c>
      <c r="N98" s="282" t="s">
        <v>100</v>
      </c>
      <c r="O98" s="283">
        <v>25000</v>
      </c>
      <c r="P98" s="283">
        <f>O98*8%</f>
        <v>2000</v>
      </c>
      <c r="Q98" s="283">
        <f t="shared" si="151"/>
        <v>27000</v>
      </c>
      <c r="R98" s="284">
        <f t="shared" si="152"/>
        <v>2000000</v>
      </c>
      <c r="S98" s="284">
        <f t="shared" si="153"/>
        <v>2160000</v>
      </c>
      <c r="T98" s="285" t="s">
        <v>101</v>
      </c>
      <c r="U98" s="426">
        <v>26824</v>
      </c>
      <c r="V98" s="286">
        <f>U98*8%</f>
        <v>2145.92</v>
      </c>
      <c r="W98" s="286">
        <f t="shared" si="155"/>
        <v>28969.919999999998</v>
      </c>
      <c r="X98" s="287">
        <f t="shared" si="156"/>
        <v>2145920</v>
      </c>
      <c r="Y98" s="287">
        <f t="shared" si="157"/>
        <v>2317593.5999999996</v>
      </c>
      <c r="Z98" s="288">
        <f t="shared" si="98"/>
        <v>26432.639999999999</v>
      </c>
      <c r="AA98" s="288">
        <f t="shared" si="99"/>
        <v>2114611.2000000002</v>
      </c>
      <c r="AB98" s="288">
        <f t="shared" si="100"/>
        <v>229074.49755989845</v>
      </c>
      <c r="AC98" s="229">
        <f t="shared" si="101"/>
        <v>0.10832936927596828</v>
      </c>
      <c r="AD98" s="141"/>
      <c r="AE98" s="290" t="b">
        <f t="shared" si="154"/>
        <v>1</v>
      </c>
      <c r="AF98" s="291" t="s">
        <v>342</v>
      </c>
      <c r="AO98" s="292">
        <f>VLOOKUP(C98,ITEMS_BolsaOperador!$D$2:$AY$247,48,0)</f>
        <v>0.10832936927596835</v>
      </c>
      <c r="AP98" s="291" t="str">
        <f>VLOOKUP(C98,ITEMS_BolsaOperador!$D$2:$AY$247,1,0)</f>
        <v>Refrigerio Especial</v>
      </c>
      <c r="AQ98" s="291" t="str">
        <f>VLOOKUP(C98,ITEMS_BolsaOperador!$D$2:$AY$247,2,0)</f>
        <v>BEBIDA: Jugo natural  de fruta en agua o  néctares,  o refrescos de fruta,  con opción sin azúcar, o bajo en azúcar, o gaseosas ligth o normal; contenido mínimo 200 ml, en empaque comercial  duro ( no en bolsa, no de icopor o plástico), o servido en vaso de vidrio
ALIMENTO PRINCIPAL: Sánduche de jamón y/o queso o atún o pollo o espinaca y queso en pan común o integral  para sánduche,  ponqués o galletas o palito de queso o arepas  con queso o pasteles gloria, de pollo, de carne,  de queso, de harina  integral o comunes; porción entre  60 a 100 gr.
ACOMPAÑAMIENTO: Papas fritas de pollo o natural, o fruta deshidratada, paq de 30gr.
FRUTA: De temporada 150 gr.
EMPAQUE:  En bolsa plástica bio-degradable (si se requiere), preferiblemente que los productos se encuentren en empaques reciclables y/o biodegradables.
OPCIONAL: servicio de entrega al usuario final.</v>
      </c>
      <c r="AR98" s="291" t="str">
        <f>VLOOKUP(C98,ITEMS_BolsaOperador!$D$2:$AY$247,10,0)</f>
        <v>Esfera de Eventos</v>
      </c>
      <c r="AS98" s="291">
        <f>VLOOKUP(C98,ITEMS_BolsaOperador!$D$2:$AY$247,16,0)</f>
        <v>23328</v>
      </c>
      <c r="AT98" s="291" t="str">
        <f>VLOOKUP(C98,ITEMS_BolsaOperador!$D$2:$AY$247,23,0)</f>
        <v>Catering Depot</v>
      </c>
      <c r="AU98" s="291">
        <f>VLOOKUP(C98,ITEMS_BolsaOperador!$D$2:$AY$247,29,0)</f>
        <v>27000</v>
      </c>
      <c r="AV98" s="291" t="str">
        <f>VLOOKUP(C98,ITEMS_BolsaOperador!$D$2:$AY$247,36,0)</f>
        <v>D&amp;R PRODUCCIONES SAS</v>
      </c>
      <c r="AW98" s="291">
        <f>VLOOKUP(C98,ITEMS_BolsaOperador!$D$2:$AY$247,42,0)</f>
        <v>28969.919999999998</v>
      </c>
      <c r="AX98" s="293">
        <f>VLOOKUP(C98,ITEMS_BolsaOperador!$D$2:$AY$247,45,0)</f>
        <v>26432.639999999999</v>
      </c>
      <c r="AY98" s="293">
        <f>VLOOKUP(C98,ITEMS_BolsaOperador!$D$2:$AY$247,46,0)</f>
        <v>26432.639999999999</v>
      </c>
      <c r="AZ98" s="293">
        <f>VLOOKUP(C98,ITEMS_BolsaOperador!$D$2:$AY$247,47,0)</f>
        <v>2863.4312194987319</v>
      </c>
      <c r="BA98" s="229">
        <f>VLOOKUP(C98,ITEMS_BolsaOperador!$D$2:$AY$247,48,0)</f>
        <v>0.10832936927596835</v>
      </c>
      <c r="BC98" s="7" t="b">
        <f t="shared" si="158"/>
        <v>0</v>
      </c>
      <c r="BD98" s="7" t="b">
        <f t="shared" si="159"/>
        <v>0</v>
      </c>
      <c r="BE98" s="7" t="b">
        <f t="shared" si="160"/>
        <v>1</v>
      </c>
      <c r="BF98" s="7" t="b">
        <f t="shared" si="161"/>
        <v>0</v>
      </c>
      <c r="BG98" s="7" t="b">
        <f t="shared" si="162"/>
        <v>1</v>
      </c>
      <c r="BH98" s="7" t="b">
        <f t="shared" si="163"/>
        <v>1</v>
      </c>
      <c r="BI98" s="7" t="b">
        <f t="shared" si="164"/>
        <v>1</v>
      </c>
      <c r="BJ98" s="7" t="b">
        <f t="shared" si="165"/>
        <v>1</v>
      </c>
      <c r="BK98" s="7" t="b">
        <f t="shared" si="166"/>
        <v>0</v>
      </c>
      <c r="BL98" s="7" t="b">
        <f t="shared" si="167"/>
        <v>0</v>
      </c>
      <c r="BM98" s="7" t="b">
        <f t="shared" si="168"/>
        <v>1</v>
      </c>
    </row>
    <row r="99" spans="1:65" s="7" customFormat="1" ht="169.5" hidden="1" customHeight="1" x14ac:dyDescent="0.35">
      <c r="A99" s="276">
        <v>89</v>
      </c>
      <c r="B99" s="309" t="s">
        <v>203</v>
      </c>
      <c r="C99" s="343" t="s">
        <v>207</v>
      </c>
      <c r="D99" s="135" t="s">
        <v>208</v>
      </c>
      <c r="E99" s="309" t="s">
        <v>41</v>
      </c>
      <c r="F99" s="343">
        <v>70</v>
      </c>
      <c r="G99" s="430" t="s">
        <v>42</v>
      </c>
      <c r="H99" s="333" t="s">
        <v>209</v>
      </c>
      <c r="I99" s="334">
        <v>92500</v>
      </c>
      <c r="J99" s="310">
        <f t="shared" si="185"/>
        <v>17575</v>
      </c>
      <c r="K99" s="280">
        <f t="shared" si="148"/>
        <v>110075</v>
      </c>
      <c r="L99" s="281">
        <f t="shared" si="149"/>
        <v>6475000</v>
      </c>
      <c r="M99" s="281">
        <f t="shared" si="150"/>
        <v>7705250</v>
      </c>
      <c r="N99" s="335" t="s">
        <v>210</v>
      </c>
      <c r="O99" s="336">
        <v>93000</v>
      </c>
      <c r="P99" s="311">
        <f>O99*19%</f>
        <v>17670</v>
      </c>
      <c r="Q99" s="283">
        <f t="shared" si="151"/>
        <v>110670</v>
      </c>
      <c r="R99" s="284">
        <f t="shared" si="152"/>
        <v>6510000</v>
      </c>
      <c r="S99" s="284">
        <f t="shared" si="153"/>
        <v>7746900</v>
      </c>
      <c r="T99" s="313" t="s">
        <v>48</v>
      </c>
      <c r="U99" s="314">
        <v>117600</v>
      </c>
      <c r="V99" s="312">
        <f t="shared" ref="V99:V109" si="186">U99*19%</f>
        <v>22344</v>
      </c>
      <c r="W99" s="286">
        <f t="shared" si="155"/>
        <v>139944</v>
      </c>
      <c r="X99" s="287">
        <f t="shared" si="156"/>
        <v>8232000</v>
      </c>
      <c r="Y99" s="287">
        <f t="shared" si="157"/>
        <v>9796080</v>
      </c>
      <c r="Z99" s="288">
        <f t="shared" si="98"/>
        <v>120229.66666666667</v>
      </c>
      <c r="AA99" s="288">
        <f t="shared" si="99"/>
        <v>8416076.6666666679</v>
      </c>
      <c r="AB99" s="288">
        <f t="shared" si="100"/>
        <v>1195299.3686241652</v>
      </c>
      <c r="AC99" s="229">
        <f t="shared" si="101"/>
        <v>0.14202572243173067</v>
      </c>
      <c r="AD99" s="141"/>
      <c r="AE99" s="290" t="b">
        <f t="shared" si="154"/>
        <v>0</v>
      </c>
      <c r="AF99" s="291" t="s">
        <v>344</v>
      </c>
      <c r="AO99" s="292">
        <f>VLOOKUP(C99,ITEMS_BolsaOperador!$D$254:$AY$276,48,0)</f>
        <v>0.14199999999999999</v>
      </c>
      <c r="AP99" s="291" t="str">
        <f>VLOOKUP(C99,ITEMS_BolsaOperador!$D$254:$AY$276,1,0)</f>
        <v>CARTILLA METODOLÓGICA ESTILO SUBAMENTE CONSCIENTE 2.0</v>
      </c>
      <c r="AQ99" s="291" t="str">
        <f>VLOOKUP(C99,ITEMS_BolsaOperador!$D$254:$AY$276,2,0)</f>
        <v>Cartilla impresa full color, mínimo 60 páginas, papel ecológico, tamaño carta o media carta, argollada o empastada. Contiene módulos DBT (Mindfulness, Regulación Emocional, Tolerancia al Malestar, Efectividad Interpersonal), ejercicios prácticos, autorregistros y rutas institucionales. Logos aprobados por prensa.</v>
      </c>
      <c r="AR99" s="291" t="str">
        <f>VLOOKUP(C99,ITEMS_BolsaOperador!$D$254:$AY$276,10,0)</f>
        <v xml:space="preserve"> COMTEC </v>
      </c>
      <c r="AS99" s="291">
        <f>VLOOKUP(C99,ITEMS_BolsaOperador!$D$254:$AY$276,16,0)</f>
        <v>110075</v>
      </c>
      <c r="AT99" s="291" t="str">
        <f>VLOOKUP(C99,ITEMS_BolsaOperador!$D$254:$AY$276,23,0)</f>
        <v xml:space="preserve"> HYN PUBLICIDAD </v>
      </c>
      <c r="AU99" s="291">
        <f>VLOOKUP(C99,ITEMS_BolsaOperador!$D$254:$AY$276,29,0)</f>
        <v>110670</v>
      </c>
      <c r="AV99" s="291" t="str">
        <f>VLOOKUP(C99,ITEMS_BolsaOperador!$D$254:$AY$276,36,0)</f>
        <v xml:space="preserve"> GUERRA EDITORES </v>
      </c>
      <c r="AW99" s="291">
        <f>VLOOKUP(C99,ITEMS_BolsaOperador!$D$254:$AY$276,42,0)</f>
        <v>139944</v>
      </c>
      <c r="AX99" s="293">
        <f>VLOOKUP(C99,ITEMS_BolsaOperador!$D$254:$AY$276,45,0)</f>
        <v>120229.67</v>
      </c>
      <c r="AY99" s="293">
        <f>VLOOKUP(C99,ITEMS_BolsaOperador!$D$254:$AY$276,46,0)</f>
        <v>120229.67</v>
      </c>
      <c r="AZ99" s="293">
        <f>VLOOKUP(C99,ITEMS_BolsaOperador!$D$254:$AY$276,47,0)</f>
        <v>17075.71</v>
      </c>
      <c r="BA99" s="229">
        <f>VLOOKUP(C99,ITEMS_BolsaOperador!$D$254:$AY$276,48,0)</f>
        <v>0.14199999999999999</v>
      </c>
      <c r="BC99" s="7" t="b">
        <f t="shared" si="158"/>
        <v>1</v>
      </c>
      <c r="BD99" s="7" t="b">
        <f t="shared" si="159"/>
        <v>1</v>
      </c>
      <c r="BE99" s="7" t="b">
        <f t="shared" si="160"/>
        <v>1</v>
      </c>
      <c r="BF99" s="7" t="b">
        <f t="shared" si="161"/>
        <v>0</v>
      </c>
      <c r="BG99" s="7" t="b">
        <f t="shared" si="162"/>
        <v>1</v>
      </c>
      <c r="BH99" s="7" t="b">
        <f t="shared" si="163"/>
        <v>0</v>
      </c>
      <c r="BI99" s="7" t="b">
        <f t="shared" si="164"/>
        <v>1</v>
      </c>
      <c r="BJ99" s="7" t="b">
        <f t="shared" si="165"/>
        <v>0</v>
      </c>
      <c r="BK99" s="7" t="b">
        <f t="shared" si="166"/>
        <v>0</v>
      </c>
      <c r="BL99" s="7" t="b">
        <f t="shared" si="167"/>
        <v>0</v>
      </c>
      <c r="BM99" s="7" t="b">
        <f t="shared" si="168"/>
        <v>0</v>
      </c>
    </row>
    <row r="100" spans="1:65" s="7" customFormat="1" ht="169.5" hidden="1" customHeight="1" x14ac:dyDescent="0.25">
      <c r="A100" s="276">
        <v>90</v>
      </c>
      <c r="B100" s="343" t="s">
        <v>203</v>
      </c>
      <c r="C100" s="331" t="s">
        <v>122</v>
      </c>
      <c r="D100" s="206" t="s">
        <v>123</v>
      </c>
      <c r="E100" s="309" t="s">
        <v>41</v>
      </c>
      <c r="F100" s="343">
        <v>2</v>
      </c>
      <c r="G100" s="430" t="s">
        <v>42</v>
      </c>
      <c r="H100" s="320" t="str">
        <f>VLOOKUP(C100,ITEMS_BolsaOperador!$D$2:$AQ$499,10,0)</f>
        <v>Tienda Estudiantil</v>
      </c>
      <c r="I100" s="321">
        <v>13043</v>
      </c>
      <c r="J100" s="322">
        <f t="shared" si="185"/>
        <v>2478.17</v>
      </c>
      <c r="K100" s="280">
        <f t="shared" si="148"/>
        <v>15521.17</v>
      </c>
      <c r="L100" s="281">
        <f t="shared" si="149"/>
        <v>26086</v>
      </c>
      <c r="M100" s="281">
        <f t="shared" si="150"/>
        <v>31042.34</v>
      </c>
      <c r="N100" s="320" t="str">
        <f>VLOOKUP(C100,ITEMS_BolsaOperador!$D$2:$AQ$499,23,0)</f>
        <v>Panamericana</v>
      </c>
      <c r="O100" s="323">
        <v>14033.613445378152</v>
      </c>
      <c r="P100" s="322">
        <f t="shared" ref="P100:P106" si="187">O100*19%</f>
        <v>2666.386554621849</v>
      </c>
      <c r="Q100" s="283">
        <f t="shared" si="151"/>
        <v>16700</v>
      </c>
      <c r="R100" s="284">
        <f t="shared" si="152"/>
        <v>28067.226890756305</v>
      </c>
      <c r="S100" s="284">
        <f t="shared" si="153"/>
        <v>33400</v>
      </c>
      <c r="T100" s="320" t="str">
        <f>VLOOKUP(C100,ITEMS_BolsaOperador!$D$2:$AQ$499,36,0)</f>
        <v>Exito</v>
      </c>
      <c r="U100" s="321">
        <v>12092.436974789916</v>
      </c>
      <c r="V100" s="322">
        <f t="shared" si="186"/>
        <v>2297.5630252100841</v>
      </c>
      <c r="W100" s="286">
        <f t="shared" si="155"/>
        <v>14390</v>
      </c>
      <c r="X100" s="287">
        <f t="shared" si="156"/>
        <v>24184.873949579833</v>
      </c>
      <c r="Y100" s="287">
        <f t="shared" si="157"/>
        <v>28780</v>
      </c>
      <c r="Z100" s="288">
        <f t="shared" si="98"/>
        <v>15537.056666666665</v>
      </c>
      <c r="AA100" s="288">
        <f t="shared" si="99"/>
        <v>31074.113333333331</v>
      </c>
      <c r="AB100" s="288">
        <f t="shared" si="100"/>
        <v>2310.1638813152049</v>
      </c>
      <c r="AC100" s="229">
        <f t="shared" si="101"/>
        <v>7.4343678177844652E-2</v>
      </c>
      <c r="AD100" s="141"/>
      <c r="AE100" s="290" t="b">
        <f t="shared" si="154"/>
        <v>1</v>
      </c>
      <c r="AF100" s="291" t="s">
        <v>357</v>
      </c>
      <c r="AG100" s="292" t="e">
        <f>VLOOKUP(#REF!,ITEMS_BolsaOperador!$D$1:$AY$276,48,0)</f>
        <v>#REF!</v>
      </c>
      <c r="AH100" s="291" t="e">
        <f>VLOOKUP(#REF!,ITEMS_BolsaOperador!$D$1:$AY$276,1,0)</f>
        <v>#REF!</v>
      </c>
      <c r="AI100" s="291" t="e">
        <f>VLOOKUP(#REF!,ITEMS_BolsaOperador!$D$1:$AY$276,2,0)</f>
        <v>#REF!</v>
      </c>
      <c r="AJ100" s="291" t="e">
        <f>VLOOKUP(#REF!,ITEMS_BolsaOperador!$D$1:$AY$276,10,0)</f>
        <v>#REF!</v>
      </c>
      <c r="AK100" s="291" t="e">
        <f>VLOOKUP(#REF!,ITEMS_BolsaOperador!$D$1:$AY$276,16,0)</f>
        <v>#REF!</v>
      </c>
      <c r="AL100" s="291" t="e">
        <f>VLOOKUP(#REF!,ITEMS_BolsaOperador!$D$1:$AY$276,23,0)</f>
        <v>#REF!</v>
      </c>
      <c r="AM100" s="291" t="e">
        <f>VLOOKUP(#REF!,ITEMS_BolsaOperador!$D$1:$AY$276,29,0)</f>
        <v>#REF!</v>
      </c>
      <c r="AN100" s="291" t="e">
        <f>VLOOKUP(#REF!,ITEMS_BolsaOperador!$D$1:$AY$276,36,0)</f>
        <v>#REF!</v>
      </c>
      <c r="AO100" s="292">
        <f>VLOOKUP(C100,ITEMS_BolsaOperador!$D$2:$AY$287,48,0)</f>
        <v>7.4343678177844652E-2</v>
      </c>
      <c r="AP100" s="293" t="e">
        <f>VLOOKUP(#REF!,ITEMS_BolsaOperador!$D$1:$AY$276,45,0)</f>
        <v>#REF!</v>
      </c>
      <c r="AQ100" s="293" t="e">
        <f>VLOOKUP(#REF!,ITEMS_BolsaOperador!$D$1:$AY$276,46,0)</f>
        <v>#REF!</v>
      </c>
      <c r="AR100" s="293" t="e">
        <f>VLOOKUP(#REF!,ITEMS_BolsaOperador!$D$1:$AY$276,47,0)</f>
        <v>#REF!</v>
      </c>
      <c r="AS100" s="229" t="e">
        <f>VLOOKUP(#REF!,ITEMS_BolsaOperador!$D$1:$AY$276,48,0)</f>
        <v>#REF!</v>
      </c>
      <c r="AU100" s="7" t="e">
        <f t="shared" ref="AU100" si="188">AI100=#REF!</f>
        <v>#REF!</v>
      </c>
      <c r="AV100" s="7" t="e">
        <f t="shared" ref="AV100" si="189">AJ100=#REF!</f>
        <v>#REF!</v>
      </c>
      <c r="AW100" s="7" t="e">
        <f t="shared" ref="AW100:AW106" si="190">AK100=C100</f>
        <v>#REF!</v>
      </c>
      <c r="AX100" s="7" t="e">
        <f t="shared" ref="AX100:AX106" si="191">F100=AL100</f>
        <v>#REF!</v>
      </c>
      <c r="AY100" s="7" t="e">
        <f t="shared" ref="AY100:AY106" si="192">AM100=I100</f>
        <v>#REF!</v>
      </c>
      <c r="AZ100" s="7" t="e">
        <f t="shared" ref="AZ100:AZ106" si="193">AN100=L100</f>
        <v>#REF!</v>
      </c>
      <c r="BA100" s="7" t="b">
        <f t="shared" ref="BA100:BA106" si="194">AO100=O100</f>
        <v>0</v>
      </c>
      <c r="BB100" s="7" t="e">
        <f t="shared" ref="BB100:BB106" si="195">AP100=R100</f>
        <v>#REF!</v>
      </c>
      <c r="BC100" s="7" t="e">
        <f t="shared" ref="BC100:BC106" si="196">AQ100=S100</f>
        <v>#REF!</v>
      </c>
      <c r="BD100" s="7" t="e">
        <f t="shared" ref="BD100:BD106" si="197">AR100=T100</f>
        <v>#REF!</v>
      </c>
      <c r="BE100" s="7" t="e">
        <f t="shared" ref="BE100:BE106" si="198">AS100=U100</f>
        <v>#REF!</v>
      </c>
    </row>
    <row r="101" spans="1:65" s="7" customFormat="1" ht="169.5" hidden="1" customHeight="1" x14ac:dyDescent="0.25">
      <c r="A101" s="276">
        <v>91</v>
      </c>
      <c r="B101" s="343" t="s">
        <v>203</v>
      </c>
      <c r="C101" s="331" t="s">
        <v>396</v>
      </c>
      <c r="D101" s="206" t="s">
        <v>397</v>
      </c>
      <c r="E101" s="436" t="s">
        <v>41</v>
      </c>
      <c r="F101" s="346">
        <v>1</v>
      </c>
      <c r="G101" s="436" t="s">
        <v>42</v>
      </c>
      <c r="H101" s="333" t="str">
        <f>VLOOKUP(C101,ITEMS_BolsaOperador!$D$2:$AQ$499,10,0)</f>
        <v>Fallabella</v>
      </c>
      <c r="I101" s="334">
        <v>40252.100840336134</v>
      </c>
      <c r="J101" s="310">
        <f t="shared" si="185"/>
        <v>7647.8991596638652</v>
      </c>
      <c r="K101" s="280">
        <f t="shared" si="148"/>
        <v>47900</v>
      </c>
      <c r="L101" s="281">
        <f t="shared" si="149"/>
        <v>40252.100840336134</v>
      </c>
      <c r="M101" s="281">
        <f t="shared" si="150"/>
        <v>47900</v>
      </c>
      <c r="N101" s="335" t="str">
        <f>VLOOKUP(C101,ITEMS_BolsaOperador!$D$2:$AQ$499,23,0)</f>
        <v>Homme Center</v>
      </c>
      <c r="O101" s="336">
        <v>43613.445378151264</v>
      </c>
      <c r="P101" s="311">
        <f t="shared" si="187"/>
        <v>8286.5546218487398</v>
      </c>
      <c r="Q101" s="283">
        <f t="shared" si="151"/>
        <v>51900</v>
      </c>
      <c r="R101" s="284">
        <f t="shared" si="152"/>
        <v>43613.445378151264</v>
      </c>
      <c r="S101" s="284">
        <f t="shared" si="153"/>
        <v>51900</v>
      </c>
      <c r="T101" s="313" t="str">
        <f>VLOOKUP(C101,ITEMS_BolsaOperador!$D$2:$AQ$499,36,0)</f>
        <v>SUESCUN</v>
      </c>
      <c r="U101" s="314">
        <v>42016.806722689078</v>
      </c>
      <c r="V101" s="312">
        <f t="shared" si="186"/>
        <v>7983.1932773109247</v>
      </c>
      <c r="W101" s="286">
        <f t="shared" si="155"/>
        <v>50000</v>
      </c>
      <c r="X101" s="287">
        <f t="shared" si="156"/>
        <v>42016.806722689078</v>
      </c>
      <c r="Y101" s="287">
        <f t="shared" si="157"/>
        <v>50000</v>
      </c>
      <c r="Z101" s="288">
        <f t="shared" si="98"/>
        <v>49933.333333333336</v>
      </c>
      <c r="AA101" s="288">
        <f t="shared" si="99"/>
        <v>49933.333333333336</v>
      </c>
      <c r="AB101" s="288">
        <f t="shared" si="100"/>
        <v>2000.8331597945225</v>
      </c>
      <c r="AC101" s="229">
        <f t="shared" si="101"/>
        <v>4.0070089982533828E-2</v>
      </c>
      <c r="AD101" s="141"/>
      <c r="AE101" s="290" t="b">
        <f t="shared" si="154"/>
        <v>1</v>
      </c>
      <c r="AF101" s="291" t="s">
        <v>357</v>
      </c>
      <c r="AG101" s="7" t="e">
        <f>VLOOKUP(#REF!,ITEMS_BolsaOperador!$D$1:$AY$276,48,0)</f>
        <v>#REF!</v>
      </c>
      <c r="AH101" s="7" t="e">
        <f>VLOOKUP(#REF!,ITEMS_BolsaOperador!$D$1:$AY$276,1,0)</f>
        <v>#REF!</v>
      </c>
      <c r="AI101" s="7" t="e">
        <f>VLOOKUP(#REF!,ITEMS_BolsaOperador!$D$1:$AY$276,2,0)</f>
        <v>#REF!</v>
      </c>
      <c r="AJ101" s="7" t="e">
        <f>VLOOKUP(#REF!,ITEMS_BolsaOperador!$D$1:$AY$276,10,0)</f>
        <v>#REF!</v>
      </c>
      <c r="AK101" s="7" t="e">
        <f>VLOOKUP(#REF!,ITEMS_BolsaOperador!$D$1:$AY$276,16,0)</f>
        <v>#REF!</v>
      </c>
      <c r="AL101" s="7" t="e">
        <f>VLOOKUP(#REF!,ITEMS_BolsaOperador!$D$1:$AY$276,23,0)</f>
        <v>#REF!</v>
      </c>
      <c r="AM101" s="7" t="e">
        <f>VLOOKUP(#REF!,ITEMS_BolsaOperador!$D$1:$AY$276,29,0)</f>
        <v>#REF!</v>
      </c>
      <c r="AN101" s="7" t="e">
        <f>VLOOKUP(#REF!,ITEMS_BolsaOperador!$D$1:$AY$276,36,0)</f>
        <v>#REF!</v>
      </c>
      <c r="AO101" s="292">
        <f>VLOOKUP(C101,ITEMS_BolsaOperador!$D$2:$AY$287,48,0)</f>
        <v>4.0070089982533828E-2</v>
      </c>
      <c r="AP101" s="291" t="e">
        <f>VLOOKUP(#REF!,ITEMS_BolsaOperador!$D$1:$AY$276,45,0)</f>
        <v>#REF!</v>
      </c>
      <c r="AQ101" s="291" t="e">
        <f>VLOOKUP(#REF!,ITEMS_BolsaOperador!$D$1:$AY$276,46,0)</f>
        <v>#REF!</v>
      </c>
      <c r="AR101" s="291" t="e">
        <f>VLOOKUP(#REF!,ITEMS_BolsaOperador!$D$1:$AY$276,47,0)</f>
        <v>#REF!</v>
      </c>
      <c r="AS101" s="291" t="e">
        <f>VLOOKUP(#REF!,ITEMS_BolsaOperador!$D$1:$AY$276,48,0)</f>
        <v>#REF!</v>
      </c>
      <c r="AT101" s="291"/>
      <c r="AU101" s="291" t="e">
        <f t="shared" ref="AU101" si="199">AI101=#REF!</f>
        <v>#REF!</v>
      </c>
      <c r="AV101" s="291" t="e">
        <f t="shared" ref="AV101" si="200">AJ101=#REF!</f>
        <v>#REF!</v>
      </c>
      <c r="AW101" s="291" t="e">
        <f t="shared" si="190"/>
        <v>#REF!</v>
      </c>
      <c r="AX101" s="293" t="e">
        <f t="shared" si="191"/>
        <v>#REF!</v>
      </c>
      <c r="AY101" s="293" t="e">
        <f t="shared" si="192"/>
        <v>#REF!</v>
      </c>
      <c r="AZ101" s="293" t="e">
        <f t="shared" si="193"/>
        <v>#REF!</v>
      </c>
      <c r="BA101" s="229" t="b">
        <f t="shared" si="194"/>
        <v>0</v>
      </c>
      <c r="BB101" s="7" t="e">
        <f t="shared" si="195"/>
        <v>#REF!</v>
      </c>
      <c r="BC101" s="7" t="e">
        <f t="shared" si="196"/>
        <v>#REF!</v>
      </c>
      <c r="BD101" s="7" t="e">
        <f t="shared" si="197"/>
        <v>#REF!</v>
      </c>
      <c r="BE101" s="7" t="e">
        <f t="shared" si="198"/>
        <v>#REF!</v>
      </c>
    </row>
    <row r="102" spans="1:65" s="7" customFormat="1" ht="169.5" hidden="1" customHeight="1" x14ac:dyDescent="0.25">
      <c r="A102" s="276">
        <v>92</v>
      </c>
      <c r="B102" s="343" t="s">
        <v>203</v>
      </c>
      <c r="C102" s="331" t="s">
        <v>375</v>
      </c>
      <c r="D102" s="206" t="s">
        <v>376</v>
      </c>
      <c r="E102" s="436" t="s">
        <v>41</v>
      </c>
      <c r="F102" s="346">
        <v>2</v>
      </c>
      <c r="G102" s="436" t="s">
        <v>42</v>
      </c>
      <c r="H102" s="333" t="str">
        <f>VLOOKUP(C102,ITEMS_BolsaOperador!$D$2:$AQ$499,10,0)</f>
        <v>Ofix</v>
      </c>
      <c r="I102" s="334">
        <v>1786.5546218487395</v>
      </c>
      <c r="J102" s="310">
        <f t="shared" si="185"/>
        <v>339.44537815126051</v>
      </c>
      <c r="K102" s="280">
        <f t="shared" si="148"/>
        <v>2126</v>
      </c>
      <c r="L102" s="281">
        <f t="shared" si="149"/>
        <v>3573.1092436974791</v>
      </c>
      <c r="M102" s="281">
        <f t="shared" si="150"/>
        <v>4252</v>
      </c>
      <c r="N102" s="335" t="str">
        <f>VLOOKUP(C102,ITEMS_BolsaOperador!$D$2:$AQ$499,23,0)</f>
        <v>La Garza</v>
      </c>
      <c r="O102" s="336">
        <v>2100.840336134454</v>
      </c>
      <c r="P102" s="311">
        <f t="shared" si="187"/>
        <v>399.15966386554624</v>
      </c>
      <c r="Q102" s="283">
        <f t="shared" si="151"/>
        <v>2500</v>
      </c>
      <c r="R102" s="284">
        <f t="shared" si="152"/>
        <v>4201.680672268908</v>
      </c>
      <c r="S102" s="284">
        <f t="shared" si="153"/>
        <v>5000</v>
      </c>
      <c r="T102" s="313" t="str">
        <f>VLOOKUP(C102,ITEMS_BolsaOperador!$D$2:$AQ$499,36,0)</f>
        <v>DINGLI - DETALSHOP</v>
      </c>
      <c r="U102" s="314">
        <v>1500</v>
      </c>
      <c r="V102" s="312">
        <f t="shared" si="186"/>
        <v>285</v>
      </c>
      <c r="W102" s="286">
        <f t="shared" si="155"/>
        <v>1785</v>
      </c>
      <c r="X102" s="287">
        <f t="shared" si="156"/>
        <v>3000</v>
      </c>
      <c r="Y102" s="287">
        <f t="shared" si="157"/>
        <v>3570</v>
      </c>
      <c r="Z102" s="288">
        <f t="shared" si="98"/>
        <v>2137</v>
      </c>
      <c r="AA102" s="288">
        <f t="shared" si="99"/>
        <v>4274</v>
      </c>
      <c r="AB102" s="288">
        <f t="shared" si="100"/>
        <v>715.25380110838978</v>
      </c>
      <c r="AC102" s="229">
        <f t="shared" si="101"/>
        <v>0.16734997686204722</v>
      </c>
      <c r="AD102" s="141"/>
      <c r="AE102" s="290" t="b">
        <f t="shared" si="154"/>
        <v>1</v>
      </c>
      <c r="AF102" s="291" t="s">
        <v>357</v>
      </c>
      <c r="AG102" s="7" t="e">
        <f>VLOOKUP(#REF!,ITEMS_BolsaOperador!$D$1:$AY$276,48,0)</f>
        <v>#REF!</v>
      </c>
      <c r="AH102" s="7" t="e">
        <f>VLOOKUP(#REF!,ITEMS_BolsaOperador!$D$1:$AY$276,1,0)</f>
        <v>#REF!</v>
      </c>
      <c r="AI102" s="7" t="e">
        <f>VLOOKUP(#REF!,ITEMS_BolsaOperador!$D$1:$AY$276,2,0)</f>
        <v>#REF!</v>
      </c>
      <c r="AJ102" s="7" t="e">
        <f>VLOOKUP(#REF!,ITEMS_BolsaOperador!$D$1:$AY$276,10,0)</f>
        <v>#REF!</v>
      </c>
      <c r="AK102" s="7" t="e">
        <f>VLOOKUP(#REF!,ITEMS_BolsaOperador!$D$1:$AY$276,16,0)</f>
        <v>#REF!</v>
      </c>
      <c r="AL102" s="7" t="e">
        <f>VLOOKUP(#REF!,ITEMS_BolsaOperador!$D$1:$AY$276,23,0)</f>
        <v>#REF!</v>
      </c>
      <c r="AM102" s="7" t="e">
        <f>VLOOKUP(#REF!,ITEMS_BolsaOperador!$D$1:$AY$276,29,0)</f>
        <v>#REF!</v>
      </c>
      <c r="AN102" s="7" t="e">
        <f>VLOOKUP(#REF!,ITEMS_BolsaOperador!$D$1:$AY$276,36,0)</f>
        <v>#REF!</v>
      </c>
      <c r="AO102" s="292">
        <f>VLOOKUP(C102,ITEMS_BolsaOperador!$D$2:$AY$287,48,0)</f>
        <v>0.16734997686204722</v>
      </c>
      <c r="AP102" s="291" t="e">
        <f>VLOOKUP(#REF!,ITEMS_BolsaOperador!$D$1:$AY$276,45,0)</f>
        <v>#REF!</v>
      </c>
      <c r="AQ102" s="291" t="e">
        <f>VLOOKUP(#REF!,ITEMS_BolsaOperador!$D$1:$AY$276,46,0)</f>
        <v>#REF!</v>
      </c>
      <c r="AR102" s="291" t="e">
        <f>VLOOKUP(#REF!,ITEMS_BolsaOperador!$D$1:$AY$276,47,0)</f>
        <v>#REF!</v>
      </c>
      <c r="AS102" s="291" t="e">
        <f>VLOOKUP(#REF!,ITEMS_BolsaOperador!$D$1:$AY$276,48,0)</f>
        <v>#REF!</v>
      </c>
      <c r="AT102" s="291"/>
      <c r="AU102" s="291" t="e">
        <f t="shared" ref="AU102" si="201">AI102=#REF!</f>
        <v>#REF!</v>
      </c>
      <c r="AV102" s="291" t="e">
        <f t="shared" ref="AV102" si="202">AJ102=#REF!</f>
        <v>#REF!</v>
      </c>
      <c r="AW102" s="291" t="e">
        <f t="shared" si="190"/>
        <v>#REF!</v>
      </c>
      <c r="AX102" s="293" t="e">
        <f t="shared" si="191"/>
        <v>#REF!</v>
      </c>
      <c r="AY102" s="293" t="e">
        <f t="shared" si="192"/>
        <v>#REF!</v>
      </c>
      <c r="AZ102" s="293" t="e">
        <f t="shared" si="193"/>
        <v>#REF!</v>
      </c>
      <c r="BA102" s="229" t="b">
        <f t="shared" si="194"/>
        <v>0</v>
      </c>
      <c r="BB102" s="7" t="e">
        <f t="shared" si="195"/>
        <v>#REF!</v>
      </c>
      <c r="BC102" s="7" t="e">
        <f t="shared" si="196"/>
        <v>#REF!</v>
      </c>
      <c r="BD102" s="7" t="e">
        <f t="shared" si="197"/>
        <v>#REF!</v>
      </c>
      <c r="BE102" s="7" t="e">
        <f t="shared" si="198"/>
        <v>#REF!</v>
      </c>
    </row>
    <row r="103" spans="1:65" s="7" customFormat="1" ht="169.5" hidden="1" customHeight="1" x14ac:dyDescent="0.25">
      <c r="A103" s="276">
        <v>93</v>
      </c>
      <c r="B103" s="343" t="s">
        <v>203</v>
      </c>
      <c r="C103" s="331" t="s">
        <v>377</v>
      </c>
      <c r="D103" s="206" t="s">
        <v>378</v>
      </c>
      <c r="E103" s="436" t="s">
        <v>41</v>
      </c>
      <c r="F103" s="346">
        <v>35</v>
      </c>
      <c r="G103" s="436" t="s">
        <v>42</v>
      </c>
      <c r="H103" s="333" t="str">
        <f>VLOOKUP(C103,ITEMS_BolsaOperador!$D$2:$AQ$499,10,0)</f>
        <v>Gran Papelera</v>
      </c>
      <c r="I103" s="334">
        <v>5042.0168067226896</v>
      </c>
      <c r="J103" s="310">
        <f t="shared" si="185"/>
        <v>957.98319327731099</v>
      </c>
      <c r="K103" s="280">
        <f t="shared" si="148"/>
        <v>6000.0000000000009</v>
      </c>
      <c r="L103" s="281">
        <f t="shared" si="149"/>
        <v>176470.58823529413</v>
      </c>
      <c r="M103" s="281">
        <f t="shared" si="150"/>
        <v>210000.00000000003</v>
      </c>
      <c r="N103" s="335" t="str">
        <f>VLOOKUP(C103,ITEMS_BolsaOperador!$D$2:$AQ$499,23,0)</f>
        <v>Papeleria la Estacion de Suba</v>
      </c>
      <c r="O103" s="336">
        <v>5966.3865546218494</v>
      </c>
      <c r="P103" s="311">
        <f t="shared" si="187"/>
        <v>1133.6134453781515</v>
      </c>
      <c r="Q103" s="283">
        <f t="shared" si="151"/>
        <v>7100.0000000000009</v>
      </c>
      <c r="R103" s="284">
        <f t="shared" si="152"/>
        <v>208823.52941176473</v>
      </c>
      <c r="S103" s="284">
        <f t="shared" si="153"/>
        <v>248500.00000000003</v>
      </c>
      <c r="T103" s="313" t="str">
        <f>VLOOKUP(C103,ITEMS_BolsaOperador!$D$2:$AQ$499,36,0)</f>
        <v>Papeleria Gran Central</v>
      </c>
      <c r="U103" s="314">
        <v>5462.1848739495799</v>
      </c>
      <c r="V103" s="312">
        <f t="shared" si="186"/>
        <v>1037.8151260504203</v>
      </c>
      <c r="W103" s="286">
        <f t="shared" si="155"/>
        <v>6500</v>
      </c>
      <c r="X103" s="287">
        <f t="shared" si="156"/>
        <v>191176.4705882353</v>
      </c>
      <c r="Y103" s="287">
        <f t="shared" si="157"/>
        <v>227500</v>
      </c>
      <c r="Z103" s="288">
        <f t="shared" si="98"/>
        <v>6533.333333333333</v>
      </c>
      <c r="AA103" s="288">
        <f t="shared" si="99"/>
        <v>228666.66666666666</v>
      </c>
      <c r="AB103" s="288">
        <f t="shared" si="100"/>
        <v>19276.496915501357</v>
      </c>
      <c r="AC103" s="229">
        <f t="shared" si="101"/>
        <v>8.4299549193154619E-2</v>
      </c>
      <c r="AD103" s="141"/>
      <c r="AE103" s="290" t="b">
        <f t="shared" si="154"/>
        <v>1</v>
      </c>
      <c r="AF103" s="291" t="s">
        <v>357</v>
      </c>
      <c r="AG103" s="7" t="e">
        <f>VLOOKUP(#REF!,ITEMS_BolsaOperador!$D$1:$AY$276,48,0)</f>
        <v>#REF!</v>
      </c>
      <c r="AH103" s="7" t="e">
        <f>VLOOKUP(#REF!,ITEMS_BolsaOperador!$D$1:$AY$276,1,0)</f>
        <v>#REF!</v>
      </c>
      <c r="AI103" s="7" t="e">
        <f>VLOOKUP(#REF!,ITEMS_BolsaOperador!$D$1:$AY$276,2,0)</f>
        <v>#REF!</v>
      </c>
      <c r="AJ103" s="7" t="e">
        <f>VLOOKUP(#REF!,ITEMS_BolsaOperador!$D$1:$AY$276,10,0)</f>
        <v>#REF!</v>
      </c>
      <c r="AK103" s="7" t="e">
        <f>VLOOKUP(#REF!,ITEMS_BolsaOperador!$D$1:$AY$276,16,0)</f>
        <v>#REF!</v>
      </c>
      <c r="AL103" s="7" t="e">
        <f>VLOOKUP(#REF!,ITEMS_BolsaOperador!$D$1:$AY$276,23,0)</f>
        <v>#REF!</v>
      </c>
      <c r="AM103" s="7" t="e">
        <f>VLOOKUP(#REF!,ITEMS_BolsaOperador!$D$1:$AY$276,29,0)</f>
        <v>#REF!</v>
      </c>
      <c r="AN103" s="7" t="e">
        <f>VLOOKUP(#REF!,ITEMS_BolsaOperador!$D$1:$AY$276,36,0)</f>
        <v>#REF!</v>
      </c>
      <c r="AO103" s="292">
        <f>VLOOKUP(C103,ITEMS_BolsaOperador!$D$2:$AY$287,48,0)</f>
        <v>8.4299549193154633E-2</v>
      </c>
      <c r="AP103" s="291" t="e">
        <f>VLOOKUP(#REF!,ITEMS_BolsaOperador!$D$1:$AY$276,45,0)</f>
        <v>#REF!</v>
      </c>
      <c r="AQ103" s="291" t="e">
        <f>VLOOKUP(#REF!,ITEMS_BolsaOperador!$D$1:$AY$276,46,0)</f>
        <v>#REF!</v>
      </c>
      <c r="AR103" s="291" t="e">
        <f>VLOOKUP(#REF!,ITEMS_BolsaOperador!$D$1:$AY$276,47,0)</f>
        <v>#REF!</v>
      </c>
      <c r="AS103" s="291" t="e">
        <f>VLOOKUP(#REF!,ITEMS_BolsaOperador!$D$1:$AY$276,48,0)</f>
        <v>#REF!</v>
      </c>
      <c r="AT103" s="291"/>
      <c r="AU103" s="291" t="e">
        <f t="shared" ref="AU103" si="203">AI103=#REF!</f>
        <v>#REF!</v>
      </c>
      <c r="AV103" s="291" t="e">
        <f t="shared" ref="AV103" si="204">AJ103=#REF!</f>
        <v>#REF!</v>
      </c>
      <c r="AW103" s="291" t="e">
        <f t="shared" si="190"/>
        <v>#REF!</v>
      </c>
      <c r="AX103" s="293" t="e">
        <f t="shared" si="191"/>
        <v>#REF!</v>
      </c>
      <c r="AY103" s="293" t="e">
        <f t="shared" si="192"/>
        <v>#REF!</v>
      </c>
      <c r="AZ103" s="293" t="e">
        <f t="shared" si="193"/>
        <v>#REF!</v>
      </c>
      <c r="BA103" s="229" t="b">
        <f t="shared" si="194"/>
        <v>0</v>
      </c>
      <c r="BB103" s="7" t="e">
        <f t="shared" si="195"/>
        <v>#REF!</v>
      </c>
      <c r="BC103" s="7" t="e">
        <f t="shared" si="196"/>
        <v>#REF!</v>
      </c>
      <c r="BD103" s="7" t="e">
        <f t="shared" si="197"/>
        <v>#REF!</v>
      </c>
      <c r="BE103" s="7" t="e">
        <f t="shared" si="198"/>
        <v>#REF!</v>
      </c>
    </row>
    <row r="104" spans="1:65" s="7" customFormat="1" ht="169.5" hidden="1" customHeight="1" x14ac:dyDescent="0.25">
      <c r="A104" s="276">
        <v>94</v>
      </c>
      <c r="B104" s="343" t="s">
        <v>203</v>
      </c>
      <c r="C104" s="331" t="s">
        <v>398</v>
      </c>
      <c r="D104" s="206" t="s">
        <v>399</v>
      </c>
      <c r="E104" s="436" t="s">
        <v>41</v>
      </c>
      <c r="F104" s="346">
        <v>4</v>
      </c>
      <c r="G104" s="436" t="s">
        <v>42</v>
      </c>
      <c r="H104" s="333" t="str">
        <f>VLOOKUP(C104,ITEMS_BolsaOperador!$D$2:$AQ$499,10,0)</f>
        <v>Gran Papelera</v>
      </c>
      <c r="I104" s="334">
        <v>9243.6974789915967</v>
      </c>
      <c r="J104" s="310">
        <f t="shared" si="185"/>
        <v>1756.3025210084033</v>
      </c>
      <c r="K104" s="280">
        <f t="shared" si="148"/>
        <v>11000</v>
      </c>
      <c r="L104" s="281">
        <f t="shared" si="149"/>
        <v>36974.789915966387</v>
      </c>
      <c r="M104" s="281">
        <f t="shared" si="150"/>
        <v>44000</v>
      </c>
      <c r="N104" s="335" t="str">
        <f>VLOOKUP(C104,ITEMS_BolsaOperador!$D$2:$AQ$499,23,0)</f>
        <v>Cartel Arte y papeleria</v>
      </c>
      <c r="O104" s="336">
        <v>7899.1596638655465</v>
      </c>
      <c r="P104" s="311">
        <f t="shared" si="187"/>
        <v>1500.8403361344538</v>
      </c>
      <c r="Q104" s="283">
        <f t="shared" si="151"/>
        <v>9400</v>
      </c>
      <c r="R104" s="284">
        <f t="shared" si="152"/>
        <v>31596.638655462186</v>
      </c>
      <c r="S104" s="284">
        <f t="shared" si="153"/>
        <v>37600</v>
      </c>
      <c r="T104" s="313" t="str">
        <f>VLOOKUP(C104,ITEMS_BolsaOperador!$D$2:$AQ$499,36,0)</f>
        <v>Icopel</v>
      </c>
      <c r="U104" s="314">
        <v>10000</v>
      </c>
      <c r="V104" s="312">
        <f t="shared" si="186"/>
        <v>1900</v>
      </c>
      <c r="W104" s="286">
        <f t="shared" si="155"/>
        <v>11900</v>
      </c>
      <c r="X104" s="287">
        <f t="shared" si="156"/>
        <v>40000</v>
      </c>
      <c r="Y104" s="287">
        <f t="shared" si="157"/>
        <v>47600</v>
      </c>
      <c r="Z104" s="288">
        <f t="shared" si="98"/>
        <v>10766.666666666666</v>
      </c>
      <c r="AA104" s="288">
        <f t="shared" si="99"/>
        <v>43066.666666666664</v>
      </c>
      <c r="AB104" s="288">
        <f t="shared" si="100"/>
        <v>5064.9119768593546</v>
      </c>
      <c r="AC104" s="229">
        <f t="shared" si="101"/>
        <v>0.1176063152521522</v>
      </c>
      <c r="AD104" s="141"/>
      <c r="AE104" s="290" t="b">
        <f t="shared" si="154"/>
        <v>1</v>
      </c>
      <c r="AF104" s="291" t="s">
        <v>357</v>
      </c>
      <c r="AG104" s="7" t="e">
        <f>VLOOKUP(#REF!,ITEMS_BolsaOperador!$D$1:$AY$276,48,0)</f>
        <v>#REF!</v>
      </c>
      <c r="AH104" s="7" t="e">
        <f>VLOOKUP(#REF!,ITEMS_BolsaOperador!$D$1:$AY$276,1,0)</f>
        <v>#REF!</v>
      </c>
      <c r="AI104" s="7" t="e">
        <f>VLOOKUP(#REF!,ITEMS_BolsaOperador!$D$1:$AY$276,2,0)</f>
        <v>#REF!</v>
      </c>
      <c r="AJ104" s="7" t="e">
        <f>VLOOKUP(#REF!,ITEMS_BolsaOperador!$D$1:$AY$276,10,0)</f>
        <v>#REF!</v>
      </c>
      <c r="AK104" s="7" t="e">
        <f>VLOOKUP(#REF!,ITEMS_BolsaOperador!$D$1:$AY$276,16,0)</f>
        <v>#REF!</v>
      </c>
      <c r="AL104" s="7" t="e">
        <f>VLOOKUP(#REF!,ITEMS_BolsaOperador!$D$1:$AY$276,23,0)</f>
        <v>#REF!</v>
      </c>
      <c r="AM104" s="7" t="e">
        <f>VLOOKUP(#REF!,ITEMS_BolsaOperador!$D$1:$AY$276,29,0)</f>
        <v>#REF!</v>
      </c>
      <c r="AN104" s="7" t="e">
        <f>VLOOKUP(#REF!,ITEMS_BolsaOperador!$D$1:$AY$276,36,0)</f>
        <v>#REF!</v>
      </c>
      <c r="AO104" s="292">
        <f>VLOOKUP(C104,ITEMS_BolsaOperador!$D$2:$AY$287,48,0)</f>
        <v>0.1176063152521522</v>
      </c>
      <c r="AP104" s="291" t="e">
        <f>VLOOKUP(#REF!,ITEMS_BolsaOperador!$D$1:$AY$276,45,0)</f>
        <v>#REF!</v>
      </c>
      <c r="AQ104" s="291" t="e">
        <f>VLOOKUP(#REF!,ITEMS_BolsaOperador!$D$1:$AY$276,46,0)</f>
        <v>#REF!</v>
      </c>
      <c r="AR104" s="291" t="e">
        <f>VLOOKUP(#REF!,ITEMS_BolsaOperador!$D$1:$AY$276,47,0)</f>
        <v>#REF!</v>
      </c>
      <c r="AS104" s="291" t="e">
        <f>VLOOKUP(#REF!,ITEMS_BolsaOperador!$D$1:$AY$276,48,0)</f>
        <v>#REF!</v>
      </c>
      <c r="AT104" s="291"/>
      <c r="AU104" s="291" t="e">
        <f t="shared" ref="AU104" si="205">AI104=#REF!</f>
        <v>#REF!</v>
      </c>
      <c r="AV104" s="291" t="e">
        <f t="shared" ref="AV104" si="206">AJ104=#REF!</f>
        <v>#REF!</v>
      </c>
      <c r="AW104" s="291" t="e">
        <f t="shared" si="190"/>
        <v>#REF!</v>
      </c>
      <c r="AX104" s="293" t="e">
        <f t="shared" si="191"/>
        <v>#REF!</v>
      </c>
      <c r="AY104" s="293" t="e">
        <f t="shared" si="192"/>
        <v>#REF!</v>
      </c>
      <c r="AZ104" s="293" t="e">
        <f t="shared" si="193"/>
        <v>#REF!</v>
      </c>
      <c r="BA104" s="229" t="b">
        <f t="shared" si="194"/>
        <v>0</v>
      </c>
      <c r="BB104" s="7" t="e">
        <f t="shared" si="195"/>
        <v>#REF!</v>
      </c>
      <c r="BC104" s="7" t="e">
        <f t="shared" si="196"/>
        <v>#REF!</v>
      </c>
      <c r="BD104" s="7" t="e">
        <f t="shared" si="197"/>
        <v>#REF!</v>
      </c>
      <c r="BE104" s="7" t="e">
        <f t="shared" si="198"/>
        <v>#REF!</v>
      </c>
    </row>
    <row r="105" spans="1:65" s="7" customFormat="1" ht="169.5" hidden="1" customHeight="1" x14ac:dyDescent="0.25">
      <c r="A105" s="276">
        <v>95</v>
      </c>
      <c r="B105" s="343" t="s">
        <v>203</v>
      </c>
      <c r="C105" s="331" t="s">
        <v>400</v>
      </c>
      <c r="D105" s="206" t="s">
        <v>401</v>
      </c>
      <c r="E105" s="436" t="s">
        <v>41</v>
      </c>
      <c r="F105" s="346">
        <v>2</v>
      </c>
      <c r="G105" s="436" t="s">
        <v>42</v>
      </c>
      <c r="H105" s="333" t="str">
        <f>VLOOKUP(C105,ITEMS_BolsaOperador!$D$2:$AQ$499,10,0)</f>
        <v>SG DIGITAL S.A.S</v>
      </c>
      <c r="I105" s="334">
        <v>285714.28571428574</v>
      </c>
      <c r="J105" s="310">
        <f t="shared" si="185"/>
        <v>54285.71428571429</v>
      </c>
      <c r="K105" s="280">
        <f t="shared" si="148"/>
        <v>340000</v>
      </c>
      <c r="L105" s="281">
        <f t="shared" si="149"/>
        <v>571428.57142857148</v>
      </c>
      <c r="M105" s="281">
        <f t="shared" si="150"/>
        <v>680000</v>
      </c>
      <c r="N105" s="335" t="str">
        <f>VLOOKUP(C105,ITEMS_BolsaOperador!$D$2:$AQ$499,23,0)</f>
        <v>INVENTIVA</v>
      </c>
      <c r="O105" s="336">
        <v>210000</v>
      </c>
      <c r="P105" s="311">
        <f t="shared" si="187"/>
        <v>39900</v>
      </c>
      <c r="Q105" s="283">
        <f t="shared" si="151"/>
        <v>249900</v>
      </c>
      <c r="R105" s="284">
        <f t="shared" si="152"/>
        <v>420000</v>
      </c>
      <c r="S105" s="284">
        <f t="shared" si="153"/>
        <v>499800</v>
      </c>
      <c r="T105" s="313" t="str">
        <f>VLOOKUP(C105,ITEMS_BolsaOperador!$D$2:$AQ$499,36,0)</f>
        <v xml:space="preserve">NEXUS </v>
      </c>
      <c r="U105" s="314">
        <v>250000</v>
      </c>
      <c r="V105" s="312">
        <f t="shared" si="186"/>
        <v>47500</v>
      </c>
      <c r="W105" s="286">
        <f t="shared" si="155"/>
        <v>297500</v>
      </c>
      <c r="X105" s="287">
        <f t="shared" si="156"/>
        <v>500000</v>
      </c>
      <c r="Y105" s="287">
        <f t="shared" si="157"/>
        <v>595000</v>
      </c>
      <c r="Z105" s="288">
        <f t="shared" si="98"/>
        <v>295800</v>
      </c>
      <c r="AA105" s="288">
        <f t="shared" si="99"/>
        <v>591600</v>
      </c>
      <c r="AB105" s="288">
        <f t="shared" si="100"/>
        <v>90148.100368227388</v>
      </c>
      <c r="AC105" s="229">
        <f t="shared" si="101"/>
        <v>0.15238015613290634</v>
      </c>
      <c r="AD105" s="141"/>
      <c r="AE105" s="290" t="b">
        <f t="shared" si="154"/>
        <v>1</v>
      </c>
      <c r="AF105" s="291" t="s">
        <v>357</v>
      </c>
      <c r="AG105" s="7" t="e">
        <f>VLOOKUP(#REF!,ITEMS_BolsaOperador!$D$1:$AY$276,48,0)</f>
        <v>#REF!</v>
      </c>
      <c r="AH105" s="7" t="e">
        <f>VLOOKUP(#REF!,ITEMS_BolsaOperador!$D$1:$AY$276,1,0)</f>
        <v>#REF!</v>
      </c>
      <c r="AI105" s="7" t="e">
        <f>VLOOKUP(#REF!,ITEMS_BolsaOperador!$D$1:$AY$276,2,0)</f>
        <v>#REF!</v>
      </c>
      <c r="AJ105" s="7" t="e">
        <f>VLOOKUP(#REF!,ITEMS_BolsaOperador!$D$1:$AY$276,10,0)</f>
        <v>#REF!</v>
      </c>
      <c r="AK105" s="7" t="e">
        <f>VLOOKUP(#REF!,ITEMS_BolsaOperador!$D$1:$AY$276,16,0)</f>
        <v>#REF!</v>
      </c>
      <c r="AL105" s="7" t="e">
        <f>VLOOKUP(#REF!,ITEMS_BolsaOperador!$D$1:$AY$276,23,0)</f>
        <v>#REF!</v>
      </c>
      <c r="AM105" s="7" t="e">
        <f>VLOOKUP(#REF!,ITEMS_BolsaOperador!$D$1:$AY$276,29,0)</f>
        <v>#REF!</v>
      </c>
      <c r="AN105" s="7" t="e">
        <f>VLOOKUP(#REF!,ITEMS_BolsaOperador!$D$1:$AY$276,36,0)</f>
        <v>#REF!</v>
      </c>
      <c r="AO105" s="292">
        <f>VLOOKUP(C105,ITEMS_BolsaOperador!$D$2:$AY$287,48,0)</f>
        <v>0.15238015613290634</v>
      </c>
      <c r="AP105" s="291" t="e">
        <f>VLOOKUP(#REF!,ITEMS_BolsaOperador!$D$1:$AY$276,45,0)</f>
        <v>#REF!</v>
      </c>
      <c r="AQ105" s="291" t="e">
        <f>VLOOKUP(#REF!,ITEMS_BolsaOperador!$D$1:$AY$276,46,0)</f>
        <v>#REF!</v>
      </c>
      <c r="AR105" s="291" t="e">
        <f>VLOOKUP(#REF!,ITEMS_BolsaOperador!$D$1:$AY$276,47,0)</f>
        <v>#REF!</v>
      </c>
      <c r="AS105" s="291" t="e">
        <f>VLOOKUP(#REF!,ITEMS_BolsaOperador!$D$1:$AY$276,48,0)</f>
        <v>#REF!</v>
      </c>
      <c r="AT105" s="291"/>
      <c r="AU105" s="291" t="e">
        <f t="shared" ref="AU105" si="207">AI105=#REF!</f>
        <v>#REF!</v>
      </c>
      <c r="AV105" s="291" t="e">
        <f t="shared" ref="AV105" si="208">AJ105=#REF!</f>
        <v>#REF!</v>
      </c>
      <c r="AW105" s="291" t="e">
        <f t="shared" si="190"/>
        <v>#REF!</v>
      </c>
      <c r="AX105" s="293" t="e">
        <f t="shared" si="191"/>
        <v>#REF!</v>
      </c>
      <c r="AY105" s="293" t="e">
        <f t="shared" si="192"/>
        <v>#REF!</v>
      </c>
      <c r="AZ105" s="293" t="e">
        <f t="shared" si="193"/>
        <v>#REF!</v>
      </c>
      <c r="BA105" s="229" t="b">
        <f t="shared" si="194"/>
        <v>0</v>
      </c>
      <c r="BB105" s="7" t="e">
        <f t="shared" si="195"/>
        <v>#REF!</v>
      </c>
      <c r="BC105" s="7" t="e">
        <f t="shared" si="196"/>
        <v>#REF!</v>
      </c>
      <c r="BD105" s="7" t="e">
        <f t="shared" si="197"/>
        <v>#REF!</v>
      </c>
      <c r="BE105" s="7" t="e">
        <f t="shared" si="198"/>
        <v>#REF!</v>
      </c>
    </row>
    <row r="106" spans="1:65" s="7" customFormat="1" ht="169.5" hidden="1" customHeight="1" x14ac:dyDescent="0.25">
      <c r="A106" s="276">
        <v>96</v>
      </c>
      <c r="B106" s="343" t="s">
        <v>203</v>
      </c>
      <c r="C106" s="331" t="s">
        <v>402</v>
      </c>
      <c r="D106" s="206" t="s">
        <v>403</v>
      </c>
      <c r="E106" s="436" t="s">
        <v>41</v>
      </c>
      <c r="F106" s="346">
        <v>1</v>
      </c>
      <c r="G106" s="436" t="s">
        <v>42</v>
      </c>
      <c r="H106" s="333" t="str">
        <f>VLOOKUP(C106,ITEMS_BolsaOperador!$D$2:$AQ$499,10,0)</f>
        <v>JEGAR PUBLICIDAD</v>
      </c>
      <c r="I106" s="334">
        <v>411764.70588235295</v>
      </c>
      <c r="J106" s="310">
        <f t="shared" si="185"/>
        <v>78235.294117647063</v>
      </c>
      <c r="K106" s="280">
        <f t="shared" si="148"/>
        <v>490000</v>
      </c>
      <c r="L106" s="281">
        <f t="shared" si="149"/>
        <v>411764.70588235295</v>
      </c>
      <c r="M106" s="281">
        <f t="shared" si="150"/>
        <v>490000</v>
      </c>
      <c r="N106" s="335" t="str">
        <f>VLOOKUP(C106,ITEMS_BolsaOperador!$D$2:$AQ$499,23,0)</f>
        <v>SG DIGITAL</v>
      </c>
      <c r="O106" s="336">
        <v>462184.87394957984</v>
      </c>
      <c r="P106" s="311">
        <f t="shared" si="187"/>
        <v>87815.126050420164</v>
      </c>
      <c r="Q106" s="283">
        <f t="shared" si="151"/>
        <v>550000</v>
      </c>
      <c r="R106" s="284">
        <f t="shared" si="152"/>
        <v>462184.87394957984</v>
      </c>
      <c r="S106" s="284">
        <f t="shared" si="153"/>
        <v>550000</v>
      </c>
      <c r="T106" s="313" t="str">
        <f>VLOOKUP(C106,ITEMS_BolsaOperador!$D$2:$AQ$499,36,0)</f>
        <v>DICOES GRUPÓ PUBLICITARIO SAS</v>
      </c>
      <c r="U106" s="314">
        <v>585000</v>
      </c>
      <c r="V106" s="312">
        <f t="shared" si="186"/>
        <v>111150</v>
      </c>
      <c r="W106" s="286">
        <f t="shared" si="155"/>
        <v>696150</v>
      </c>
      <c r="X106" s="287">
        <f t="shared" si="156"/>
        <v>585000</v>
      </c>
      <c r="Y106" s="287">
        <f t="shared" si="157"/>
        <v>696150</v>
      </c>
      <c r="Z106" s="288">
        <f t="shared" si="98"/>
        <v>578716.66666666663</v>
      </c>
      <c r="AA106" s="288">
        <f t="shared" si="99"/>
        <v>578716.66666666663</v>
      </c>
      <c r="AB106" s="288">
        <f t="shared" si="100"/>
        <v>106032.73472533523</v>
      </c>
      <c r="AC106" s="229">
        <f t="shared" si="101"/>
        <v>0.18322046146704243</v>
      </c>
      <c r="AD106" s="141"/>
      <c r="AE106" s="290" t="b">
        <f t="shared" si="154"/>
        <v>1</v>
      </c>
      <c r="AF106" s="291" t="s">
        <v>357</v>
      </c>
      <c r="AG106" s="7" t="e">
        <f>VLOOKUP(#REF!,ITEMS_BolsaOperador!$D$1:$AY$276,48,0)</f>
        <v>#REF!</v>
      </c>
      <c r="AH106" s="7" t="e">
        <f>VLOOKUP(#REF!,ITEMS_BolsaOperador!$D$1:$AY$276,1,0)</f>
        <v>#REF!</v>
      </c>
      <c r="AI106" s="7" t="e">
        <f>VLOOKUP(#REF!,ITEMS_BolsaOperador!$D$1:$AY$276,2,0)</f>
        <v>#REF!</v>
      </c>
      <c r="AJ106" s="7" t="e">
        <f>VLOOKUP(#REF!,ITEMS_BolsaOperador!$D$1:$AY$276,10,0)</f>
        <v>#REF!</v>
      </c>
      <c r="AK106" s="7" t="e">
        <f>VLOOKUP(#REF!,ITEMS_BolsaOperador!$D$1:$AY$276,16,0)</f>
        <v>#REF!</v>
      </c>
      <c r="AL106" s="7" t="e">
        <f>VLOOKUP(#REF!,ITEMS_BolsaOperador!$D$1:$AY$276,23,0)</f>
        <v>#REF!</v>
      </c>
      <c r="AM106" s="7" t="e">
        <f>VLOOKUP(#REF!,ITEMS_BolsaOperador!$D$1:$AY$276,29,0)</f>
        <v>#REF!</v>
      </c>
      <c r="AN106" s="7" t="e">
        <f>VLOOKUP(#REF!,ITEMS_BolsaOperador!$D$1:$AY$276,36,0)</f>
        <v>#REF!</v>
      </c>
      <c r="AO106" s="292">
        <f>VLOOKUP(C106,ITEMS_BolsaOperador!$D$2:$AY$287,48,0)</f>
        <v>0.18322046146704243</v>
      </c>
      <c r="AP106" s="291" t="e">
        <f>VLOOKUP(#REF!,ITEMS_BolsaOperador!$D$1:$AY$276,45,0)</f>
        <v>#REF!</v>
      </c>
      <c r="AQ106" s="291" t="e">
        <f>VLOOKUP(#REF!,ITEMS_BolsaOperador!$D$1:$AY$276,46,0)</f>
        <v>#REF!</v>
      </c>
      <c r="AR106" s="291" t="e">
        <f>VLOOKUP(#REF!,ITEMS_BolsaOperador!$D$1:$AY$276,47,0)</f>
        <v>#REF!</v>
      </c>
      <c r="AS106" s="291" t="e">
        <f>VLOOKUP(#REF!,ITEMS_BolsaOperador!$D$1:$AY$276,48,0)</f>
        <v>#REF!</v>
      </c>
      <c r="AT106" s="291"/>
      <c r="AU106" s="291" t="e">
        <f t="shared" ref="AU106" si="209">AI106=#REF!</f>
        <v>#REF!</v>
      </c>
      <c r="AV106" s="291" t="e">
        <f t="shared" ref="AV106" si="210">AJ106=#REF!</f>
        <v>#REF!</v>
      </c>
      <c r="AW106" s="291" t="e">
        <f t="shared" si="190"/>
        <v>#REF!</v>
      </c>
      <c r="AX106" s="293" t="e">
        <f t="shared" si="191"/>
        <v>#REF!</v>
      </c>
      <c r="AY106" s="293" t="e">
        <f t="shared" si="192"/>
        <v>#REF!</v>
      </c>
      <c r="AZ106" s="293" t="e">
        <f t="shared" si="193"/>
        <v>#REF!</v>
      </c>
      <c r="BA106" s="229" t="b">
        <f t="shared" si="194"/>
        <v>0</v>
      </c>
      <c r="BB106" s="7" t="e">
        <f t="shared" si="195"/>
        <v>#REF!</v>
      </c>
      <c r="BC106" s="7" t="e">
        <f t="shared" si="196"/>
        <v>#REF!</v>
      </c>
      <c r="BD106" s="7" t="e">
        <f t="shared" si="197"/>
        <v>#REF!</v>
      </c>
      <c r="BE106" s="7" t="e">
        <f t="shared" si="198"/>
        <v>#REF!</v>
      </c>
    </row>
    <row r="107" spans="1:65" s="7" customFormat="1" ht="104.25" hidden="1" customHeight="1" x14ac:dyDescent="0.35">
      <c r="A107" s="276">
        <v>97</v>
      </c>
      <c r="B107" s="343" t="s">
        <v>203</v>
      </c>
      <c r="C107" s="343" t="s">
        <v>213</v>
      </c>
      <c r="D107" s="135" t="s">
        <v>214</v>
      </c>
      <c r="E107" s="343" t="s">
        <v>41</v>
      </c>
      <c r="F107" s="343">
        <v>70</v>
      </c>
      <c r="G107" s="430" t="s">
        <v>42</v>
      </c>
      <c r="H107" s="333" t="s">
        <v>53</v>
      </c>
      <c r="I107" s="334">
        <v>48000</v>
      </c>
      <c r="J107" s="310">
        <f t="shared" si="185"/>
        <v>9120</v>
      </c>
      <c r="K107" s="280">
        <f t="shared" si="148"/>
        <v>57120</v>
      </c>
      <c r="L107" s="281">
        <f t="shared" si="149"/>
        <v>3360000</v>
      </c>
      <c r="M107" s="281">
        <f t="shared" si="150"/>
        <v>3998400</v>
      </c>
      <c r="N107" s="335" t="s">
        <v>50</v>
      </c>
      <c r="O107" s="336">
        <v>32000</v>
      </c>
      <c r="P107" s="311">
        <f t="shared" si="184"/>
        <v>6080</v>
      </c>
      <c r="Q107" s="283">
        <f t="shared" si="151"/>
        <v>38080</v>
      </c>
      <c r="R107" s="284">
        <f t="shared" si="152"/>
        <v>2240000</v>
      </c>
      <c r="S107" s="284">
        <f t="shared" si="153"/>
        <v>2665600</v>
      </c>
      <c r="T107" s="313" t="s">
        <v>160</v>
      </c>
      <c r="U107" s="314">
        <v>49070</v>
      </c>
      <c r="V107" s="312">
        <f t="shared" si="186"/>
        <v>9323.2999999999993</v>
      </c>
      <c r="W107" s="286">
        <f t="shared" si="155"/>
        <v>58393.3</v>
      </c>
      <c r="X107" s="287">
        <f t="shared" si="156"/>
        <v>3434900</v>
      </c>
      <c r="Y107" s="287">
        <f t="shared" si="157"/>
        <v>4087531</v>
      </c>
      <c r="Z107" s="288">
        <f t="shared" si="98"/>
        <v>51197.766666666663</v>
      </c>
      <c r="AA107" s="288">
        <f t="shared" si="99"/>
        <v>3583843.6666666665</v>
      </c>
      <c r="AB107" s="288">
        <f t="shared" si="100"/>
        <v>796470.1233067892</v>
      </c>
      <c r="AC107" s="229">
        <f t="shared" si="101"/>
        <v>0.22223908110578555</v>
      </c>
      <c r="AD107" s="141"/>
      <c r="AE107" s="290" t="b">
        <f t="shared" si="154"/>
        <v>0</v>
      </c>
      <c r="AF107" s="7" t="s">
        <v>404</v>
      </c>
      <c r="AO107" s="292">
        <f>VLOOKUP(C107,ITEMS_BolsaOperador!$D$254:$AY$276,48,0)</f>
        <v>0.22220000000000001</v>
      </c>
      <c r="AP107" s="291" t="str">
        <f>VLOOKUP(C107,ITEMS_BolsaOperador!$D$254:$AY$276,1,0)</f>
        <v>INSIGNIA TERRITORIAL “BARBERÍA SUBAMENTE CONSCIENTE”</v>
      </c>
      <c r="AQ107" s="291" t="str">
        <f>VLOOKUP(C107,ITEMS_BolsaOperador!$D$254:$AY$276,2,0)</f>
        <v>Placa acrílica o metálica con diseño institucional aprobado por prensa, adhesivo o sistema de fijación resistente, identificación territorial del proceso.</v>
      </c>
      <c r="AR107" s="291" t="str">
        <f>VLOOKUP(C107,ITEMS_BolsaOperador!$D$254:$AY$276,10,0)</f>
        <v xml:space="preserve"> COMTEC </v>
      </c>
      <c r="AS107" s="291">
        <f>VLOOKUP(C107,ITEMS_BolsaOperador!$D$254:$AY$276,16,0)</f>
        <v>57120</v>
      </c>
      <c r="AT107" s="291" t="str">
        <f>VLOOKUP(C107,ITEMS_BolsaOperador!$D$254:$AY$276,23,0)</f>
        <v xml:space="preserve"> ENTERPRISE </v>
      </c>
      <c r="AU107" s="291">
        <f>VLOOKUP(C107,ITEMS_BolsaOperador!$D$254:$AY$276,29,0)</f>
        <v>38080</v>
      </c>
      <c r="AV107" s="291" t="str">
        <f>VLOOKUP(C107,ITEMS_BolsaOperador!$D$254:$AY$276,36,0)</f>
        <v xml:space="preserve"> HYN PUBLICIDAD </v>
      </c>
      <c r="AW107" s="291">
        <f>VLOOKUP(C107,ITEMS_BolsaOperador!$D$254:$AY$276,42,0)</f>
        <v>58393</v>
      </c>
      <c r="AX107" s="293">
        <f>VLOOKUP(C107,ITEMS_BolsaOperador!$D$254:$AY$276,45,0)</f>
        <v>51197.77</v>
      </c>
      <c r="AY107" s="293">
        <f>VLOOKUP(C107,ITEMS_BolsaOperador!$D$254:$AY$276,46,0)</f>
        <v>51197.77</v>
      </c>
      <c r="AZ107" s="293">
        <f>VLOOKUP(C107,ITEMS_BolsaOperador!$D$254:$AY$276,47,0)</f>
        <v>11378.14</v>
      </c>
      <c r="BA107" s="229">
        <f>VLOOKUP(C107,ITEMS_BolsaOperador!$D$254:$AY$276,48,0)</f>
        <v>0.22220000000000001</v>
      </c>
      <c r="BC107" s="7" t="b">
        <f t="shared" si="158"/>
        <v>1</v>
      </c>
      <c r="BD107" s="7" t="b">
        <f t="shared" si="159"/>
        <v>0</v>
      </c>
      <c r="BE107" s="7" t="b">
        <f t="shared" si="160"/>
        <v>1</v>
      </c>
      <c r="BF107" s="7" t="b">
        <f t="shared" si="161"/>
        <v>0</v>
      </c>
      <c r="BG107" s="7" t="b">
        <f t="shared" si="162"/>
        <v>1</v>
      </c>
      <c r="BH107" s="7" t="b">
        <f t="shared" si="163"/>
        <v>0</v>
      </c>
      <c r="BI107" s="7" t="b">
        <f t="shared" si="164"/>
        <v>0</v>
      </c>
      <c r="BJ107" s="7" t="b">
        <f t="shared" si="165"/>
        <v>0</v>
      </c>
      <c r="BK107" s="7" t="b">
        <f t="shared" si="166"/>
        <v>0</v>
      </c>
      <c r="BL107" s="7" t="b">
        <f t="shared" si="167"/>
        <v>0</v>
      </c>
      <c r="BM107" s="7" t="b">
        <f t="shared" si="168"/>
        <v>0</v>
      </c>
    </row>
    <row r="108" spans="1:65" s="7" customFormat="1" ht="270" hidden="1" x14ac:dyDescent="0.35">
      <c r="A108" s="276">
        <v>98</v>
      </c>
      <c r="B108" s="343" t="s">
        <v>203</v>
      </c>
      <c r="C108" s="277" t="s">
        <v>81</v>
      </c>
      <c r="D108" s="137" t="s">
        <v>82</v>
      </c>
      <c r="E108" s="343" t="s">
        <v>41</v>
      </c>
      <c r="F108" s="343">
        <v>70</v>
      </c>
      <c r="G108" s="430" t="s">
        <v>42</v>
      </c>
      <c r="H108" s="278" t="s">
        <v>48</v>
      </c>
      <c r="I108" s="280">
        <v>2200</v>
      </c>
      <c r="J108" s="310">
        <f t="shared" si="185"/>
        <v>418</v>
      </c>
      <c r="K108" s="280">
        <f t="shared" si="148"/>
        <v>2618</v>
      </c>
      <c r="L108" s="281">
        <f t="shared" si="149"/>
        <v>154000</v>
      </c>
      <c r="M108" s="281">
        <f t="shared" si="150"/>
        <v>183260</v>
      </c>
      <c r="N108" s="298" t="s">
        <v>83</v>
      </c>
      <c r="O108" s="283">
        <v>2689.08</v>
      </c>
      <c r="P108" s="311">
        <f t="shared" si="184"/>
        <v>510.92520000000002</v>
      </c>
      <c r="Q108" s="283">
        <f t="shared" si="151"/>
        <v>3200.0052000000001</v>
      </c>
      <c r="R108" s="284">
        <f t="shared" si="152"/>
        <v>188235.6</v>
      </c>
      <c r="S108" s="284">
        <f t="shared" si="153"/>
        <v>224000.364</v>
      </c>
      <c r="T108" s="285" t="s">
        <v>84</v>
      </c>
      <c r="U108" s="299">
        <v>3800</v>
      </c>
      <c r="V108" s="312"/>
      <c r="W108" s="286">
        <f t="shared" si="155"/>
        <v>3800</v>
      </c>
      <c r="X108" s="287">
        <f t="shared" si="156"/>
        <v>266000</v>
      </c>
      <c r="Y108" s="287">
        <f t="shared" si="157"/>
        <v>266000</v>
      </c>
      <c r="Z108" s="288">
        <f t="shared" si="98"/>
        <v>3206.001733333333</v>
      </c>
      <c r="AA108" s="288">
        <f t="shared" si="99"/>
        <v>224420.12133333331</v>
      </c>
      <c r="AB108" s="288">
        <f t="shared" si="100"/>
        <v>41371.597106760986</v>
      </c>
      <c r="AC108" s="229">
        <f t="shared" si="101"/>
        <v>0.18434887594286328</v>
      </c>
      <c r="AD108" s="141"/>
      <c r="AE108" s="290" t="b">
        <f t="shared" si="154"/>
        <v>0</v>
      </c>
      <c r="AF108" s="291" t="s">
        <v>342</v>
      </c>
      <c r="AO108" s="292">
        <f>VLOOKUP(C108,ITEMS_BolsaOperador!$D$2:$AY$247,48,0)</f>
        <v>0.18434898384222317</v>
      </c>
      <c r="AP108" s="291" t="str">
        <f>VLOOKUP(C108,ITEMS_BolsaOperador!$D$2:$AY$247,1,0)</f>
        <v>Certificado de participación</v>
      </c>
      <c r="AQ108" s="291" t="str">
        <f>VLOOKUP(C108,ITEMS_BolsaOperador!$D$2:$AY$247,2,0)</f>
        <v xml:space="preserve">Impresión a media carta 4 tintas en papel _x000D_
propalcote o kimberly 200 gr, tamaño 22x28 cm con nombres individuales o espacio para el mismo, refilados._x000D_
</v>
      </c>
      <c r="AR108" s="291" t="str">
        <f>VLOOKUP(C108,ITEMS_BolsaOperador!$D$2:$AY$247,10,0)</f>
        <v>GUERRA EDITORES</v>
      </c>
      <c r="AS108" s="291">
        <f>VLOOKUP(C108,ITEMS_BolsaOperador!$D$2:$AY$247,16,0)</f>
        <v>2618</v>
      </c>
      <c r="AT108" s="291" t="str">
        <f>VLOOKUP(C108,ITEMS_BolsaOperador!$D$2:$AY$247,23,0)</f>
        <v>SG DIGITAL S.A.S</v>
      </c>
      <c r="AU108" s="291">
        <f>VLOOKUP(C108,ITEMS_BolsaOperador!$D$2:$AY$247,29,0)</f>
        <v>3200</v>
      </c>
      <c r="AV108" s="291" t="str">
        <f>VLOOKUP(C108,ITEMS_BolsaOperador!$D$2:$AY$247,36,0)</f>
        <v>JEGAR PUBLICIDAD MISIONES</v>
      </c>
      <c r="AW108" s="291">
        <f>VLOOKUP(C108,ITEMS_BolsaOperador!$D$2:$AY$247,42,0)</f>
        <v>3800</v>
      </c>
      <c r="AX108" s="293">
        <f>VLOOKUP(C108,ITEMS_BolsaOperador!$D$2:$AY$247,45,0)</f>
        <v>3206</v>
      </c>
      <c r="AY108" s="293">
        <f>VLOOKUP(C108,ITEMS_BolsaOperador!$D$2:$AY$247,46,0)</f>
        <v>3206</v>
      </c>
      <c r="AZ108" s="293">
        <f>VLOOKUP(C108,ITEMS_BolsaOperador!$D$2:$AY$247,47,0)</f>
        <v>591.0228421981675</v>
      </c>
      <c r="BA108" s="229">
        <f>VLOOKUP(C108,ITEMS_BolsaOperador!$D$2:$AY$247,48,0)</f>
        <v>0.18434898384222317</v>
      </c>
      <c r="BC108" s="7" t="b">
        <f t="shared" si="158"/>
        <v>0</v>
      </c>
      <c r="BD108" s="7" t="b">
        <f t="shared" si="159"/>
        <v>1</v>
      </c>
      <c r="BE108" s="7" t="b">
        <f t="shared" si="160"/>
        <v>1</v>
      </c>
      <c r="BF108" s="7" t="b">
        <f t="shared" si="161"/>
        <v>0</v>
      </c>
      <c r="BG108" s="7" t="b">
        <f t="shared" si="162"/>
        <v>0</v>
      </c>
      <c r="BH108" s="7" t="b">
        <f t="shared" si="163"/>
        <v>1</v>
      </c>
      <c r="BI108" s="7" t="b">
        <f t="shared" si="164"/>
        <v>1</v>
      </c>
      <c r="BJ108" s="7" t="b">
        <f t="shared" si="165"/>
        <v>0</v>
      </c>
      <c r="BK108" s="7" t="b">
        <f t="shared" si="166"/>
        <v>0</v>
      </c>
      <c r="BL108" s="7" t="b">
        <f t="shared" si="167"/>
        <v>0</v>
      </c>
      <c r="BM108" s="7" t="b">
        <f t="shared" si="168"/>
        <v>0</v>
      </c>
    </row>
    <row r="109" spans="1:65" s="7" customFormat="1" ht="255" hidden="1" x14ac:dyDescent="0.35">
      <c r="A109" s="276">
        <v>99</v>
      </c>
      <c r="B109" s="429" t="s">
        <v>203</v>
      </c>
      <c r="C109" s="429" t="s">
        <v>215</v>
      </c>
      <c r="D109" s="146" t="s">
        <v>216</v>
      </c>
      <c r="E109" s="429" t="s">
        <v>217</v>
      </c>
      <c r="F109" s="429">
        <v>2</v>
      </c>
      <c r="G109" s="437" t="s">
        <v>42</v>
      </c>
      <c r="H109" s="347" t="s">
        <v>53</v>
      </c>
      <c r="I109" s="348">
        <v>705600</v>
      </c>
      <c r="J109" s="310">
        <f t="shared" si="185"/>
        <v>134064</v>
      </c>
      <c r="K109" s="280">
        <f t="shared" si="148"/>
        <v>839664</v>
      </c>
      <c r="L109" s="281">
        <f t="shared" si="149"/>
        <v>1411200</v>
      </c>
      <c r="M109" s="281">
        <f t="shared" si="150"/>
        <v>1679328</v>
      </c>
      <c r="N109" s="349" t="s">
        <v>50</v>
      </c>
      <c r="O109" s="350">
        <v>563026</v>
      </c>
      <c r="P109" s="311">
        <f t="shared" si="184"/>
        <v>106974.94</v>
      </c>
      <c r="Q109" s="283">
        <f t="shared" si="151"/>
        <v>670000.93999999994</v>
      </c>
      <c r="R109" s="284">
        <f t="shared" si="152"/>
        <v>1126052</v>
      </c>
      <c r="S109" s="284">
        <f t="shared" si="153"/>
        <v>1340001.8799999999</v>
      </c>
      <c r="T109" s="351" t="s">
        <v>160</v>
      </c>
      <c r="U109" s="352">
        <v>706500</v>
      </c>
      <c r="V109" s="312">
        <f t="shared" si="186"/>
        <v>134235</v>
      </c>
      <c r="W109" s="286">
        <f t="shared" si="155"/>
        <v>840735</v>
      </c>
      <c r="X109" s="287">
        <f t="shared" si="156"/>
        <v>1413000</v>
      </c>
      <c r="Y109" s="287">
        <f t="shared" si="157"/>
        <v>1681470</v>
      </c>
      <c r="Z109" s="288">
        <f t="shared" si="98"/>
        <v>783466.64666666661</v>
      </c>
      <c r="AA109" s="288">
        <f t="shared" si="99"/>
        <v>1566933.2933333332</v>
      </c>
      <c r="AB109" s="288">
        <f t="shared" si="100"/>
        <v>196531.28709978631</v>
      </c>
      <c r="AC109" s="229">
        <f t="shared" si="101"/>
        <v>0.12542415681378866</v>
      </c>
      <c r="AD109" s="153"/>
      <c r="AE109" s="290" t="b">
        <f t="shared" si="154"/>
        <v>0</v>
      </c>
      <c r="AF109" s="7" t="s">
        <v>405</v>
      </c>
      <c r="AO109" s="292">
        <f>VLOOKUP(C109,ITEMS_BolsaOperador!$D$254:$AY$276,48,0)</f>
        <v>0.12540000000000001</v>
      </c>
      <c r="AP109" s="291" t="str">
        <f>VLOOKUP(C109,ITEMS_BolsaOperador!$D$254:$AY$276,1,0)</f>
        <v xml:space="preserve">INSTRUMENTO DE EVALUACIÓN PRE Y POST </v>
      </c>
      <c r="AQ109" s="291" t="str">
        <f>VLOOKUP(C109,ITEMS_BolsaOperador!$D$254:$AY$276,2,0)</f>
        <v>Diseño, impresión y sistematización de instrumento de evaluación (pretest y postest), aplicación a los 35 participantes, consolidación básica de resultados.</v>
      </c>
      <c r="AR109" s="291" t="str">
        <f>VLOOKUP(C109,ITEMS_BolsaOperador!$D$254:$AY$276,10,0)</f>
        <v xml:space="preserve"> COMTEC </v>
      </c>
      <c r="AS109" s="291">
        <f>VLOOKUP(C109,ITEMS_BolsaOperador!$D$254:$AY$276,16,0)</f>
        <v>839664</v>
      </c>
      <c r="AT109" s="291" t="str">
        <f>VLOOKUP(C109,ITEMS_BolsaOperador!$D$254:$AY$276,23,0)</f>
        <v xml:space="preserve"> ENTERPRISE </v>
      </c>
      <c r="AU109" s="291">
        <f>VLOOKUP(C109,ITEMS_BolsaOperador!$D$254:$AY$276,29,0)</f>
        <v>670001</v>
      </c>
      <c r="AV109" s="291" t="str">
        <f>VLOOKUP(C109,ITEMS_BolsaOperador!$D$254:$AY$276,36,0)</f>
        <v xml:space="preserve"> HYN PUBLICIDAD  </v>
      </c>
      <c r="AW109" s="291">
        <f>VLOOKUP(C109,ITEMS_BolsaOperador!$D$254:$AY$276,42,0)</f>
        <v>840735</v>
      </c>
      <c r="AX109" s="293">
        <f>VLOOKUP(C109,ITEMS_BolsaOperador!$D$254:$AY$276,45,0)</f>
        <v>783466.65</v>
      </c>
      <c r="AY109" s="293">
        <f>VLOOKUP(C109,ITEMS_BolsaOperador!$D$254:$AY$276,46,0)</f>
        <v>783466.65</v>
      </c>
      <c r="AZ109" s="293">
        <f>VLOOKUP(C109,ITEMS_BolsaOperador!$D$254:$AY$276,47,0)</f>
        <v>98265.64</v>
      </c>
      <c r="BA109" s="229">
        <f>VLOOKUP(C109,ITEMS_BolsaOperador!$D$254:$AY$276,48,0)</f>
        <v>0.12540000000000001</v>
      </c>
      <c r="BC109" s="7" t="b">
        <f t="shared" si="158"/>
        <v>1</v>
      </c>
      <c r="BD109" s="7" t="b">
        <f t="shared" si="159"/>
        <v>0</v>
      </c>
      <c r="BE109" s="7" t="b">
        <f t="shared" si="160"/>
        <v>1</v>
      </c>
      <c r="BF109" s="7" t="b">
        <f t="shared" si="161"/>
        <v>0</v>
      </c>
      <c r="BG109" s="7" t="b">
        <f t="shared" si="162"/>
        <v>0</v>
      </c>
      <c r="BH109" s="7" t="b">
        <f t="shared" si="163"/>
        <v>0</v>
      </c>
      <c r="BI109" s="7" t="b">
        <f t="shared" si="164"/>
        <v>1</v>
      </c>
      <c r="BJ109" s="7" t="b">
        <f t="shared" si="165"/>
        <v>0</v>
      </c>
      <c r="BK109" s="7" t="b">
        <f t="shared" si="166"/>
        <v>0</v>
      </c>
      <c r="BL109" s="7" t="b">
        <f t="shared" si="167"/>
        <v>0</v>
      </c>
      <c r="BM109" s="7" t="b">
        <f t="shared" si="168"/>
        <v>0</v>
      </c>
    </row>
    <row r="110" spans="1:65" s="7" customFormat="1" ht="84" hidden="1" x14ac:dyDescent="0.35">
      <c r="A110" s="276">
        <v>100</v>
      </c>
      <c r="B110" s="343" t="s">
        <v>203</v>
      </c>
      <c r="C110" s="438" t="s">
        <v>406</v>
      </c>
      <c r="D110" s="190" t="s">
        <v>219</v>
      </c>
      <c r="E110" s="438" t="s">
        <v>41</v>
      </c>
      <c r="F110" s="438">
        <v>70</v>
      </c>
      <c r="G110" s="439"/>
      <c r="H110" s="347"/>
      <c r="I110" s="353"/>
      <c r="J110" s="354"/>
      <c r="K110" s="355"/>
      <c r="L110" s="212"/>
      <c r="M110" s="212"/>
      <c r="N110" s="335"/>
      <c r="O110" s="336"/>
      <c r="P110" s="336"/>
      <c r="Q110" s="283"/>
      <c r="R110" s="284"/>
      <c r="S110" s="284"/>
      <c r="T110" s="313"/>
      <c r="U110" s="314"/>
      <c r="V110" s="314"/>
      <c r="W110" s="286"/>
      <c r="X110" s="287"/>
      <c r="Y110" s="287"/>
      <c r="Z110" s="356">
        <v>2737000</v>
      </c>
      <c r="AA110" s="357">
        <f>IF(B110="","",Z110*F110)</f>
        <v>191590000</v>
      </c>
      <c r="AB110" s="357"/>
      <c r="AC110" s="358"/>
      <c r="AD110" s="172"/>
      <c r="AE110" s="291" t="e">
        <f t="shared" si="154"/>
        <v>#N/A</v>
      </c>
      <c r="AO110" s="292" t="e">
        <f>VLOOKUP(C110,ITEMS_BolsaOperador!$D$2:$AY$287,48,0)</f>
        <v>#N/A</v>
      </c>
      <c r="AP110" s="291" t="e">
        <f>VLOOKUP(C110,ITEMS_BolsaOperador!$D$254:$AY$276,1,0)</f>
        <v>#N/A</v>
      </c>
      <c r="AQ110" s="291" t="e">
        <f>VLOOKUP(C110,ITEMS_BolsaOperador!$D$254:$AY$276,2,0)</f>
        <v>#N/A</v>
      </c>
      <c r="AR110" s="291" t="e">
        <f>VLOOKUP(C110,ITEMS_BolsaOperador!$D$254:$AY$276,10,0)</f>
        <v>#N/A</v>
      </c>
      <c r="AS110" s="291" t="e">
        <f>VLOOKUP(C110,ITEMS_BolsaOperador!$D$254:$AY$276,16,0)</f>
        <v>#N/A</v>
      </c>
      <c r="AT110" s="291" t="e">
        <f>VLOOKUP(C110,ITEMS_BolsaOperador!$D$254:$AY$276,23,0)</f>
        <v>#N/A</v>
      </c>
      <c r="AU110" s="291" t="e">
        <f>VLOOKUP(C110,ITEMS_BolsaOperador!$D$254:$AY$276,29,0)</f>
        <v>#N/A</v>
      </c>
      <c r="AV110" s="291" t="e">
        <f>VLOOKUP(C110,ITEMS_BolsaOperador!$D$254:$AY$276,36,0)</f>
        <v>#N/A</v>
      </c>
      <c r="AW110" s="291" t="e">
        <f>VLOOKUP(C110,ITEMS_BolsaOperador!$D$254:$AY$276,42,0)</f>
        <v>#N/A</v>
      </c>
      <c r="AX110" s="293" t="e">
        <f>VLOOKUP(C110,ITEMS_BolsaOperador!$D$254:$AY$276,45,0)</f>
        <v>#N/A</v>
      </c>
      <c r="AY110" s="293" t="e">
        <f>VLOOKUP(C110,ITEMS_BolsaOperador!$D$254:$AY$276,46,0)</f>
        <v>#N/A</v>
      </c>
      <c r="AZ110" s="293" t="e">
        <f>VLOOKUP(C110,ITEMS_BolsaOperador!$D$254:$AY$276,47,0)</f>
        <v>#N/A</v>
      </c>
      <c r="BA110" s="229" t="e">
        <f>VLOOKUP(C110,ITEMS_BolsaOperador!$D$254:$AY$276,48,0)</f>
        <v>#N/A</v>
      </c>
      <c r="BC110" s="7" t="e">
        <f t="shared" si="158"/>
        <v>#N/A</v>
      </c>
      <c r="BD110" s="7" t="e">
        <f t="shared" si="159"/>
        <v>#N/A</v>
      </c>
      <c r="BE110" s="7" t="e">
        <f t="shared" si="160"/>
        <v>#N/A</v>
      </c>
      <c r="BF110" s="7" t="e">
        <f t="shared" si="161"/>
        <v>#N/A</v>
      </c>
      <c r="BG110" s="7" t="e">
        <f t="shared" si="162"/>
        <v>#N/A</v>
      </c>
      <c r="BH110" s="7" t="e">
        <f t="shared" si="163"/>
        <v>#N/A</v>
      </c>
      <c r="BI110" s="7" t="e">
        <f t="shared" si="164"/>
        <v>#N/A</v>
      </c>
      <c r="BJ110" s="7" t="e">
        <f t="shared" si="165"/>
        <v>#N/A</v>
      </c>
      <c r="BK110" s="7" t="e">
        <f t="shared" si="166"/>
        <v>#N/A</v>
      </c>
      <c r="BL110" s="7" t="e">
        <f t="shared" si="167"/>
        <v>#N/A</v>
      </c>
      <c r="BM110" s="7" t="e">
        <f t="shared" si="168"/>
        <v>#N/A</v>
      </c>
    </row>
    <row r="111" spans="1:65" s="7" customFormat="1" ht="105" hidden="1" x14ac:dyDescent="0.35">
      <c r="A111" s="276">
        <v>101</v>
      </c>
      <c r="B111" s="430" t="s">
        <v>157</v>
      </c>
      <c r="C111" s="440" t="s">
        <v>407</v>
      </c>
      <c r="D111" s="145" t="s">
        <v>221</v>
      </c>
      <c r="E111" s="440" t="s">
        <v>41</v>
      </c>
      <c r="F111" s="440">
        <v>1</v>
      </c>
      <c r="G111" s="440"/>
      <c r="H111" s="333"/>
      <c r="I111" s="359"/>
      <c r="J111" s="360"/>
      <c r="K111" s="361"/>
      <c r="L111" s="362"/>
      <c r="M111" s="362"/>
      <c r="N111" s="363"/>
      <c r="O111" s="364"/>
      <c r="P111" s="336"/>
      <c r="Q111" s="283"/>
      <c r="R111" s="284"/>
      <c r="S111" s="284"/>
      <c r="T111" s="365"/>
      <c r="U111" s="366"/>
      <c r="V111" s="314"/>
      <c r="W111" s="286"/>
      <c r="X111" s="287"/>
      <c r="Y111" s="287"/>
      <c r="Z111" s="357">
        <v>7761487</v>
      </c>
      <c r="AA111" s="367">
        <v>7761487</v>
      </c>
      <c r="AB111" s="368"/>
      <c r="AC111" s="369"/>
      <c r="AE111" s="291" t="e">
        <f t="shared" si="154"/>
        <v>#N/A</v>
      </c>
      <c r="AO111" s="292" t="e">
        <f>VLOOKUP(C111,ITEMS_BolsaOperador!$D$2:$AY$287,48,0)</f>
        <v>#N/A</v>
      </c>
      <c r="AP111" s="291" t="e">
        <f>VLOOKUP(C111,ITEMS_BolsaOperador!$D$254:$AY$276,1,0)</f>
        <v>#N/A</v>
      </c>
      <c r="AQ111" s="291" t="e">
        <f>VLOOKUP(C111,ITEMS_BolsaOperador!$D$254:$AY$276,2,0)</f>
        <v>#N/A</v>
      </c>
      <c r="AR111" s="291" t="e">
        <f>VLOOKUP(C111,ITEMS_BolsaOperador!$D$254:$AY$276,10,0)</f>
        <v>#N/A</v>
      </c>
      <c r="AS111" s="291" t="e">
        <f>VLOOKUP(C111,ITEMS_BolsaOperador!$D$254:$AY$276,16,0)</f>
        <v>#N/A</v>
      </c>
      <c r="AT111" s="291" t="e">
        <f>VLOOKUP(C111,ITEMS_BolsaOperador!$D$254:$AY$276,23,0)</f>
        <v>#N/A</v>
      </c>
      <c r="AU111" s="291" t="e">
        <f>VLOOKUP(C111,ITEMS_BolsaOperador!$D$254:$AY$276,29,0)</f>
        <v>#N/A</v>
      </c>
      <c r="AV111" s="291" t="e">
        <f>VLOOKUP(C111,ITEMS_BolsaOperador!$D$254:$AY$276,36,0)</f>
        <v>#N/A</v>
      </c>
      <c r="AW111" s="291" t="e">
        <f>VLOOKUP(C111,ITEMS_BolsaOperador!$D$254:$AY$276,42,0)</f>
        <v>#N/A</v>
      </c>
      <c r="AX111" s="293" t="e">
        <f>VLOOKUP(C111,ITEMS_BolsaOperador!$D$254:$AY$276,45,0)</f>
        <v>#N/A</v>
      </c>
      <c r="AY111" s="293" t="e">
        <f>VLOOKUP(C111,ITEMS_BolsaOperador!$D$254:$AY$276,46,0)</f>
        <v>#N/A</v>
      </c>
      <c r="AZ111" s="293" t="e">
        <f>VLOOKUP(C111,ITEMS_BolsaOperador!$D$254:$AY$276,47,0)</f>
        <v>#N/A</v>
      </c>
      <c r="BA111" s="229" t="e">
        <f>VLOOKUP(C111,ITEMS_BolsaOperador!$D$254:$AY$276,48,0)</f>
        <v>#N/A</v>
      </c>
      <c r="BC111" s="7" t="e">
        <f t="shared" si="158"/>
        <v>#N/A</v>
      </c>
      <c r="BD111" s="7" t="e">
        <f t="shared" si="159"/>
        <v>#N/A</v>
      </c>
      <c r="BE111" s="7" t="e">
        <f t="shared" si="160"/>
        <v>#N/A</v>
      </c>
      <c r="BF111" s="7" t="e">
        <f t="shared" si="161"/>
        <v>#N/A</v>
      </c>
      <c r="BG111" s="7" t="e">
        <f t="shared" si="162"/>
        <v>#N/A</v>
      </c>
      <c r="BH111" s="7" t="e">
        <f t="shared" si="163"/>
        <v>#N/A</v>
      </c>
      <c r="BI111" s="7" t="e">
        <f t="shared" si="164"/>
        <v>#N/A</v>
      </c>
      <c r="BJ111" s="7" t="e">
        <f t="shared" si="165"/>
        <v>#N/A</v>
      </c>
      <c r="BK111" s="7" t="e">
        <f t="shared" si="166"/>
        <v>#N/A</v>
      </c>
      <c r="BL111" s="7" t="e">
        <f t="shared" si="167"/>
        <v>#N/A</v>
      </c>
      <c r="BM111" s="7" t="e">
        <f t="shared" si="168"/>
        <v>#N/A</v>
      </c>
    </row>
    <row r="112" spans="1:65" s="7" customFormat="1" ht="21" hidden="1" x14ac:dyDescent="0.25">
      <c r="A112" s="370"/>
      <c r="B112" s="371"/>
      <c r="C112" s="370"/>
      <c r="D112" s="370"/>
      <c r="E112" s="371"/>
      <c r="F112" s="372"/>
      <c r="G112" s="373"/>
      <c r="H112" s="374"/>
      <c r="I112" s="375"/>
      <c r="J112" s="376"/>
      <c r="K112" s="376"/>
      <c r="L112" s="377"/>
      <c r="M112" s="377"/>
      <c r="N112" s="363"/>
      <c r="O112" s="378"/>
      <c r="P112" s="378"/>
      <c r="Q112" s="378"/>
      <c r="R112" s="379"/>
      <c r="S112" s="379"/>
      <c r="T112" s="365"/>
      <c r="U112" s="380"/>
      <c r="V112" s="380"/>
      <c r="W112" s="381"/>
      <c r="X112" s="382"/>
      <c r="Y112" s="382"/>
      <c r="Z112" s="383" t="str">
        <f>IF(A112="","",AVERAGE(K112,Q112,W112))</f>
        <v/>
      </c>
      <c r="AA112" s="368"/>
      <c r="AB112" s="368"/>
      <c r="AC112" s="369"/>
      <c r="AE112" s="291"/>
      <c r="AO112" s="292"/>
      <c r="AX112" s="383"/>
      <c r="AY112" s="368"/>
      <c r="AZ112" s="368"/>
      <c r="BA112" s="369"/>
    </row>
    <row r="113" spans="1:68" s="7" customFormat="1" ht="21" hidden="1" x14ac:dyDescent="0.25">
      <c r="A113" s="486" t="s">
        <v>222</v>
      </c>
      <c r="B113" s="486"/>
      <c r="C113" s="486"/>
      <c r="D113" s="486"/>
      <c r="E113" s="486"/>
      <c r="F113" s="487"/>
      <c r="G113" s="486"/>
      <c r="H113" s="487"/>
      <c r="I113" s="487"/>
      <c r="J113" s="487"/>
      <c r="K113" s="487"/>
      <c r="L113" s="487"/>
      <c r="M113" s="487"/>
      <c r="N113" s="487"/>
      <c r="O113" s="487"/>
      <c r="P113" s="487"/>
      <c r="Q113" s="487"/>
      <c r="R113" s="487"/>
      <c r="S113" s="487"/>
      <c r="T113" s="487"/>
      <c r="U113" s="487"/>
      <c r="V113" s="487"/>
      <c r="W113" s="487"/>
      <c r="X113" s="487"/>
      <c r="Y113" s="487"/>
      <c r="Z113" s="487"/>
      <c r="AA113" s="91">
        <f>SUM(AA11:AA112)</f>
        <v>590462282.71803367</v>
      </c>
      <c r="AE113" s="291"/>
      <c r="AO113" s="292"/>
      <c r="AZ113" s="292"/>
      <c r="BP113" s="7">
        <v>56</v>
      </c>
    </row>
    <row r="114" spans="1:68" s="7" customFormat="1" hidden="1" x14ac:dyDescent="0.25">
      <c r="A114" s="488" t="s">
        <v>223</v>
      </c>
      <c r="B114" s="488"/>
      <c r="C114" s="488"/>
      <c r="D114" s="488"/>
      <c r="E114" s="488"/>
      <c r="F114" s="488"/>
      <c r="G114" s="488"/>
      <c r="H114" s="488"/>
      <c r="I114" s="488"/>
      <c r="J114" s="488"/>
      <c r="K114" s="488"/>
      <c r="L114" s="488"/>
      <c r="M114" s="488"/>
      <c r="N114" s="488"/>
      <c r="O114" s="488"/>
      <c r="P114" s="488"/>
      <c r="Q114" s="488"/>
      <c r="R114" s="488"/>
      <c r="S114" s="488"/>
      <c r="T114" s="488"/>
      <c r="U114" s="488"/>
      <c r="V114" s="488"/>
      <c r="W114" s="488"/>
      <c r="X114" s="488"/>
      <c r="Y114" s="488"/>
      <c r="Z114" s="488"/>
      <c r="AA114" s="488"/>
      <c r="AB114" s="488"/>
      <c r="AC114" s="488"/>
      <c r="AD114" s="488"/>
      <c r="AE114" s="291"/>
      <c r="AO114" s="292"/>
      <c r="AZ114" s="292"/>
      <c r="BP114" s="7">
        <v>57</v>
      </c>
    </row>
    <row r="115" spans="1:68" s="7" customFormat="1" ht="72" hidden="1" x14ac:dyDescent="0.25">
      <c r="A115" s="92" t="s">
        <v>18</v>
      </c>
      <c r="B115" s="92" t="s">
        <v>19</v>
      </c>
      <c r="C115" s="92" t="s">
        <v>224</v>
      </c>
      <c r="D115" s="92" t="s">
        <v>225</v>
      </c>
      <c r="E115" s="92" t="s">
        <v>22</v>
      </c>
      <c r="F115" s="92" t="s">
        <v>23</v>
      </c>
      <c r="G115" s="92" t="s">
        <v>226</v>
      </c>
      <c r="H115" s="93" t="s">
        <v>25</v>
      </c>
      <c r="I115" s="93" t="s">
        <v>227</v>
      </c>
      <c r="J115" s="93" t="s">
        <v>228</v>
      </c>
      <c r="K115" s="93" t="s">
        <v>227</v>
      </c>
      <c r="L115" s="93" t="s">
        <v>229</v>
      </c>
      <c r="M115" s="489" t="s">
        <v>37</v>
      </c>
      <c r="N115" s="490"/>
      <c r="O115" s="490"/>
      <c r="P115" s="183"/>
      <c r="Q115" s="70"/>
      <c r="R115" s="70"/>
      <c r="S115" s="70"/>
      <c r="T115" s="70"/>
      <c r="U115" s="10"/>
      <c r="V115" s="10"/>
      <c r="W115" s="10"/>
      <c r="X115" s="10"/>
      <c r="Y115" s="10"/>
      <c r="Z115" s="10"/>
      <c r="AA115" s="10"/>
      <c r="AB115" s="10"/>
      <c r="AC115" s="10"/>
      <c r="AD115" s="10"/>
      <c r="AE115" s="291"/>
      <c r="AO115" s="292"/>
      <c r="AZ115" s="292"/>
      <c r="BP115" s="7">
        <v>58</v>
      </c>
    </row>
    <row r="116" spans="1:68" s="7" customFormat="1" ht="399" hidden="1" x14ac:dyDescent="0.25">
      <c r="A116" s="346">
        <v>1</v>
      </c>
      <c r="B116" s="174" t="s">
        <v>230</v>
      </c>
      <c r="C116" s="179" t="s">
        <v>231</v>
      </c>
      <c r="D116" s="180" t="s">
        <v>232</v>
      </c>
      <c r="E116" s="384" t="s">
        <v>233</v>
      </c>
      <c r="F116" s="180">
        <v>1</v>
      </c>
      <c r="G116" s="385" t="s">
        <v>234</v>
      </c>
      <c r="H116" s="278" t="s">
        <v>235</v>
      </c>
      <c r="I116" s="386">
        <v>9170000</v>
      </c>
      <c r="J116" s="212">
        <f>I116*9</f>
        <v>82530000</v>
      </c>
      <c r="K116" s="97">
        <f>I116</f>
        <v>9170000</v>
      </c>
      <c r="L116" s="98">
        <f>J116</f>
        <v>82530000</v>
      </c>
      <c r="M116" s="469"/>
      <c r="N116" s="470"/>
      <c r="O116" s="470"/>
      <c r="P116" s="184"/>
      <c r="Q116" s="70"/>
      <c r="R116" s="70"/>
      <c r="S116" s="70"/>
      <c r="T116" s="70"/>
      <c r="AE116" s="291"/>
      <c r="AO116" s="292"/>
      <c r="AV116" s="471" t="s">
        <v>236</v>
      </c>
      <c r="AW116" s="472"/>
      <c r="AX116" s="472"/>
      <c r="AY116" s="472"/>
      <c r="AZ116" s="472"/>
      <c r="BA116" s="472"/>
      <c r="BB116" s="472"/>
      <c r="BC116" s="473"/>
      <c r="BD116" s="483" t="s">
        <v>237</v>
      </c>
      <c r="BE116" s="476" t="e">
        <f>SUM(#REF!,#REF!)</f>
        <v>#REF!</v>
      </c>
      <c r="BF116" s="477"/>
      <c r="BP116" s="7">
        <v>59</v>
      </c>
    </row>
    <row r="117" spans="1:68" s="7" customFormat="1" ht="315" hidden="1" x14ac:dyDescent="0.25">
      <c r="A117" s="346">
        <v>2</v>
      </c>
      <c r="B117" s="174" t="s">
        <v>238</v>
      </c>
      <c r="C117" s="180" t="s">
        <v>239</v>
      </c>
      <c r="D117" s="181" t="s">
        <v>240</v>
      </c>
      <c r="E117" s="384" t="s">
        <v>233</v>
      </c>
      <c r="F117" s="181">
        <v>2</v>
      </c>
      <c r="G117" s="385" t="s">
        <v>234</v>
      </c>
      <c r="H117" s="278" t="s">
        <v>235</v>
      </c>
      <c r="I117" s="386">
        <v>7996000</v>
      </c>
      <c r="J117" s="212">
        <f>I117*18</f>
        <v>143928000</v>
      </c>
      <c r="K117" s="97">
        <f>I117</f>
        <v>7996000</v>
      </c>
      <c r="L117" s="98">
        <f t="shared" ref="L117:L152" si="211">J117</f>
        <v>143928000</v>
      </c>
      <c r="M117" s="469"/>
      <c r="N117" s="470"/>
      <c r="O117" s="470"/>
      <c r="P117" s="184"/>
      <c r="Q117" s="70"/>
      <c r="R117" s="70"/>
      <c r="S117" s="70"/>
      <c r="T117" s="70"/>
      <c r="AE117" s="291"/>
      <c r="AO117" s="292"/>
      <c r="AV117" s="482" t="s">
        <v>241</v>
      </c>
      <c r="AW117" s="482"/>
      <c r="AX117" s="482"/>
      <c r="AY117" s="482"/>
      <c r="AZ117" s="482"/>
      <c r="BA117" s="482"/>
      <c r="BB117" s="482"/>
      <c r="BC117" s="482"/>
      <c r="BD117" s="484"/>
      <c r="BE117" s="478"/>
      <c r="BF117" s="479"/>
      <c r="BP117" s="7">
        <v>60</v>
      </c>
    </row>
    <row r="118" spans="1:68" s="7" customFormat="1" ht="378" hidden="1" x14ac:dyDescent="0.25">
      <c r="A118" s="346">
        <v>3</v>
      </c>
      <c r="B118" s="174" t="s">
        <v>242</v>
      </c>
      <c r="C118" s="181" t="s">
        <v>243</v>
      </c>
      <c r="D118" s="181" t="s">
        <v>244</v>
      </c>
      <c r="E118" s="384" t="s">
        <v>233</v>
      </c>
      <c r="F118" s="181">
        <v>1</v>
      </c>
      <c r="G118" s="387" t="s">
        <v>234</v>
      </c>
      <c r="H118" s="278" t="s">
        <v>235</v>
      </c>
      <c r="I118" s="386">
        <v>7996000</v>
      </c>
      <c r="J118" s="212">
        <f>I118*9</f>
        <v>71964000</v>
      </c>
      <c r="K118" s="97">
        <f>I118</f>
        <v>7996000</v>
      </c>
      <c r="L118" s="98">
        <f t="shared" si="211"/>
        <v>71964000</v>
      </c>
      <c r="M118" s="469"/>
      <c r="N118" s="470"/>
      <c r="O118" s="470"/>
      <c r="P118" s="184"/>
      <c r="Q118" s="70"/>
      <c r="R118" s="70"/>
      <c r="S118" s="70"/>
      <c r="T118" s="70"/>
      <c r="AE118" s="291"/>
      <c r="AO118" s="292"/>
      <c r="AV118" s="482"/>
      <c r="AW118" s="482"/>
      <c r="AX118" s="482"/>
      <c r="AY118" s="482"/>
      <c r="AZ118" s="482"/>
      <c r="BA118" s="482"/>
      <c r="BB118" s="482"/>
      <c r="BC118" s="482"/>
      <c r="BD118" s="484"/>
      <c r="BE118" s="478"/>
      <c r="BF118" s="479"/>
      <c r="BP118" s="7">
        <v>61</v>
      </c>
    </row>
    <row r="119" spans="1:68" s="7" customFormat="1" ht="357" hidden="1" x14ac:dyDescent="0.25">
      <c r="A119" s="346">
        <v>4</v>
      </c>
      <c r="B119" s="174" t="s">
        <v>245</v>
      </c>
      <c r="C119" s="182" t="s">
        <v>246</v>
      </c>
      <c r="D119" s="181" t="s">
        <v>247</v>
      </c>
      <c r="E119" s="384" t="s">
        <v>233</v>
      </c>
      <c r="F119" s="181">
        <v>1</v>
      </c>
      <c r="G119" s="385" t="s">
        <v>234</v>
      </c>
      <c r="H119" s="278" t="s">
        <v>235</v>
      </c>
      <c r="I119" s="386">
        <v>7996000</v>
      </c>
      <c r="J119" s="212">
        <f>I119*9</f>
        <v>71964000</v>
      </c>
      <c r="K119" s="97">
        <f>I119</f>
        <v>7996000</v>
      </c>
      <c r="L119" s="98">
        <f t="shared" si="211"/>
        <v>71964000</v>
      </c>
      <c r="M119" s="469"/>
      <c r="N119" s="470"/>
      <c r="O119" s="470"/>
      <c r="P119" s="184"/>
      <c r="Q119" s="70"/>
      <c r="R119" s="70"/>
      <c r="S119" s="70"/>
      <c r="T119" s="70"/>
      <c r="AE119" s="291"/>
      <c r="AO119" s="292"/>
      <c r="AV119" s="482"/>
      <c r="AW119" s="482"/>
      <c r="AX119" s="482"/>
      <c r="AY119" s="482"/>
      <c r="AZ119" s="482"/>
      <c r="BA119" s="482"/>
      <c r="BB119" s="482"/>
      <c r="BC119" s="482"/>
      <c r="BD119" s="484"/>
      <c r="BE119" s="478"/>
      <c r="BF119" s="479"/>
      <c r="BP119" s="7">
        <v>62</v>
      </c>
    </row>
    <row r="120" spans="1:68" s="7" customFormat="1" ht="294" hidden="1" x14ac:dyDescent="0.25">
      <c r="A120" s="346">
        <v>5</v>
      </c>
      <c r="B120" s="174" t="s">
        <v>248</v>
      </c>
      <c r="C120" s="180" t="s">
        <v>249</v>
      </c>
      <c r="D120" s="181" t="s">
        <v>250</v>
      </c>
      <c r="E120" s="384" t="s">
        <v>233</v>
      </c>
      <c r="F120" s="181">
        <v>1</v>
      </c>
      <c r="G120" s="385" t="s">
        <v>234</v>
      </c>
      <c r="H120" s="278" t="s">
        <v>235</v>
      </c>
      <c r="I120" s="386">
        <v>7996000</v>
      </c>
      <c r="J120" s="212">
        <f>I120*9</f>
        <v>71964000</v>
      </c>
      <c r="K120" s="97">
        <f>I120</f>
        <v>7996000</v>
      </c>
      <c r="L120" s="98">
        <f t="shared" si="211"/>
        <v>71964000</v>
      </c>
      <c r="M120" s="469"/>
      <c r="N120" s="470"/>
      <c r="O120" s="470"/>
      <c r="P120" s="184"/>
      <c r="Q120" s="70"/>
      <c r="R120" s="70"/>
      <c r="S120" s="70"/>
      <c r="T120" s="70"/>
      <c r="AE120" s="291"/>
      <c r="AO120" s="292"/>
      <c r="AV120" s="482"/>
      <c r="AW120" s="482"/>
      <c r="AX120" s="482"/>
      <c r="AY120" s="482"/>
      <c r="AZ120" s="482"/>
      <c r="BA120" s="482"/>
      <c r="BB120" s="482"/>
      <c r="BC120" s="482"/>
      <c r="BD120" s="484"/>
      <c r="BE120" s="478"/>
      <c r="BF120" s="479"/>
      <c r="BP120" s="7">
        <v>63</v>
      </c>
    </row>
    <row r="121" spans="1:68" s="7" customFormat="1" ht="84" hidden="1" x14ac:dyDescent="0.25">
      <c r="A121" s="346">
        <v>6</v>
      </c>
      <c r="B121" s="174" t="s">
        <v>251</v>
      </c>
      <c r="C121" s="182" t="s">
        <v>252</v>
      </c>
      <c r="D121" s="181" t="s">
        <v>253</v>
      </c>
      <c r="E121" s="384" t="s">
        <v>233</v>
      </c>
      <c r="F121" s="181">
        <v>1</v>
      </c>
      <c r="G121" s="385" t="s">
        <v>234</v>
      </c>
      <c r="H121" s="278" t="s">
        <v>235</v>
      </c>
      <c r="I121" s="386">
        <v>4687000</v>
      </c>
      <c r="J121" s="212">
        <f>I121*9</f>
        <v>42183000</v>
      </c>
      <c r="K121" s="97">
        <f>I121</f>
        <v>4687000</v>
      </c>
      <c r="L121" s="98">
        <f t="shared" si="211"/>
        <v>42183000</v>
      </c>
      <c r="M121" s="469"/>
      <c r="N121" s="470"/>
      <c r="O121" s="470"/>
      <c r="P121" s="184"/>
      <c r="Q121" s="70"/>
      <c r="R121" s="70"/>
      <c r="S121" s="70"/>
      <c r="T121" s="70"/>
      <c r="AE121" s="291"/>
      <c r="AO121" s="292"/>
      <c r="AV121" s="482"/>
      <c r="AW121" s="482"/>
      <c r="AX121" s="482"/>
      <c r="AY121" s="482"/>
      <c r="AZ121" s="482"/>
      <c r="BA121" s="482"/>
      <c r="BB121" s="482"/>
      <c r="BC121" s="482"/>
      <c r="BD121" s="484"/>
      <c r="BE121" s="478"/>
      <c r="BF121" s="479"/>
      <c r="BP121" s="7">
        <v>64</v>
      </c>
    </row>
    <row r="122" spans="1:68" s="7" customFormat="1" ht="105" hidden="1" x14ac:dyDescent="0.25">
      <c r="A122" s="346">
        <v>7</v>
      </c>
      <c r="B122" s="174" t="s">
        <v>254</v>
      </c>
      <c r="C122" s="179" t="s">
        <v>255</v>
      </c>
      <c r="D122" s="181" t="s">
        <v>256</v>
      </c>
      <c r="E122" s="384" t="s">
        <v>233</v>
      </c>
      <c r="F122" s="181">
        <v>1</v>
      </c>
      <c r="G122" s="385" t="s">
        <v>234</v>
      </c>
      <c r="H122" s="278" t="s">
        <v>235</v>
      </c>
      <c r="I122" s="386">
        <v>3095000</v>
      </c>
      <c r="J122" s="212">
        <f>I122*9</f>
        <v>27855000</v>
      </c>
      <c r="K122" s="97">
        <f t="shared" ref="K122:K152" si="212">I122</f>
        <v>3095000</v>
      </c>
      <c r="L122" s="98">
        <f t="shared" si="211"/>
        <v>27855000</v>
      </c>
      <c r="M122" s="469"/>
      <c r="N122" s="470"/>
      <c r="O122" s="470"/>
      <c r="P122" s="184"/>
      <c r="Q122" s="70"/>
      <c r="R122" s="70"/>
      <c r="S122" s="70"/>
      <c r="T122" s="70"/>
      <c r="AE122" s="291"/>
      <c r="AO122" s="292"/>
      <c r="AV122" s="482"/>
      <c r="AW122" s="482"/>
      <c r="AX122" s="482"/>
      <c r="AY122" s="482"/>
      <c r="AZ122" s="482"/>
      <c r="BA122" s="482"/>
      <c r="BB122" s="482"/>
      <c r="BC122" s="482"/>
      <c r="BD122" s="484"/>
      <c r="BE122" s="478"/>
      <c r="BF122" s="479"/>
    </row>
    <row r="123" spans="1:68" s="7" customFormat="1" ht="294" hidden="1" x14ac:dyDescent="0.25">
      <c r="A123" s="346">
        <v>8</v>
      </c>
      <c r="B123" s="174" t="s">
        <v>257</v>
      </c>
      <c r="C123" s="180" t="s">
        <v>258</v>
      </c>
      <c r="D123" s="181" t="s">
        <v>259</v>
      </c>
      <c r="E123" s="384" t="s">
        <v>233</v>
      </c>
      <c r="F123" s="181">
        <v>1</v>
      </c>
      <c r="G123" s="385" t="s">
        <v>260</v>
      </c>
      <c r="H123" s="278" t="s">
        <v>235</v>
      </c>
      <c r="I123" s="386">
        <v>2665333</v>
      </c>
      <c r="J123" s="388">
        <v>2665333</v>
      </c>
      <c r="K123" s="97">
        <f t="shared" si="212"/>
        <v>2665333</v>
      </c>
      <c r="L123" s="98">
        <f t="shared" si="211"/>
        <v>2665333</v>
      </c>
      <c r="M123" s="469" t="s">
        <v>261</v>
      </c>
      <c r="N123" s="470"/>
      <c r="O123" s="470"/>
      <c r="P123" s="184"/>
      <c r="Q123" s="70"/>
      <c r="R123" s="70"/>
      <c r="S123" s="70"/>
      <c r="T123" s="70"/>
      <c r="AE123" s="291"/>
      <c r="AO123" s="292"/>
      <c r="AV123" s="482"/>
      <c r="AW123" s="482"/>
      <c r="AX123" s="482"/>
      <c r="AY123" s="482"/>
      <c r="AZ123" s="482"/>
      <c r="BA123" s="482"/>
      <c r="BB123" s="482"/>
      <c r="BC123" s="482"/>
      <c r="BD123" s="484"/>
      <c r="BE123" s="478"/>
      <c r="BF123" s="479"/>
    </row>
    <row r="124" spans="1:68" s="7" customFormat="1" ht="315" hidden="1" x14ac:dyDescent="0.25">
      <c r="A124" s="346">
        <v>9</v>
      </c>
      <c r="B124" s="174" t="s">
        <v>257</v>
      </c>
      <c r="C124" s="181" t="s">
        <v>262</v>
      </c>
      <c r="D124" s="181" t="s">
        <v>263</v>
      </c>
      <c r="E124" s="384" t="s">
        <v>233</v>
      </c>
      <c r="F124" s="181">
        <v>1</v>
      </c>
      <c r="G124" s="385" t="s">
        <v>260</v>
      </c>
      <c r="H124" s="278" t="s">
        <v>235</v>
      </c>
      <c r="I124" s="386">
        <v>2665333</v>
      </c>
      <c r="J124" s="388">
        <v>2665333</v>
      </c>
      <c r="K124" s="97">
        <f t="shared" si="212"/>
        <v>2665333</v>
      </c>
      <c r="L124" s="98">
        <f t="shared" si="211"/>
        <v>2665333</v>
      </c>
      <c r="M124" s="469" t="s">
        <v>261</v>
      </c>
      <c r="N124" s="470"/>
      <c r="O124" s="470"/>
      <c r="P124" s="184"/>
      <c r="Q124" s="70"/>
      <c r="R124" s="70"/>
      <c r="S124" s="70"/>
      <c r="T124" s="70"/>
      <c r="AE124" s="291"/>
      <c r="AO124" s="292"/>
      <c r="AV124" s="482"/>
      <c r="AW124" s="482"/>
      <c r="AX124" s="482"/>
      <c r="AY124" s="482"/>
      <c r="AZ124" s="482"/>
      <c r="BA124" s="482"/>
      <c r="BB124" s="482"/>
      <c r="BC124" s="482"/>
      <c r="BD124" s="484"/>
      <c r="BE124" s="478"/>
      <c r="BF124" s="479"/>
    </row>
    <row r="125" spans="1:68" s="7" customFormat="1" ht="294" hidden="1" x14ac:dyDescent="0.25">
      <c r="A125" s="346">
        <v>10</v>
      </c>
      <c r="B125" s="174" t="s">
        <v>257</v>
      </c>
      <c r="C125" s="182" t="s">
        <v>264</v>
      </c>
      <c r="D125" s="181" t="s">
        <v>265</v>
      </c>
      <c r="E125" s="384" t="s">
        <v>233</v>
      </c>
      <c r="F125" s="181">
        <v>1</v>
      </c>
      <c r="G125" s="385" t="s">
        <v>260</v>
      </c>
      <c r="H125" s="278" t="s">
        <v>235</v>
      </c>
      <c r="I125" s="386">
        <v>2665333</v>
      </c>
      <c r="J125" s="388">
        <v>2665333</v>
      </c>
      <c r="K125" s="97">
        <f t="shared" si="212"/>
        <v>2665333</v>
      </c>
      <c r="L125" s="98">
        <f t="shared" si="211"/>
        <v>2665333</v>
      </c>
      <c r="M125" s="469" t="s">
        <v>261</v>
      </c>
      <c r="N125" s="470"/>
      <c r="O125" s="470"/>
      <c r="P125" s="184"/>
      <c r="Q125" s="70"/>
      <c r="R125" s="70"/>
      <c r="S125" s="70"/>
      <c r="T125" s="70"/>
      <c r="AE125" s="291"/>
      <c r="AO125" s="292"/>
      <c r="AV125" s="482"/>
      <c r="AW125" s="482"/>
      <c r="AX125" s="482"/>
      <c r="AY125" s="482"/>
      <c r="AZ125" s="482"/>
      <c r="BA125" s="482"/>
      <c r="BB125" s="482"/>
      <c r="BC125" s="482"/>
      <c r="BD125" s="484"/>
      <c r="BE125" s="478"/>
      <c r="BF125" s="479"/>
    </row>
    <row r="126" spans="1:68" s="7" customFormat="1" ht="315" hidden="1" x14ac:dyDescent="0.25">
      <c r="A126" s="346">
        <v>11</v>
      </c>
      <c r="B126" s="174" t="s">
        <v>257</v>
      </c>
      <c r="C126" s="182" t="s">
        <v>266</v>
      </c>
      <c r="D126" s="181" t="s">
        <v>240</v>
      </c>
      <c r="E126" s="384" t="s">
        <v>233</v>
      </c>
      <c r="F126" s="181">
        <v>1</v>
      </c>
      <c r="G126" s="385" t="s">
        <v>260</v>
      </c>
      <c r="H126" s="278" t="s">
        <v>235</v>
      </c>
      <c r="I126" s="386">
        <v>2665333</v>
      </c>
      <c r="J126" s="388">
        <v>2665333</v>
      </c>
      <c r="K126" s="97">
        <f t="shared" si="212"/>
        <v>2665333</v>
      </c>
      <c r="L126" s="98">
        <f t="shared" si="211"/>
        <v>2665333</v>
      </c>
      <c r="M126" s="186"/>
      <c r="N126" s="187"/>
      <c r="O126" s="187"/>
      <c r="P126" s="184"/>
      <c r="Q126" s="70"/>
      <c r="R126" s="70"/>
      <c r="S126" s="70"/>
      <c r="T126" s="70"/>
      <c r="AE126" s="291"/>
      <c r="AO126" s="292"/>
      <c r="AV126" s="482"/>
      <c r="AW126" s="482"/>
      <c r="AX126" s="482"/>
      <c r="AY126" s="482"/>
      <c r="AZ126" s="482"/>
      <c r="BA126" s="482"/>
      <c r="BB126" s="482"/>
      <c r="BC126" s="482"/>
      <c r="BD126" s="484"/>
      <c r="BE126" s="478"/>
      <c r="BF126" s="479"/>
    </row>
    <row r="127" spans="1:68" s="7" customFormat="1" ht="168" hidden="1" x14ac:dyDescent="0.25">
      <c r="A127" s="346">
        <v>12</v>
      </c>
      <c r="B127" s="174" t="s">
        <v>257</v>
      </c>
      <c r="C127" s="180" t="s">
        <v>267</v>
      </c>
      <c r="D127" s="181" t="s">
        <v>268</v>
      </c>
      <c r="E127" s="384" t="s">
        <v>233</v>
      </c>
      <c r="F127" s="181">
        <v>1</v>
      </c>
      <c r="G127" s="385" t="s">
        <v>260</v>
      </c>
      <c r="H127" s="278" t="s">
        <v>235</v>
      </c>
      <c r="I127" s="386">
        <v>1031666</v>
      </c>
      <c r="J127" s="212">
        <v>1031666</v>
      </c>
      <c r="K127" s="97">
        <f t="shared" si="212"/>
        <v>1031666</v>
      </c>
      <c r="L127" s="98">
        <f t="shared" si="211"/>
        <v>1031666</v>
      </c>
      <c r="M127" s="469" t="s">
        <v>261</v>
      </c>
      <c r="N127" s="470"/>
      <c r="O127" s="470"/>
      <c r="P127" s="184"/>
      <c r="Q127" s="70"/>
      <c r="R127" s="70"/>
      <c r="S127" s="70"/>
      <c r="T127" s="70"/>
      <c r="AE127" s="291"/>
      <c r="AO127" s="292"/>
      <c r="AV127" s="482"/>
      <c r="AW127" s="482"/>
      <c r="AX127" s="482"/>
      <c r="AY127" s="482"/>
      <c r="AZ127" s="482"/>
      <c r="BA127" s="482"/>
      <c r="BB127" s="482"/>
      <c r="BC127" s="482"/>
      <c r="BD127" s="484"/>
      <c r="BE127" s="478"/>
      <c r="BF127" s="479"/>
    </row>
    <row r="128" spans="1:68" s="7" customFormat="1" ht="357" hidden="1" x14ac:dyDescent="0.25">
      <c r="A128" s="346">
        <v>13</v>
      </c>
      <c r="B128" s="174" t="s">
        <v>269</v>
      </c>
      <c r="C128" s="181" t="s">
        <v>270</v>
      </c>
      <c r="D128" s="181" t="s">
        <v>271</v>
      </c>
      <c r="E128" s="384" t="s">
        <v>233</v>
      </c>
      <c r="F128" s="181">
        <v>1</v>
      </c>
      <c r="G128" s="385" t="s">
        <v>272</v>
      </c>
      <c r="H128" s="278" t="s">
        <v>235</v>
      </c>
      <c r="I128" s="386">
        <v>7462933</v>
      </c>
      <c r="J128" s="212">
        <v>7462933</v>
      </c>
      <c r="K128" s="97">
        <f t="shared" si="212"/>
        <v>7462933</v>
      </c>
      <c r="L128" s="98">
        <f t="shared" si="211"/>
        <v>7462933</v>
      </c>
      <c r="M128" s="469" t="s">
        <v>273</v>
      </c>
      <c r="N128" s="470"/>
      <c r="O128" s="470"/>
      <c r="P128" s="184"/>
      <c r="Q128" s="70"/>
      <c r="R128" s="70"/>
      <c r="S128" s="70"/>
      <c r="T128" s="70"/>
      <c r="AE128" s="291"/>
      <c r="AO128" s="292"/>
      <c r="AV128" s="482"/>
      <c r="AW128" s="482"/>
      <c r="AX128" s="482"/>
      <c r="AY128" s="482"/>
      <c r="AZ128" s="482"/>
      <c r="BA128" s="482"/>
      <c r="BB128" s="482"/>
      <c r="BC128" s="482"/>
      <c r="BD128" s="484"/>
      <c r="BE128" s="478"/>
      <c r="BF128" s="479"/>
    </row>
    <row r="129" spans="1:58" s="7" customFormat="1" ht="315" hidden="1" x14ac:dyDescent="0.25">
      <c r="A129" s="346">
        <v>14</v>
      </c>
      <c r="B129" s="174" t="s">
        <v>269</v>
      </c>
      <c r="C129" s="181" t="s">
        <v>274</v>
      </c>
      <c r="D129" s="181" t="s">
        <v>275</v>
      </c>
      <c r="E129" s="384" t="s">
        <v>233</v>
      </c>
      <c r="F129" s="181">
        <v>1</v>
      </c>
      <c r="G129" s="385" t="s">
        <v>272</v>
      </c>
      <c r="H129" s="278" t="s">
        <v>235</v>
      </c>
      <c r="I129" s="386">
        <v>4374533</v>
      </c>
      <c r="J129" s="388">
        <v>4374533</v>
      </c>
      <c r="K129" s="97">
        <f t="shared" si="212"/>
        <v>4374533</v>
      </c>
      <c r="L129" s="98">
        <f t="shared" si="211"/>
        <v>4374533</v>
      </c>
      <c r="M129" s="469" t="s">
        <v>273</v>
      </c>
      <c r="N129" s="470"/>
      <c r="O129" s="470"/>
      <c r="P129" s="184"/>
      <c r="Q129" s="70"/>
      <c r="R129" s="70"/>
      <c r="S129" s="70"/>
      <c r="T129" s="70"/>
      <c r="AE129" s="291"/>
      <c r="AO129" s="292"/>
      <c r="AV129" s="482"/>
      <c r="AW129" s="482"/>
      <c r="AX129" s="482"/>
      <c r="AY129" s="482"/>
      <c r="AZ129" s="482"/>
      <c r="BA129" s="482"/>
      <c r="BB129" s="482"/>
      <c r="BC129" s="482"/>
      <c r="BD129" s="484"/>
      <c r="BE129" s="478"/>
      <c r="BF129" s="479"/>
    </row>
    <row r="130" spans="1:58" s="7" customFormat="1" ht="210" hidden="1" x14ac:dyDescent="0.25">
      <c r="A130" s="346">
        <v>15</v>
      </c>
      <c r="B130" s="174" t="s">
        <v>269</v>
      </c>
      <c r="C130" s="181" t="s">
        <v>276</v>
      </c>
      <c r="D130" s="181" t="s">
        <v>277</v>
      </c>
      <c r="E130" s="384" t="s">
        <v>233</v>
      </c>
      <c r="F130" s="181">
        <v>1</v>
      </c>
      <c r="G130" s="385" t="s">
        <v>260</v>
      </c>
      <c r="H130" s="278" t="s">
        <v>235</v>
      </c>
      <c r="I130" s="386">
        <v>4374533</v>
      </c>
      <c r="J130" s="388">
        <v>4374533</v>
      </c>
      <c r="K130" s="97">
        <f t="shared" si="212"/>
        <v>4374533</v>
      </c>
      <c r="L130" s="98">
        <f t="shared" si="211"/>
        <v>4374533</v>
      </c>
      <c r="M130" s="469" t="s">
        <v>261</v>
      </c>
      <c r="N130" s="470"/>
      <c r="O130" s="470"/>
      <c r="P130" s="184"/>
      <c r="Q130" s="70"/>
      <c r="R130" s="70"/>
      <c r="S130" s="70"/>
      <c r="T130" s="70"/>
      <c r="AE130" s="291"/>
      <c r="AO130" s="292"/>
      <c r="AV130" s="482"/>
      <c r="AW130" s="482"/>
      <c r="AX130" s="482"/>
      <c r="AY130" s="482"/>
      <c r="AZ130" s="482"/>
      <c r="BA130" s="482"/>
      <c r="BB130" s="482"/>
      <c r="BC130" s="482"/>
      <c r="BD130" s="484"/>
      <c r="BE130" s="478"/>
      <c r="BF130" s="479"/>
    </row>
    <row r="131" spans="1:58" s="7" customFormat="1" ht="168" hidden="1" x14ac:dyDescent="0.25">
      <c r="A131" s="346">
        <v>16</v>
      </c>
      <c r="B131" s="174" t="s">
        <v>269</v>
      </c>
      <c r="C131" s="181" t="s">
        <v>267</v>
      </c>
      <c r="D131" s="181" t="s">
        <v>278</v>
      </c>
      <c r="E131" s="384" t="s">
        <v>233</v>
      </c>
      <c r="F131" s="181">
        <v>3</v>
      </c>
      <c r="G131" s="385" t="s">
        <v>260</v>
      </c>
      <c r="H131" s="278" t="s">
        <v>235</v>
      </c>
      <c r="I131" s="386">
        <v>1031666</v>
      </c>
      <c r="J131" s="212">
        <f>I131*3</f>
        <v>3094998</v>
      </c>
      <c r="K131" s="97">
        <f t="shared" si="212"/>
        <v>1031666</v>
      </c>
      <c r="L131" s="98">
        <f t="shared" si="211"/>
        <v>3094998</v>
      </c>
      <c r="M131" s="469" t="s">
        <v>273</v>
      </c>
      <c r="N131" s="470"/>
      <c r="O131" s="470"/>
      <c r="P131" s="184"/>
      <c r="Q131" s="70"/>
      <c r="R131" s="70"/>
      <c r="S131" s="70"/>
      <c r="T131" s="70"/>
      <c r="AE131" s="291"/>
      <c r="AO131" s="292"/>
      <c r="AV131" s="482"/>
      <c r="AW131" s="482"/>
      <c r="AX131" s="482"/>
      <c r="AY131" s="482"/>
      <c r="AZ131" s="482"/>
      <c r="BA131" s="482"/>
      <c r="BB131" s="482"/>
      <c r="BC131" s="482"/>
      <c r="BD131" s="484"/>
      <c r="BE131" s="478"/>
      <c r="BF131" s="479"/>
    </row>
    <row r="132" spans="1:58" s="7" customFormat="1" ht="409.5" hidden="1" x14ac:dyDescent="0.25">
      <c r="A132" s="346">
        <v>17</v>
      </c>
      <c r="B132" s="174" t="s">
        <v>279</v>
      </c>
      <c r="C132" s="181" t="s">
        <v>280</v>
      </c>
      <c r="D132" s="181" t="s">
        <v>281</v>
      </c>
      <c r="E132" s="384" t="s">
        <v>233</v>
      </c>
      <c r="F132" s="181">
        <v>1</v>
      </c>
      <c r="G132" s="385" t="s">
        <v>272</v>
      </c>
      <c r="H132" s="278" t="s">
        <v>235</v>
      </c>
      <c r="I132" s="386">
        <v>7462933</v>
      </c>
      <c r="J132" s="212">
        <v>7462933</v>
      </c>
      <c r="K132" s="97">
        <f t="shared" si="212"/>
        <v>7462933</v>
      </c>
      <c r="L132" s="98">
        <f t="shared" si="211"/>
        <v>7462933</v>
      </c>
      <c r="M132" s="469" t="s">
        <v>273</v>
      </c>
      <c r="N132" s="470"/>
      <c r="O132" s="470"/>
      <c r="P132" s="184"/>
      <c r="Q132" s="70"/>
      <c r="R132" s="70"/>
      <c r="S132" s="70"/>
      <c r="T132" s="70"/>
      <c r="AE132" s="291"/>
      <c r="AO132" s="292"/>
      <c r="AV132" s="482"/>
      <c r="AW132" s="482"/>
      <c r="AX132" s="482"/>
      <c r="AY132" s="482"/>
      <c r="AZ132" s="482"/>
      <c r="BA132" s="482"/>
      <c r="BB132" s="482"/>
      <c r="BC132" s="482"/>
      <c r="BD132" s="484"/>
      <c r="BE132" s="478"/>
      <c r="BF132" s="479"/>
    </row>
    <row r="133" spans="1:58" s="7" customFormat="1" ht="105" hidden="1" x14ac:dyDescent="0.25">
      <c r="A133" s="346">
        <v>18</v>
      </c>
      <c r="B133" s="174" t="s">
        <v>279</v>
      </c>
      <c r="C133" s="181" t="s">
        <v>282</v>
      </c>
      <c r="D133" s="181" t="s">
        <v>283</v>
      </c>
      <c r="E133" s="384" t="s">
        <v>233</v>
      </c>
      <c r="F133" s="181">
        <v>2</v>
      </c>
      <c r="G133" s="385" t="s">
        <v>272</v>
      </c>
      <c r="H133" s="278" t="s">
        <v>235</v>
      </c>
      <c r="I133" s="386">
        <v>2888666</v>
      </c>
      <c r="J133" s="212">
        <f>I133*2</f>
        <v>5777332</v>
      </c>
      <c r="K133" s="97">
        <f t="shared" si="212"/>
        <v>2888666</v>
      </c>
      <c r="L133" s="98">
        <f t="shared" si="211"/>
        <v>5777332</v>
      </c>
      <c r="M133" s="469" t="s">
        <v>273</v>
      </c>
      <c r="N133" s="470"/>
      <c r="O133" s="470"/>
      <c r="P133" s="184"/>
      <c r="Q133" s="70"/>
      <c r="R133" s="70"/>
      <c r="S133" s="70"/>
      <c r="T133" s="70"/>
      <c r="AE133" s="291"/>
      <c r="AO133" s="292"/>
      <c r="AV133" s="482"/>
      <c r="AW133" s="482"/>
      <c r="AX133" s="482"/>
      <c r="AY133" s="482"/>
      <c r="AZ133" s="482"/>
      <c r="BA133" s="482"/>
      <c r="BB133" s="482"/>
      <c r="BC133" s="482"/>
      <c r="BD133" s="484"/>
      <c r="BE133" s="478"/>
      <c r="BF133" s="479"/>
    </row>
    <row r="134" spans="1:58" s="7" customFormat="1" ht="273" hidden="1" x14ac:dyDescent="0.25">
      <c r="A134" s="346">
        <v>19</v>
      </c>
      <c r="B134" s="174" t="s">
        <v>284</v>
      </c>
      <c r="C134" s="181" t="s">
        <v>285</v>
      </c>
      <c r="D134" s="181" t="s">
        <v>286</v>
      </c>
      <c r="E134" s="384" t="s">
        <v>233</v>
      </c>
      <c r="F134" s="181">
        <v>1</v>
      </c>
      <c r="G134" s="385" t="s">
        <v>287</v>
      </c>
      <c r="H134" s="278" t="s">
        <v>235</v>
      </c>
      <c r="I134" s="386">
        <v>9861733</v>
      </c>
      <c r="J134" s="212">
        <v>9861733</v>
      </c>
      <c r="K134" s="97">
        <f t="shared" si="212"/>
        <v>9861733</v>
      </c>
      <c r="L134" s="98">
        <f t="shared" si="211"/>
        <v>9861733</v>
      </c>
      <c r="M134" s="469" t="s">
        <v>288</v>
      </c>
      <c r="N134" s="470"/>
      <c r="O134" s="470"/>
      <c r="P134" s="184"/>
      <c r="Q134" s="70"/>
      <c r="R134" s="70"/>
      <c r="S134" s="70"/>
      <c r="T134" s="70"/>
      <c r="AE134" s="291"/>
      <c r="AO134" s="292"/>
      <c r="AV134" s="482"/>
      <c r="AW134" s="482"/>
      <c r="AX134" s="482"/>
      <c r="AY134" s="482"/>
      <c r="AZ134" s="482"/>
      <c r="BA134" s="482"/>
      <c r="BB134" s="482"/>
      <c r="BC134" s="482"/>
      <c r="BD134" s="484"/>
      <c r="BE134" s="478"/>
      <c r="BF134" s="479"/>
    </row>
    <row r="135" spans="1:58" s="7" customFormat="1" ht="231" hidden="1" x14ac:dyDescent="0.25">
      <c r="A135" s="346">
        <v>20</v>
      </c>
      <c r="B135" s="174" t="s">
        <v>284</v>
      </c>
      <c r="C135" s="181" t="s">
        <v>289</v>
      </c>
      <c r="D135" s="181" t="s">
        <v>290</v>
      </c>
      <c r="E135" s="384" t="s">
        <v>233</v>
      </c>
      <c r="F135" s="181">
        <v>1</v>
      </c>
      <c r="G135" s="385" t="s">
        <v>287</v>
      </c>
      <c r="H135" s="278" t="s">
        <v>235</v>
      </c>
      <c r="I135" s="386">
        <v>9861733</v>
      </c>
      <c r="J135" s="212">
        <v>9861733</v>
      </c>
      <c r="K135" s="97">
        <f t="shared" si="212"/>
        <v>9861733</v>
      </c>
      <c r="L135" s="98">
        <f t="shared" si="211"/>
        <v>9861733</v>
      </c>
      <c r="M135" s="469" t="s">
        <v>288</v>
      </c>
      <c r="N135" s="470"/>
      <c r="O135" s="470"/>
      <c r="P135" s="184"/>
      <c r="Q135" s="70"/>
      <c r="R135" s="70"/>
      <c r="S135" s="70"/>
      <c r="T135" s="70"/>
      <c r="AE135" s="291"/>
      <c r="AO135" s="292"/>
      <c r="AV135" s="482"/>
      <c r="AW135" s="482"/>
      <c r="AX135" s="482"/>
      <c r="AY135" s="482"/>
      <c r="AZ135" s="482"/>
      <c r="BA135" s="482"/>
      <c r="BB135" s="482"/>
      <c r="BC135" s="482"/>
      <c r="BD135" s="484"/>
      <c r="BE135" s="478"/>
      <c r="BF135" s="479"/>
    </row>
    <row r="136" spans="1:58" s="7" customFormat="1" ht="168" hidden="1" x14ac:dyDescent="0.25">
      <c r="A136" s="346">
        <v>21</v>
      </c>
      <c r="B136" s="174" t="s">
        <v>284</v>
      </c>
      <c r="C136" s="181" t="s">
        <v>267</v>
      </c>
      <c r="D136" s="181" t="s">
        <v>291</v>
      </c>
      <c r="E136" s="384" t="s">
        <v>233</v>
      </c>
      <c r="F136" s="181">
        <v>4</v>
      </c>
      <c r="G136" s="385" t="s">
        <v>287</v>
      </c>
      <c r="H136" s="278" t="s">
        <v>235</v>
      </c>
      <c r="I136" s="386">
        <v>3817166</v>
      </c>
      <c r="J136" s="212">
        <f>I136*4</f>
        <v>15268664</v>
      </c>
      <c r="K136" s="97">
        <f t="shared" si="212"/>
        <v>3817166</v>
      </c>
      <c r="L136" s="98">
        <f t="shared" si="211"/>
        <v>15268664</v>
      </c>
      <c r="M136" s="469" t="s">
        <v>288</v>
      </c>
      <c r="N136" s="470"/>
      <c r="O136" s="470"/>
      <c r="P136" s="184"/>
      <c r="Q136" s="70"/>
      <c r="R136" s="70"/>
      <c r="S136" s="70"/>
      <c r="T136" s="70"/>
      <c r="AE136" s="291"/>
      <c r="AO136" s="292"/>
      <c r="AV136" s="482"/>
      <c r="AW136" s="482"/>
      <c r="AX136" s="482"/>
      <c r="AY136" s="482"/>
      <c r="AZ136" s="482"/>
      <c r="BA136" s="482"/>
      <c r="BB136" s="482"/>
      <c r="BC136" s="482"/>
      <c r="BD136" s="484"/>
      <c r="BE136" s="478"/>
      <c r="BF136" s="479"/>
    </row>
    <row r="137" spans="1:58" s="7" customFormat="1" ht="252" hidden="1" x14ac:dyDescent="0.25">
      <c r="A137" s="346">
        <v>22</v>
      </c>
      <c r="B137" s="174" t="s">
        <v>292</v>
      </c>
      <c r="C137" s="181" t="s">
        <v>293</v>
      </c>
      <c r="D137" s="181" t="s">
        <v>294</v>
      </c>
      <c r="E137" s="384" t="s">
        <v>233</v>
      </c>
      <c r="F137" s="181">
        <v>1</v>
      </c>
      <c r="G137" s="385" t="s">
        <v>272</v>
      </c>
      <c r="H137" s="278" t="s">
        <v>235</v>
      </c>
      <c r="I137" s="386">
        <v>4374533</v>
      </c>
      <c r="J137" s="212">
        <v>4374533</v>
      </c>
      <c r="K137" s="97">
        <f t="shared" si="212"/>
        <v>4374533</v>
      </c>
      <c r="L137" s="98">
        <f t="shared" si="211"/>
        <v>4374533</v>
      </c>
      <c r="M137" s="469" t="s">
        <v>295</v>
      </c>
      <c r="N137" s="470"/>
      <c r="O137" s="470"/>
      <c r="P137" s="184"/>
      <c r="Q137" s="70"/>
      <c r="R137" s="70"/>
      <c r="S137" s="70"/>
      <c r="T137" s="70"/>
      <c r="AE137" s="291"/>
      <c r="AO137" s="292"/>
      <c r="AV137" s="482"/>
      <c r="AW137" s="482"/>
      <c r="AX137" s="482"/>
      <c r="AY137" s="482"/>
      <c r="AZ137" s="482"/>
      <c r="BA137" s="482"/>
      <c r="BB137" s="482"/>
      <c r="BC137" s="482"/>
      <c r="BD137" s="484"/>
      <c r="BE137" s="478"/>
      <c r="BF137" s="479"/>
    </row>
    <row r="138" spans="1:58" s="7" customFormat="1" ht="294" hidden="1" x14ac:dyDescent="0.25">
      <c r="A138" s="346">
        <v>23</v>
      </c>
      <c r="B138" s="174" t="s">
        <v>292</v>
      </c>
      <c r="C138" s="181" t="s">
        <v>296</v>
      </c>
      <c r="D138" s="181" t="s">
        <v>297</v>
      </c>
      <c r="E138" s="384" t="s">
        <v>233</v>
      </c>
      <c r="F138" s="181">
        <v>1</v>
      </c>
      <c r="G138" s="385" t="s">
        <v>272</v>
      </c>
      <c r="H138" s="278" t="s">
        <v>235</v>
      </c>
      <c r="I138" s="386">
        <v>7462933</v>
      </c>
      <c r="J138" s="388">
        <v>7462933</v>
      </c>
      <c r="K138" s="97">
        <f t="shared" si="212"/>
        <v>7462933</v>
      </c>
      <c r="L138" s="98">
        <f t="shared" si="211"/>
        <v>7462933</v>
      </c>
      <c r="M138" s="469" t="s">
        <v>295</v>
      </c>
      <c r="N138" s="470"/>
      <c r="O138" s="470"/>
      <c r="P138" s="184"/>
      <c r="Q138" s="70"/>
      <c r="R138" s="70"/>
      <c r="S138" s="70"/>
      <c r="T138" s="70"/>
      <c r="AE138" s="291"/>
      <c r="AO138" s="292"/>
      <c r="AV138" s="482"/>
      <c r="AW138" s="482"/>
      <c r="AX138" s="482"/>
      <c r="AY138" s="482"/>
      <c r="AZ138" s="482"/>
      <c r="BA138" s="482"/>
      <c r="BB138" s="482"/>
      <c r="BC138" s="482"/>
      <c r="BD138" s="484"/>
      <c r="BE138" s="478"/>
      <c r="BF138" s="479"/>
    </row>
    <row r="139" spans="1:58" s="7" customFormat="1" ht="252" hidden="1" x14ac:dyDescent="0.25">
      <c r="A139" s="346">
        <v>24</v>
      </c>
      <c r="B139" s="174" t="s">
        <v>292</v>
      </c>
      <c r="C139" s="182" t="s">
        <v>298</v>
      </c>
      <c r="D139" s="181" t="s">
        <v>299</v>
      </c>
      <c r="E139" s="384" t="s">
        <v>233</v>
      </c>
      <c r="F139" s="181">
        <v>1</v>
      </c>
      <c r="G139" s="385" t="s">
        <v>300</v>
      </c>
      <c r="H139" s="278" t="s">
        <v>235</v>
      </c>
      <c r="I139" s="386">
        <v>2398800</v>
      </c>
      <c r="J139" s="388">
        <v>2398800</v>
      </c>
      <c r="K139" s="97">
        <f t="shared" si="212"/>
        <v>2398800</v>
      </c>
      <c r="L139" s="98">
        <f t="shared" si="211"/>
        <v>2398800</v>
      </c>
      <c r="M139" s="469" t="s">
        <v>301</v>
      </c>
      <c r="N139" s="470"/>
      <c r="O139" s="470"/>
      <c r="P139" s="184"/>
      <c r="Q139" s="70"/>
      <c r="R139" s="70"/>
      <c r="S139" s="70"/>
      <c r="T139" s="70"/>
      <c r="AE139" s="291"/>
      <c r="AO139" s="292"/>
      <c r="AV139" s="482"/>
      <c r="AW139" s="482"/>
      <c r="AX139" s="482"/>
      <c r="AY139" s="482"/>
      <c r="AZ139" s="482"/>
      <c r="BA139" s="482"/>
      <c r="BB139" s="482"/>
      <c r="BC139" s="482"/>
      <c r="BD139" s="484"/>
      <c r="BE139" s="478"/>
      <c r="BF139" s="479"/>
    </row>
    <row r="140" spans="1:58" s="7" customFormat="1" ht="315" hidden="1" x14ac:dyDescent="0.25">
      <c r="A140" s="346">
        <v>25</v>
      </c>
      <c r="B140" s="174" t="s">
        <v>292</v>
      </c>
      <c r="C140" s="182" t="s">
        <v>266</v>
      </c>
      <c r="D140" s="181" t="s">
        <v>240</v>
      </c>
      <c r="E140" s="384" t="s">
        <v>233</v>
      </c>
      <c r="F140" s="181">
        <v>1</v>
      </c>
      <c r="G140" s="385" t="s">
        <v>272</v>
      </c>
      <c r="H140" s="278" t="s">
        <v>235</v>
      </c>
      <c r="I140" s="386">
        <v>7462933</v>
      </c>
      <c r="J140" s="388">
        <v>7462933</v>
      </c>
      <c r="K140" s="97">
        <f t="shared" ref="K140" si="213">I140</f>
        <v>7462933</v>
      </c>
      <c r="L140" s="98">
        <f t="shared" ref="L140" si="214">J140</f>
        <v>7462933</v>
      </c>
      <c r="M140" s="186"/>
      <c r="N140" s="187"/>
      <c r="O140" s="187"/>
      <c r="P140" s="184"/>
      <c r="Q140" s="70"/>
      <c r="R140" s="70"/>
      <c r="S140" s="70"/>
      <c r="T140" s="70"/>
      <c r="AE140" s="291"/>
      <c r="AO140" s="292"/>
      <c r="AV140" s="482"/>
      <c r="AW140" s="482"/>
      <c r="AX140" s="482"/>
      <c r="AY140" s="482"/>
      <c r="AZ140" s="482"/>
      <c r="BA140" s="482"/>
      <c r="BB140" s="482"/>
      <c r="BC140" s="482"/>
      <c r="BD140" s="484"/>
      <c r="BE140" s="478"/>
      <c r="BF140" s="479"/>
    </row>
    <row r="141" spans="1:58" s="7" customFormat="1" ht="168" hidden="1" x14ac:dyDescent="0.25">
      <c r="A141" s="346">
        <v>26</v>
      </c>
      <c r="B141" s="174" t="s">
        <v>292</v>
      </c>
      <c r="C141" s="180" t="s">
        <v>282</v>
      </c>
      <c r="D141" s="181" t="s">
        <v>302</v>
      </c>
      <c r="E141" s="384" t="s">
        <v>233</v>
      </c>
      <c r="F141" s="181">
        <v>3</v>
      </c>
      <c r="G141" s="385" t="s">
        <v>260</v>
      </c>
      <c r="H141" s="278" t="s">
        <v>235</v>
      </c>
      <c r="I141" s="386">
        <v>1031666</v>
      </c>
      <c r="J141" s="212">
        <f>I141*3</f>
        <v>3094998</v>
      </c>
      <c r="K141" s="97">
        <f t="shared" si="212"/>
        <v>1031666</v>
      </c>
      <c r="L141" s="98">
        <f t="shared" si="211"/>
        <v>3094998</v>
      </c>
      <c r="M141" s="469" t="s">
        <v>303</v>
      </c>
      <c r="N141" s="470"/>
      <c r="O141" s="470"/>
      <c r="P141" s="184"/>
      <c r="Q141" s="70"/>
      <c r="R141" s="70"/>
      <c r="S141" s="70"/>
      <c r="T141" s="70"/>
      <c r="AE141" s="291"/>
      <c r="AO141" s="292"/>
      <c r="AV141" s="482"/>
      <c r="AW141" s="482"/>
      <c r="AX141" s="482"/>
      <c r="AY141" s="482"/>
      <c r="AZ141" s="482"/>
      <c r="BA141" s="482"/>
      <c r="BB141" s="482"/>
      <c r="BC141" s="482"/>
      <c r="BD141" s="484"/>
      <c r="BE141" s="478"/>
      <c r="BF141" s="479"/>
    </row>
    <row r="142" spans="1:58" s="7" customFormat="1" ht="231" hidden="1" x14ac:dyDescent="0.25">
      <c r="A142" s="346">
        <v>27</v>
      </c>
      <c r="B142" s="174" t="s">
        <v>304</v>
      </c>
      <c r="C142" s="182" t="s">
        <v>305</v>
      </c>
      <c r="D142" s="181" t="s">
        <v>306</v>
      </c>
      <c r="E142" s="384" t="s">
        <v>233</v>
      </c>
      <c r="F142" s="181">
        <v>1</v>
      </c>
      <c r="G142" s="385" t="s">
        <v>307</v>
      </c>
      <c r="H142" s="278" t="s">
        <v>235</v>
      </c>
      <c r="I142" s="386">
        <v>7996001</v>
      </c>
      <c r="J142" s="212">
        <f>I142*2</f>
        <v>15992002</v>
      </c>
      <c r="K142" s="97">
        <f t="shared" si="212"/>
        <v>7996001</v>
      </c>
      <c r="L142" s="98">
        <f t="shared" si="211"/>
        <v>15992002</v>
      </c>
      <c r="M142" s="469"/>
      <c r="N142" s="470"/>
      <c r="O142" s="470"/>
      <c r="P142" s="184"/>
      <c r="Q142" s="70"/>
      <c r="R142" s="70"/>
      <c r="S142" s="70"/>
      <c r="T142" s="70"/>
      <c r="AE142" s="291"/>
      <c r="AO142" s="292"/>
      <c r="AV142" s="482"/>
      <c r="AW142" s="482"/>
      <c r="AX142" s="482"/>
      <c r="AY142" s="482"/>
      <c r="AZ142" s="482"/>
      <c r="BA142" s="482"/>
      <c r="BB142" s="482"/>
      <c r="BC142" s="482"/>
      <c r="BD142" s="484"/>
      <c r="BE142" s="478"/>
      <c r="BF142" s="479"/>
    </row>
    <row r="143" spans="1:58" s="7" customFormat="1" ht="252" hidden="1" x14ac:dyDescent="0.25">
      <c r="A143" s="346">
        <v>28</v>
      </c>
      <c r="B143" s="174" t="s">
        <v>304</v>
      </c>
      <c r="C143" s="180" t="s">
        <v>308</v>
      </c>
      <c r="D143" s="181" t="s">
        <v>309</v>
      </c>
      <c r="E143" s="384" t="s">
        <v>233</v>
      </c>
      <c r="F143" s="181">
        <v>5</v>
      </c>
      <c r="G143" s="385" t="s">
        <v>310</v>
      </c>
      <c r="H143" s="278" t="s">
        <v>235</v>
      </c>
      <c r="I143" s="386">
        <v>7996001</v>
      </c>
      <c r="J143" s="212">
        <f>I143*5</f>
        <v>39980005</v>
      </c>
      <c r="K143" s="97">
        <f t="shared" si="212"/>
        <v>7996001</v>
      </c>
      <c r="L143" s="98">
        <f t="shared" si="211"/>
        <v>39980005</v>
      </c>
      <c r="M143" s="469"/>
      <c r="N143" s="470"/>
      <c r="O143" s="470"/>
      <c r="P143" s="184"/>
      <c r="Q143" s="70"/>
      <c r="R143" s="70"/>
      <c r="S143" s="70"/>
      <c r="T143" s="70"/>
      <c r="AE143" s="291"/>
      <c r="AO143" s="292"/>
      <c r="AV143" s="482"/>
      <c r="AW143" s="482"/>
      <c r="AX143" s="482"/>
      <c r="AY143" s="482"/>
      <c r="AZ143" s="482"/>
      <c r="BA143" s="482"/>
      <c r="BB143" s="482"/>
      <c r="BC143" s="482"/>
      <c r="BD143" s="484"/>
      <c r="BE143" s="478"/>
      <c r="BF143" s="479"/>
    </row>
    <row r="144" spans="1:58" s="7" customFormat="1" ht="315" hidden="1" x14ac:dyDescent="0.25">
      <c r="A144" s="346">
        <v>29</v>
      </c>
      <c r="B144" s="174" t="s">
        <v>304</v>
      </c>
      <c r="C144" s="181" t="s">
        <v>266</v>
      </c>
      <c r="D144" s="181" t="s">
        <v>240</v>
      </c>
      <c r="E144" s="384" t="s">
        <v>233</v>
      </c>
      <c r="F144" s="181">
        <v>1</v>
      </c>
      <c r="G144" s="385" t="s">
        <v>310</v>
      </c>
      <c r="H144" s="278" t="s">
        <v>235</v>
      </c>
      <c r="I144" s="386">
        <v>7996001</v>
      </c>
      <c r="J144" s="212">
        <f>I144*1</f>
        <v>7996001</v>
      </c>
      <c r="K144" s="97">
        <f t="shared" ref="K144" si="215">I144</f>
        <v>7996001</v>
      </c>
      <c r="L144" s="98">
        <f t="shared" ref="L144" si="216">J144</f>
        <v>7996001</v>
      </c>
      <c r="M144" s="186"/>
      <c r="N144" s="187"/>
      <c r="O144" s="187"/>
      <c r="P144" s="184"/>
      <c r="Q144" s="70"/>
      <c r="R144" s="70"/>
      <c r="S144" s="70"/>
      <c r="T144" s="70"/>
      <c r="AE144" s="291"/>
      <c r="AO144" s="292"/>
      <c r="AV144" s="482"/>
      <c r="AW144" s="482"/>
      <c r="AX144" s="482"/>
      <c r="AY144" s="482"/>
      <c r="AZ144" s="482"/>
      <c r="BA144" s="482"/>
      <c r="BB144" s="482"/>
      <c r="BC144" s="482"/>
      <c r="BD144" s="484"/>
      <c r="BE144" s="478"/>
      <c r="BF144" s="479"/>
    </row>
    <row r="145" spans="1:68" s="7" customFormat="1" ht="210" hidden="1" x14ac:dyDescent="0.25">
      <c r="A145" s="346">
        <v>30</v>
      </c>
      <c r="B145" s="174" t="s">
        <v>304</v>
      </c>
      <c r="C145" s="181" t="s">
        <v>311</v>
      </c>
      <c r="D145" s="181" t="s">
        <v>312</v>
      </c>
      <c r="E145" s="384" t="s">
        <v>233</v>
      </c>
      <c r="F145" s="181">
        <v>1</v>
      </c>
      <c r="G145" s="385" t="s">
        <v>310</v>
      </c>
      <c r="H145" s="278" t="s">
        <v>235</v>
      </c>
      <c r="I145" s="386">
        <v>5860000</v>
      </c>
      <c r="J145" s="212">
        <f>I145*1</f>
        <v>5860000</v>
      </c>
      <c r="K145" s="97">
        <f t="shared" si="212"/>
        <v>5860000</v>
      </c>
      <c r="L145" s="98">
        <f t="shared" si="211"/>
        <v>5860000</v>
      </c>
      <c r="M145" s="469"/>
      <c r="N145" s="470"/>
      <c r="O145" s="470"/>
      <c r="P145" s="184"/>
      <c r="Q145" s="70"/>
      <c r="R145" s="70"/>
      <c r="S145" s="70"/>
      <c r="T145" s="70"/>
      <c r="AE145" s="291"/>
      <c r="AO145" s="292"/>
      <c r="AV145" s="482"/>
      <c r="AW145" s="482"/>
      <c r="AX145" s="482"/>
      <c r="AY145" s="482"/>
      <c r="AZ145" s="482"/>
      <c r="BA145" s="482"/>
      <c r="BB145" s="482"/>
      <c r="BC145" s="482"/>
      <c r="BD145" s="484"/>
      <c r="BE145" s="478"/>
      <c r="BF145" s="479"/>
    </row>
    <row r="146" spans="1:68" s="7" customFormat="1" ht="147" hidden="1" x14ac:dyDescent="0.25">
      <c r="A146" s="346">
        <v>31</v>
      </c>
      <c r="B146" s="174" t="s">
        <v>304</v>
      </c>
      <c r="C146" s="181" t="s">
        <v>313</v>
      </c>
      <c r="D146" s="181" t="s">
        <v>314</v>
      </c>
      <c r="E146" s="384" t="s">
        <v>233</v>
      </c>
      <c r="F146" s="181">
        <v>2</v>
      </c>
      <c r="G146" s="385" t="s">
        <v>307</v>
      </c>
      <c r="H146" s="278" t="s">
        <v>235</v>
      </c>
      <c r="I146" s="386">
        <v>3095000</v>
      </c>
      <c r="J146" s="212">
        <f>I146*4</f>
        <v>12380000</v>
      </c>
      <c r="K146" s="97">
        <f t="shared" si="212"/>
        <v>3095000</v>
      </c>
      <c r="L146" s="98">
        <f t="shared" si="211"/>
        <v>12380000</v>
      </c>
      <c r="M146" s="469"/>
      <c r="N146" s="470"/>
      <c r="O146" s="470"/>
      <c r="P146" s="184"/>
      <c r="Q146" s="70"/>
      <c r="R146" s="70"/>
      <c r="S146" s="70"/>
      <c r="T146" s="70"/>
      <c r="AE146" s="291"/>
      <c r="AO146" s="292"/>
      <c r="AV146" s="482"/>
      <c r="AW146" s="482"/>
      <c r="AX146" s="482"/>
      <c r="AY146" s="482"/>
      <c r="AZ146" s="482"/>
      <c r="BA146" s="482"/>
      <c r="BB146" s="482"/>
      <c r="BC146" s="482"/>
      <c r="BD146" s="484"/>
      <c r="BE146" s="478"/>
      <c r="BF146" s="479"/>
    </row>
    <row r="147" spans="1:68" s="7" customFormat="1" ht="126" hidden="1" x14ac:dyDescent="0.25">
      <c r="A147" s="346">
        <v>32</v>
      </c>
      <c r="B147" s="174" t="s">
        <v>304</v>
      </c>
      <c r="C147" s="181" t="s">
        <v>315</v>
      </c>
      <c r="D147" s="181" t="s">
        <v>316</v>
      </c>
      <c r="E147" s="384" t="s">
        <v>233</v>
      </c>
      <c r="F147" s="181">
        <v>30</v>
      </c>
      <c r="G147" s="385" t="s">
        <v>310</v>
      </c>
      <c r="H147" s="278" t="s">
        <v>235</v>
      </c>
      <c r="I147" s="386">
        <v>3095000</v>
      </c>
      <c r="J147" s="212">
        <f>I147*30</f>
        <v>92850000</v>
      </c>
      <c r="K147" s="97">
        <f t="shared" si="212"/>
        <v>3095000</v>
      </c>
      <c r="L147" s="98">
        <f t="shared" si="211"/>
        <v>92850000</v>
      </c>
      <c r="M147" s="469"/>
      <c r="N147" s="470"/>
      <c r="O147" s="470"/>
      <c r="P147" s="184"/>
      <c r="Q147" s="70"/>
      <c r="R147" s="70"/>
      <c r="S147" s="70"/>
      <c r="T147" s="70"/>
      <c r="AE147" s="291"/>
      <c r="AO147" s="292"/>
      <c r="AV147" s="482"/>
      <c r="AW147" s="482"/>
      <c r="AX147" s="482"/>
      <c r="AY147" s="482"/>
      <c r="AZ147" s="482"/>
      <c r="BA147" s="482"/>
      <c r="BB147" s="482"/>
      <c r="BC147" s="482"/>
      <c r="BD147" s="484"/>
      <c r="BE147" s="478"/>
      <c r="BF147" s="479"/>
    </row>
    <row r="148" spans="1:68" s="7" customFormat="1" ht="273" hidden="1" x14ac:dyDescent="0.25">
      <c r="A148" s="346">
        <v>33</v>
      </c>
      <c r="B148" s="174" t="s">
        <v>317</v>
      </c>
      <c r="C148" s="181" t="s">
        <v>318</v>
      </c>
      <c r="D148" s="181" t="s">
        <v>319</v>
      </c>
      <c r="E148" s="384" t="s">
        <v>233</v>
      </c>
      <c r="F148" s="181">
        <v>1</v>
      </c>
      <c r="G148" s="385" t="s">
        <v>320</v>
      </c>
      <c r="H148" s="278" t="s">
        <v>235</v>
      </c>
      <c r="I148" s="386">
        <v>7996000</v>
      </c>
      <c r="J148" s="212">
        <f>I148*4</f>
        <v>31984000</v>
      </c>
      <c r="K148" s="97">
        <f t="shared" si="212"/>
        <v>7996000</v>
      </c>
      <c r="L148" s="98">
        <f t="shared" si="211"/>
        <v>31984000</v>
      </c>
      <c r="M148" s="469"/>
      <c r="N148" s="470"/>
      <c r="O148" s="470"/>
      <c r="P148" s="184"/>
      <c r="Q148" s="70"/>
      <c r="R148" s="70"/>
      <c r="S148" s="70"/>
      <c r="T148" s="70"/>
      <c r="AE148" s="291"/>
      <c r="AO148" s="292"/>
      <c r="AV148" s="482"/>
      <c r="AW148" s="482"/>
      <c r="AX148" s="482"/>
      <c r="AY148" s="482"/>
      <c r="AZ148" s="482"/>
      <c r="BA148" s="482"/>
      <c r="BB148" s="482"/>
      <c r="BC148" s="482"/>
      <c r="BD148" s="484"/>
      <c r="BE148" s="478"/>
      <c r="BF148" s="479"/>
    </row>
    <row r="149" spans="1:68" s="7" customFormat="1" ht="231" hidden="1" x14ac:dyDescent="0.25">
      <c r="A149" s="346">
        <v>34</v>
      </c>
      <c r="B149" s="174" t="s">
        <v>317</v>
      </c>
      <c r="C149" s="181" t="s">
        <v>321</v>
      </c>
      <c r="D149" s="181" t="s">
        <v>322</v>
      </c>
      <c r="E149" s="384" t="s">
        <v>233</v>
      </c>
      <c r="F149" s="181">
        <v>1</v>
      </c>
      <c r="G149" s="385" t="s">
        <v>320</v>
      </c>
      <c r="H149" s="278" t="s">
        <v>235</v>
      </c>
      <c r="I149" s="386">
        <v>7996000</v>
      </c>
      <c r="J149" s="212">
        <f>I149*4</f>
        <v>31984000</v>
      </c>
      <c r="K149" s="97">
        <f t="shared" si="212"/>
        <v>7996000</v>
      </c>
      <c r="L149" s="98">
        <f t="shared" si="211"/>
        <v>31984000</v>
      </c>
      <c r="M149" s="469"/>
      <c r="N149" s="470"/>
      <c r="O149" s="470"/>
      <c r="P149" s="184"/>
      <c r="Q149" s="70"/>
      <c r="R149" s="70"/>
      <c r="S149" s="70"/>
      <c r="T149" s="70"/>
      <c r="AE149" s="291"/>
      <c r="AO149" s="292"/>
      <c r="AV149" s="482"/>
      <c r="AW149" s="482"/>
      <c r="AX149" s="482"/>
      <c r="AY149" s="482"/>
      <c r="AZ149" s="482"/>
      <c r="BA149" s="482"/>
      <c r="BB149" s="482"/>
      <c r="BC149" s="482"/>
      <c r="BD149" s="484"/>
      <c r="BE149" s="478"/>
      <c r="BF149" s="479"/>
    </row>
    <row r="150" spans="1:68" s="7" customFormat="1" ht="231" hidden="1" x14ac:dyDescent="0.25">
      <c r="A150" s="346">
        <v>35</v>
      </c>
      <c r="B150" s="174" t="s">
        <v>317</v>
      </c>
      <c r="C150" s="181" t="s">
        <v>323</v>
      </c>
      <c r="D150" s="181" t="s">
        <v>324</v>
      </c>
      <c r="E150" s="384" t="s">
        <v>233</v>
      </c>
      <c r="F150" s="181">
        <v>1</v>
      </c>
      <c r="G150" s="385" t="s">
        <v>325</v>
      </c>
      <c r="H150" s="278" t="s">
        <v>235</v>
      </c>
      <c r="I150" s="386">
        <v>7996000</v>
      </c>
      <c r="J150" s="212">
        <f>I150*3</f>
        <v>23988000</v>
      </c>
      <c r="K150" s="97">
        <f t="shared" si="212"/>
        <v>7996000</v>
      </c>
      <c r="L150" s="98">
        <f t="shared" si="211"/>
        <v>23988000</v>
      </c>
      <c r="M150" s="469"/>
      <c r="N150" s="470"/>
      <c r="O150" s="470"/>
      <c r="P150" s="184"/>
      <c r="Q150" s="70"/>
      <c r="R150" s="70"/>
      <c r="S150" s="70"/>
      <c r="T150" s="70"/>
      <c r="AE150" s="291"/>
      <c r="AO150" s="292"/>
      <c r="AV150" s="482"/>
      <c r="AW150" s="482"/>
      <c r="AX150" s="482"/>
      <c r="AY150" s="482"/>
      <c r="AZ150" s="482"/>
      <c r="BA150" s="482"/>
      <c r="BB150" s="482"/>
      <c r="BC150" s="482"/>
      <c r="BD150" s="484"/>
      <c r="BE150" s="478"/>
      <c r="BF150" s="479"/>
    </row>
    <row r="151" spans="1:68" s="7" customFormat="1" ht="147" hidden="1" x14ac:dyDescent="0.25">
      <c r="A151" s="346">
        <v>36</v>
      </c>
      <c r="B151" s="174" t="s">
        <v>317</v>
      </c>
      <c r="C151" s="181" t="s">
        <v>313</v>
      </c>
      <c r="D151" s="181" t="s">
        <v>314</v>
      </c>
      <c r="E151" s="384" t="s">
        <v>233</v>
      </c>
      <c r="F151" s="181">
        <v>2</v>
      </c>
      <c r="G151" s="385" t="s">
        <v>320</v>
      </c>
      <c r="H151" s="278" t="s">
        <v>235</v>
      </c>
      <c r="I151" s="386">
        <v>3640000</v>
      </c>
      <c r="J151" s="212">
        <f>I151*8</f>
        <v>29120000</v>
      </c>
      <c r="K151" s="97">
        <f t="shared" si="212"/>
        <v>3640000</v>
      </c>
      <c r="L151" s="98">
        <f t="shared" si="211"/>
        <v>29120000</v>
      </c>
      <c r="M151" s="469"/>
      <c r="N151" s="470"/>
      <c r="O151" s="470"/>
      <c r="P151" s="184"/>
      <c r="Q151" s="70"/>
      <c r="R151" s="70"/>
      <c r="S151" s="70"/>
      <c r="T151" s="70"/>
      <c r="AE151" s="291"/>
      <c r="AO151" s="292"/>
      <c r="AV151" s="482"/>
      <c r="AW151" s="482"/>
      <c r="AX151" s="482"/>
      <c r="AY151" s="482"/>
      <c r="AZ151" s="482"/>
      <c r="BA151" s="482"/>
      <c r="BB151" s="482"/>
      <c r="BC151" s="482"/>
      <c r="BD151" s="484"/>
      <c r="BE151" s="478"/>
      <c r="BF151" s="479"/>
    </row>
    <row r="152" spans="1:68" s="7" customFormat="1" ht="126" hidden="1" x14ac:dyDescent="0.25">
      <c r="A152" s="346">
        <v>37</v>
      </c>
      <c r="B152" s="174" t="s">
        <v>317</v>
      </c>
      <c r="C152" s="181" t="s">
        <v>326</v>
      </c>
      <c r="D152" s="181" t="s">
        <v>316</v>
      </c>
      <c r="E152" s="384" t="s">
        <v>233</v>
      </c>
      <c r="F152" s="181">
        <v>2</v>
      </c>
      <c r="G152" s="385" t="s">
        <v>325</v>
      </c>
      <c r="H152" s="278" t="s">
        <v>235</v>
      </c>
      <c r="I152" s="386">
        <v>3095000</v>
      </c>
      <c r="J152" s="212">
        <f>I152*6</f>
        <v>18570000</v>
      </c>
      <c r="K152" s="97">
        <f t="shared" si="212"/>
        <v>3095000</v>
      </c>
      <c r="L152" s="98">
        <f t="shared" si="211"/>
        <v>18570000</v>
      </c>
      <c r="M152" s="469"/>
      <c r="N152" s="470"/>
      <c r="O152" s="470"/>
      <c r="P152" s="184"/>
      <c r="Q152" s="70"/>
      <c r="R152" s="70"/>
      <c r="S152" s="70"/>
      <c r="T152" s="471" t="s">
        <v>236</v>
      </c>
      <c r="U152" s="472"/>
      <c r="V152" s="472"/>
      <c r="W152" s="472"/>
      <c r="X152" s="472"/>
      <c r="Y152" s="473"/>
      <c r="Z152" s="474" t="s">
        <v>237</v>
      </c>
      <c r="AA152" s="475">
        <f>SUM(AA113,L153)</f>
        <v>1517580877.7180338</v>
      </c>
      <c r="AE152" s="291"/>
      <c r="AO152" s="292"/>
      <c r="AV152" s="482"/>
      <c r="AW152" s="482"/>
      <c r="AX152" s="482"/>
      <c r="AY152" s="482"/>
      <c r="AZ152" s="482"/>
      <c r="BA152" s="482"/>
      <c r="BB152" s="482"/>
      <c r="BC152" s="482"/>
      <c r="BD152" s="484"/>
      <c r="BE152" s="478"/>
      <c r="BF152" s="479"/>
      <c r="BP152" s="7">
        <v>65</v>
      </c>
    </row>
    <row r="153" spans="1:68" s="7" customFormat="1" ht="14.45" hidden="1" customHeight="1" x14ac:dyDescent="0.25">
      <c r="A153" s="467" t="s">
        <v>235</v>
      </c>
      <c r="B153" s="467"/>
      <c r="C153" s="467"/>
      <c r="D153" s="467"/>
      <c r="E153" s="467"/>
      <c r="F153" s="467"/>
      <c r="G153" s="467"/>
      <c r="H153" s="467"/>
      <c r="I153" s="467"/>
      <c r="L153" s="91">
        <f>SUM(L116:L152)</f>
        <v>927118595</v>
      </c>
      <c r="P153" s="70"/>
      <c r="Q153" s="70"/>
      <c r="R153" s="70"/>
      <c r="S153" s="70"/>
      <c r="T153" s="468" t="s">
        <v>241</v>
      </c>
      <c r="U153" s="468"/>
      <c r="V153" s="468"/>
      <c r="W153" s="468"/>
      <c r="X153" s="468"/>
      <c r="Y153" s="468"/>
      <c r="Z153" s="474"/>
      <c r="AA153" s="475"/>
      <c r="AE153" s="291"/>
      <c r="AO153" s="292"/>
      <c r="AV153" s="482"/>
      <c r="AW153" s="482"/>
      <c r="AX153" s="482"/>
      <c r="AY153" s="482"/>
      <c r="AZ153" s="482"/>
      <c r="BA153" s="482"/>
      <c r="BB153" s="482"/>
      <c r="BC153" s="482"/>
      <c r="BD153" s="484"/>
      <c r="BE153" s="478"/>
      <c r="BF153" s="479"/>
      <c r="BP153" s="7">
        <v>66</v>
      </c>
    </row>
    <row r="154" spans="1:68" s="7" customFormat="1" ht="14.45" hidden="1" customHeight="1" x14ac:dyDescent="0.25">
      <c r="A154" s="3"/>
      <c r="B154" s="3"/>
      <c r="C154" s="3"/>
      <c r="D154" s="3"/>
      <c r="E154" s="3"/>
      <c r="F154" s="3"/>
      <c r="G154" s="3"/>
      <c r="H154" s="3"/>
      <c r="I154" s="3"/>
      <c r="J154" s="3"/>
      <c r="K154" s="3"/>
      <c r="L154" s="3"/>
      <c r="M154" s="3"/>
      <c r="N154" s="3"/>
      <c r="O154" s="3"/>
      <c r="P154" s="70"/>
      <c r="Q154" s="70"/>
      <c r="R154" s="70"/>
      <c r="S154" s="70"/>
      <c r="T154" s="468"/>
      <c r="U154" s="468"/>
      <c r="V154" s="468"/>
      <c r="W154" s="468"/>
      <c r="X154" s="468"/>
      <c r="Y154" s="468"/>
      <c r="Z154" s="474"/>
      <c r="AA154" s="475"/>
      <c r="AE154" s="291"/>
      <c r="AO154" s="292"/>
      <c r="AV154" s="482"/>
      <c r="AW154" s="482"/>
      <c r="AX154" s="482"/>
      <c r="AY154" s="482"/>
      <c r="AZ154" s="482"/>
      <c r="BA154" s="482"/>
      <c r="BB154" s="482"/>
      <c r="BC154" s="482"/>
      <c r="BD154" s="484"/>
      <c r="BE154" s="478"/>
      <c r="BF154" s="479"/>
      <c r="BP154" s="7">
        <v>67</v>
      </c>
    </row>
    <row r="155" spans="1:68" s="7" customFormat="1" ht="14.45" hidden="1" customHeight="1" x14ac:dyDescent="0.25">
      <c r="A155" s="3"/>
      <c r="B155" s="3"/>
      <c r="C155" s="3"/>
      <c r="D155" s="3"/>
      <c r="E155" s="3"/>
      <c r="F155" s="3"/>
      <c r="G155" s="3"/>
      <c r="H155" s="3"/>
      <c r="I155" s="3"/>
      <c r="J155" s="3"/>
      <c r="K155" s="3"/>
      <c r="L155" s="3"/>
      <c r="M155" s="3"/>
      <c r="N155" s="3"/>
      <c r="O155" s="3"/>
      <c r="P155" s="70"/>
      <c r="Q155" s="70"/>
      <c r="R155" s="70"/>
      <c r="S155" s="70"/>
      <c r="T155" s="468"/>
      <c r="U155" s="468"/>
      <c r="V155" s="468"/>
      <c r="W155" s="468"/>
      <c r="X155" s="468"/>
      <c r="Y155" s="468"/>
      <c r="Z155" s="474"/>
      <c r="AA155" s="475"/>
      <c r="AE155" s="291"/>
      <c r="AO155" s="292"/>
      <c r="AV155" s="482"/>
      <c r="AW155" s="482"/>
      <c r="AX155" s="482"/>
      <c r="AY155" s="482"/>
      <c r="AZ155" s="482"/>
      <c r="BA155" s="482"/>
      <c r="BB155" s="482"/>
      <c r="BC155" s="482"/>
      <c r="BD155" s="484"/>
      <c r="BE155" s="478"/>
      <c r="BF155" s="479"/>
      <c r="BP155" s="7">
        <v>68</v>
      </c>
    </row>
    <row r="156" spans="1:68" s="7" customFormat="1" ht="14.45" hidden="1" customHeight="1" x14ac:dyDescent="0.25">
      <c r="A156" s="3"/>
      <c r="B156" s="3"/>
      <c r="C156" s="3"/>
      <c r="D156" s="3"/>
      <c r="E156" s="3"/>
      <c r="F156" s="3"/>
      <c r="G156" s="3"/>
      <c r="H156" s="3"/>
      <c r="I156" s="3"/>
      <c r="J156" s="3"/>
      <c r="K156" s="3"/>
      <c r="L156" s="3"/>
      <c r="M156" s="3"/>
      <c r="N156" s="3"/>
      <c r="O156" s="3"/>
      <c r="P156" s="70"/>
      <c r="Q156" s="70"/>
      <c r="R156" s="70"/>
      <c r="S156" s="70"/>
      <c r="T156" s="468"/>
      <c r="U156" s="468"/>
      <c r="V156" s="468"/>
      <c r="W156" s="468"/>
      <c r="X156" s="468"/>
      <c r="Y156" s="468"/>
      <c r="Z156" s="474"/>
      <c r="AA156" s="475"/>
      <c r="AE156" s="291"/>
      <c r="AO156" s="292"/>
      <c r="AV156" s="482"/>
      <c r="AW156" s="482"/>
      <c r="AX156" s="482"/>
      <c r="AY156" s="482"/>
      <c r="AZ156" s="482"/>
      <c r="BA156" s="482"/>
      <c r="BB156" s="482"/>
      <c r="BC156" s="482"/>
      <c r="BD156" s="484"/>
      <c r="BE156" s="478"/>
      <c r="BF156" s="479"/>
      <c r="BP156" s="7">
        <v>69</v>
      </c>
    </row>
    <row r="157" spans="1:68" s="7" customFormat="1" ht="14.45" hidden="1" customHeight="1" x14ac:dyDescent="0.25">
      <c r="A157" s="3"/>
      <c r="B157" s="3"/>
      <c r="C157" s="3"/>
      <c r="D157" s="3"/>
      <c r="E157" s="3"/>
      <c r="F157" s="3"/>
      <c r="G157" s="3"/>
      <c r="H157" s="3"/>
      <c r="I157" s="3"/>
      <c r="J157" s="3"/>
      <c r="K157" s="3"/>
      <c r="L157" s="3"/>
      <c r="M157" s="3"/>
      <c r="N157" s="3"/>
      <c r="O157" s="3"/>
      <c r="P157" s="70"/>
      <c r="Q157" s="70"/>
      <c r="R157" s="70"/>
      <c r="S157" s="70"/>
      <c r="T157" s="468"/>
      <c r="U157" s="468"/>
      <c r="V157" s="468"/>
      <c r="W157" s="468"/>
      <c r="X157" s="468"/>
      <c r="Y157" s="468"/>
      <c r="Z157" s="474"/>
      <c r="AA157" s="475"/>
      <c r="AE157" s="291"/>
      <c r="AO157" s="292"/>
      <c r="AV157" s="482"/>
      <c r="AW157" s="482"/>
      <c r="AX157" s="482"/>
      <c r="AY157" s="482"/>
      <c r="AZ157" s="482"/>
      <c r="BA157" s="482"/>
      <c r="BB157" s="482"/>
      <c r="BC157" s="482"/>
      <c r="BD157" s="484"/>
      <c r="BE157" s="478"/>
      <c r="BF157" s="479"/>
      <c r="BP157" s="7">
        <v>70</v>
      </c>
    </row>
    <row r="158" spans="1:68" s="7" customFormat="1" hidden="1" x14ac:dyDescent="0.25">
      <c r="A158" s="3"/>
      <c r="B158" s="3"/>
      <c r="C158" s="3"/>
      <c r="D158" s="3"/>
      <c r="E158" s="3"/>
      <c r="F158" s="3"/>
      <c r="G158" s="3"/>
      <c r="H158" s="3"/>
      <c r="I158" s="3"/>
      <c r="J158" s="3"/>
      <c r="K158" s="3"/>
      <c r="L158" s="3"/>
      <c r="M158" s="3"/>
      <c r="N158" s="3"/>
      <c r="O158" s="3"/>
      <c r="P158" s="70"/>
      <c r="Q158" s="70"/>
      <c r="R158" s="70"/>
      <c r="S158" s="70"/>
      <c r="T158" s="468"/>
      <c r="U158" s="468"/>
      <c r="V158" s="468"/>
      <c r="W158" s="468"/>
      <c r="X158" s="468"/>
      <c r="Y158" s="468"/>
      <c r="Z158" s="474"/>
      <c r="AA158" s="475"/>
      <c r="AE158" s="291"/>
      <c r="AO158" s="292"/>
      <c r="AV158" s="482"/>
      <c r="AW158" s="482"/>
      <c r="AX158" s="482"/>
      <c r="AY158" s="482"/>
      <c r="AZ158" s="482"/>
      <c r="BA158" s="482"/>
      <c r="BB158" s="482"/>
      <c r="BC158" s="482"/>
      <c r="BD158" s="484"/>
      <c r="BE158" s="478"/>
      <c r="BF158" s="479"/>
      <c r="BP158" s="7">
        <v>71</v>
      </c>
    </row>
    <row r="159" spans="1:68" s="7" customFormat="1" hidden="1" x14ac:dyDescent="0.25">
      <c r="A159" s="3"/>
      <c r="B159" s="3"/>
      <c r="C159" s="3"/>
      <c r="D159" s="3"/>
      <c r="E159" s="3"/>
      <c r="F159" s="3"/>
      <c r="G159" s="3"/>
      <c r="H159" s="3"/>
      <c r="I159" s="3"/>
      <c r="J159" s="3"/>
      <c r="K159" s="3"/>
      <c r="L159" s="3"/>
      <c r="M159" s="3"/>
      <c r="N159" s="3"/>
      <c r="O159" s="3"/>
      <c r="P159" s="70"/>
      <c r="Q159" s="70"/>
      <c r="R159" s="70"/>
      <c r="S159" s="70"/>
      <c r="T159" s="468"/>
      <c r="U159" s="468"/>
      <c r="V159" s="468"/>
      <c r="W159" s="468"/>
      <c r="X159" s="468"/>
      <c r="Y159" s="468"/>
      <c r="Z159" s="474"/>
      <c r="AA159" s="475"/>
      <c r="AE159" s="291"/>
      <c r="AO159" s="292"/>
      <c r="AV159" s="482"/>
      <c r="AW159" s="482"/>
      <c r="AX159" s="482"/>
      <c r="AY159" s="482"/>
      <c r="AZ159" s="482"/>
      <c r="BA159" s="482"/>
      <c r="BB159" s="482"/>
      <c r="BC159" s="482"/>
      <c r="BD159" s="484"/>
      <c r="BE159" s="478"/>
      <c r="BF159" s="479"/>
      <c r="BP159" s="7">
        <v>72</v>
      </c>
    </row>
    <row r="160" spans="1:68" s="7" customFormat="1" hidden="1" x14ac:dyDescent="0.25">
      <c r="A160" s="3"/>
      <c r="B160" s="3"/>
      <c r="C160" s="3"/>
      <c r="D160" s="3"/>
      <c r="E160" s="3"/>
      <c r="F160" s="3"/>
      <c r="G160" s="3"/>
      <c r="H160" s="3"/>
      <c r="I160" s="3"/>
      <c r="J160" s="3"/>
      <c r="K160" s="3"/>
      <c r="L160" s="3"/>
      <c r="M160" s="3"/>
      <c r="N160" s="3"/>
      <c r="O160" s="3"/>
      <c r="P160" s="70"/>
      <c r="Q160" s="70"/>
      <c r="R160" s="70"/>
      <c r="S160" s="70"/>
      <c r="T160" s="468"/>
      <c r="U160" s="468"/>
      <c r="V160" s="468"/>
      <c r="W160" s="468"/>
      <c r="X160" s="468"/>
      <c r="Y160" s="468"/>
      <c r="Z160" s="474"/>
      <c r="AA160" s="475"/>
      <c r="AE160" s="291"/>
      <c r="AO160" s="292"/>
      <c r="AV160" s="482"/>
      <c r="AW160" s="482"/>
      <c r="AX160" s="482"/>
      <c r="AY160" s="482"/>
      <c r="AZ160" s="482"/>
      <c r="BA160" s="482"/>
      <c r="BB160" s="482"/>
      <c r="BC160" s="482"/>
      <c r="BD160" s="484"/>
      <c r="BE160" s="478"/>
      <c r="BF160" s="479"/>
      <c r="BP160" s="7">
        <v>73</v>
      </c>
    </row>
    <row r="161" spans="1:68" s="7" customFormat="1" hidden="1" x14ac:dyDescent="0.25">
      <c r="A161" s="3"/>
      <c r="B161" s="3"/>
      <c r="C161" s="3"/>
      <c r="D161" s="3"/>
      <c r="E161" s="3"/>
      <c r="F161" s="3"/>
      <c r="G161" s="3"/>
      <c r="H161" s="3"/>
      <c r="I161" s="3"/>
      <c r="J161" s="3"/>
      <c r="K161" s="3"/>
      <c r="L161" s="3"/>
      <c r="M161" s="3"/>
      <c r="N161" s="3"/>
      <c r="O161" s="3"/>
      <c r="P161" s="70"/>
      <c r="Q161" s="70"/>
      <c r="R161" s="70"/>
      <c r="S161" s="70"/>
      <c r="T161" s="468"/>
      <c r="U161" s="468"/>
      <c r="V161" s="468"/>
      <c r="W161" s="468"/>
      <c r="X161" s="468"/>
      <c r="Y161" s="468"/>
      <c r="Z161" s="474"/>
      <c r="AA161" s="475"/>
      <c r="AE161" s="291"/>
      <c r="AO161" s="292"/>
      <c r="AV161" s="482"/>
      <c r="AW161" s="482"/>
      <c r="AX161" s="482"/>
      <c r="AY161" s="482"/>
      <c r="AZ161" s="482"/>
      <c r="BA161" s="482"/>
      <c r="BB161" s="482"/>
      <c r="BC161" s="482"/>
      <c r="BD161" s="484"/>
      <c r="BE161" s="478"/>
      <c r="BF161" s="479"/>
      <c r="BP161" s="7">
        <v>74</v>
      </c>
    </row>
    <row r="162" spans="1:68" s="7" customFormat="1" hidden="1" x14ac:dyDescent="0.25">
      <c r="A162" s="3"/>
      <c r="B162" s="3"/>
      <c r="C162" s="3"/>
      <c r="D162" s="3"/>
      <c r="E162" s="3"/>
      <c r="F162" s="3"/>
      <c r="G162" s="3"/>
      <c r="H162" s="3"/>
      <c r="I162" s="3"/>
      <c r="J162" s="3"/>
      <c r="K162" s="3"/>
      <c r="L162" s="3"/>
      <c r="M162" s="3"/>
      <c r="N162" s="3"/>
      <c r="O162" s="3"/>
      <c r="P162" s="70"/>
      <c r="Q162" s="70"/>
      <c r="R162" s="70"/>
      <c r="S162" s="70"/>
      <c r="T162" s="468"/>
      <c r="U162" s="468"/>
      <c r="V162" s="468"/>
      <c r="W162" s="468"/>
      <c r="X162" s="468"/>
      <c r="Y162" s="468"/>
      <c r="Z162" s="474"/>
      <c r="AA162" s="475"/>
      <c r="AE162" s="291"/>
      <c r="AO162" s="292"/>
      <c r="AV162" s="482"/>
      <c r="AW162" s="482"/>
      <c r="AX162" s="482"/>
      <c r="AY162" s="482"/>
      <c r="AZ162" s="482"/>
      <c r="BA162" s="482"/>
      <c r="BB162" s="482"/>
      <c r="BC162" s="482"/>
      <c r="BD162" s="484"/>
      <c r="BE162" s="478"/>
      <c r="BF162" s="479"/>
      <c r="BP162" s="7">
        <v>75</v>
      </c>
    </row>
    <row r="163" spans="1:68" s="7" customFormat="1" hidden="1" x14ac:dyDescent="0.25">
      <c r="A163" s="3"/>
      <c r="B163" s="3"/>
      <c r="C163" s="3"/>
      <c r="D163" s="3"/>
      <c r="E163" s="3"/>
      <c r="F163" s="3"/>
      <c r="G163" s="3"/>
      <c r="H163" s="3"/>
      <c r="I163" s="3"/>
      <c r="J163" s="3"/>
      <c r="K163" s="3"/>
      <c r="L163" s="3"/>
      <c r="M163" s="3"/>
      <c r="N163" s="3"/>
      <c r="O163" s="3"/>
      <c r="P163" s="70"/>
      <c r="Q163" s="70"/>
      <c r="R163" s="70"/>
      <c r="S163" s="70"/>
      <c r="T163" s="468"/>
      <c r="U163" s="468"/>
      <c r="V163" s="468"/>
      <c r="W163" s="468"/>
      <c r="X163" s="468"/>
      <c r="Y163" s="468"/>
      <c r="Z163" s="474"/>
      <c r="AA163" s="475"/>
      <c r="AE163" s="291"/>
      <c r="AO163" s="292"/>
      <c r="AV163" s="482"/>
      <c r="AW163" s="482"/>
      <c r="AX163" s="482"/>
      <c r="AY163" s="482"/>
      <c r="AZ163" s="482"/>
      <c r="BA163" s="482"/>
      <c r="BB163" s="482"/>
      <c r="BC163" s="482"/>
      <c r="BD163" s="484"/>
      <c r="BE163" s="478"/>
      <c r="BF163" s="479"/>
      <c r="BP163" s="7">
        <v>76</v>
      </c>
    </row>
    <row r="164" spans="1:68" s="7" customFormat="1" hidden="1" x14ac:dyDescent="0.25">
      <c r="A164" s="3"/>
      <c r="B164" s="3"/>
      <c r="C164" s="3"/>
      <c r="D164" s="3"/>
      <c r="E164" s="3"/>
      <c r="F164" s="3"/>
      <c r="G164" s="3"/>
      <c r="H164" s="3"/>
      <c r="I164" s="3"/>
      <c r="J164" s="3"/>
      <c r="K164" s="3"/>
      <c r="L164" s="3"/>
      <c r="M164" s="3"/>
      <c r="N164" s="3"/>
      <c r="O164" s="3"/>
      <c r="P164" s="70"/>
      <c r="Q164" s="70"/>
      <c r="R164" s="70"/>
      <c r="S164" s="70"/>
      <c r="T164" s="468"/>
      <c r="U164" s="468"/>
      <c r="V164" s="468"/>
      <c r="W164" s="468"/>
      <c r="X164" s="468"/>
      <c r="Y164" s="468"/>
      <c r="Z164" s="474"/>
      <c r="AA164" s="475"/>
      <c r="AE164" s="291"/>
      <c r="AO164" s="292"/>
      <c r="AV164" s="482"/>
      <c r="AW164" s="482"/>
      <c r="AX164" s="482"/>
      <c r="AY164" s="482"/>
      <c r="AZ164" s="482"/>
      <c r="BA164" s="482"/>
      <c r="BB164" s="482"/>
      <c r="BC164" s="482"/>
      <c r="BD164" s="484"/>
      <c r="BE164" s="478"/>
      <c r="BF164" s="479"/>
      <c r="BP164" s="7">
        <v>77</v>
      </c>
    </row>
    <row r="165" spans="1:68" s="7" customFormat="1" hidden="1" x14ac:dyDescent="0.25">
      <c r="A165" s="3"/>
      <c r="B165" s="3"/>
      <c r="C165" s="3"/>
      <c r="D165" s="3"/>
      <c r="E165" s="3"/>
      <c r="F165" s="3"/>
      <c r="G165" s="3"/>
      <c r="H165" s="3"/>
      <c r="I165" s="3"/>
      <c r="J165" s="3"/>
      <c r="K165" s="3"/>
      <c r="L165" s="3"/>
      <c r="M165" s="3"/>
      <c r="N165" s="3"/>
      <c r="O165" s="3"/>
      <c r="P165" s="70"/>
      <c r="Q165" s="70"/>
      <c r="R165" s="70"/>
      <c r="S165" s="70"/>
      <c r="T165" s="468"/>
      <c r="U165" s="468"/>
      <c r="V165" s="468"/>
      <c r="W165" s="468"/>
      <c r="X165" s="468"/>
      <c r="Y165" s="468"/>
      <c r="Z165" s="474"/>
      <c r="AA165" s="475"/>
      <c r="AE165" s="291"/>
      <c r="AO165" s="292"/>
      <c r="AV165" s="482"/>
      <c r="AW165" s="482"/>
      <c r="AX165" s="482"/>
      <c r="AY165" s="482"/>
      <c r="AZ165" s="482"/>
      <c r="BA165" s="482"/>
      <c r="BB165" s="482"/>
      <c r="BC165" s="482"/>
      <c r="BD165" s="484"/>
      <c r="BE165" s="478"/>
      <c r="BF165" s="479"/>
      <c r="BP165" s="7">
        <v>78</v>
      </c>
    </row>
    <row r="166" spans="1:68" s="7" customFormat="1" ht="24" x14ac:dyDescent="0.25">
      <c r="A166" s="3"/>
      <c r="B166" s="3"/>
      <c r="C166" s="3"/>
      <c r="D166" s="3"/>
      <c r="E166" s="3"/>
      <c r="F166" s="3"/>
      <c r="G166" s="3"/>
      <c r="H166" s="3"/>
      <c r="I166" s="3"/>
      <c r="J166" s="3"/>
      <c r="K166" s="3"/>
      <c r="L166" s="3"/>
      <c r="M166" s="3"/>
      <c r="N166" s="3"/>
      <c r="O166" s="3"/>
      <c r="P166" s="70"/>
      <c r="Q166" s="70"/>
      <c r="R166" s="70"/>
      <c r="S166" s="70"/>
      <c r="T166" s="175"/>
      <c r="U166" s="175"/>
      <c r="V166" s="175"/>
      <c r="W166" s="175"/>
      <c r="X166" s="175"/>
      <c r="Y166" s="175"/>
      <c r="Z166" s="176"/>
      <c r="AA166" s="177"/>
      <c r="AE166" s="291"/>
      <c r="AO166" s="292"/>
      <c r="AV166" s="482"/>
      <c r="AW166" s="482"/>
      <c r="AX166" s="482"/>
      <c r="AY166" s="482"/>
      <c r="AZ166" s="482"/>
      <c r="BA166" s="482"/>
      <c r="BB166" s="482"/>
      <c r="BC166" s="482"/>
      <c r="BD166" s="484"/>
      <c r="BE166" s="478"/>
      <c r="BF166" s="479"/>
    </row>
    <row r="167" spans="1:68" s="7" customFormat="1" ht="24" x14ac:dyDescent="0.25">
      <c r="A167" s="3"/>
      <c r="B167" s="3"/>
      <c r="C167" s="3"/>
      <c r="D167" s="3"/>
      <c r="E167" s="3"/>
      <c r="F167" s="3"/>
      <c r="G167" s="3"/>
      <c r="H167" s="3"/>
      <c r="I167" s="3"/>
      <c r="J167" s="3"/>
      <c r="K167" s="3"/>
      <c r="L167" s="3"/>
      <c r="M167" s="3"/>
      <c r="N167" s="3"/>
      <c r="O167" s="3"/>
      <c r="P167" s="70"/>
      <c r="Q167" s="70"/>
      <c r="R167" s="70"/>
      <c r="S167" s="70"/>
      <c r="T167" s="175"/>
      <c r="U167" s="175"/>
      <c r="V167" s="175"/>
      <c r="W167" s="175"/>
      <c r="X167" s="175"/>
      <c r="Y167" s="175"/>
      <c r="Z167" s="176"/>
      <c r="AA167" s="177"/>
      <c r="AE167" s="291"/>
      <c r="AO167" s="292"/>
      <c r="AV167" s="482"/>
      <c r="AW167" s="482"/>
      <c r="AX167" s="482"/>
      <c r="AY167" s="482"/>
      <c r="AZ167" s="482"/>
      <c r="BA167" s="482"/>
      <c r="BB167" s="482"/>
      <c r="BC167" s="482"/>
      <c r="BD167" s="484"/>
      <c r="BE167" s="478"/>
      <c r="BF167" s="479"/>
    </row>
    <row r="168" spans="1:68" s="7" customFormat="1" ht="24" x14ac:dyDescent="0.25">
      <c r="A168" s="3"/>
      <c r="B168" s="3"/>
      <c r="C168" s="3"/>
      <c r="D168" s="3"/>
      <c r="E168" s="3"/>
      <c r="F168" s="3"/>
      <c r="G168" s="3"/>
      <c r="H168" s="3"/>
      <c r="I168" s="3"/>
      <c r="J168" s="3"/>
      <c r="K168" s="3"/>
      <c r="L168" s="3"/>
      <c r="M168" s="3"/>
      <c r="N168" s="3"/>
      <c r="O168" s="3"/>
      <c r="P168" s="70"/>
      <c r="Q168" s="70"/>
      <c r="R168" s="70"/>
      <c r="S168" s="70"/>
      <c r="T168" s="175"/>
      <c r="U168" s="175"/>
      <c r="V168" s="175"/>
      <c r="W168" s="175"/>
      <c r="X168" s="175"/>
      <c r="Y168" s="175"/>
      <c r="Z168" s="176"/>
      <c r="AA168" s="177"/>
      <c r="AE168" s="291"/>
      <c r="AO168" s="292"/>
      <c r="AV168" s="482"/>
      <c r="AW168" s="482"/>
      <c r="AX168" s="482"/>
      <c r="AY168" s="482"/>
      <c r="AZ168" s="482"/>
      <c r="BA168" s="482"/>
      <c r="BB168" s="482"/>
      <c r="BC168" s="482"/>
      <c r="BD168" s="484"/>
      <c r="BE168" s="478"/>
      <c r="BF168" s="479"/>
    </row>
    <row r="169" spans="1:68" s="7" customFormat="1" ht="24" x14ac:dyDescent="0.25">
      <c r="A169" s="3"/>
      <c r="B169" s="3"/>
      <c r="C169" s="3"/>
      <c r="D169" s="3"/>
      <c r="E169" s="3"/>
      <c r="F169" s="3"/>
      <c r="G169" s="3"/>
      <c r="H169" s="3"/>
      <c r="I169" s="3"/>
      <c r="J169" s="3"/>
      <c r="K169" s="3"/>
      <c r="L169" s="3"/>
      <c r="M169" s="3"/>
      <c r="N169" s="3"/>
      <c r="O169" s="3"/>
      <c r="P169" s="70"/>
      <c r="Q169" s="70"/>
      <c r="R169" s="70"/>
      <c r="S169" s="70"/>
      <c r="T169" s="175"/>
      <c r="U169" s="175"/>
      <c r="V169" s="175"/>
      <c r="W169" s="175"/>
      <c r="X169" s="175"/>
      <c r="Y169" s="175"/>
      <c r="Z169" s="176"/>
      <c r="AA169" s="177"/>
      <c r="AE169" s="291"/>
      <c r="AO169" s="292"/>
      <c r="AV169" s="482"/>
      <c r="AW169" s="482"/>
      <c r="AX169" s="482"/>
      <c r="AY169" s="482"/>
      <c r="AZ169" s="482"/>
      <c r="BA169" s="482"/>
      <c r="BB169" s="482"/>
      <c r="BC169" s="482"/>
      <c r="BD169" s="484"/>
      <c r="BE169" s="478"/>
      <c r="BF169" s="479"/>
    </row>
    <row r="170" spans="1:68" s="7" customFormat="1" ht="24" x14ac:dyDescent="0.25">
      <c r="A170" s="3"/>
      <c r="B170" s="3"/>
      <c r="C170" s="3"/>
      <c r="D170" s="3"/>
      <c r="E170" s="3"/>
      <c r="F170" s="3"/>
      <c r="G170" s="3"/>
      <c r="H170" s="3"/>
      <c r="I170" s="3"/>
      <c r="J170" s="3"/>
      <c r="K170" s="3"/>
      <c r="L170" s="3"/>
      <c r="M170" s="3"/>
      <c r="N170" s="3"/>
      <c r="O170" s="3"/>
      <c r="P170" s="70"/>
      <c r="Q170" s="70"/>
      <c r="R170" s="70"/>
      <c r="S170" s="70"/>
      <c r="T170" s="175"/>
      <c r="U170" s="175"/>
      <c r="V170" s="175"/>
      <c r="W170" s="175"/>
      <c r="X170" s="175"/>
      <c r="Y170" s="175"/>
      <c r="Z170" s="176"/>
      <c r="AA170" s="177"/>
      <c r="AE170" s="291"/>
      <c r="AO170" s="292"/>
      <c r="AV170" s="482"/>
      <c r="AW170" s="482"/>
      <c r="AX170" s="482"/>
      <c r="AY170" s="482"/>
      <c r="AZ170" s="482"/>
      <c r="BA170" s="482"/>
      <c r="BB170" s="482"/>
      <c r="BC170" s="482"/>
      <c r="BD170" s="484"/>
      <c r="BE170" s="478"/>
      <c r="BF170" s="479"/>
    </row>
    <row r="171" spans="1:68" s="7" customFormat="1" ht="24" x14ac:dyDescent="0.25">
      <c r="A171" s="3"/>
      <c r="B171" s="3"/>
      <c r="C171" s="3"/>
      <c r="D171" s="3"/>
      <c r="E171" s="3"/>
      <c r="F171" s="3"/>
      <c r="G171" s="3"/>
      <c r="H171" s="3"/>
      <c r="I171" s="3"/>
      <c r="J171" s="3"/>
      <c r="K171" s="3"/>
      <c r="L171" s="3"/>
      <c r="M171" s="3"/>
      <c r="N171" s="3"/>
      <c r="O171" s="3"/>
      <c r="P171" s="70"/>
      <c r="Q171" s="70"/>
      <c r="R171" s="70"/>
      <c r="S171" s="70"/>
      <c r="T171" s="175"/>
      <c r="U171" s="175"/>
      <c r="V171" s="175"/>
      <c r="W171" s="175"/>
      <c r="X171" s="175"/>
      <c r="Y171" s="175"/>
      <c r="Z171" s="176"/>
      <c r="AA171" s="177"/>
      <c r="AE171" s="291"/>
      <c r="AO171" s="292"/>
      <c r="AV171" s="482"/>
      <c r="AW171" s="482"/>
      <c r="AX171" s="482"/>
      <c r="AY171" s="482"/>
      <c r="AZ171" s="482"/>
      <c r="BA171" s="482"/>
      <c r="BB171" s="482"/>
      <c r="BC171" s="482"/>
      <c r="BD171" s="484"/>
      <c r="BE171" s="478"/>
      <c r="BF171" s="479"/>
    </row>
    <row r="172" spans="1:68" s="7" customFormat="1" ht="24" x14ac:dyDescent="0.25">
      <c r="A172" s="3"/>
      <c r="B172" s="3"/>
      <c r="C172" s="3"/>
      <c r="D172" s="3"/>
      <c r="E172" s="3"/>
      <c r="F172" s="3"/>
      <c r="G172" s="3"/>
      <c r="H172" s="3"/>
      <c r="I172" s="3"/>
      <c r="J172" s="3"/>
      <c r="K172" s="3"/>
      <c r="L172" s="3"/>
      <c r="M172" s="3"/>
      <c r="N172" s="3"/>
      <c r="O172" s="3"/>
      <c r="P172" s="70"/>
      <c r="Q172" s="70"/>
      <c r="R172" s="70"/>
      <c r="S172" s="70"/>
      <c r="T172" s="175"/>
      <c r="U172" s="175"/>
      <c r="V172" s="175"/>
      <c r="W172" s="175"/>
      <c r="X172" s="175"/>
      <c r="Y172" s="175"/>
      <c r="Z172" s="176"/>
      <c r="AA172" s="177"/>
      <c r="AE172" s="291"/>
      <c r="AO172" s="292"/>
      <c r="AV172" s="482"/>
      <c r="AW172" s="482"/>
      <c r="AX172" s="482"/>
      <c r="AY172" s="482"/>
      <c r="AZ172" s="482"/>
      <c r="BA172" s="482"/>
      <c r="BB172" s="482"/>
      <c r="BC172" s="482"/>
      <c r="BD172" s="484"/>
      <c r="BE172" s="478"/>
      <c r="BF172" s="479"/>
    </row>
    <row r="173" spans="1:68" s="7" customFormat="1" ht="24" x14ac:dyDescent="0.25">
      <c r="A173" s="3"/>
      <c r="B173" s="3"/>
      <c r="C173" s="3"/>
      <c r="D173" s="3"/>
      <c r="E173" s="3"/>
      <c r="F173" s="3"/>
      <c r="G173" s="3"/>
      <c r="H173" s="3"/>
      <c r="I173" s="3"/>
      <c r="J173" s="3"/>
      <c r="K173" s="3"/>
      <c r="L173" s="3"/>
      <c r="M173" s="3"/>
      <c r="N173" s="3"/>
      <c r="O173" s="3"/>
      <c r="P173" s="70"/>
      <c r="Q173" s="70"/>
      <c r="R173" s="70"/>
      <c r="S173" s="70"/>
      <c r="T173" s="175"/>
      <c r="U173" s="175"/>
      <c r="V173" s="175"/>
      <c r="W173" s="175"/>
      <c r="X173" s="175"/>
      <c r="Y173" s="175"/>
      <c r="Z173" s="176"/>
      <c r="AA173" s="177"/>
      <c r="AE173" s="291"/>
      <c r="AO173" s="292"/>
      <c r="AV173" s="482"/>
      <c r="AW173" s="482"/>
      <c r="AX173" s="482"/>
      <c r="AY173" s="482"/>
      <c r="AZ173" s="482"/>
      <c r="BA173" s="482"/>
      <c r="BB173" s="482"/>
      <c r="BC173" s="482"/>
      <c r="BD173" s="484"/>
      <c r="BE173" s="478"/>
      <c r="BF173" s="479"/>
    </row>
    <row r="174" spans="1:68" s="7" customFormat="1" ht="24" x14ac:dyDescent="0.25">
      <c r="A174" s="3"/>
      <c r="B174" s="3"/>
      <c r="C174" s="3"/>
      <c r="D174" s="3"/>
      <c r="E174" s="3"/>
      <c r="F174" s="3"/>
      <c r="G174" s="3"/>
      <c r="H174" s="3"/>
      <c r="I174" s="3"/>
      <c r="J174" s="3"/>
      <c r="K174" s="3"/>
      <c r="L174" s="3"/>
      <c r="M174" s="3"/>
      <c r="N174" s="3"/>
      <c r="O174" s="3"/>
      <c r="P174" s="70"/>
      <c r="Q174" s="70"/>
      <c r="R174" s="70"/>
      <c r="S174" s="70"/>
      <c r="T174" s="175"/>
      <c r="U174" s="175"/>
      <c r="V174" s="175"/>
      <c r="W174" s="175"/>
      <c r="X174" s="175"/>
      <c r="Y174" s="175"/>
      <c r="Z174" s="176"/>
      <c r="AA174" s="177"/>
      <c r="AE174" s="291"/>
      <c r="AO174" s="292"/>
      <c r="AV174" s="482"/>
      <c r="AW174" s="482"/>
      <c r="AX174" s="482"/>
      <c r="AY174" s="482"/>
      <c r="AZ174" s="482"/>
      <c r="BA174" s="482"/>
      <c r="BB174" s="482"/>
      <c r="BC174" s="482"/>
      <c r="BD174" s="484"/>
      <c r="BE174" s="478"/>
      <c r="BF174" s="479"/>
    </row>
    <row r="175" spans="1:68" s="7" customFormat="1" ht="24" x14ac:dyDescent="0.25">
      <c r="A175" s="3"/>
      <c r="B175" s="3"/>
      <c r="C175" s="3"/>
      <c r="D175" s="3"/>
      <c r="E175" s="3"/>
      <c r="F175" s="3"/>
      <c r="G175" s="3"/>
      <c r="H175" s="3"/>
      <c r="I175" s="3"/>
      <c r="J175" s="3"/>
      <c r="K175" s="3"/>
      <c r="L175" s="3"/>
      <c r="M175" s="3"/>
      <c r="N175" s="3"/>
      <c r="O175" s="3"/>
      <c r="P175" s="70"/>
      <c r="Q175" s="70"/>
      <c r="R175" s="70"/>
      <c r="S175" s="70"/>
      <c r="T175" s="175"/>
      <c r="U175" s="175"/>
      <c r="V175" s="175"/>
      <c r="W175" s="175"/>
      <c r="X175" s="175"/>
      <c r="Y175" s="175"/>
      <c r="Z175" s="176"/>
      <c r="AA175" s="177"/>
      <c r="AE175" s="291"/>
      <c r="AO175" s="292"/>
      <c r="AV175" s="482"/>
      <c r="AW175" s="482"/>
      <c r="AX175" s="482"/>
      <c r="AY175" s="482"/>
      <c r="AZ175" s="482"/>
      <c r="BA175" s="482"/>
      <c r="BB175" s="482"/>
      <c r="BC175" s="482"/>
      <c r="BD175" s="484"/>
      <c r="BE175" s="478"/>
      <c r="BF175" s="479"/>
    </row>
    <row r="176" spans="1:68" s="7" customFormat="1" ht="24" x14ac:dyDescent="0.25">
      <c r="A176" s="3"/>
      <c r="B176" s="3"/>
      <c r="C176" s="3"/>
      <c r="D176" s="3"/>
      <c r="E176" s="3"/>
      <c r="F176" s="3"/>
      <c r="G176" s="3"/>
      <c r="H176" s="3"/>
      <c r="I176" s="3"/>
      <c r="J176" s="3"/>
      <c r="K176" s="3"/>
      <c r="L176" s="3"/>
      <c r="M176" s="3"/>
      <c r="N176" s="3"/>
      <c r="O176" s="3"/>
      <c r="P176" s="70"/>
      <c r="Q176" s="70"/>
      <c r="R176" s="70"/>
      <c r="S176" s="70"/>
      <c r="T176" s="175"/>
      <c r="U176" s="175"/>
      <c r="V176" s="175"/>
      <c r="W176" s="175"/>
      <c r="X176" s="175"/>
      <c r="Y176" s="175"/>
      <c r="Z176" s="176"/>
      <c r="AA176" s="177"/>
      <c r="AE176" s="291"/>
      <c r="AO176" s="292"/>
      <c r="AV176" s="482"/>
      <c r="AW176" s="482"/>
      <c r="AX176" s="482"/>
      <c r="AY176" s="482"/>
      <c r="AZ176" s="482"/>
      <c r="BA176" s="482"/>
      <c r="BB176" s="482"/>
      <c r="BC176" s="482"/>
      <c r="BD176" s="484"/>
      <c r="BE176" s="478"/>
      <c r="BF176" s="479"/>
    </row>
    <row r="177" spans="1:68" s="7" customFormat="1" ht="24" x14ac:dyDescent="0.25">
      <c r="A177" s="3"/>
      <c r="B177" s="3"/>
      <c r="C177" s="3"/>
      <c r="D177" s="3"/>
      <c r="E177" s="3"/>
      <c r="F177" s="3"/>
      <c r="G177" s="3"/>
      <c r="H177" s="3"/>
      <c r="I177" s="3"/>
      <c r="J177" s="3"/>
      <c r="K177" s="3"/>
      <c r="L177" s="3"/>
      <c r="M177" s="3"/>
      <c r="N177" s="3"/>
      <c r="O177" s="3"/>
      <c r="P177" s="70"/>
      <c r="Q177" s="70"/>
      <c r="R177" s="70"/>
      <c r="S177" s="70"/>
      <c r="T177" s="175"/>
      <c r="U177" s="175"/>
      <c r="V177" s="175"/>
      <c r="W177" s="175"/>
      <c r="X177" s="175"/>
      <c r="Y177" s="175"/>
      <c r="Z177" s="176"/>
      <c r="AA177" s="177"/>
      <c r="AE177" s="291"/>
      <c r="AO177" s="292"/>
      <c r="AV177" s="482"/>
      <c r="AW177" s="482"/>
      <c r="AX177" s="482"/>
      <c r="AY177" s="482"/>
      <c r="AZ177" s="482"/>
      <c r="BA177" s="482"/>
      <c r="BB177" s="482"/>
      <c r="BC177" s="482"/>
      <c r="BD177" s="484"/>
      <c r="BE177" s="478"/>
      <c r="BF177" s="479"/>
    </row>
    <row r="178" spans="1:68" s="7" customFormat="1" ht="24" x14ac:dyDescent="0.25">
      <c r="A178" s="3"/>
      <c r="B178" s="3"/>
      <c r="C178" s="3"/>
      <c r="D178" s="3"/>
      <c r="E178" s="3"/>
      <c r="F178" s="3"/>
      <c r="G178" s="3"/>
      <c r="H178" s="3"/>
      <c r="I178" s="3"/>
      <c r="J178" s="3"/>
      <c r="K178" s="3"/>
      <c r="L178" s="3"/>
      <c r="M178" s="3"/>
      <c r="N178" s="3"/>
      <c r="O178" s="3"/>
      <c r="P178" s="70"/>
      <c r="Q178" s="70"/>
      <c r="R178" s="70"/>
      <c r="S178" s="70"/>
      <c r="T178" s="175"/>
      <c r="U178" s="175"/>
      <c r="V178" s="175"/>
      <c r="W178" s="175"/>
      <c r="X178" s="175"/>
      <c r="Y178" s="175"/>
      <c r="Z178" s="176"/>
      <c r="AA178" s="177"/>
      <c r="AE178" s="291"/>
      <c r="AO178" s="292"/>
      <c r="AV178" s="482"/>
      <c r="AW178" s="482"/>
      <c r="AX178" s="482"/>
      <c r="AY178" s="482"/>
      <c r="AZ178" s="482"/>
      <c r="BA178" s="482"/>
      <c r="BB178" s="482"/>
      <c r="BC178" s="482"/>
      <c r="BD178" s="484"/>
      <c r="BE178" s="478"/>
      <c r="BF178" s="479"/>
    </row>
    <row r="179" spans="1:68" s="7" customFormat="1" ht="24" x14ac:dyDescent="0.25">
      <c r="A179" s="3"/>
      <c r="B179" s="3"/>
      <c r="C179" s="3"/>
      <c r="D179" s="3"/>
      <c r="E179" s="3"/>
      <c r="F179" s="3"/>
      <c r="G179" s="3"/>
      <c r="H179" s="3"/>
      <c r="I179" s="3"/>
      <c r="J179" s="3"/>
      <c r="K179" s="3"/>
      <c r="L179" s="3"/>
      <c r="M179" s="3"/>
      <c r="N179" s="3"/>
      <c r="O179" s="3"/>
      <c r="P179" s="70"/>
      <c r="Q179" s="70"/>
      <c r="R179" s="70"/>
      <c r="S179" s="70"/>
      <c r="T179" s="175"/>
      <c r="U179" s="175"/>
      <c r="V179" s="175"/>
      <c r="W179" s="175"/>
      <c r="X179" s="175"/>
      <c r="Y179" s="175"/>
      <c r="Z179" s="176"/>
      <c r="AA179" s="177"/>
      <c r="AE179" s="291"/>
      <c r="AO179" s="292"/>
      <c r="AV179" s="482"/>
      <c r="AW179" s="482"/>
      <c r="AX179" s="482"/>
      <c r="AY179" s="482"/>
      <c r="AZ179" s="482"/>
      <c r="BA179" s="482"/>
      <c r="BB179" s="482"/>
      <c r="BC179" s="482"/>
      <c r="BD179" s="484"/>
      <c r="BE179" s="478"/>
      <c r="BF179" s="479"/>
    </row>
    <row r="180" spans="1:68" s="7" customFormat="1" x14ac:dyDescent="0.25">
      <c r="A180" s="3"/>
      <c r="B180" s="3"/>
      <c r="C180" s="3"/>
      <c r="D180" s="3"/>
      <c r="E180" s="3"/>
      <c r="F180" s="3"/>
      <c r="G180" s="3"/>
      <c r="H180" s="3"/>
      <c r="I180" s="3"/>
      <c r="J180" s="3"/>
      <c r="K180" s="3"/>
      <c r="L180" s="3"/>
      <c r="M180" s="3"/>
      <c r="N180" s="3"/>
      <c r="O180" s="3"/>
      <c r="P180" s="70"/>
      <c r="Q180" s="70"/>
      <c r="R180" s="70"/>
      <c r="S180" s="70"/>
      <c r="T180" s="70"/>
      <c r="AE180" s="291"/>
      <c r="AO180" s="292"/>
      <c r="AV180" s="482"/>
      <c r="AW180" s="482"/>
      <c r="AX180" s="482"/>
      <c r="AY180" s="482"/>
      <c r="AZ180" s="482"/>
      <c r="BA180" s="482"/>
      <c r="BB180" s="482"/>
      <c r="BC180" s="482"/>
      <c r="BD180" s="484"/>
      <c r="BE180" s="478"/>
      <c r="BF180" s="479"/>
      <c r="BP180" s="7">
        <v>79</v>
      </c>
    </row>
    <row r="181" spans="1:68" s="7" customFormat="1" x14ac:dyDescent="0.25">
      <c r="A181" s="3"/>
      <c r="B181" s="3"/>
      <c r="C181" s="3"/>
      <c r="D181" s="3"/>
      <c r="E181" s="3"/>
      <c r="F181" s="3"/>
      <c r="G181" s="3"/>
      <c r="H181" s="3"/>
      <c r="I181" s="3"/>
      <c r="J181" s="3"/>
      <c r="K181" s="3"/>
      <c r="L181" s="3"/>
      <c r="M181" s="3"/>
      <c r="N181" s="3"/>
      <c r="O181" s="3"/>
      <c r="P181" s="70"/>
      <c r="Q181" s="70"/>
      <c r="R181" s="70"/>
      <c r="S181" s="70"/>
      <c r="T181" s="70"/>
      <c r="AE181" s="291"/>
      <c r="AO181" s="292"/>
      <c r="AV181" s="482"/>
      <c r="AW181" s="482"/>
      <c r="AX181" s="482"/>
      <c r="AY181" s="482"/>
      <c r="AZ181" s="482"/>
      <c r="BA181" s="482"/>
      <c r="BB181" s="482"/>
      <c r="BC181" s="482"/>
      <c r="BD181" s="484"/>
      <c r="BE181" s="478"/>
      <c r="BF181" s="479"/>
      <c r="BP181" s="7">
        <v>80</v>
      </c>
    </row>
    <row r="182" spans="1:68" s="7" customFormat="1" x14ac:dyDescent="0.25">
      <c r="A182" s="3"/>
      <c r="B182" s="3"/>
      <c r="C182" s="3"/>
      <c r="D182" s="3"/>
      <c r="E182" s="3"/>
      <c r="F182" s="3"/>
      <c r="G182" s="3"/>
      <c r="H182" s="3"/>
      <c r="I182" s="3"/>
      <c r="J182" s="3"/>
      <c r="K182" s="3"/>
      <c r="L182" s="3"/>
      <c r="M182" s="3"/>
      <c r="N182" s="3"/>
      <c r="O182" s="3"/>
      <c r="P182" s="70"/>
      <c r="Q182" s="70"/>
      <c r="R182" s="70"/>
      <c r="S182" s="70"/>
      <c r="T182" s="70"/>
      <c r="AE182" s="291"/>
      <c r="AO182" s="292"/>
      <c r="AV182" s="482"/>
      <c r="AW182" s="482"/>
      <c r="AX182" s="482"/>
      <c r="AY182" s="482"/>
      <c r="AZ182" s="482"/>
      <c r="BA182" s="482"/>
      <c r="BB182" s="482"/>
      <c r="BC182" s="482"/>
      <c r="BD182" s="484"/>
      <c r="BE182" s="478"/>
      <c r="BF182" s="479"/>
      <c r="BP182" s="7">
        <v>81</v>
      </c>
    </row>
    <row r="183" spans="1:68" s="7" customFormat="1" x14ac:dyDescent="0.25">
      <c r="A183" s="3"/>
      <c r="B183" s="3"/>
      <c r="C183" s="3"/>
      <c r="D183" s="3"/>
      <c r="E183" s="3"/>
      <c r="F183" s="3"/>
      <c r="G183" s="3"/>
      <c r="H183" s="3"/>
      <c r="I183" s="3"/>
      <c r="J183" s="3"/>
      <c r="K183" s="3"/>
      <c r="L183" s="3"/>
      <c r="M183" s="3"/>
      <c r="N183" s="3"/>
      <c r="O183" s="3"/>
      <c r="P183" s="70"/>
      <c r="Q183" s="70"/>
      <c r="R183" s="70"/>
      <c r="S183" s="70"/>
      <c r="T183" s="70"/>
      <c r="AE183" s="291"/>
      <c r="AO183" s="292"/>
      <c r="AV183" s="482"/>
      <c r="AW183" s="482"/>
      <c r="AX183" s="482"/>
      <c r="AY183" s="482"/>
      <c r="AZ183" s="482"/>
      <c r="BA183" s="482"/>
      <c r="BB183" s="482"/>
      <c r="BC183" s="482"/>
      <c r="BD183" s="484"/>
      <c r="BE183" s="478"/>
      <c r="BF183" s="479"/>
      <c r="BP183" s="7">
        <v>82</v>
      </c>
    </row>
    <row r="184" spans="1:68" s="7" customFormat="1" x14ac:dyDescent="0.25">
      <c r="A184" s="3"/>
      <c r="B184" s="3"/>
      <c r="C184" s="3"/>
      <c r="D184" s="3"/>
      <c r="E184" s="3"/>
      <c r="F184" s="3"/>
      <c r="G184" s="3"/>
      <c r="H184" s="3"/>
      <c r="I184" s="3"/>
      <c r="J184" s="3"/>
      <c r="K184" s="3"/>
      <c r="L184" s="3"/>
      <c r="M184" s="3"/>
      <c r="N184" s="3"/>
      <c r="O184" s="3"/>
      <c r="P184" s="70"/>
      <c r="Q184" s="70"/>
      <c r="R184" s="70"/>
      <c r="S184" s="70"/>
      <c r="T184" s="70"/>
      <c r="AE184" s="291"/>
      <c r="AO184" s="292"/>
      <c r="AV184" s="482"/>
      <c r="AW184" s="482"/>
      <c r="AX184" s="482"/>
      <c r="AY184" s="482"/>
      <c r="AZ184" s="482"/>
      <c r="BA184" s="482"/>
      <c r="BB184" s="482"/>
      <c r="BC184" s="482"/>
      <c r="BD184" s="484"/>
      <c r="BE184" s="478"/>
      <c r="BF184" s="479"/>
      <c r="BP184" s="7">
        <v>83</v>
      </c>
    </row>
    <row r="185" spans="1:68" s="7" customFormat="1" x14ac:dyDescent="0.25">
      <c r="A185" s="3"/>
      <c r="B185" s="3"/>
      <c r="C185" s="3"/>
      <c r="D185" s="3"/>
      <c r="E185" s="3"/>
      <c r="F185" s="3"/>
      <c r="G185" s="3"/>
      <c r="H185" s="3"/>
      <c r="I185" s="3"/>
      <c r="J185" s="3"/>
      <c r="K185" s="3"/>
      <c r="L185" s="3"/>
      <c r="M185" s="3"/>
      <c r="N185" s="3"/>
      <c r="O185" s="3"/>
      <c r="P185" s="70"/>
      <c r="Q185" s="70"/>
      <c r="R185" s="70"/>
      <c r="S185" s="70"/>
      <c r="T185" s="70"/>
      <c r="AE185" s="291"/>
      <c r="AO185" s="292"/>
      <c r="AV185" s="482"/>
      <c r="AW185" s="482"/>
      <c r="AX185" s="482"/>
      <c r="AY185" s="482"/>
      <c r="AZ185" s="482"/>
      <c r="BA185" s="482"/>
      <c r="BB185" s="482"/>
      <c r="BC185" s="482"/>
      <c r="BD185" s="484"/>
      <c r="BE185" s="478"/>
      <c r="BF185" s="479"/>
      <c r="BP185" s="7">
        <v>84</v>
      </c>
    </row>
    <row r="186" spans="1:68" s="7" customFormat="1" x14ac:dyDescent="0.25">
      <c r="A186" s="3"/>
      <c r="B186" s="3"/>
      <c r="C186" s="3"/>
      <c r="D186" s="3"/>
      <c r="E186" s="3"/>
      <c r="F186" s="3"/>
      <c r="G186" s="3"/>
      <c r="H186" s="3"/>
      <c r="I186" s="3"/>
      <c r="J186" s="3"/>
      <c r="K186" s="3"/>
      <c r="L186" s="3"/>
      <c r="M186" s="3"/>
      <c r="N186" s="3"/>
      <c r="O186" s="3"/>
      <c r="P186" s="70"/>
      <c r="Q186" s="70"/>
      <c r="R186" s="70"/>
      <c r="S186" s="70"/>
      <c r="T186" s="70"/>
      <c r="AE186" s="291"/>
      <c r="AO186" s="292"/>
      <c r="AV186" s="482"/>
      <c r="AW186" s="482"/>
      <c r="AX186" s="482"/>
      <c r="AY186" s="482"/>
      <c r="AZ186" s="482"/>
      <c r="BA186" s="482"/>
      <c r="BB186" s="482"/>
      <c r="BC186" s="482"/>
      <c r="BD186" s="484"/>
      <c r="BE186" s="478"/>
      <c r="BF186" s="479"/>
      <c r="BP186" s="7">
        <v>85</v>
      </c>
    </row>
    <row r="187" spans="1:68" s="7" customFormat="1" x14ac:dyDescent="0.25">
      <c r="A187" s="3"/>
      <c r="B187" s="3"/>
      <c r="C187" s="3"/>
      <c r="D187" s="3"/>
      <c r="E187" s="3"/>
      <c r="F187" s="3"/>
      <c r="G187" s="3"/>
      <c r="H187" s="3"/>
      <c r="I187" s="3"/>
      <c r="J187" s="3"/>
      <c r="K187" s="3"/>
      <c r="L187" s="3"/>
      <c r="M187" s="3"/>
      <c r="N187" s="3"/>
      <c r="O187" s="3"/>
      <c r="P187" s="70"/>
      <c r="Q187" s="70"/>
      <c r="R187" s="70"/>
      <c r="S187" s="70"/>
      <c r="T187" s="70"/>
      <c r="AE187" s="291"/>
      <c r="AO187" s="292"/>
      <c r="AV187" s="482"/>
      <c r="AW187" s="482"/>
      <c r="AX187" s="482"/>
      <c r="AY187" s="482"/>
      <c r="AZ187" s="482"/>
      <c r="BA187" s="482"/>
      <c r="BB187" s="482"/>
      <c r="BC187" s="482"/>
      <c r="BD187" s="484"/>
      <c r="BE187" s="478"/>
      <c r="BF187" s="479"/>
      <c r="BP187" s="7">
        <v>86</v>
      </c>
    </row>
    <row r="188" spans="1:68" s="7" customFormat="1" x14ac:dyDescent="0.25">
      <c r="A188" s="3"/>
      <c r="B188" s="3"/>
      <c r="C188" s="3"/>
      <c r="D188" s="3"/>
      <c r="E188" s="3"/>
      <c r="F188" s="3"/>
      <c r="G188" s="3"/>
      <c r="H188" s="3"/>
      <c r="I188" s="3"/>
      <c r="J188" s="3"/>
      <c r="K188" s="3"/>
      <c r="L188" s="3"/>
      <c r="M188" s="3"/>
      <c r="N188" s="3"/>
      <c r="O188" s="3"/>
      <c r="P188" s="70"/>
      <c r="Q188" s="70"/>
      <c r="R188" s="70"/>
      <c r="S188" s="70"/>
      <c r="T188" s="70"/>
      <c r="AE188" s="291"/>
      <c r="AO188" s="292"/>
      <c r="AV188" s="482"/>
      <c r="AW188" s="482"/>
      <c r="AX188" s="482"/>
      <c r="AY188" s="482"/>
      <c r="AZ188" s="482"/>
      <c r="BA188" s="482"/>
      <c r="BB188" s="482"/>
      <c r="BC188" s="482"/>
      <c r="BD188" s="484"/>
      <c r="BE188" s="478"/>
      <c r="BF188" s="479"/>
      <c r="BP188" s="7">
        <v>87</v>
      </c>
    </row>
    <row r="189" spans="1:68" s="7" customFormat="1" x14ac:dyDescent="0.25">
      <c r="A189" s="3"/>
      <c r="B189" s="3"/>
      <c r="C189" s="3"/>
      <c r="D189" s="3"/>
      <c r="E189" s="3"/>
      <c r="F189" s="3"/>
      <c r="G189" s="3"/>
      <c r="H189" s="3"/>
      <c r="I189" s="3"/>
      <c r="J189" s="3"/>
      <c r="K189" s="3"/>
      <c r="L189" s="3"/>
      <c r="M189" s="3"/>
      <c r="N189" s="3"/>
      <c r="O189" s="3"/>
      <c r="P189" s="70"/>
      <c r="Q189" s="70"/>
      <c r="R189" s="70"/>
      <c r="S189" s="70"/>
      <c r="T189" s="70"/>
      <c r="AE189" s="291"/>
      <c r="AO189" s="292"/>
      <c r="AV189" s="482"/>
      <c r="AW189" s="482"/>
      <c r="AX189" s="482"/>
      <c r="AY189" s="482"/>
      <c r="AZ189" s="482"/>
      <c r="BA189" s="482"/>
      <c r="BB189" s="482"/>
      <c r="BC189" s="482"/>
      <c r="BD189" s="484"/>
      <c r="BE189" s="478"/>
      <c r="BF189" s="479"/>
      <c r="BP189" s="7">
        <v>88</v>
      </c>
    </row>
    <row r="190" spans="1:68" s="7" customFormat="1" x14ac:dyDescent="0.25">
      <c r="A190" s="3"/>
      <c r="B190" s="3"/>
      <c r="C190" s="3"/>
      <c r="D190" s="3"/>
      <c r="E190" s="3"/>
      <c r="F190" s="3"/>
      <c r="G190" s="3"/>
      <c r="H190" s="3"/>
      <c r="I190" s="3"/>
      <c r="J190" s="3"/>
      <c r="K190" s="3"/>
      <c r="L190" s="3"/>
      <c r="M190" s="3"/>
      <c r="N190" s="3"/>
      <c r="O190" s="3"/>
      <c r="AE190" s="291"/>
      <c r="AO190" s="292"/>
      <c r="AV190" s="482"/>
      <c r="AW190" s="482"/>
      <c r="AX190" s="482"/>
      <c r="AY190" s="482"/>
      <c r="AZ190" s="482"/>
      <c r="BA190" s="482"/>
      <c r="BB190" s="482"/>
      <c r="BC190" s="482"/>
      <c r="BD190" s="484"/>
      <c r="BE190" s="478"/>
      <c r="BF190" s="479"/>
      <c r="BP190" s="7">
        <v>89</v>
      </c>
    </row>
    <row r="191" spans="1:68" s="7" customFormat="1" x14ac:dyDescent="0.25">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291"/>
      <c r="AO191" s="292"/>
      <c r="AV191" s="482"/>
      <c r="AW191" s="482"/>
      <c r="AX191" s="482"/>
      <c r="AY191" s="482"/>
      <c r="AZ191" s="482"/>
      <c r="BA191" s="482"/>
      <c r="BB191" s="482"/>
      <c r="BC191" s="482"/>
      <c r="BD191" s="484"/>
      <c r="BE191" s="478"/>
      <c r="BF191" s="479"/>
      <c r="BP191" s="7">
        <v>90</v>
      </c>
    </row>
    <row r="192" spans="1:68" s="7" customFormat="1" x14ac:dyDescent="0.25">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291"/>
      <c r="AO192" s="292"/>
      <c r="AV192" s="482"/>
      <c r="AW192" s="482"/>
      <c r="AX192" s="482"/>
      <c r="AY192" s="482"/>
      <c r="AZ192" s="482"/>
      <c r="BA192" s="482"/>
      <c r="BB192" s="482"/>
      <c r="BC192" s="482"/>
      <c r="BD192" s="484"/>
      <c r="BE192" s="478"/>
      <c r="BF192" s="479"/>
      <c r="BP192" s="7">
        <v>91</v>
      </c>
    </row>
    <row r="193" spans="1:68" s="7" customFormat="1" x14ac:dyDescent="0.25">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291"/>
      <c r="AO193" s="292"/>
      <c r="AV193" s="482"/>
      <c r="AW193" s="482"/>
      <c r="AX193" s="482"/>
      <c r="AY193" s="482"/>
      <c r="AZ193" s="482"/>
      <c r="BA193" s="482"/>
      <c r="BB193" s="482"/>
      <c r="BC193" s="482"/>
      <c r="BD193" s="484"/>
      <c r="BE193" s="478"/>
      <c r="BF193" s="479"/>
      <c r="BP193" s="7">
        <v>92</v>
      </c>
    </row>
    <row r="194" spans="1:68" s="7" customFormat="1" x14ac:dyDescent="0.25">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291"/>
      <c r="AO194" s="292"/>
      <c r="AV194" s="482"/>
      <c r="AW194" s="482"/>
      <c r="AX194" s="482"/>
      <c r="AY194" s="482"/>
      <c r="AZ194" s="482"/>
      <c r="BA194" s="482"/>
      <c r="BB194" s="482"/>
      <c r="BC194" s="482"/>
      <c r="BD194" s="484"/>
      <c r="BE194" s="478"/>
      <c r="BF194" s="479"/>
      <c r="BP194" s="7">
        <v>93</v>
      </c>
    </row>
    <row r="195" spans="1:68" s="7" customFormat="1" x14ac:dyDescent="0.25">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291"/>
      <c r="AO195" s="292"/>
      <c r="AV195" s="482"/>
      <c r="AW195" s="482"/>
      <c r="AX195" s="482"/>
      <c r="AY195" s="482"/>
      <c r="AZ195" s="482"/>
      <c r="BA195" s="482"/>
      <c r="BB195" s="482"/>
      <c r="BC195" s="482"/>
      <c r="BD195" s="484"/>
      <c r="BE195" s="478"/>
      <c r="BF195" s="479"/>
      <c r="BP195" s="7">
        <v>94</v>
      </c>
    </row>
    <row r="196" spans="1:68" s="7" customFormat="1" x14ac:dyDescent="0.25">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291"/>
      <c r="AO196" s="292"/>
      <c r="AV196" s="482"/>
      <c r="AW196" s="482"/>
      <c r="AX196" s="482"/>
      <c r="AY196" s="482"/>
      <c r="AZ196" s="482"/>
      <c r="BA196" s="482"/>
      <c r="BB196" s="482"/>
      <c r="BC196" s="482"/>
      <c r="BD196" s="484"/>
      <c r="BE196" s="478"/>
      <c r="BF196" s="479"/>
      <c r="BP196" s="7">
        <v>95</v>
      </c>
    </row>
    <row r="197" spans="1:68" s="7" customFormat="1" x14ac:dyDescent="0.25">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291"/>
      <c r="AO197" s="292"/>
      <c r="AV197" s="482"/>
      <c r="AW197" s="482"/>
      <c r="AX197" s="482"/>
      <c r="AY197" s="482"/>
      <c r="AZ197" s="482"/>
      <c r="BA197" s="482"/>
      <c r="BB197" s="482"/>
      <c r="BC197" s="482"/>
      <c r="BD197" s="484"/>
      <c r="BE197" s="478"/>
      <c r="BF197" s="479"/>
      <c r="BP197" s="7">
        <v>96</v>
      </c>
    </row>
    <row r="198" spans="1:68" s="7" customFormat="1" x14ac:dyDescent="0.25">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291"/>
      <c r="AO198" s="292"/>
      <c r="AV198" s="482"/>
      <c r="AW198" s="482"/>
      <c r="AX198" s="482"/>
      <c r="AY198" s="482"/>
      <c r="AZ198" s="482"/>
      <c r="BA198" s="482"/>
      <c r="BB198" s="482"/>
      <c r="BC198" s="482"/>
      <c r="BD198" s="484"/>
      <c r="BE198" s="478"/>
      <c r="BF198" s="479"/>
      <c r="BP198" s="7">
        <v>97</v>
      </c>
    </row>
    <row r="199" spans="1:68" s="7" customFormat="1" x14ac:dyDescent="0.25">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291"/>
      <c r="AO199" s="292"/>
      <c r="AV199" s="482"/>
      <c r="AW199" s="482"/>
      <c r="AX199" s="482"/>
      <c r="AY199" s="482"/>
      <c r="AZ199" s="482"/>
      <c r="BA199" s="482"/>
      <c r="BB199" s="482"/>
      <c r="BC199" s="482"/>
      <c r="BD199" s="484"/>
      <c r="BE199" s="478"/>
      <c r="BF199" s="479"/>
      <c r="BP199" s="7">
        <v>98</v>
      </c>
    </row>
    <row r="200" spans="1:68" s="7" customFormat="1" x14ac:dyDescent="0.25">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291"/>
      <c r="AO200" s="292"/>
      <c r="AV200" s="482"/>
      <c r="AW200" s="482"/>
      <c r="AX200" s="482"/>
      <c r="AY200" s="482"/>
      <c r="AZ200" s="482"/>
      <c r="BA200" s="482"/>
      <c r="BB200" s="482"/>
      <c r="BC200" s="482"/>
      <c r="BD200" s="484"/>
      <c r="BE200" s="478"/>
      <c r="BF200" s="479"/>
      <c r="BP200" s="7">
        <v>99</v>
      </c>
    </row>
    <row r="201" spans="1:68" s="7" customFormat="1" x14ac:dyDescent="0.25">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c r="AA201" s="3"/>
      <c r="AB201" s="3"/>
      <c r="AC201" s="3"/>
      <c r="AD201" s="3"/>
      <c r="AE201" s="291"/>
      <c r="AO201" s="292"/>
      <c r="AV201" s="482"/>
      <c r="AW201" s="482"/>
      <c r="AX201" s="482"/>
      <c r="AY201" s="482"/>
      <c r="AZ201" s="482"/>
      <c r="BA201" s="482"/>
      <c r="BB201" s="482"/>
      <c r="BC201" s="482"/>
      <c r="BD201" s="484"/>
      <c r="BE201" s="478"/>
      <c r="BF201" s="479"/>
      <c r="BP201" s="7">
        <v>100</v>
      </c>
    </row>
    <row r="202" spans="1:68" s="7" customFormat="1" x14ac:dyDescent="0.25">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c r="AA202" s="3"/>
      <c r="AB202" s="3"/>
      <c r="AC202" s="3"/>
      <c r="AD202" s="3"/>
      <c r="AE202" s="291"/>
      <c r="AO202" s="292"/>
      <c r="AV202" s="482"/>
      <c r="AW202" s="482"/>
      <c r="AX202" s="482"/>
      <c r="AY202" s="482"/>
      <c r="AZ202" s="482"/>
      <c r="BA202" s="482"/>
      <c r="BB202" s="482"/>
      <c r="BC202" s="482"/>
      <c r="BD202" s="484"/>
      <c r="BE202" s="478"/>
      <c r="BF202" s="479"/>
      <c r="BP202" s="7">
        <v>101</v>
      </c>
    </row>
    <row r="203" spans="1:68" s="7" customFormat="1" x14ac:dyDescent="0.25">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c r="AA203" s="3"/>
      <c r="AB203" s="3"/>
      <c r="AC203" s="3"/>
      <c r="AD203" s="3"/>
      <c r="AE203" s="291"/>
      <c r="AO203" s="292"/>
      <c r="AV203" s="482"/>
      <c r="AW203" s="482"/>
      <c r="AX203" s="482"/>
      <c r="AY203" s="482"/>
      <c r="AZ203" s="482"/>
      <c r="BA203" s="482"/>
      <c r="BB203" s="482"/>
      <c r="BC203" s="482"/>
      <c r="BD203" s="484"/>
      <c r="BE203" s="478"/>
      <c r="BF203" s="479"/>
      <c r="BP203" s="7">
        <v>102</v>
      </c>
    </row>
    <row r="204" spans="1:68" s="7" customFormat="1" x14ac:dyDescent="0.25">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c r="AA204" s="3"/>
      <c r="AB204" s="3"/>
      <c r="AC204" s="3"/>
      <c r="AD204" s="3"/>
      <c r="AE204" s="291"/>
      <c r="AO204" s="292"/>
      <c r="AV204" s="482"/>
      <c r="AW204" s="482"/>
      <c r="AX204" s="482"/>
      <c r="AY204" s="482"/>
      <c r="AZ204" s="482"/>
      <c r="BA204" s="482"/>
      <c r="BB204" s="482"/>
      <c r="BC204" s="482"/>
      <c r="BD204" s="484"/>
      <c r="BE204" s="478"/>
      <c r="BF204" s="479"/>
      <c r="BP204" s="7">
        <v>103</v>
      </c>
    </row>
    <row r="205" spans="1:68" s="7" customFormat="1" x14ac:dyDescent="0.25">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c r="AA205" s="3"/>
      <c r="AB205" s="3"/>
      <c r="AC205" s="3"/>
      <c r="AD205" s="3"/>
      <c r="AE205" s="291"/>
      <c r="AO205" s="292"/>
      <c r="AV205" s="482"/>
      <c r="AW205" s="482"/>
      <c r="AX205" s="482"/>
      <c r="AY205" s="482"/>
      <c r="AZ205" s="482"/>
      <c r="BA205" s="482"/>
      <c r="BB205" s="482"/>
      <c r="BC205" s="482"/>
      <c r="BD205" s="484"/>
      <c r="BE205" s="478"/>
      <c r="BF205" s="479"/>
      <c r="BP205" s="7">
        <v>104</v>
      </c>
    </row>
    <row r="206" spans="1:68" s="7" customFormat="1" x14ac:dyDescent="0.25">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c r="AA206" s="3"/>
      <c r="AB206" s="3"/>
      <c r="AC206" s="3"/>
      <c r="AD206" s="3"/>
      <c r="AE206" s="291"/>
      <c r="AO206" s="292"/>
      <c r="AV206" s="482"/>
      <c r="AW206" s="482"/>
      <c r="AX206" s="482"/>
      <c r="AY206" s="482"/>
      <c r="AZ206" s="482"/>
      <c r="BA206" s="482"/>
      <c r="BB206" s="482"/>
      <c r="BC206" s="482"/>
      <c r="BD206" s="484"/>
      <c r="BE206" s="478"/>
      <c r="BF206" s="479"/>
      <c r="BP206" s="7">
        <v>105</v>
      </c>
    </row>
    <row r="207" spans="1:68" s="7" customFormat="1" x14ac:dyDescent="0.25">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c r="AA207" s="3"/>
      <c r="AB207" s="3"/>
      <c r="AC207" s="3"/>
      <c r="AD207" s="3"/>
      <c r="AE207" s="291"/>
      <c r="AO207" s="292"/>
      <c r="AV207" s="482"/>
      <c r="AW207" s="482"/>
      <c r="AX207" s="482"/>
      <c r="AY207" s="482"/>
      <c r="AZ207" s="482"/>
      <c r="BA207" s="482"/>
      <c r="BB207" s="482"/>
      <c r="BC207" s="482"/>
      <c r="BD207" s="484"/>
      <c r="BE207" s="478"/>
      <c r="BF207" s="479"/>
      <c r="BP207" s="7">
        <v>106</v>
      </c>
    </row>
    <row r="208" spans="1:68" s="7" customFormat="1" x14ac:dyDescent="0.25">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c r="AA208" s="3"/>
      <c r="AB208" s="3"/>
      <c r="AC208" s="3"/>
      <c r="AD208" s="3"/>
      <c r="AE208" s="291"/>
      <c r="AO208" s="292"/>
      <c r="AV208" s="482"/>
      <c r="AW208" s="482"/>
      <c r="AX208" s="482"/>
      <c r="AY208" s="482"/>
      <c r="AZ208" s="482"/>
      <c r="BA208" s="482"/>
      <c r="BB208" s="482"/>
      <c r="BC208" s="482"/>
      <c r="BD208" s="484"/>
      <c r="BE208" s="478"/>
      <c r="BF208" s="479"/>
      <c r="BP208" s="7">
        <v>107</v>
      </c>
    </row>
    <row r="209" spans="1:68" s="7" customFormat="1" x14ac:dyDescent="0.25">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c r="AA209" s="3"/>
      <c r="AB209" s="3"/>
      <c r="AC209" s="3"/>
      <c r="AD209" s="3"/>
      <c r="AE209" s="291"/>
      <c r="AO209" s="292"/>
      <c r="AV209" s="482"/>
      <c r="AW209" s="482"/>
      <c r="AX209" s="482"/>
      <c r="AY209" s="482"/>
      <c r="AZ209" s="482"/>
      <c r="BA209" s="482"/>
      <c r="BB209" s="482"/>
      <c r="BC209" s="482"/>
      <c r="BD209" s="484"/>
      <c r="BE209" s="478"/>
      <c r="BF209" s="479"/>
      <c r="BP209" s="7">
        <v>108</v>
      </c>
    </row>
    <row r="210" spans="1:68" s="7" customFormat="1" x14ac:dyDescent="0.25">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c r="AA210" s="3"/>
      <c r="AB210" s="3"/>
      <c r="AC210" s="3"/>
      <c r="AD210" s="3"/>
      <c r="AE210" s="291"/>
      <c r="AO210" s="292"/>
      <c r="AV210" s="482"/>
      <c r="AW210" s="482"/>
      <c r="AX210" s="482"/>
      <c r="AY210" s="482"/>
      <c r="AZ210" s="482"/>
      <c r="BA210" s="482"/>
      <c r="BB210" s="482"/>
      <c r="BC210" s="482"/>
      <c r="BD210" s="484"/>
      <c r="BE210" s="478"/>
      <c r="BF210" s="479"/>
      <c r="BP210" s="7">
        <v>109</v>
      </c>
    </row>
    <row r="211" spans="1:68" s="7" customFormat="1" x14ac:dyDescent="0.25">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c r="AA211" s="3"/>
      <c r="AB211" s="3"/>
      <c r="AC211" s="3"/>
      <c r="AD211" s="3"/>
      <c r="AE211" s="291"/>
      <c r="AO211" s="292"/>
      <c r="AV211" s="482"/>
      <c r="AW211" s="482"/>
      <c r="AX211" s="482"/>
      <c r="AY211" s="482"/>
      <c r="AZ211" s="482"/>
      <c r="BA211" s="482"/>
      <c r="BB211" s="482"/>
      <c r="BC211" s="482"/>
      <c r="BD211" s="484"/>
      <c r="BE211" s="478"/>
      <c r="BF211" s="479"/>
      <c r="BP211" s="7">
        <v>110</v>
      </c>
    </row>
    <row r="212" spans="1:68" s="7" customFormat="1" x14ac:dyDescent="0.25">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c r="AA212" s="3"/>
      <c r="AB212" s="3"/>
      <c r="AC212" s="3"/>
      <c r="AD212" s="3"/>
      <c r="AE212" s="291"/>
      <c r="AO212" s="292"/>
      <c r="AV212" s="482"/>
      <c r="AW212" s="482"/>
      <c r="AX212" s="482"/>
      <c r="AY212" s="482"/>
      <c r="AZ212" s="482"/>
      <c r="BA212" s="482"/>
      <c r="BB212" s="482"/>
      <c r="BC212" s="482"/>
      <c r="BD212" s="484"/>
      <c r="BE212" s="478"/>
      <c r="BF212" s="479"/>
      <c r="BP212" s="7">
        <v>111</v>
      </c>
    </row>
    <row r="213" spans="1:68" s="7" customFormat="1" x14ac:dyDescent="0.25">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c r="AA213" s="3"/>
      <c r="AB213" s="3"/>
      <c r="AC213" s="3"/>
      <c r="AD213" s="3"/>
      <c r="AE213" s="291"/>
      <c r="AO213" s="292"/>
      <c r="AV213" s="482"/>
      <c r="AW213" s="482"/>
      <c r="AX213" s="482"/>
      <c r="AY213" s="482"/>
      <c r="AZ213" s="482"/>
      <c r="BA213" s="482"/>
      <c r="BB213" s="482"/>
      <c r="BC213" s="482"/>
      <c r="BD213" s="484"/>
      <c r="BE213" s="478"/>
      <c r="BF213" s="479"/>
      <c r="BP213" s="7">
        <v>112</v>
      </c>
    </row>
    <row r="214" spans="1:68" s="7" customFormat="1" x14ac:dyDescent="0.25">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c r="AA214" s="3"/>
      <c r="AB214" s="3"/>
      <c r="AC214" s="3"/>
      <c r="AD214" s="3"/>
      <c r="AE214" s="291"/>
      <c r="AO214" s="292"/>
      <c r="AV214" s="482"/>
      <c r="AW214" s="482"/>
      <c r="AX214" s="482"/>
      <c r="AY214" s="482"/>
      <c r="AZ214" s="482"/>
      <c r="BA214" s="482"/>
      <c r="BB214" s="482"/>
      <c r="BC214" s="482"/>
      <c r="BD214" s="484"/>
      <c r="BE214" s="478"/>
      <c r="BF214" s="479"/>
      <c r="BP214" s="7">
        <v>113</v>
      </c>
    </row>
    <row r="215" spans="1:68" s="7" customFormat="1" x14ac:dyDescent="0.25">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c r="AA215" s="3"/>
      <c r="AB215" s="3"/>
      <c r="AC215" s="3"/>
      <c r="AD215" s="3"/>
      <c r="AE215" s="291"/>
      <c r="AO215" s="292"/>
      <c r="AV215" s="482"/>
      <c r="AW215" s="482"/>
      <c r="AX215" s="482"/>
      <c r="AY215" s="482"/>
      <c r="AZ215" s="482"/>
      <c r="BA215" s="482"/>
      <c r="BB215" s="482"/>
      <c r="BC215" s="482"/>
      <c r="BD215" s="484"/>
      <c r="BE215" s="478"/>
      <c r="BF215" s="479"/>
      <c r="BP215" s="7">
        <v>114</v>
      </c>
    </row>
    <row r="216" spans="1:68" s="7" customFormat="1" x14ac:dyDescent="0.25">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c r="AA216" s="3"/>
      <c r="AB216" s="3"/>
      <c r="AC216" s="3"/>
      <c r="AD216" s="3"/>
      <c r="AE216" s="291"/>
      <c r="AO216" s="292"/>
      <c r="AV216" s="482"/>
      <c r="AW216" s="482"/>
      <c r="AX216" s="482"/>
      <c r="AY216" s="482"/>
      <c r="AZ216" s="482"/>
      <c r="BA216" s="482"/>
      <c r="BB216" s="482"/>
      <c r="BC216" s="482"/>
      <c r="BD216" s="484"/>
      <c r="BE216" s="478"/>
      <c r="BF216" s="479"/>
      <c r="BP216" s="7">
        <v>115</v>
      </c>
    </row>
    <row r="217" spans="1:68" s="7" customFormat="1" x14ac:dyDescent="0.25">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c r="AA217" s="3"/>
      <c r="AB217" s="3"/>
      <c r="AC217" s="3"/>
      <c r="AD217" s="3"/>
      <c r="AE217" s="291"/>
      <c r="AO217" s="292"/>
      <c r="AV217" s="482"/>
      <c r="AW217" s="482"/>
      <c r="AX217" s="482"/>
      <c r="AY217" s="482"/>
      <c r="AZ217" s="482"/>
      <c r="BA217" s="482"/>
      <c r="BB217" s="482"/>
      <c r="BC217" s="482"/>
      <c r="BD217" s="484"/>
      <c r="BE217" s="478"/>
      <c r="BF217" s="479"/>
      <c r="BP217" s="7">
        <v>116</v>
      </c>
    </row>
    <row r="218" spans="1:68" s="7" customFormat="1" x14ac:dyDescent="0.25">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c r="AA218" s="3"/>
      <c r="AB218" s="3"/>
      <c r="AC218" s="3"/>
      <c r="AD218" s="3"/>
      <c r="AE218" s="291"/>
      <c r="AO218" s="292"/>
      <c r="AV218" s="482"/>
      <c r="AW218" s="482"/>
      <c r="AX218" s="482"/>
      <c r="AY218" s="482"/>
      <c r="AZ218" s="482"/>
      <c r="BA218" s="482"/>
      <c r="BB218" s="482"/>
      <c r="BC218" s="482"/>
      <c r="BD218" s="484"/>
      <c r="BE218" s="478"/>
      <c r="BF218" s="479"/>
      <c r="BP218" s="7">
        <v>117</v>
      </c>
    </row>
    <row r="219" spans="1:68" s="7" customFormat="1" x14ac:dyDescent="0.25">
      <c r="A219" s="3"/>
      <c r="B219" s="3"/>
      <c r="C219" s="3"/>
      <c r="D219" s="3"/>
      <c r="E219" s="3"/>
      <c r="F219" s="3"/>
      <c r="G219" s="3"/>
      <c r="H219" s="3"/>
      <c r="I219" s="3"/>
      <c r="J219" s="3"/>
      <c r="K219" s="3"/>
      <c r="L219" s="3"/>
      <c r="M219" s="3"/>
      <c r="N219" s="3"/>
      <c r="O219" s="3"/>
      <c r="P219" s="3"/>
      <c r="Q219" s="3"/>
      <c r="R219" s="3"/>
      <c r="S219" s="3"/>
      <c r="T219" s="3"/>
      <c r="U219" s="3"/>
      <c r="V219" s="3"/>
      <c r="W219" s="3"/>
      <c r="X219" s="3"/>
      <c r="Y219" s="3"/>
      <c r="Z219" s="3"/>
      <c r="AA219" s="3"/>
      <c r="AB219" s="3"/>
      <c r="AC219" s="3"/>
      <c r="AD219" s="3"/>
      <c r="AE219" s="291"/>
      <c r="AO219" s="292"/>
      <c r="AV219" s="482"/>
      <c r="AW219" s="482"/>
      <c r="AX219" s="482"/>
      <c r="AY219" s="482"/>
      <c r="AZ219" s="482"/>
      <c r="BA219" s="482"/>
      <c r="BB219" s="482"/>
      <c r="BC219" s="482"/>
      <c r="BD219" s="484"/>
      <c r="BE219" s="478"/>
      <c r="BF219" s="479"/>
      <c r="BP219" s="7">
        <v>118</v>
      </c>
    </row>
    <row r="220" spans="1:68" s="7" customFormat="1" x14ac:dyDescent="0.25">
      <c r="A220" s="3"/>
      <c r="B220" s="3"/>
      <c r="C220" s="3"/>
      <c r="D220" s="3"/>
      <c r="E220" s="3"/>
      <c r="F220" s="3"/>
      <c r="G220" s="3"/>
      <c r="H220" s="3"/>
      <c r="I220" s="3"/>
      <c r="J220" s="3"/>
      <c r="K220" s="3"/>
      <c r="L220" s="3"/>
      <c r="M220" s="3"/>
      <c r="N220" s="3"/>
      <c r="O220" s="3"/>
      <c r="P220" s="3"/>
      <c r="Q220" s="3"/>
      <c r="R220" s="3"/>
      <c r="S220" s="3"/>
      <c r="T220" s="3"/>
      <c r="U220" s="3"/>
      <c r="V220" s="3"/>
      <c r="W220" s="3"/>
      <c r="X220" s="3"/>
      <c r="Y220" s="3"/>
      <c r="Z220" s="3"/>
      <c r="AA220" s="3"/>
      <c r="AB220" s="3"/>
      <c r="AC220" s="3"/>
      <c r="AD220" s="3"/>
      <c r="AE220" s="291"/>
      <c r="AO220" s="292"/>
      <c r="AV220" s="482"/>
      <c r="AW220" s="482"/>
      <c r="AX220" s="482"/>
      <c r="AY220" s="482"/>
      <c r="AZ220" s="482"/>
      <c r="BA220" s="482"/>
      <c r="BB220" s="482"/>
      <c r="BC220" s="482"/>
      <c r="BD220" s="484"/>
      <c r="BE220" s="478"/>
      <c r="BF220" s="479"/>
      <c r="BP220" s="7">
        <v>119</v>
      </c>
    </row>
    <row r="221" spans="1:68" s="7" customFormat="1" x14ac:dyDescent="0.25">
      <c r="A221" s="3"/>
      <c r="B221" s="3"/>
      <c r="C221" s="3"/>
      <c r="D221" s="3"/>
      <c r="E221" s="3"/>
      <c r="F221" s="3"/>
      <c r="G221" s="3"/>
      <c r="H221" s="3"/>
      <c r="I221" s="3"/>
      <c r="J221" s="3"/>
      <c r="K221" s="3"/>
      <c r="L221" s="3"/>
      <c r="M221" s="3"/>
      <c r="N221" s="3"/>
      <c r="O221" s="3"/>
      <c r="P221" s="3"/>
      <c r="Q221" s="3"/>
      <c r="R221" s="3"/>
      <c r="S221" s="3"/>
      <c r="T221" s="3"/>
      <c r="U221" s="3"/>
      <c r="V221" s="3"/>
      <c r="W221" s="3"/>
      <c r="X221" s="3"/>
      <c r="Y221" s="3"/>
      <c r="Z221" s="3"/>
      <c r="AA221" s="3"/>
      <c r="AB221" s="3"/>
      <c r="AC221" s="3"/>
      <c r="AD221" s="3"/>
      <c r="AE221" s="291"/>
      <c r="AO221" s="292"/>
      <c r="AV221" s="482"/>
      <c r="AW221" s="482"/>
      <c r="AX221" s="482"/>
      <c r="AY221" s="482"/>
      <c r="AZ221" s="482"/>
      <c r="BA221" s="482"/>
      <c r="BB221" s="482"/>
      <c r="BC221" s="482"/>
      <c r="BD221" s="484"/>
      <c r="BE221" s="478"/>
      <c r="BF221" s="479"/>
      <c r="BP221" s="7">
        <v>120</v>
      </c>
    </row>
    <row r="222" spans="1:68" s="7" customFormat="1" x14ac:dyDescent="0.25">
      <c r="A222" s="3"/>
      <c r="B222" s="3"/>
      <c r="C222" s="3"/>
      <c r="D222" s="3"/>
      <c r="E222" s="3"/>
      <c r="F222" s="3"/>
      <c r="G222" s="3"/>
      <c r="H222" s="3"/>
      <c r="I222" s="3"/>
      <c r="J222" s="3"/>
      <c r="K222" s="3"/>
      <c r="L222" s="3"/>
      <c r="M222" s="3"/>
      <c r="N222" s="3"/>
      <c r="O222" s="3"/>
      <c r="P222" s="3"/>
      <c r="Q222" s="3"/>
      <c r="R222" s="3"/>
      <c r="S222" s="3"/>
      <c r="T222" s="3"/>
      <c r="U222" s="3"/>
      <c r="V222" s="3"/>
      <c r="W222" s="3"/>
      <c r="X222" s="3"/>
      <c r="Y222" s="3"/>
      <c r="Z222" s="3"/>
      <c r="AA222" s="3"/>
      <c r="AB222" s="3"/>
      <c r="AC222" s="3"/>
      <c r="AD222" s="3"/>
      <c r="AE222" s="291"/>
      <c r="AO222" s="292"/>
      <c r="AV222" s="482"/>
      <c r="AW222" s="482"/>
      <c r="AX222" s="482"/>
      <c r="AY222" s="482"/>
      <c r="AZ222" s="482"/>
      <c r="BA222" s="482"/>
      <c r="BB222" s="482"/>
      <c r="BC222" s="482"/>
      <c r="BD222" s="484"/>
      <c r="BE222" s="478"/>
      <c r="BF222" s="479"/>
      <c r="BP222" s="7">
        <v>121</v>
      </c>
    </row>
    <row r="223" spans="1:68" s="7" customFormat="1" x14ac:dyDescent="0.25">
      <c r="A223" s="3"/>
      <c r="B223" s="3"/>
      <c r="C223" s="3"/>
      <c r="D223" s="3"/>
      <c r="E223" s="3"/>
      <c r="F223" s="3"/>
      <c r="G223" s="3"/>
      <c r="H223" s="3"/>
      <c r="I223" s="3"/>
      <c r="J223" s="3"/>
      <c r="K223" s="3"/>
      <c r="L223" s="3"/>
      <c r="M223" s="3"/>
      <c r="N223" s="3"/>
      <c r="O223" s="3"/>
      <c r="P223" s="3"/>
      <c r="Q223" s="3"/>
      <c r="R223" s="3"/>
      <c r="S223" s="3"/>
      <c r="T223" s="3"/>
      <c r="U223" s="3"/>
      <c r="V223" s="3"/>
      <c r="W223" s="3"/>
      <c r="X223" s="3"/>
      <c r="Y223" s="3"/>
      <c r="Z223" s="3"/>
      <c r="AA223" s="3"/>
      <c r="AB223" s="3"/>
      <c r="AC223" s="3"/>
      <c r="AD223" s="3"/>
      <c r="AE223" s="291"/>
      <c r="AO223" s="292"/>
      <c r="AV223" s="482"/>
      <c r="AW223" s="482"/>
      <c r="AX223" s="482"/>
      <c r="AY223" s="482"/>
      <c r="AZ223" s="482"/>
      <c r="BA223" s="482"/>
      <c r="BB223" s="482"/>
      <c r="BC223" s="482"/>
      <c r="BD223" s="484"/>
      <c r="BE223" s="478"/>
      <c r="BF223" s="479"/>
      <c r="BP223" s="7">
        <v>122</v>
      </c>
    </row>
    <row r="224" spans="1:68" s="7" customFormat="1" x14ac:dyDescent="0.25">
      <c r="A224" s="3"/>
      <c r="B224" s="3"/>
      <c r="C224" s="3"/>
      <c r="D224" s="3"/>
      <c r="E224" s="3"/>
      <c r="F224" s="3"/>
      <c r="G224" s="3"/>
      <c r="H224" s="3"/>
      <c r="I224" s="3"/>
      <c r="J224" s="3"/>
      <c r="K224" s="3"/>
      <c r="L224" s="3"/>
      <c r="M224" s="3"/>
      <c r="N224" s="3"/>
      <c r="O224" s="3"/>
      <c r="P224" s="3"/>
      <c r="Q224" s="3"/>
      <c r="R224" s="3"/>
      <c r="S224" s="3"/>
      <c r="T224" s="3"/>
      <c r="U224" s="3"/>
      <c r="V224" s="3"/>
      <c r="W224" s="3"/>
      <c r="X224" s="3"/>
      <c r="Y224" s="3"/>
      <c r="Z224" s="3"/>
      <c r="AA224" s="3"/>
      <c r="AB224" s="3"/>
      <c r="AC224" s="3"/>
      <c r="AD224" s="3"/>
      <c r="AE224" s="291"/>
      <c r="AO224" s="292"/>
      <c r="AV224" s="482"/>
      <c r="AW224" s="482"/>
      <c r="AX224" s="482"/>
      <c r="AY224" s="482"/>
      <c r="AZ224" s="482"/>
      <c r="BA224" s="482"/>
      <c r="BB224" s="482"/>
      <c r="BC224" s="482"/>
      <c r="BD224" s="484"/>
      <c r="BE224" s="478"/>
      <c r="BF224" s="479"/>
      <c r="BP224" s="7">
        <v>123</v>
      </c>
    </row>
    <row r="225" spans="1:68" s="7" customFormat="1" x14ac:dyDescent="0.25">
      <c r="A225" s="3"/>
      <c r="B225" s="3"/>
      <c r="C225" s="3"/>
      <c r="D225" s="3"/>
      <c r="E225" s="3"/>
      <c r="F225" s="3"/>
      <c r="G225" s="3"/>
      <c r="H225" s="3"/>
      <c r="I225" s="3"/>
      <c r="J225" s="3"/>
      <c r="K225" s="3"/>
      <c r="L225" s="3"/>
      <c r="M225" s="3"/>
      <c r="N225" s="3"/>
      <c r="O225" s="3"/>
      <c r="P225" s="3"/>
      <c r="Q225" s="3"/>
      <c r="R225" s="3"/>
      <c r="S225" s="3"/>
      <c r="T225" s="3"/>
      <c r="U225" s="3"/>
      <c r="V225" s="3"/>
      <c r="W225" s="3"/>
      <c r="X225" s="3"/>
      <c r="Y225" s="3"/>
      <c r="Z225" s="3"/>
      <c r="AA225" s="3"/>
      <c r="AB225" s="3"/>
      <c r="AC225" s="3"/>
      <c r="AD225" s="3"/>
      <c r="AE225" s="291"/>
      <c r="AO225" s="292"/>
      <c r="AV225" s="482"/>
      <c r="AW225" s="482"/>
      <c r="AX225" s="482"/>
      <c r="AY225" s="482"/>
      <c r="AZ225" s="482"/>
      <c r="BA225" s="482"/>
      <c r="BB225" s="482"/>
      <c r="BC225" s="482"/>
      <c r="BD225" s="484"/>
      <c r="BE225" s="478"/>
      <c r="BF225" s="479"/>
      <c r="BP225" s="7">
        <v>124</v>
      </c>
    </row>
    <row r="226" spans="1:68" s="7" customFormat="1" x14ac:dyDescent="0.25">
      <c r="A226" s="3"/>
      <c r="B226" s="3"/>
      <c r="C226" s="3"/>
      <c r="D226" s="3"/>
      <c r="E226" s="3"/>
      <c r="F226" s="3"/>
      <c r="G226" s="3"/>
      <c r="H226" s="3"/>
      <c r="I226" s="3"/>
      <c r="J226" s="3"/>
      <c r="K226" s="3"/>
      <c r="L226" s="3"/>
      <c r="M226" s="3"/>
      <c r="N226" s="3"/>
      <c r="O226" s="3"/>
      <c r="P226" s="3"/>
      <c r="Q226" s="3"/>
      <c r="R226" s="3"/>
      <c r="S226" s="3"/>
      <c r="T226" s="3"/>
      <c r="U226" s="3"/>
      <c r="V226" s="3"/>
      <c r="W226" s="3"/>
      <c r="X226" s="3"/>
      <c r="Y226" s="3"/>
      <c r="Z226" s="3"/>
      <c r="AA226" s="3"/>
      <c r="AB226" s="3"/>
      <c r="AC226" s="3"/>
      <c r="AD226" s="3"/>
      <c r="AE226" s="291"/>
      <c r="AO226" s="292"/>
      <c r="AV226" s="482"/>
      <c r="AW226" s="482"/>
      <c r="AX226" s="482"/>
      <c r="AY226" s="482"/>
      <c r="AZ226" s="482"/>
      <c r="BA226" s="482"/>
      <c r="BB226" s="482"/>
      <c r="BC226" s="482"/>
      <c r="BD226" s="484"/>
      <c r="BE226" s="478"/>
      <c r="BF226" s="479"/>
      <c r="BP226" s="7">
        <v>125</v>
      </c>
    </row>
    <row r="227" spans="1:68" s="7" customFormat="1" x14ac:dyDescent="0.25">
      <c r="A227" s="3"/>
      <c r="B227" s="3"/>
      <c r="C227" s="3"/>
      <c r="D227" s="3"/>
      <c r="E227" s="3"/>
      <c r="F227" s="3"/>
      <c r="G227" s="3"/>
      <c r="H227" s="3"/>
      <c r="I227" s="3"/>
      <c r="J227" s="3"/>
      <c r="K227" s="3"/>
      <c r="L227" s="3"/>
      <c r="M227" s="3"/>
      <c r="N227" s="3"/>
      <c r="O227" s="3"/>
      <c r="P227" s="3"/>
      <c r="Q227" s="3"/>
      <c r="R227" s="3"/>
      <c r="S227" s="3"/>
      <c r="T227" s="3"/>
      <c r="U227" s="3"/>
      <c r="V227" s="3"/>
      <c r="W227" s="3"/>
      <c r="X227" s="3"/>
      <c r="Y227" s="3"/>
      <c r="Z227" s="3"/>
      <c r="AA227" s="3"/>
      <c r="AB227" s="3"/>
      <c r="AC227" s="3"/>
      <c r="AD227" s="3"/>
      <c r="AE227" s="291"/>
      <c r="AO227" s="292"/>
      <c r="AV227" s="482"/>
      <c r="AW227" s="482"/>
      <c r="AX227" s="482"/>
      <c r="AY227" s="482"/>
      <c r="AZ227" s="482"/>
      <c r="BA227" s="482"/>
      <c r="BB227" s="482"/>
      <c r="BC227" s="482"/>
      <c r="BD227" s="484"/>
      <c r="BE227" s="478"/>
      <c r="BF227" s="479"/>
      <c r="BP227" s="7">
        <v>126</v>
      </c>
    </row>
    <row r="228" spans="1:68" s="7" customFormat="1" x14ac:dyDescent="0.25">
      <c r="A228" s="3"/>
      <c r="B228" s="3"/>
      <c r="C228" s="3"/>
      <c r="D228" s="3"/>
      <c r="E228" s="3"/>
      <c r="F228" s="3"/>
      <c r="G228" s="3"/>
      <c r="H228" s="3"/>
      <c r="I228" s="3"/>
      <c r="J228" s="3"/>
      <c r="K228" s="3"/>
      <c r="L228" s="3"/>
      <c r="M228" s="3"/>
      <c r="N228" s="3"/>
      <c r="O228" s="3"/>
      <c r="P228" s="3"/>
      <c r="Q228" s="3"/>
      <c r="R228" s="3"/>
      <c r="S228" s="3"/>
      <c r="T228" s="3"/>
      <c r="U228" s="3"/>
      <c r="V228" s="3"/>
      <c r="W228" s="3"/>
      <c r="X228" s="3"/>
      <c r="Y228" s="3"/>
      <c r="Z228" s="3"/>
      <c r="AA228" s="3"/>
      <c r="AB228" s="3"/>
      <c r="AC228" s="3"/>
      <c r="AD228" s="3"/>
      <c r="AE228" s="291"/>
      <c r="AO228" s="292"/>
      <c r="AV228" s="482"/>
      <c r="AW228" s="482"/>
      <c r="AX228" s="482"/>
      <c r="AY228" s="482"/>
      <c r="AZ228" s="482"/>
      <c r="BA228" s="482"/>
      <c r="BB228" s="482"/>
      <c r="BC228" s="482"/>
      <c r="BD228" s="484"/>
      <c r="BE228" s="478"/>
      <c r="BF228" s="479"/>
      <c r="BP228" s="7">
        <v>127</v>
      </c>
    </row>
    <row r="229" spans="1:68" s="7" customFormat="1" x14ac:dyDescent="0.25">
      <c r="A229" s="3"/>
      <c r="B229" s="3"/>
      <c r="C229" s="3"/>
      <c r="D229" s="3"/>
      <c r="E229" s="3"/>
      <c r="F229" s="3"/>
      <c r="G229" s="3"/>
      <c r="H229" s="3"/>
      <c r="I229" s="3"/>
      <c r="J229" s="3"/>
      <c r="K229" s="3"/>
      <c r="L229" s="3"/>
      <c r="M229" s="3"/>
      <c r="N229" s="3"/>
      <c r="O229" s="3"/>
      <c r="P229" s="3"/>
      <c r="Q229" s="3"/>
      <c r="R229" s="3"/>
      <c r="S229" s="3"/>
      <c r="T229" s="3"/>
      <c r="U229" s="3"/>
      <c r="V229" s="3"/>
      <c r="W229" s="3"/>
      <c r="X229" s="3"/>
      <c r="Y229" s="3"/>
      <c r="Z229" s="3"/>
      <c r="AA229" s="3"/>
      <c r="AB229" s="3"/>
      <c r="AC229" s="3"/>
      <c r="AD229" s="3"/>
      <c r="AE229" s="291"/>
      <c r="AO229" s="292"/>
      <c r="AV229" s="482"/>
      <c r="AW229" s="482"/>
      <c r="AX229" s="482"/>
      <c r="AY229" s="482"/>
      <c r="AZ229" s="482"/>
      <c r="BA229" s="482"/>
      <c r="BB229" s="482"/>
      <c r="BC229" s="482"/>
      <c r="BD229" s="484"/>
      <c r="BE229" s="478"/>
      <c r="BF229" s="479"/>
      <c r="BP229" s="7">
        <v>128</v>
      </c>
    </row>
    <row r="230" spans="1:68" s="7" customFormat="1" x14ac:dyDescent="0.25">
      <c r="A230" s="3"/>
      <c r="B230" s="3"/>
      <c r="C230" s="3"/>
      <c r="D230" s="3"/>
      <c r="E230" s="3"/>
      <c r="F230" s="3"/>
      <c r="G230" s="3"/>
      <c r="H230" s="3"/>
      <c r="I230" s="3"/>
      <c r="J230" s="3"/>
      <c r="K230" s="3"/>
      <c r="L230" s="3"/>
      <c r="M230" s="3"/>
      <c r="N230" s="3"/>
      <c r="O230" s="3"/>
      <c r="P230" s="3"/>
      <c r="Q230" s="3"/>
      <c r="R230" s="3"/>
      <c r="S230" s="3"/>
      <c r="T230" s="3"/>
      <c r="U230" s="3"/>
      <c r="V230" s="3"/>
      <c r="W230" s="3"/>
      <c r="X230" s="3"/>
      <c r="Y230" s="3"/>
      <c r="Z230" s="3"/>
      <c r="AA230" s="3"/>
      <c r="AB230" s="3"/>
      <c r="AC230" s="3"/>
      <c r="AD230" s="3"/>
      <c r="AE230" s="291"/>
      <c r="AO230" s="292"/>
      <c r="AV230" s="482"/>
      <c r="AW230" s="482"/>
      <c r="AX230" s="482"/>
      <c r="AY230" s="482"/>
      <c r="AZ230" s="482"/>
      <c r="BA230" s="482"/>
      <c r="BB230" s="482"/>
      <c r="BC230" s="482"/>
      <c r="BD230" s="484"/>
      <c r="BE230" s="478"/>
      <c r="BF230" s="479"/>
      <c r="BP230" s="7">
        <v>129</v>
      </c>
    </row>
    <row r="231" spans="1:68" s="7" customFormat="1" x14ac:dyDescent="0.25">
      <c r="A231" s="3"/>
      <c r="B231" s="3"/>
      <c r="C231" s="3"/>
      <c r="D231" s="3"/>
      <c r="E231" s="3"/>
      <c r="F231" s="3"/>
      <c r="G231" s="3"/>
      <c r="H231" s="3"/>
      <c r="I231" s="3"/>
      <c r="J231" s="3"/>
      <c r="K231" s="3"/>
      <c r="L231" s="3"/>
      <c r="M231" s="3"/>
      <c r="N231" s="3"/>
      <c r="O231" s="3"/>
      <c r="P231" s="3"/>
      <c r="Q231" s="3"/>
      <c r="R231" s="3"/>
      <c r="S231" s="3"/>
      <c r="T231" s="3"/>
      <c r="U231" s="3"/>
      <c r="V231" s="3"/>
      <c r="W231" s="3"/>
      <c r="X231" s="3"/>
      <c r="Y231" s="3"/>
      <c r="Z231" s="3"/>
      <c r="AA231" s="3"/>
      <c r="AB231" s="3"/>
      <c r="AC231" s="3"/>
      <c r="AD231" s="3"/>
      <c r="AE231" s="291"/>
      <c r="AO231" s="292"/>
      <c r="AV231" s="482"/>
      <c r="AW231" s="482"/>
      <c r="AX231" s="482"/>
      <c r="AY231" s="482"/>
      <c r="AZ231" s="482"/>
      <c r="BA231" s="482"/>
      <c r="BB231" s="482"/>
      <c r="BC231" s="482"/>
      <c r="BD231" s="484"/>
      <c r="BE231" s="478"/>
      <c r="BF231" s="479"/>
      <c r="BP231" s="7">
        <v>130</v>
      </c>
    </row>
    <row r="232" spans="1:68" s="7" customFormat="1" x14ac:dyDescent="0.25">
      <c r="A232" s="3"/>
      <c r="B232" s="3"/>
      <c r="C232" s="3"/>
      <c r="D232" s="3"/>
      <c r="E232" s="3"/>
      <c r="F232" s="3"/>
      <c r="G232" s="3"/>
      <c r="H232" s="3"/>
      <c r="I232" s="3"/>
      <c r="J232" s="3"/>
      <c r="K232" s="3"/>
      <c r="L232" s="3"/>
      <c r="M232" s="3"/>
      <c r="N232" s="3"/>
      <c r="O232" s="3"/>
      <c r="P232" s="3"/>
      <c r="Q232" s="3"/>
      <c r="R232" s="3"/>
      <c r="S232" s="3"/>
      <c r="T232" s="3"/>
      <c r="U232" s="3"/>
      <c r="V232" s="3"/>
      <c r="W232" s="3"/>
      <c r="X232" s="3"/>
      <c r="Y232" s="3"/>
      <c r="Z232" s="3"/>
      <c r="AA232" s="3"/>
      <c r="AB232" s="3"/>
      <c r="AC232" s="3"/>
      <c r="AD232" s="3"/>
      <c r="AE232" s="291"/>
      <c r="AO232" s="292"/>
      <c r="AV232" s="482"/>
      <c r="AW232" s="482"/>
      <c r="AX232" s="482"/>
      <c r="AY232" s="482"/>
      <c r="AZ232" s="482"/>
      <c r="BA232" s="482"/>
      <c r="BB232" s="482"/>
      <c r="BC232" s="482"/>
      <c r="BD232" s="484"/>
      <c r="BE232" s="478"/>
      <c r="BF232" s="479"/>
      <c r="BP232" s="7">
        <v>131</v>
      </c>
    </row>
    <row r="233" spans="1:68" s="7" customFormat="1" x14ac:dyDescent="0.25">
      <c r="A233" s="3"/>
      <c r="B233" s="3"/>
      <c r="C233" s="3"/>
      <c r="D233" s="3"/>
      <c r="E233" s="3"/>
      <c r="F233" s="3"/>
      <c r="G233" s="3"/>
      <c r="H233" s="3"/>
      <c r="I233" s="3"/>
      <c r="J233" s="3"/>
      <c r="K233" s="3"/>
      <c r="L233" s="3"/>
      <c r="M233" s="3"/>
      <c r="N233" s="3"/>
      <c r="O233" s="3"/>
      <c r="P233" s="3"/>
      <c r="Q233" s="3"/>
      <c r="R233" s="3"/>
      <c r="S233" s="3"/>
      <c r="T233" s="3"/>
      <c r="U233" s="3"/>
      <c r="V233" s="3"/>
      <c r="W233" s="3"/>
      <c r="X233" s="3"/>
      <c r="Y233" s="3"/>
      <c r="Z233" s="3"/>
      <c r="AA233" s="3"/>
      <c r="AB233" s="3"/>
      <c r="AC233" s="3"/>
      <c r="AD233" s="3"/>
      <c r="AE233" s="291"/>
      <c r="AO233" s="292"/>
      <c r="AV233" s="482"/>
      <c r="AW233" s="482"/>
      <c r="AX233" s="482"/>
      <c r="AY233" s="482"/>
      <c r="AZ233" s="482"/>
      <c r="BA233" s="482"/>
      <c r="BB233" s="482"/>
      <c r="BC233" s="482"/>
      <c r="BD233" s="484"/>
      <c r="BE233" s="478"/>
      <c r="BF233" s="479"/>
      <c r="BP233" s="7">
        <v>132</v>
      </c>
    </row>
    <row r="234" spans="1:68" s="7" customFormat="1" x14ac:dyDescent="0.25">
      <c r="A234" s="3"/>
      <c r="B234" s="3"/>
      <c r="C234" s="3"/>
      <c r="D234" s="3"/>
      <c r="E234" s="3"/>
      <c r="F234" s="3"/>
      <c r="G234" s="3"/>
      <c r="H234" s="3"/>
      <c r="I234" s="3"/>
      <c r="J234" s="3"/>
      <c r="K234" s="3"/>
      <c r="L234" s="3"/>
      <c r="M234" s="3"/>
      <c r="N234" s="3"/>
      <c r="O234" s="3"/>
      <c r="P234" s="3"/>
      <c r="Q234" s="3"/>
      <c r="R234" s="3"/>
      <c r="S234" s="3"/>
      <c r="T234" s="3"/>
      <c r="U234" s="3"/>
      <c r="V234" s="3"/>
      <c r="W234" s="3"/>
      <c r="X234" s="3"/>
      <c r="Y234" s="3"/>
      <c r="Z234" s="3"/>
      <c r="AA234" s="3"/>
      <c r="AB234" s="3"/>
      <c r="AC234" s="3"/>
      <c r="AD234" s="3"/>
      <c r="AE234" s="291"/>
      <c r="AO234" s="292"/>
      <c r="AV234" s="482"/>
      <c r="AW234" s="482"/>
      <c r="AX234" s="482"/>
      <c r="AY234" s="482"/>
      <c r="AZ234" s="482"/>
      <c r="BA234" s="482"/>
      <c r="BB234" s="482"/>
      <c r="BC234" s="482"/>
      <c r="BD234" s="484"/>
      <c r="BE234" s="478"/>
      <c r="BF234" s="479"/>
      <c r="BP234" s="7">
        <v>133</v>
      </c>
    </row>
    <row r="235" spans="1:68" s="7" customFormat="1" x14ac:dyDescent="0.25">
      <c r="A235" s="3"/>
      <c r="B235" s="3"/>
      <c r="C235" s="3"/>
      <c r="D235" s="3"/>
      <c r="E235" s="3"/>
      <c r="F235" s="3"/>
      <c r="G235" s="3"/>
      <c r="H235" s="3"/>
      <c r="I235" s="3"/>
      <c r="J235" s="3"/>
      <c r="K235" s="3"/>
      <c r="L235" s="3"/>
      <c r="M235" s="3"/>
      <c r="N235" s="3"/>
      <c r="O235" s="3"/>
      <c r="P235" s="3"/>
      <c r="Q235" s="3"/>
      <c r="R235" s="3"/>
      <c r="S235" s="3"/>
      <c r="T235" s="3"/>
      <c r="U235" s="3"/>
      <c r="V235" s="3"/>
      <c r="W235" s="3"/>
      <c r="X235" s="3"/>
      <c r="Y235" s="3"/>
      <c r="Z235" s="3"/>
      <c r="AA235" s="3"/>
      <c r="AB235" s="3"/>
      <c r="AC235" s="3"/>
      <c r="AD235" s="3"/>
      <c r="AE235" s="291"/>
      <c r="AO235" s="292"/>
      <c r="AV235" s="482"/>
      <c r="AW235" s="482"/>
      <c r="AX235" s="482"/>
      <c r="AY235" s="482"/>
      <c r="AZ235" s="482"/>
      <c r="BA235" s="482"/>
      <c r="BB235" s="482"/>
      <c r="BC235" s="482"/>
      <c r="BD235" s="484"/>
      <c r="BE235" s="478"/>
      <c r="BF235" s="479"/>
      <c r="BP235" s="7">
        <v>134</v>
      </c>
    </row>
    <row r="236" spans="1:68" s="7" customFormat="1" x14ac:dyDescent="0.25">
      <c r="A236" s="3"/>
      <c r="B236" s="3"/>
      <c r="C236" s="3"/>
      <c r="D236" s="3"/>
      <c r="E236" s="3"/>
      <c r="F236" s="3"/>
      <c r="G236" s="3"/>
      <c r="H236" s="3"/>
      <c r="I236" s="3"/>
      <c r="J236" s="3"/>
      <c r="K236" s="3"/>
      <c r="L236" s="3"/>
      <c r="M236" s="3"/>
      <c r="N236" s="3"/>
      <c r="O236" s="3"/>
      <c r="P236" s="3"/>
      <c r="Q236" s="3"/>
      <c r="R236" s="3"/>
      <c r="S236" s="3"/>
      <c r="T236" s="3"/>
      <c r="U236" s="3"/>
      <c r="V236" s="3"/>
      <c r="W236" s="3"/>
      <c r="X236" s="3"/>
      <c r="Y236" s="3"/>
      <c r="Z236" s="3"/>
      <c r="AA236" s="3"/>
      <c r="AB236" s="3"/>
      <c r="AC236" s="3"/>
      <c r="AD236" s="3"/>
      <c r="AE236" s="291"/>
      <c r="AO236" s="292"/>
      <c r="AV236" s="482"/>
      <c r="AW236" s="482"/>
      <c r="AX236" s="482"/>
      <c r="AY236" s="482"/>
      <c r="AZ236" s="482"/>
      <c r="BA236" s="482"/>
      <c r="BB236" s="482"/>
      <c r="BC236" s="482"/>
      <c r="BD236" s="484"/>
      <c r="BE236" s="478"/>
      <c r="BF236" s="479"/>
      <c r="BP236" s="7">
        <v>135</v>
      </c>
    </row>
    <row r="237" spans="1:68" s="7" customFormat="1" x14ac:dyDescent="0.25">
      <c r="A237" s="3"/>
      <c r="B237" s="3"/>
      <c r="C237" s="3"/>
      <c r="D237" s="3"/>
      <c r="E237" s="3"/>
      <c r="F237" s="3"/>
      <c r="G237" s="3"/>
      <c r="H237" s="3"/>
      <c r="I237" s="3"/>
      <c r="J237" s="3"/>
      <c r="K237" s="3"/>
      <c r="L237" s="3"/>
      <c r="M237" s="3"/>
      <c r="N237" s="3"/>
      <c r="O237" s="3"/>
      <c r="P237" s="3"/>
      <c r="Q237" s="3"/>
      <c r="R237" s="3"/>
      <c r="S237" s="3"/>
      <c r="T237" s="3"/>
      <c r="U237" s="3"/>
      <c r="V237" s="3"/>
      <c r="W237" s="3"/>
      <c r="X237" s="3"/>
      <c r="Y237" s="3"/>
      <c r="Z237" s="3"/>
      <c r="AA237" s="3"/>
      <c r="AB237" s="3"/>
      <c r="AC237" s="3"/>
      <c r="AD237" s="3"/>
      <c r="AE237" s="291"/>
      <c r="AO237" s="292"/>
      <c r="AV237" s="482"/>
      <c r="AW237" s="482"/>
      <c r="AX237" s="482"/>
      <c r="AY237" s="482"/>
      <c r="AZ237" s="482"/>
      <c r="BA237" s="482"/>
      <c r="BB237" s="482"/>
      <c r="BC237" s="482"/>
      <c r="BD237" s="484"/>
      <c r="BE237" s="478"/>
      <c r="BF237" s="479"/>
      <c r="BP237" s="7">
        <v>136</v>
      </c>
    </row>
    <row r="238" spans="1:68" s="7" customFormat="1" x14ac:dyDescent="0.25">
      <c r="A238" s="3"/>
      <c r="B238" s="3"/>
      <c r="C238" s="3"/>
      <c r="D238" s="3"/>
      <c r="E238" s="3"/>
      <c r="F238" s="3"/>
      <c r="G238" s="3"/>
      <c r="H238" s="3"/>
      <c r="I238" s="3"/>
      <c r="J238" s="3"/>
      <c r="K238" s="3"/>
      <c r="L238" s="3"/>
      <c r="M238" s="3"/>
      <c r="N238" s="3"/>
      <c r="O238" s="3"/>
      <c r="P238" s="3"/>
      <c r="Q238" s="3"/>
      <c r="R238" s="3"/>
      <c r="S238" s="3"/>
      <c r="T238" s="3"/>
      <c r="U238" s="3"/>
      <c r="V238" s="3"/>
      <c r="W238" s="3"/>
      <c r="X238" s="3"/>
      <c r="Y238" s="3"/>
      <c r="Z238" s="3"/>
      <c r="AA238" s="3"/>
      <c r="AB238" s="3"/>
      <c r="AC238" s="3"/>
      <c r="AD238" s="3"/>
      <c r="AE238" s="291"/>
      <c r="AO238" s="292"/>
      <c r="AV238" s="482"/>
      <c r="AW238" s="482"/>
      <c r="AX238" s="482"/>
      <c r="AY238" s="482"/>
      <c r="AZ238" s="482"/>
      <c r="BA238" s="482"/>
      <c r="BB238" s="482"/>
      <c r="BC238" s="482"/>
      <c r="BD238" s="484"/>
      <c r="BE238" s="478"/>
      <c r="BF238" s="479"/>
      <c r="BP238" s="7">
        <v>137</v>
      </c>
    </row>
    <row r="239" spans="1:68" s="7" customFormat="1" x14ac:dyDescent="0.25">
      <c r="A239" s="3"/>
      <c r="B239" s="3"/>
      <c r="C239" s="3"/>
      <c r="D239" s="3"/>
      <c r="E239" s="3"/>
      <c r="F239" s="3"/>
      <c r="G239" s="3"/>
      <c r="H239" s="3"/>
      <c r="I239" s="3"/>
      <c r="J239" s="3"/>
      <c r="K239" s="3"/>
      <c r="L239" s="3"/>
      <c r="M239" s="3"/>
      <c r="N239" s="3"/>
      <c r="O239" s="3"/>
      <c r="P239" s="3"/>
      <c r="Q239" s="3"/>
      <c r="R239" s="3"/>
      <c r="S239" s="3"/>
      <c r="T239" s="3"/>
      <c r="U239" s="3"/>
      <c r="V239" s="3"/>
      <c r="W239" s="3"/>
      <c r="X239" s="3"/>
      <c r="Y239" s="3"/>
      <c r="Z239" s="3"/>
      <c r="AA239" s="3"/>
      <c r="AB239" s="3"/>
      <c r="AC239" s="3"/>
      <c r="AD239" s="3"/>
      <c r="AE239" s="291"/>
      <c r="AO239" s="292"/>
      <c r="AV239" s="482"/>
      <c r="AW239" s="482"/>
      <c r="AX239" s="482"/>
      <c r="AY239" s="482"/>
      <c r="AZ239" s="482"/>
      <c r="BA239" s="482"/>
      <c r="BB239" s="482"/>
      <c r="BC239" s="482"/>
      <c r="BD239" s="484"/>
      <c r="BE239" s="478"/>
      <c r="BF239" s="479"/>
      <c r="BP239" s="7">
        <v>138</v>
      </c>
    </row>
    <row r="240" spans="1:68" s="7" customFormat="1" x14ac:dyDescent="0.25">
      <c r="A240" s="3"/>
      <c r="B240" s="3"/>
      <c r="C240" s="3"/>
      <c r="D240" s="3"/>
      <c r="E240" s="3"/>
      <c r="F240" s="3"/>
      <c r="G240" s="3"/>
      <c r="H240" s="3"/>
      <c r="I240" s="3"/>
      <c r="J240" s="3"/>
      <c r="K240" s="3"/>
      <c r="L240" s="3"/>
      <c r="M240" s="3"/>
      <c r="N240" s="3"/>
      <c r="O240" s="3"/>
      <c r="P240" s="3"/>
      <c r="Q240" s="3"/>
      <c r="R240" s="3"/>
      <c r="S240" s="3"/>
      <c r="T240" s="3"/>
      <c r="U240" s="3"/>
      <c r="V240" s="3"/>
      <c r="W240" s="3"/>
      <c r="X240" s="3"/>
      <c r="Y240" s="3"/>
      <c r="Z240" s="3"/>
      <c r="AA240" s="3"/>
      <c r="AB240" s="3"/>
      <c r="AC240" s="3"/>
      <c r="AD240" s="3"/>
      <c r="AE240" s="291"/>
      <c r="AO240" s="292"/>
      <c r="AV240" s="482"/>
      <c r="AW240" s="482"/>
      <c r="AX240" s="482"/>
      <c r="AY240" s="482"/>
      <c r="AZ240" s="482"/>
      <c r="BA240" s="482"/>
      <c r="BB240" s="482"/>
      <c r="BC240" s="482"/>
      <c r="BD240" s="484"/>
      <c r="BE240" s="478"/>
      <c r="BF240" s="479"/>
      <c r="BP240" s="7">
        <v>139</v>
      </c>
    </row>
    <row r="241" spans="1:68" s="7" customFormat="1" x14ac:dyDescent="0.25">
      <c r="A241" s="3"/>
      <c r="B241" s="3"/>
      <c r="C241" s="3"/>
      <c r="D241" s="3"/>
      <c r="E241" s="3"/>
      <c r="F241" s="3"/>
      <c r="G241" s="3"/>
      <c r="H241" s="3"/>
      <c r="I241" s="3"/>
      <c r="J241" s="3"/>
      <c r="K241" s="3"/>
      <c r="L241" s="3"/>
      <c r="M241" s="3"/>
      <c r="N241" s="3"/>
      <c r="O241" s="3"/>
      <c r="P241" s="3"/>
      <c r="Q241" s="3"/>
      <c r="R241" s="3"/>
      <c r="S241" s="3"/>
      <c r="T241" s="3"/>
      <c r="U241" s="3"/>
      <c r="V241" s="3"/>
      <c r="W241" s="3"/>
      <c r="X241" s="3"/>
      <c r="Y241" s="3"/>
      <c r="Z241" s="3"/>
      <c r="AA241" s="3"/>
      <c r="AB241" s="3"/>
      <c r="AC241" s="3"/>
      <c r="AD241" s="3"/>
      <c r="AE241" s="291"/>
      <c r="AO241" s="292"/>
      <c r="AV241" s="482"/>
      <c r="AW241" s="482"/>
      <c r="AX241" s="482"/>
      <c r="AY241" s="482"/>
      <c r="AZ241" s="482"/>
      <c r="BA241" s="482"/>
      <c r="BB241" s="482"/>
      <c r="BC241" s="482"/>
      <c r="BD241" s="484"/>
      <c r="BE241" s="478"/>
      <c r="BF241" s="479"/>
      <c r="BP241" s="7">
        <v>140</v>
      </c>
    </row>
    <row r="242" spans="1:68" s="7" customFormat="1" x14ac:dyDescent="0.25">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c r="AA242" s="3"/>
      <c r="AB242" s="3"/>
      <c r="AC242" s="3"/>
      <c r="AD242" s="3"/>
      <c r="AE242" s="291"/>
      <c r="AO242" s="292"/>
      <c r="AV242" s="482"/>
      <c r="AW242" s="482"/>
      <c r="AX242" s="482"/>
      <c r="AY242" s="482"/>
      <c r="AZ242" s="482"/>
      <c r="BA242" s="482"/>
      <c r="BB242" s="482"/>
      <c r="BC242" s="482"/>
      <c r="BD242" s="484"/>
      <c r="BE242" s="478"/>
      <c r="BF242" s="479"/>
      <c r="BP242" s="7">
        <v>141</v>
      </c>
    </row>
    <row r="243" spans="1:68" s="7" customFormat="1" x14ac:dyDescent="0.25">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c r="AA243" s="3"/>
      <c r="AB243" s="3"/>
      <c r="AC243" s="3"/>
      <c r="AD243" s="3"/>
      <c r="AE243" s="291"/>
      <c r="AO243" s="292"/>
      <c r="AV243" s="482"/>
      <c r="AW243" s="482"/>
      <c r="AX243" s="482"/>
      <c r="AY243" s="482"/>
      <c r="AZ243" s="482"/>
      <c r="BA243" s="482"/>
      <c r="BB243" s="482"/>
      <c r="BC243" s="482"/>
      <c r="BD243" s="484"/>
      <c r="BE243" s="478"/>
      <c r="BF243" s="479"/>
      <c r="BP243" s="7">
        <v>142</v>
      </c>
    </row>
    <row r="244" spans="1:68" s="7" customFormat="1" x14ac:dyDescent="0.25">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c r="AA244" s="3"/>
      <c r="AB244" s="3"/>
      <c r="AC244" s="3"/>
      <c r="AD244" s="3"/>
      <c r="AE244" s="291"/>
      <c r="AO244" s="292"/>
      <c r="AV244" s="482"/>
      <c r="AW244" s="482"/>
      <c r="AX244" s="482"/>
      <c r="AY244" s="482"/>
      <c r="AZ244" s="482"/>
      <c r="BA244" s="482"/>
      <c r="BB244" s="482"/>
      <c r="BC244" s="482"/>
      <c r="BD244" s="484"/>
      <c r="BE244" s="478"/>
      <c r="BF244" s="479"/>
      <c r="BP244" s="7">
        <v>143</v>
      </c>
    </row>
    <row r="245" spans="1:68" s="7" customFormat="1" x14ac:dyDescent="0.25">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c r="AA245" s="3"/>
      <c r="AB245" s="3"/>
      <c r="AC245" s="3"/>
      <c r="AD245" s="3"/>
      <c r="AE245" s="291"/>
      <c r="AO245" s="292"/>
      <c r="AV245" s="482"/>
      <c r="AW245" s="482"/>
      <c r="AX245" s="482"/>
      <c r="AY245" s="482"/>
      <c r="AZ245" s="482"/>
      <c r="BA245" s="482"/>
      <c r="BB245" s="482"/>
      <c r="BC245" s="482"/>
      <c r="BD245" s="484"/>
      <c r="BE245" s="478"/>
      <c r="BF245" s="479"/>
      <c r="BP245" s="7">
        <v>144</v>
      </c>
    </row>
    <row r="246" spans="1:68" s="7" customFormat="1" x14ac:dyDescent="0.25">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c r="AA246" s="3"/>
      <c r="AB246" s="3"/>
      <c r="AC246" s="3"/>
      <c r="AD246" s="3"/>
      <c r="AE246" s="291"/>
      <c r="AO246" s="292"/>
      <c r="AV246" s="482"/>
      <c r="AW246" s="482"/>
      <c r="AX246" s="482"/>
      <c r="AY246" s="482"/>
      <c r="AZ246" s="482"/>
      <c r="BA246" s="482"/>
      <c r="BB246" s="482"/>
      <c r="BC246" s="482"/>
      <c r="BD246" s="484"/>
      <c r="BE246" s="478"/>
      <c r="BF246" s="479"/>
      <c r="BP246" s="7">
        <v>145</v>
      </c>
    </row>
    <row r="247" spans="1:68" s="7" customFormat="1" x14ac:dyDescent="0.25">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c r="AA247" s="3"/>
      <c r="AB247" s="3"/>
      <c r="AC247" s="3"/>
      <c r="AD247" s="3"/>
      <c r="AE247" s="291"/>
      <c r="AO247" s="292"/>
      <c r="AV247" s="482"/>
      <c r="AW247" s="482"/>
      <c r="AX247" s="482"/>
      <c r="AY247" s="482"/>
      <c r="AZ247" s="482"/>
      <c r="BA247" s="482"/>
      <c r="BB247" s="482"/>
      <c r="BC247" s="482"/>
      <c r="BD247" s="484"/>
      <c r="BE247" s="478"/>
      <c r="BF247" s="479"/>
      <c r="BP247" s="7">
        <v>146</v>
      </c>
    </row>
    <row r="248" spans="1:68" s="7" customFormat="1" x14ac:dyDescent="0.25">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c r="AA248" s="3"/>
      <c r="AB248" s="3"/>
      <c r="AC248" s="3"/>
      <c r="AD248" s="3"/>
      <c r="AE248" s="291"/>
      <c r="AO248" s="292"/>
      <c r="AV248" s="482"/>
      <c r="AW248" s="482"/>
      <c r="AX248" s="482"/>
      <c r="AY248" s="482"/>
      <c r="AZ248" s="482"/>
      <c r="BA248" s="482"/>
      <c r="BB248" s="482"/>
      <c r="BC248" s="482"/>
      <c r="BD248" s="484"/>
      <c r="BE248" s="478"/>
      <c r="BF248" s="479"/>
      <c r="BP248" s="7">
        <v>147</v>
      </c>
    </row>
    <row r="249" spans="1:68" s="7" customFormat="1" x14ac:dyDescent="0.25">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c r="AA249" s="3"/>
      <c r="AB249" s="3"/>
      <c r="AC249" s="3"/>
      <c r="AD249" s="3"/>
      <c r="AE249" s="291"/>
      <c r="AO249" s="292"/>
      <c r="AV249" s="482"/>
      <c r="AW249" s="482"/>
      <c r="AX249" s="482"/>
      <c r="AY249" s="482"/>
      <c r="AZ249" s="482"/>
      <c r="BA249" s="482"/>
      <c r="BB249" s="482"/>
      <c r="BC249" s="482"/>
      <c r="BD249" s="484"/>
      <c r="BE249" s="478"/>
      <c r="BF249" s="479"/>
      <c r="BP249" s="7">
        <v>148</v>
      </c>
    </row>
    <row r="250" spans="1:68" s="7" customFormat="1" x14ac:dyDescent="0.25">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c r="AA250" s="3"/>
      <c r="AB250" s="3"/>
      <c r="AC250" s="3"/>
      <c r="AD250" s="3"/>
      <c r="AE250" s="291"/>
      <c r="AO250" s="292"/>
      <c r="AV250" s="482"/>
      <c r="AW250" s="482"/>
      <c r="AX250" s="482"/>
      <c r="AY250" s="482"/>
      <c r="AZ250" s="482"/>
      <c r="BA250" s="482"/>
      <c r="BB250" s="482"/>
      <c r="BC250" s="482"/>
      <c r="BD250" s="484"/>
      <c r="BE250" s="478"/>
      <c r="BF250" s="479"/>
      <c r="BP250" s="7">
        <v>149</v>
      </c>
    </row>
    <row r="251" spans="1:68" s="7" customFormat="1" x14ac:dyDescent="0.25">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c r="AA251" s="3"/>
      <c r="AB251" s="3"/>
      <c r="AC251" s="3"/>
      <c r="AD251" s="3"/>
      <c r="AE251" s="291"/>
      <c r="AO251" s="292"/>
      <c r="AV251" s="482"/>
      <c r="AW251" s="482"/>
      <c r="AX251" s="482"/>
      <c r="AY251" s="482"/>
      <c r="AZ251" s="482"/>
      <c r="BA251" s="482"/>
      <c r="BB251" s="482"/>
      <c r="BC251" s="482"/>
      <c r="BD251" s="484"/>
      <c r="BE251" s="478"/>
      <c r="BF251" s="479"/>
      <c r="BP251" s="7">
        <v>150</v>
      </c>
    </row>
    <row r="252" spans="1:68" s="7" customFormat="1" x14ac:dyDescent="0.25">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c r="AA252" s="3"/>
      <c r="AB252" s="3"/>
      <c r="AC252" s="3"/>
      <c r="AD252" s="3"/>
      <c r="AE252" s="291"/>
      <c r="AO252" s="292"/>
      <c r="AV252" s="482"/>
      <c r="AW252" s="482"/>
      <c r="AX252" s="482"/>
      <c r="AY252" s="482"/>
      <c r="AZ252" s="482"/>
      <c r="BA252" s="482"/>
      <c r="BB252" s="482"/>
      <c r="BC252" s="482"/>
      <c r="BD252" s="484"/>
      <c r="BE252" s="478"/>
      <c r="BF252" s="479"/>
      <c r="BP252" s="7">
        <v>151</v>
      </c>
    </row>
    <row r="253" spans="1:68" s="7" customFormat="1" x14ac:dyDescent="0.25">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c r="AA253" s="3"/>
      <c r="AB253" s="3"/>
      <c r="AC253" s="3"/>
      <c r="AD253" s="3"/>
      <c r="AE253" s="291"/>
      <c r="AO253" s="292"/>
      <c r="AV253" s="482"/>
      <c r="AW253" s="482"/>
      <c r="AX253" s="482"/>
      <c r="AY253" s="482"/>
      <c r="AZ253" s="482"/>
      <c r="BA253" s="482"/>
      <c r="BB253" s="482"/>
      <c r="BC253" s="482"/>
      <c r="BD253" s="484"/>
      <c r="BE253" s="478"/>
      <c r="BF253" s="479"/>
      <c r="BP253" s="7">
        <v>152</v>
      </c>
    </row>
    <row r="254" spans="1:68" s="7" customFormat="1" x14ac:dyDescent="0.25">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c r="AA254" s="3"/>
      <c r="AB254" s="3"/>
      <c r="AC254" s="3"/>
      <c r="AD254" s="3"/>
      <c r="AE254" s="291"/>
      <c r="AO254" s="292"/>
      <c r="AV254" s="482"/>
      <c r="AW254" s="482"/>
      <c r="AX254" s="482"/>
      <c r="AY254" s="482"/>
      <c r="AZ254" s="482"/>
      <c r="BA254" s="482"/>
      <c r="BB254" s="482"/>
      <c r="BC254" s="482"/>
      <c r="BD254" s="484"/>
      <c r="BE254" s="478"/>
      <c r="BF254" s="479"/>
      <c r="BP254" s="7">
        <v>153</v>
      </c>
    </row>
    <row r="255" spans="1:68" s="7" customFormat="1" x14ac:dyDescent="0.25">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c r="AA255" s="3"/>
      <c r="AB255" s="3"/>
      <c r="AC255" s="3"/>
      <c r="AD255" s="3"/>
      <c r="AE255" s="291"/>
      <c r="AO255" s="292"/>
      <c r="AV255" s="482"/>
      <c r="AW255" s="482"/>
      <c r="AX255" s="482"/>
      <c r="AY255" s="482"/>
      <c r="AZ255" s="482"/>
      <c r="BA255" s="482"/>
      <c r="BB255" s="482"/>
      <c r="BC255" s="482"/>
      <c r="BD255" s="484"/>
      <c r="BE255" s="478"/>
      <c r="BF255" s="479"/>
      <c r="BP255" s="7">
        <v>154</v>
      </c>
    </row>
    <row r="256" spans="1:68" s="7" customFormat="1" x14ac:dyDescent="0.25">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c r="AA256" s="3"/>
      <c r="AB256" s="3"/>
      <c r="AC256" s="3"/>
      <c r="AD256" s="3"/>
      <c r="AE256" s="291"/>
      <c r="AO256" s="292"/>
      <c r="AV256" s="482"/>
      <c r="AW256" s="482"/>
      <c r="AX256" s="482"/>
      <c r="AY256" s="482"/>
      <c r="AZ256" s="482"/>
      <c r="BA256" s="482"/>
      <c r="BB256" s="482"/>
      <c r="BC256" s="482"/>
      <c r="BD256" s="484"/>
      <c r="BE256" s="478"/>
      <c r="BF256" s="479"/>
      <c r="BP256" s="7">
        <v>155</v>
      </c>
    </row>
    <row r="257" spans="1:68" s="7" customFormat="1" x14ac:dyDescent="0.25">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c r="AA257" s="3"/>
      <c r="AB257" s="3"/>
      <c r="AC257" s="3"/>
      <c r="AD257" s="3"/>
      <c r="AE257" s="291"/>
      <c r="AO257" s="292"/>
      <c r="AV257" s="482"/>
      <c r="AW257" s="482"/>
      <c r="AX257" s="482"/>
      <c r="AY257" s="482"/>
      <c r="AZ257" s="482"/>
      <c r="BA257" s="482"/>
      <c r="BB257" s="482"/>
      <c r="BC257" s="482"/>
      <c r="BD257" s="484"/>
      <c r="BE257" s="478"/>
      <c r="BF257" s="479"/>
      <c r="BP257" s="7">
        <v>156</v>
      </c>
    </row>
    <row r="258" spans="1:68" s="7" customFormat="1" x14ac:dyDescent="0.25">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c r="AA258" s="3"/>
      <c r="AB258" s="3"/>
      <c r="AC258" s="3"/>
      <c r="AD258" s="3"/>
      <c r="AE258" s="291"/>
      <c r="AO258" s="292"/>
      <c r="AV258" s="482"/>
      <c r="AW258" s="482"/>
      <c r="AX258" s="482"/>
      <c r="AY258" s="482"/>
      <c r="AZ258" s="482"/>
      <c r="BA258" s="482"/>
      <c r="BB258" s="482"/>
      <c r="BC258" s="482"/>
      <c r="BD258" s="484"/>
      <c r="BE258" s="478"/>
      <c r="BF258" s="479"/>
      <c r="BP258" s="7">
        <v>157</v>
      </c>
    </row>
    <row r="259" spans="1:68" s="7" customFormat="1" x14ac:dyDescent="0.25">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c r="AA259" s="3"/>
      <c r="AB259" s="3"/>
      <c r="AC259" s="3"/>
      <c r="AD259" s="3"/>
      <c r="AE259" s="291"/>
      <c r="AO259" s="292"/>
      <c r="AV259" s="482"/>
      <c r="AW259" s="482"/>
      <c r="AX259" s="482"/>
      <c r="AY259" s="482"/>
      <c r="AZ259" s="482"/>
      <c r="BA259" s="482"/>
      <c r="BB259" s="482"/>
      <c r="BC259" s="482"/>
      <c r="BD259" s="484"/>
      <c r="BE259" s="478"/>
      <c r="BF259" s="479"/>
      <c r="BP259" s="7">
        <v>158</v>
      </c>
    </row>
    <row r="260" spans="1:68" s="7" customFormat="1" x14ac:dyDescent="0.25">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c r="AA260" s="3"/>
      <c r="AB260" s="3"/>
      <c r="AC260" s="3"/>
      <c r="AD260" s="3"/>
      <c r="AE260" s="291"/>
      <c r="AO260" s="292"/>
      <c r="AV260" s="482"/>
      <c r="AW260" s="482"/>
      <c r="AX260" s="482"/>
      <c r="AY260" s="482"/>
      <c r="AZ260" s="482"/>
      <c r="BA260" s="482"/>
      <c r="BB260" s="482"/>
      <c r="BC260" s="482"/>
      <c r="BD260" s="484"/>
      <c r="BE260" s="478"/>
      <c r="BF260" s="479"/>
      <c r="BP260" s="7">
        <v>159</v>
      </c>
    </row>
    <row r="261" spans="1:68" s="7" customFormat="1" x14ac:dyDescent="0.25">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c r="AA261" s="3"/>
      <c r="AB261" s="3"/>
      <c r="AC261" s="3"/>
      <c r="AD261" s="3"/>
      <c r="AE261" s="291"/>
      <c r="AO261" s="292"/>
      <c r="AV261" s="482"/>
      <c r="AW261" s="482"/>
      <c r="AX261" s="482"/>
      <c r="AY261" s="482"/>
      <c r="AZ261" s="482"/>
      <c r="BA261" s="482"/>
      <c r="BB261" s="482"/>
      <c r="BC261" s="482"/>
      <c r="BD261" s="484"/>
      <c r="BE261" s="478"/>
      <c r="BF261" s="479"/>
      <c r="BP261" s="7">
        <v>160</v>
      </c>
    </row>
    <row r="262" spans="1:68" s="7" customFormat="1" x14ac:dyDescent="0.25">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c r="AA262" s="3"/>
      <c r="AB262" s="3"/>
      <c r="AC262" s="3"/>
      <c r="AD262" s="3"/>
      <c r="AE262" s="291"/>
      <c r="AO262" s="292"/>
      <c r="AV262" s="482"/>
      <c r="AW262" s="482"/>
      <c r="AX262" s="482"/>
      <c r="AY262" s="482"/>
      <c r="AZ262" s="482"/>
      <c r="BA262" s="482"/>
      <c r="BB262" s="482"/>
      <c r="BC262" s="482"/>
      <c r="BD262" s="484"/>
      <c r="BE262" s="478"/>
      <c r="BF262" s="479"/>
      <c r="BP262" s="7">
        <v>161</v>
      </c>
    </row>
    <row r="263" spans="1:68" s="7" customFormat="1" x14ac:dyDescent="0.25">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c r="AA263" s="3"/>
      <c r="AB263" s="3"/>
      <c r="AC263" s="3"/>
      <c r="AD263" s="3"/>
      <c r="AE263" s="291"/>
      <c r="AO263" s="292"/>
      <c r="AV263" s="482"/>
      <c r="AW263" s="482"/>
      <c r="AX263" s="482"/>
      <c r="AY263" s="482"/>
      <c r="AZ263" s="482"/>
      <c r="BA263" s="482"/>
      <c r="BB263" s="482"/>
      <c r="BC263" s="482"/>
      <c r="BD263" s="484"/>
      <c r="BE263" s="478"/>
      <c r="BF263" s="479"/>
      <c r="BP263" s="7">
        <v>162</v>
      </c>
    </row>
    <row r="264" spans="1:68" s="7" customFormat="1" x14ac:dyDescent="0.25">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c r="AA264" s="3"/>
      <c r="AB264" s="3"/>
      <c r="AC264" s="3"/>
      <c r="AD264" s="3"/>
      <c r="AE264" s="291"/>
      <c r="AO264" s="292"/>
      <c r="AV264" s="482"/>
      <c r="AW264" s="482"/>
      <c r="AX264" s="482"/>
      <c r="AY264" s="482"/>
      <c r="AZ264" s="482"/>
      <c r="BA264" s="482"/>
      <c r="BB264" s="482"/>
      <c r="BC264" s="482"/>
      <c r="BD264" s="484"/>
      <c r="BE264" s="478"/>
      <c r="BF264" s="479"/>
      <c r="BP264" s="7">
        <v>163</v>
      </c>
    </row>
    <row r="265" spans="1:68" s="7" customFormat="1" x14ac:dyDescent="0.25">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c r="AA265" s="3"/>
      <c r="AB265" s="3"/>
      <c r="AC265" s="3"/>
      <c r="AD265" s="3"/>
      <c r="AE265" s="291"/>
      <c r="AO265" s="292"/>
      <c r="AV265" s="482"/>
      <c r="AW265" s="482"/>
      <c r="AX265" s="482"/>
      <c r="AY265" s="482"/>
      <c r="AZ265" s="482"/>
      <c r="BA265" s="482"/>
      <c r="BB265" s="482"/>
      <c r="BC265" s="482"/>
      <c r="BD265" s="484"/>
      <c r="BE265" s="478"/>
      <c r="BF265" s="479"/>
      <c r="BP265" s="7">
        <v>164</v>
      </c>
    </row>
    <row r="266" spans="1:68" s="7" customFormat="1" x14ac:dyDescent="0.25">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c r="AA266" s="3"/>
      <c r="AB266" s="3"/>
      <c r="AC266" s="3"/>
      <c r="AD266" s="3"/>
      <c r="AE266" s="291"/>
      <c r="AO266" s="292"/>
      <c r="AV266" s="482"/>
      <c r="AW266" s="482"/>
      <c r="AX266" s="482"/>
      <c r="AY266" s="482"/>
      <c r="AZ266" s="482"/>
      <c r="BA266" s="482"/>
      <c r="BB266" s="482"/>
      <c r="BC266" s="482"/>
      <c r="BD266" s="484"/>
      <c r="BE266" s="478"/>
      <c r="BF266" s="479"/>
      <c r="BP266" s="7">
        <v>165</v>
      </c>
    </row>
    <row r="267" spans="1:68" s="7" customFormat="1" x14ac:dyDescent="0.25">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c r="AA267" s="3"/>
      <c r="AB267" s="3"/>
      <c r="AC267" s="3"/>
      <c r="AD267" s="3"/>
      <c r="AE267" s="291"/>
      <c r="AO267" s="292"/>
      <c r="AV267" s="482"/>
      <c r="AW267" s="482"/>
      <c r="AX267" s="482"/>
      <c r="AY267" s="482"/>
      <c r="AZ267" s="482"/>
      <c r="BA267" s="482"/>
      <c r="BB267" s="482"/>
      <c r="BC267" s="482"/>
      <c r="BD267" s="484"/>
      <c r="BE267" s="478"/>
      <c r="BF267" s="479"/>
      <c r="BP267" s="7">
        <v>166</v>
      </c>
    </row>
    <row r="268" spans="1:68" s="7" customFormat="1" x14ac:dyDescent="0.25">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c r="AA268" s="3"/>
      <c r="AB268" s="3"/>
      <c r="AC268" s="3"/>
      <c r="AD268" s="3"/>
      <c r="AE268" s="291"/>
      <c r="AO268" s="292"/>
      <c r="AV268" s="482"/>
      <c r="AW268" s="482"/>
      <c r="AX268" s="482"/>
      <c r="AY268" s="482"/>
      <c r="AZ268" s="482"/>
      <c r="BA268" s="482"/>
      <c r="BB268" s="482"/>
      <c r="BC268" s="482"/>
      <c r="BD268" s="484"/>
      <c r="BE268" s="478"/>
      <c r="BF268" s="479"/>
      <c r="BP268" s="7">
        <v>167</v>
      </c>
    </row>
    <row r="269" spans="1:68" s="7" customFormat="1" x14ac:dyDescent="0.25">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c r="AA269" s="3"/>
      <c r="AB269" s="3"/>
      <c r="AC269" s="3"/>
      <c r="AD269" s="3"/>
      <c r="AE269" s="291"/>
      <c r="AO269" s="292"/>
      <c r="AV269" s="482"/>
      <c r="AW269" s="482"/>
      <c r="AX269" s="482"/>
      <c r="AY269" s="482"/>
      <c r="AZ269" s="482"/>
      <c r="BA269" s="482"/>
      <c r="BB269" s="482"/>
      <c r="BC269" s="482"/>
      <c r="BD269" s="484"/>
      <c r="BE269" s="478"/>
      <c r="BF269" s="479"/>
      <c r="BP269" s="7">
        <v>168</v>
      </c>
    </row>
    <row r="270" spans="1:68" s="7" customFormat="1" x14ac:dyDescent="0.25">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c r="AA270" s="3"/>
      <c r="AB270" s="3"/>
      <c r="AC270" s="3"/>
      <c r="AD270" s="3"/>
      <c r="AE270" s="291"/>
      <c r="AO270" s="292"/>
      <c r="AV270" s="482"/>
      <c r="AW270" s="482"/>
      <c r="AX270" s="482"/>
      <c r="AY270" s="482"/>
      <c r="AZ270" s="482"/>
      <c r="BA270" s="482"/>
      <c r="BB270" s="482"/>
      <c r="BC270" s="482"/>
      <c r="BD270" s="484"/>
      <c r="BE270" s="478"/>
      <c r="BF270" s="479"/>
      <c r="BP270" s="7">
        <v>169</v>
      </c>
    </row>
    <row r="271" spans="1:68" s="7" customFormat="1" x14ac:dyDescent="0.25">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c r="AA271" s="3"/>
      <c r="AB271" s="3"/>
      <c r="AC271" s="3"/>
      <c r="AD271" s="3"/>
      <c r="AE271" s="291"/>
      <c r="AO271" s="292"/>
      <c r="AV271" s="482"/>
      <c r="AW271" s="482"/>
      <c r="AX271" s="482"/>
      <c r="AY271" s="482"/>
      <c r="AZ271" s="482"/>
      <c r="BA271" s="482"/>
      <c r="BB271" s="482"/>
      <c r="BC271" s="482"/>
      <c r="BD271" s="484"/>
      <c r="BE271" s="478"/>
      <c r="BF271" s="479"/>
      <c r="BP271" s="7">
        <v>170</v>
      </c>
    </row>
    <row r="272" spans="1:68" s="7" customFormat="1" x14ac:dyDescent="0.25">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c r="AA272" s="3"/>
      <c r="AB272" s="3"/>
      <c r="AC272" s="3"/>
      <c r="AD272" s="3"/>
      <c r="AE272" s="291"/>
      <c r="AO272" s="292"/>
      <c r="AV272" s="482"/>
      <c r="AW272" s="482"/>
      <c r="AX272" s="482"/>
      <c r="AY272" s="482"/>
      <c r="AZ272" s="482"/>
      <c r="BA272" s="482"/>
      <c r="BB272" s="482"/>
      <c r="BC272" s="482"/>
      <c r="BD272" s="484"/>
      <c r="BE272" s="478"/>
      <c r="BF272" s="479"/>
      <c r="BP272" s="7">
        <v>171</v>
      </c>
    </row>
    <row r="273" spans="1:68" s="7" customFormat="1" x14ac:dyDescent="0.25">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c r="AA273" s="3"/>
      <c r="AB273" s="3"/>
      <c r="AC273" s="3"/>
      <c r="AD273" s="3"/>
      <c r="AE273" s="291"/>
      <c r="AO273" s="292"/>
      <c r="AV273" s="482"/>
      <c r="AW273" s="482"/>
      <c r="AX273" s="482"/>
      <c r="AY273" s="482"/>
      <c r="AZ273" s="482"/>
      <c r="BA273" s="482"/>
      <c r="BB273" s="482"/>
      <c r="BC273" s="482"/>
      <c r="BD273" s="484"/>
      <c r="BE273" s="478"/>
      <c r="BF273" s="479"/>
      <c r="BP273" s="7">
        <v>172</v>
      </c>
    </row>
    <row r="274" spans="1:68" s="7" customFormat="1" x14ac:dyDescent="0.25">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c r="AA274" s="3"/>
      <c r="AB274" s="3"/>
      <c r="AC274" s="3"/>
      <c r="AD274" s="3"/>
      <c r="AE274" s="291"/>
      <c r="AO274" s="292"/>
      <c r="AV274" s="482"/>
      <c r="AW274" s="482"/>
      <c r="AX274" s="482"/>
      <c r="AY274" s="482"/>
      <c r="AZ274" s="482"/>
      <c r="BA274" s="482"/>
      <c r="BB274" s="482"/>
      <c r="BC274" s="482"/>
      <c r="BD274" s="484"/>
      <c r="BE274" s="478"/>
      <c r="BF274" s="479"/>
      <c r="BP274" s="7">
        <v>173</v>
      </c>
    </row>
    <row r="275" spans="1:68" s="7" customFormat="1" x14ac:dyDescent="0.25">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c r="AA275" s="3"/>
      <c r="AB275" s="3"/>
      <c r="AC275" s="3"/>
      <c r="AD275" s="3"/>
      <c r="AE275" s="291"/>
      <c r="AO275" s="292"/>
      <c r="AV275" s="482"/>
      <c r="AW275" s="482"/>
      <c r="AX275" s="482"/>
      <c r="AY275" s="482"/>
      <c r="AZ275" s="482"/>
      <c r="BA275" s="482"/>
      <c r="BB275" s="482"/>
      <c r="BC275" s="482"/>
      <c r="BD275" s="484"/>
      <c r="BE275" s="478"/>
      <c r="BF275" s="479"/>
      <c r="BP275" s="7">
        <v>174</v>
      </c>
    </row>
    <row r="276" spans="1:68" s="7" customFormat="1" x14ac:dyDescent="0.25">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c r="AA276" s="3"/>
      <c r="AB276" s="3"/>
      <c r="AC276" s="3"/>
      <c r="AD276" s="3"/>
      <c r="AE276" s="291"/>
      <c r="AO276" s="292"/>
      <c r="AV276" s="482"/>
      <c r="AW276" s="482"/>
      <c r="AX276" s="482"/>
      <c r="AY276" s="482"/>
      <c r="AZ276" s="482"/>
      <c r="BA276" s="482"/>
      <c r="BB276" s="482"/>
      <c r="BC276" s="482"/>
      <c r="BD276" s="484"/>
      <c r="BE276" s="478"/>
      <c r="BF276" s="479"/>
      <c r="BP276" s="7">
        <v>175</v>
      </c>
    </row>
    <row r="277" spans="1:68" s="7" customFormat="1" x14ac:dyDescent="0.25">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c r="AA277" s="3"/>
      <c r="AB277" s="3"/>
      <c r="AC277" s="3"/>
      <c r="AD277" s="3"/>
      <c r="AE277" s="291"/>
      <c r="AO277" s="292"/>
      <c r="AV277" s="482"/>
      <c r="AW277" s="482"/>
      <c r="AX277" s="482"/>
      <c r="AY277" s="482"/>
      <c r="AZ277" s="482"/>
      <c r="BA277" s="482"/>
      <c r="BB277" s="482"/>
      <c r="BC277" s="482"/>
      <c r="BD277" s="484"/>
      <c r="BE277" s="478"/>
      <c r="BF277" s="479"/>
      <c r="BP277" s="7">
        <v>176</v>
      </c>
    </row>
    <row r="278" spans="1:68" s="7" customFormat="1" x14ac:dyDescent="0.25">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c r="AA278" s="3"/>
      <c r="AB278" s="3"/>
      <c r="AC278" s="3"/>
      <c r="AD278" s="3"/>
      <c r="AE278" s="291"/>
      <c r="AO278" s="292"/>
      <c r="AV278" s="482"/>
      <c r="AW278" s="482"/>
      <c r="AX278" s="482"/>
      <c r="AY278" s="482"/>
      <c r="AZ278" s="482"/>
      <c r="BA278" s="482"/>
      <c r="BB278" s="482"/>
      <c r="BC278" s="482"/>
      <c r="BD278" s="484"/>
      <c r="BE278" s="478"/>
      <c r="BF278" s="479"/>
      <c r="BP278" s="7">
        <v>177</v>
      </c>
    </row>
    <row r="279" spans="1:68" s="7" customFormat="1" x14ac:dyDescent="0.25">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c r="AA279" s="3"/>
      <c r="AB279" s="3"/>
      <c r="AC279" s="3"/>
      <c r="AD279" s="3"/>
      <c r="AE279" s="291"/>
      <c r="AO279" s="292"/>
      <c r="AV279" s="482"/>
      <c r="AW279" s="482"/>
      <c r="AX279" s="482"/>
      <c r="AY279" s="482"/>
      <c r="AZ279" s="482"/>
      <c r="BA279" s="482"/>
      <c r="BB279" s="482"/>
      <c r="BC279" s="482"/>
      <c r="BD279" s="484"/>
      <c r="BE279" s="478"/>
      <c r="BF279" s="479"/>
      <c r="BP279" s="7">
        <v>178</v>
      </c>
    </row>
    <row r="280" spans="1:68" s="7" customFormat="1" x14ac:dyDescent="0.25">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c r="AA280" s="3"/>
      <c r="AB280" s="3"/>
      <c r="AC280" s="3"/>
      <c r="AD280" s="3"/>
      <c r="AE280" s="291"/>
      <c r="AO280" s="292"/>
      <c r="AV280" s="482"/>
      <c r="AW280" s="482"/>
      <c r="AX280" s="482"/>
      <c r="AY280" s="482"/>
      <c r="AZ280" s="482"/>
      <c r="BA280" s="482"/>
      <c r="BB280" s="482"/>
      <c r="BC280" s="482"/>
      <c r="BD280" s="484"/>
      <c r="BE280" s="478"/>
      <c r="BF280" s="479"/>
      <c r="BP280" s="7">
        <v>179</v>
      </c>
    </row>
    <row r="281" spans="1:68" s="7" customFormat="1" x14ac:dyDescent="0.25">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c r="AA281" s="3"/>
      <c r="AB281" s="3"/>
      <c r="AC281" s="3"/>
      <c r="AD281" s="3"/>
      <c r="AE281" s="291"/>
      <c r="AO281" s="292"/>
      <c r="AV281" s="482"/>
      <c r="AW281" s="482"/>
      <c r="AX281" s="482"/>
      <c r="AY281" s="482"/>
      <c r="AZ281" s="482"/>
      <c r="BA281" s="482"/>
      <c r="BB281" s="482"/>
      <c r="BC281" s="482"/>
      <c r="BD281" s="484"/>
      <c r="BE281" s="478"/>
      <c r="BF281" s="479"/>
      <c r="BP281" s="7">
        <v>180</v>
      </c>
    </row>
    <row r="282" spans="1:68" s="7" customFormat="1" x14ac:dyDescent="0.25">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c r="AA282" s="3"/>
      <c r="AB282" s="3"/>
      <c r="AC282" s="3"/>
      <c r="AD282" s="3"/>
      <c r="AE282" s="291"/>
      <c r="AO282" s="292"/>
      <c r="AV282" s="482"/>
      <c r="AW282" s="482"/>
      <c r="AX282" s="482"/>
      <c r="AY282" s="482"/>
      <c r="AZ282" s="482"/>
      <c r="BA282" s="482"/>
      <c r="BB282" s="482"/>
      <c r="BC282" s="482"/>
      <c r="BD282" s="484"/>
      <c r="BE282" s="478"/>
      <c r="BF282" s="479"/>
      <c r="BP282" s="7">
        <v>181</v>
      </c>
    </row>
    <row r="283" spans="1:68" s="7" customFormat="1" x14ac:dyDescent="0.25">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c r="AA283" s="3"/>
      <c r="AB283" s="3"/>
      <c r="AC283" s="3"/>
      <c r="AD283" s="3"/>
      <c r="AE283" s="291"/>
      <c r="AO283" s="292"/>
      <c r="AV283" s="482"/>
      <c r="AW283" s="482"/>
      <c r="AX283" s="482"/>
      <c r="AY283" s="482"/>
      <c r="AZ283" s="482"/>
      <c r="BA283" s="482"/>
      <c r="BB283" s="482"/>
      <c r="BC283" s="482"/>
      <c r="BD283" s="484"/>
      <c r="BE283" s="478"/>
      <c r="BF283" s="479"/>
      <c r="BP283" s="7">
        <v>182</v>
      </c>
    </row>
    <row r="284" spans="1:68" s="7" customFormat="1" x14ac:dyDescent="0.25">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c r="AA284" s="3"/>
      <c r="AB284" s="3"/>
      <c r="AC284" s="3"/>
      <c r="AD284" s="3"/>
      <c r="AE284" s="291"/>
      <c r="AO284" s="292"/>
      <c r="AV284" s="482"/>
      <c r="AW284" s="482"/>
      <c r="AX284" s="482"/>
      <c r="AY284" s="482"/>
      <c r="AZ284" s="482"/>
      <c r="BA284" s="482"/>
      <c r="BB284" s="482"/>
      <c r="BC284" s="482"/>
      <c r="BD284" s="484"/>
      <c r="BE284" s="478"/>
      <c r="BF284" s="479"/>
      <c r="BP284" s="7">
        <v>183</v>
      </c>
    </row>
    <row r="285" spans="1:68" s="7" customFormat="1" x14ac:dyDescent="0.25">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c r="AA285" s="3"/>
      <c r="AB285" s="3"/>
      <c r="AC285" s="3"/>
      <c r="AD285" s="3"/>
      <c r="AE285" s="291"/>
      <c r="AO285" s="292"/>
      <c r="AV285" s="482"/>
      <c r="AW285" s="482"/>
      <c r="AX285" s="482"/>
      <c r="AY285" s="482"/>
      <c r="AZ285" s="482"/>
      <c r="BA285" s="482"/>
      <c r="BB285" s="482"/>
      <c r="BC285" s="482"/>
      <c r="BD285" s="484"/>
      <c r="BE285" s="478"/>
      <c r="BF285" s="479"/>
      <c r="BP285" s="7">
        <v>184</v>
      </c>
    </row>
    <row r="286" spans="1:68" s="7" customFormat="1" x14ac:dyDescent="0.25">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c r="AA286" s="3"/>
      <c r="AB286" s="3"/>
      <c r="AC286" s="3"/>
      <c r="AD286" s="3"/>
      <c r="AE286" s="291"/>
      <c r="AO286" s="292"/>
      <c r="AV286" s="482"/>
      <c r="AW286" s="482"/>
      <c r="AX286" s="482"/>
      <c r="AY286" s="482"/>
      <c r="AZ286" s="482"/>
      <c r="BA286" s="482"/>
      <c r="BB286" s="482"/>
      <c r="BC286" s="482"/>
      <c r="BD286" s="484"/>
      <c r="BE286" s="478"/>
      <c r="BF286" s="479"/>
      <c r="BP286" s="7">
        <v>185</v>
      </c>
    </row>
    <row r="287" spans="1:68" s="7" customFormat="1" ht="14.45" customHeight="1" x14ac:dyDescent="0.25">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c r="AA287" s="3"/>
      <c r="AB287" s="3"/>
      <c r="AC287" s="3"/>
      <c r="AD287" s="3"/>
      <c r="AE287" s="291"/>
      <c r="AO287" s="292"/>
      <c r="AV287" s="482"/>
      <c r="AW287" s="482"/>
      <c r="AX287" s="482"/>
      <c r="AY287" s="482"/>
      <c r="AZ287" s="482"/>
      <c r="BA287" s="482"/>
      <c r="BB287" s="482"/>
      <c r="BC287" s="482"/>
      <c r="BD287" s="484"/>
      <c r="BE287" s="478"/>
      <c r="BF287" s="479"/>
      <c r="BP287" s="7">
        <v>186</v>
      </c>
    </row>
    <row r="288" spans="1:68" s="7" customFormat="1" x14ac:dyDescent="0.25">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c r="AA288" s="3"/>
      <c r="AB288" s="3"/>
      <c r="AC288" s="3"/>
      <c r="AD288" s="3"/>
      <c r="AE288" s="291"/>
      <c r="AO288" s="292"/>
      <c r="AV288" s="482"/>
      <c r="AW288" s="482"/>
      <c r="AX288" s="482"/>
      <c r="AY288" s="482"/>
      <c r="AZ288" s="482"/>
      <c r="BA288" s="482"/>
      <c r="BB288" s="482"/>
      <c r="BC288" s="482"/>
      <c r="BD288" s="484"/>
      <c r="BE288" s="478"/>
      <c r="BF288" s="479"/>
      <c r="BP288" s="7">
        <v>187</v>
      </c>
    </row>
    <row r="289" spans="1:68" s="7" customFormat="1" x14ac:dyDescent="0.25">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c r="AA289" s="3"/>
      <c r="AB289" s="3"/>
      <c r="AC289" s="3"/>
      <c r="AD289" s="3"/>
      <c r="AE289" s="291"/>
      <c r="AO289" s="292"/>
      <c r="AV289" s="482"/>
      <c r="AW289" s="482"/>
      <c r="AX289" s="482"/>
      <c r="AY289" s="482"/>
      <c r="AZ289" s="482"/>
      <c r="BA289" s="482"/>
      <c r="BB289" s="482"/>
      <c r="BC289" s="482"/>
      <c r="BD289" s="485"/>
      <c r="BE289" s="480"/>
      <c r="BF289" s="481"/>
      <c r="BP289" s="7">
        <v>188</v>
      </c>
    </row>
    <row r="290" spans="1:68" s="7" customFormat="1" x14ac:dyDescent="0.25">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c r="AA290" s="3"/>
      <c r="AB290" s="3"/>
      <c r="AC290" s="3"/>
      <c r="AD290" s="3"/>
      <c r="AO290" s="292"/>
      <c r="AZ290" s="292"/>
      <c r="BP290" s="7">
        <v>189</v>
      </c>
    </row>
    <row r="291" spans="1:68" s="7" customFormat="1" x14ac:dyDescent="0.25">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c r="AA291" s="3"/>
      <c r="AB291" s="3"/>
      <c r="AC291" s="3"/>
      <c r="AD291" s="3"/>
      <c r="AO291" s="292"/>
      <c r="AZ291" s="292"/>
      <c r="BP291" s="7">
        <v>190</v>
      </c>
    </row>
    <row r="292" spans="1:68" s="7" customFormat="1" x14ac:dyDescent="0.25">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c r="AA292" s="3"/>
      <c r="AB292" s="3"/>
      <c r="AC292" s="3"/>
      <c r="AD292" s="3"/>
      <c r="AO292" s="292"/>
      <c r="AZ292" s="292"/>
      <c r="BP292" s="7">
        <v>191</v>
      </c>
    </row>
    <row r="293" spans="1:68" s="7" customFormat="1" x14ac:dyDescent="0.25">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c r="AA293" s="3"/>
      <c r="AB293" s="3"/>
      <c r="AC293" s="3"/>
      <c r="AD293" s="3"/>
      <c r="AO293" s="292"/>
      <c r="AZ293" s="292"/>
      <c r="BP293" s="7">
        <v>192</v>
      </c>
    </row>
    <row r="294" spans="1:68" s="7" customFormat="1" x14ac:dyDescent="0.25">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c r="AA294" s="3"/>
      <c r="AB294" s="3"/>
      <c r="AC294" s="3"/>
      <c r="AD294" s="3"/>
      <c r="AO294" s="292"/>
      <c r="AZ294" s="292"/>
      <c r="BP294" s="7">
        <v>193</v>
      </c>
    </row>
    <row r="295" spans="1:68" s="7" customFormat="1" x14ac:dyDescent="0.25">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c r="AA295" s="3"/>
      <c r="AB295" s="3"/>
      <c r="AC295" s="3"/>
      <c r="AD295" s="3"/>
      <c r="AO295" s="292"/>
      <c r="AZ295" s="292"/>
      <c r="BP295" s="7">
        <v>194</v>
      </c>
    </row>
    <row r="296" spans="1:68" s="7" customFormat="1" x14ac:dyDescent="0.25">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c r="AA296" s="3"/>
      <c r="AB296" s="3"/>
      <c r="AC296" s="3"/>
      <c r="AD296" s="3"/>
      <c r="AO296" s="292"/>
      <c r="AZ296" s="292"/>
      <c r="BP296" s="7">
        <v>195</v>
      </c>
    </row>
    <row r="297" spans="1:68" s="7" customFormat="1" x14ac:dyDescent="0.25">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c r="AA297" s="3"/>
      <c r="AB297" s="3"/>
      <c r="AC297" s="3"/>
      <c r="AD297" s="3"/>
      <c r="AO297" s="292"/>
      <c r="AZ297" s="292"/>
      <c r="BP297" s="7">
        <v>196</v>
      </c>
    </row>
    <row r="298" spans="1:68" s="7" customFormat="1" x14ac:dyDescent="0.25">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c r="AA298" s="3"/>
      <c r="AB298" s="3"/>
      <c r="AC298" s="3"/>
      <c r="AD298" s="3"/>
      <c r="AO298" s="292"/>
      <c r="AZ298" s="292"/>
      <c r="BP298" s="7">
        <v>197</v>
      </c>
    </row>
    <row r="299" spans="1:68" s="7" customFormat="1" x14ac:dyDescent="0.25">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c r="AA299" s="3"/>
      <c r="AB299" s="3"/>
      <c r="AC299" s="3"/>
      <c r="AD299" s="3"/>
      <c r="AO299" s="292"/>
      <c r="AZ299" s="292"/>
      <c r="BP299" s="7">
        <v>198</v>
      </c>
    </row>
    <row r="300" spans="1:68" s="7" customFormat="1" x14ac:dyDescent="0.25">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c r="AA300" s="3"/>
      <c r="AB300" s="3"/>
      <c r="AC300" s="3"/>
      <c r="AD300" s="3"/>
      <c r="AO300" s="292"/>
      <c r="AZ300" s="292"/>
      <c r="BP300" s="7">
        <v>199</v>
      </c>
    </row>
    <row r="301" spans="1:68" s="7" customFormat="1" x14ac:dyDescent="0.25">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c r="AA301" s="3"/>
      <c r="AB301" s="3"/>
      <c r="AC301" s="3"/>
      <c r="AD301" s="3"/>
      <c r="AO301" s="292"/>
      <c r="AZ301" s="292"/>
      <c r="BP301" s="7">
        <v>200</v>
      </c>
    </row>
    <row r="302" spans="1:68" s="7" customFormat="1" x14ac:dyDescent="0.25">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c r="AA302" s="3"/>
      <c r="AB302" s="3"/>
      <c r="AC302" s="3"/>
      <c r="AD302" s="3"/>
      <c r="AO302" s="292"/>
      <c r="AZ302" s="292"/>
      <c r="BP302" s="7">
        <v>201</v>
      </c>
    </row>
    <row r="303" spans="1:68" s="7" customFormat="1" x14ac:dyDescent="0.25">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c r="AA303" s="3"/>
      <c r="AB303" s="3"/>
      <c r="AC303" s="3"/>
      <c r="AD303" s="3"/>
      <c r="AO303" s="292"/>
      <c r="AZ303" s="292"/>
      <c r="BP303" s="7">
        <v>202</v>
      </c>
    </row>
    <row r="304" spans="1:68" s="7" customFormat="1" x14ac:dyDescent="0.25">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c r="AA304" s="3"/>
      <c r="AB304" s="3"/>
      <c r="AC304" s="3"/>
      <c r="AD304" s="3"/>
      <c r="AO304" s="292"/>
      <c r="AZ304" s="292"/>
      <c r="BP304" s="7">
        <v>203</v>
      </c>
    </row>
    <row r="305" spans="1:68" s="7" customFormat="1" x14ac:dyDescent="0.25">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c r="AA305" s="3"/>
      <c r="AB305" s="3"/>
      <c r="AC305" s="3"/>
      <c r="AD305" s="3"/>
      <c r="AO305" s="292"/>
      <c r="AZ305" s="292"/>
      <c r="BP305" s="7">
        <v>204</v>
      </c>
    </row>
    <row r="306" spans="1:68" s="7" customFormat="1" x14ac:dyDescent="0.25">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c r="AA306" s="3"/>
      <c r="AB306" s="3"/>
      <c r="AC306" s="3"/>
      <c r="AD306" s="3"/>
      <c r="AO306" s="292"/>
      <c r="AZ306" s="292"/>
      <c r="BP306" s="7">
        <v>205</v>
      </c>
    </row>
    <row r="307" spans="1:68" s="7" customFormat="1" x14ac:dyDescent="0.25">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c r="AA307" s="3"/>
      <c r="AB307" s="3"/>
      <c r="AC307" s="3"/>
      <c r="AD307" s="3"/>
      <c r="AO307" s="292"/>
      <c r="AZ307" s="292"/>
      <c r="BP307" s="7">
        <v>206</v>
      </c>
    </row>
    <row r="308" spans="1:68" s="7" customFormat="1" x14ac:dyDescent="0.25">
      <c r="A308" s="3"/>
      <c r="B308" s="3"/>
      <c r="C308" s="3"/>
      <c r="D308" s="3"/>
      <c r="E308" s="3"/>
      <c r="F308" s="3"/>
      <c r="G308" s="3"/>
      <c r="H308" s="3"/>
      <c r="I308" s="3"/>
      <c r="J308" s="3"/>
      <c r="K308" s="3"/>
      <c r="L308" s="3"/>
      <c r="M308" s="3"/>
      <c r="N308" s="3"/>
      <c r="O308" s="3"/>
      <c r="P308" s="3"/>
      <c r="Q308" s="3"/>
      <c r="R308" s="3"/>
      <c r="S308" s="3"/>
      <c r="T308" s="3"/>
      <c r="U308" s="3"/>
      <c r="V308" s="3"/>
      <c r="W308" s="3"/>
      <c r="X308" s="3"/>
      <c r="Y308" s="3"/>
      <c r="Z308" s="3"/>
      <c r="AA308" s="3"/>
      <c r="AB308" s="3"/>
      <c r="AC308" s="3"/>
      <c r="AD308" s="3"/>
      <c r="AO308" s="292"/>
      <c r="AZ308" s="292"/>
      <c r="BP308" s="7">
        <v>207</v>
      </c>
    </row>
    <row r="309" spans="1:68" s="7" customFormat="1" x14ac:dyDescent="0.25">
      <c r="A309" s="3"/>
      <c r="B309" s="3"/>
      <c r="C309" s="3"/>
      <c r="D309" s="3"/>
      <c r="E309" s="3"/>
      <c r="F309" s="3"/>
      <c r="G309" s="3"/>
      <c r="H309" s="3"/>
      <c r="I309" s="3"/>
      <c r="J309" s="3"/>
      <c r="K309" s="3"/>
      <c r="L309" s="3"/>
      <c r="M309" s="3"/>
      <c r="N309" s="3"/>
      <c r="O309" s="3"/>
      <c r="P309" s="3"/>
      <c r="Q309" s="3"/>
      <c r="R309" s="3"/>
      <c r="S309" s="3"/>
      <c r="T309" s="3"/>
      <c r="U309" s="3"/>
      <c r="V309" s="3"/>
      <c r="W309" s="3"/>
      <c r="X309" s="3"/>
      <c r="Y309" s="3"/>
      <c r="Z309" s="3"/>
      <c r="AA309" s="3"/>
      <c r="AB309" s="3"/>
      <c r="AC309" s="3"/>
      <c r="AD309" s="3"/>
      <c r="AO309" s="292"/>
      <c r="AZ309" s="292"/>
      <c r="BP309" s="7">
        <v>208</v>
      </c>
    </row>
    <row r="310" spans="1:68" s="7" customFormat="1" x14ac:dyDescent="0.25">
      <c r="A310" s="3"/>
      <c r="B310" s="3"/>
      <c r="C310" s="3"/>
      <c r="D310" s="3"/>
      <c r="E310" s="3"/>
      <c r="F310" s="3"/>
      <c r="G310" s="3"/>
      <c r="H310" s="3"/>
      <c r="I310" s="3"/>
      <c r="J310" s="3"/>
      <c r="K310" s="3"/>
      <c r="L310" s="3"/>
      <c r="M310" s="3"/>
      <c r="N310" s="3"/>
      <c r="O310" s="3"/>
      <c r="P310" s="3"/>
      <c r="Q310" s="3"/>
      <c r="R310" s="3"/>
      <c r="S310" s="3"/>
      <c r="T310" s="3"/>
      <c r="U310" s="3"/>
      <c r="V310" s="3"/>
      <c r="W310" s="3"/>
      <c r="X310" s="3"/>
      <c r="Y310" s="3"/>
      <c r="Z310" s="3"/>
      <c r="AA310" s="3"/>
      <c r="AB310" s="3"/>
      <c r="AC310" s="3"/>
      <c r="AD310" s="3"/>
      <c r="AO310" s="292"/>
      <c r="AZ310" s="292"/>
      <c r="BP310" s="7">
        <v>209</v>
      </c>
    </row>
    <row r="311" spans="1:68" s="7" customFormat="1" x14ac:dyDescent="0.25">
      <c r="A311" s="3"/>
      <c r="B311" s="3"/>
      <c r="C311" s="3"/>
      <c r="D311" s="3"/>
      <c r="E311" s="3"/>
      <c r="F311" s="3"/>
      <c r="G311" s="3"/>
      <c r="H311" s="3"/>
      <c r="I311" s="3"/>
      <c r="J311" s="3"/>
      <c r="K311" s="3"/>
      <c r="L311" s="3"/>
      <c r="M311" s="3"/>
      <c r="N311" s="3"/>
      <c r="O311" s="3"/>
      <c r="P311" s="3"/>
      <c r="Q311" s="3"/>
      <c r="R311" s="3"/>
      <c r="S311" s="3"/>
      <c r="T311" s="3"/>
      <c r="U311" s="3"/>
      <c r="V311" s="3"/>
      <c r="W311" s="3"/>
      <c r="X311" s="3"/>
      <c r="Y311" s="3"/>
      <c r="Z311" s="3"/>
      <c r="AA311" s="3"/>
      <c r="AB311" s="3"/>
      <c r="AC311" s="3"/>
      <c r="AD311" s="3"/>
      <c r="AO311" s="292"/>
      <c r="AZ311" s="292"/>
      <c r="BP311" s="7">
        <v>210</v>
      </c>
    </row>
    <row r="312" spans="1:68" s="7" customFormat="1" x14ac:dyDescent="0.25">
      <c r="A312" s="3"/>
      <c r="B312" s="3"/>
      <c r="C312" s="3"/>
      <c r="D312" s="3"/>
      <c r="E312" s="3"/>
      <c r="F312" s="3"/>
      <c r="G312" s="3"/>
      <c r="H312" s="3"/>
      <c r="I312" s="3"/>
      <c r="J312" s="3"/>
      <c r="K312" s="3"/>
      <c r="L312" s="3"/>
      <c r="M312" s="3"/>
      <c r="N312" s="3"/>
      <c r="O312" s="3"/>
      <c r="P312" s="3"/>
      <c r="Q312" s="3"/>
      <c r="R312" s="3"/>
      <c r="S312" s="3"/>
      <c r="T312" s="3"/>
      <c r="U312" s="3"/>
      <c r="V312" s="3"/>
      <c r="W312" s="3"/>
      <c r="X312" s="3"/>
      <c r="Y312" s="3"/>
      <c r="Z312" s="3"/>
      <c r="AA312" s="3"/>
      <c r="AB312" s="3"/>
      <c r="AC312" s="3"/>
      <c r="AD312" s="3"/>
      <c r="AO312" s="292"/>
      <c r="AZ312" s="292"/>
      <c r="BP312" s="7">
        <v>211</v>
      </c>
    </row>
    <row r="313" spans="1:68" s="7" customFormat="1" x14ac:dyDescent="0.25">
      <c r="A313" s="3"/>
      <c r="B313" s="3"/>
      <c r="C313" s="3"/>
      <c r="D313" s="3"/>
      <c r="E313" s="3"/>
      <c r="F313" s="3"/>
      <c r="G313" s="3"/>
      <c r="H313" s="3"/>
      <c r="I313" s="3"/>
      <c r="J313" s="3"/>
      <c r="K313" s="3"/>
      <c r="L313" s="3"/>
      <c r="M313" s="3"/>
      <c r="N313" s="3"/>
      <c r="O313" s="3"/>
      <c r="P313" s="3"/>
      <c r="Q313" s="3"/>
      <c r="R313" s="3"/>
      <c r="S313" s="3"/>
      <c r="T313" s="3"/>
      <c r="U313" s="3"/>
      <c r="V313" s="3"/>
      <c r="W313" s="3"/>
      <c r="X313" s="3"/>
      <c r="Y313" s="3"/>
      <c r="Z313" s="3"/>
      <c r="AA313" s="3"/>
      <c r="AB313" s="3"/>
      <c r="AC313" s="3"/>
      <c r="AD313" s="3"/>
      <c r="AO313" s="292"/>
      <c r="AZ313" s="292"/>
      <c r="BP313" s="7">
        <v>212</v>
      </c>
    </row>
    <row r="314" spans="1:68" s="7" customFormat="1" x14ac:dyDescent="0.25">
      <c r="A314" s="3"/>
      <c r="B314" s="3"/>
      <c r="C314" s="3"/>
      <c r="D314" s="3"/>
      <c r="E314" s="3"/>
      <c r="F314" s="3"/>
      <c r="G314" s="3"/>
      <c r="H314" s="3"/>
      <c r="I314" s="3"/>
      <c r="J314" s="3"/>
      <c r="K314" s="3"/>
      <c r="L314" s="3"/>
      <c r="M314" s="3"/>
      <c r="N314" s="3"/>
      <c r="O314" s="3"/>
      <c r="P314" s="3"/>
      <c r="Q314" s="3"/>
      <c r="R314" s="3"/>
      <c r="S314" s="3"/>
      <c r="T314" s="3"/>
      <c r="U314" s="3"/>
      <c r="V314" s="3"/>
      <c r="W314" s="3"/>
      <c r="X314" s="3"/>
      <c r="Y314" s="3"/>
      <c r="Z314" s="3"/>
      <c r="AA314" s="3"/>
      <c r="AB314" s="3"/>
      <c r="AC314" s="3"/>
      <c r="AD314" s="3"/>
      <c r="AO314" s="292"/>
      <c r="AZ314" s="292"/>
      <c r="BP314" s="7">
        <v>213</v>
      </c>
    </row>
    <row r="315" spans="1:68" s="7" customFormat="1" x14ac:dyDescent="0.25">
      <c r="A315" s="3"/>
      <c r="B315" s="3"/>
      <c r="C315" s="3"/>
      <c r="D315" s="3"/>
      <c r="E315" s="3"/>
      <c r="F315" s="3"/>
      <c r="G315" s="3"/>
      <c r="H315" s="3"/>
      <c r="I315" s="3"/>
      <c r="J315" s="3"/>
      <c r="K315" s="3"/>
      <c r="L315" s="3"/>
      <c r="M315" s="3"/>
      <c r="N315" s="3"/>
      <c r="O315" s="3"/>
      <c r="P315" s="3"/>
      <c r="Q315" s="3"/>
      <c r="R315" s="3"/>
      <c r="S315" s="3"/>
      <c r="T315" s="3"/>
      <c r="U315" s="3"/>
      <c r="V315" s="3"/>
      <c r="W315" s="3"/>
      <c r="X315" s="3"/>
      <c r="Y315" s="3"/>
      <c r="Z315" s="3"/>
      <c r="AA315" s="3"/>
      <c r="AB315" s="3"/>
      <c r="AC315" s="3"/>
      <c r="AD315" s="3"/>
      <c r="AO315" s="292"/>
      <c r="AZ315" s="292"/>
      <c r="BP315" s="7">
        <v>214</v>
      </c>
    </row>
    <row r="316" spans="1:68" s="7" customFormat="1" x14ac:dyDescent="0.25">
      <c r="A316" s="3"/>
      <c r="B316" s="3"/>
      <c r="C316" s="3"/>
      <c r="D316" s="3"/>
      <c r="E316" s="3"/>
      <c r="F316" s="3"/>
      <c r="G316" s="3"/>
      <c r="H316" s="3"/>
      <c r="I316" s="3"/>
      <c r="J316" s="3"/>
      <c r="K316" s="3"/>
      <c r="L316" s="3"/>
      <c r="M316" s="3"/>
      <c r="N316" s="3"/>
      <c r="O316" s="3"/>
      <c r="P316" s="3"/>
      <c r="Q316" s="3"/>
      <c r="R316" s="3"/>
      <c r="S316" s="3"/>
      <c r="T316" s="3"/>
      <c r="U316" s="3"/>
      <c r="V316" s="3"/>
      <c r="W316" s="3"/>
      <c r="X316" s="3"/>
      <c r="Y316" s="3"/>
      <c r="Z316" s="3"/>
      <c r="AA316" s="3"/>
      <c r="AB316" s="3"/>
      <c r="AC316" s="3"/>
      <c r="AD316" s="3"/>
      <c r="AO316" s="292"/>
      <c r="AZ316" s="292"/>
      <c r="BP316" s="7">
        <v>215</v>
      </c>
    </row>
    <row r="317" spans="1:68" s="7" customFormat="1" x14ac:dyDescent="0.25">
      <c r="A317" s="3"/>
      <c r="B317" s="3"/>
      <c r="C317" s="3"/>
      <c r="D317" s="3"/>
      <c r="E317" s="3"/>
      <c r="F317" s="3"/>
      <c r="G317" s="3"/>
      <c r="H317" s="3"/>
      <c r="I317" s="3"/>
      <c r="J317" s="3"/>
      <c r="K317" s="3"/>
      <c r="L317" s="3"/>
      <c r="M317" s="3"/>
      <c r="N317" s="3"/>
      <c r="O317" s="3"/>
      <c r="P317" s="3"/>
      <c r="Q317" s="3"/>
      <c r="R317" s="3"/>
      <c r="S317" s="3"/>
      <c r="T317" s="3"/>
      <c r="U317" s="3"/>
      <c r="V317" s="3"/>
      <c r="W317" s="3"/>
      <c r="X317" s="3"/>
      <c r="Y317" s="3"/>
      <c r="Z317" s="3"/>
      <c r="AA317" s="3"/>
      <c r="AB317" s="3"/>
      <c r="AC317" s="3"/>
      <c r="AD317" s="3"/>
      <c r="AO317" s="292"/>
      <c r="AZ317" s="292"/>
      <c r="BP317" s="7">
        <v>216</v>
      </c>
    </row>
    <row r="318" spans="1:68" s="7" customFormat="1" x14ac:dyDescent="0.25">
      <c r="A318" s="3"/>
      <c r="B318" s="3"/>
      <c r="C318" s="3"/>
      <c r="D318" s="3"/>
      <c r="E318" s="3"/>
      <c r="F318" s="3"/>
      <c r="G318" s="3"/>
      <c r="H318" s="3"/>
      <c r="I318" s="3"/>
      <c r="J318" s="3"/>
      <c r="K318" s="3"/>
      <c r="L318" s="3"/>
      <c r="M318" s="3"/>
      <c r="N318" s="3"/>
      <c r="O318" s="3"/>
      <c r="P318" s="3"/>
      <c r="Q318" s="3"/>
      <c r="R318" s="3"/>
      <c r="S318" s="3"/>
      <c r="T318" s="3"/>
      <c r="U318" s="3"/>
      <c r="V318" s="3"/>
      <c r="W318" s="3"/>
      <c r="X318" s="3"/>
      <c r="Y318" s="3"/>
      <c r="Z318" s="3"/>
      <c r="AA318" s="3"/>
      <c r="AB318" s="3"/>
      <c r="AC318" s="3"/>
      <c r="AD318" s="3"/>
      <c r="AO318" s="292"/>
      <c r="AZ318" s="292"/>
      <c r="BP318" s="7">
        <v>217</v>
      </c>
    </row>
    <row r="319" spans="1:68" s="7" customFormat="1" x14ac:dyDescent="0.25">
      <c r="A319" s="3"/>
      <c r="B319" s="3"/>
      <c r="C319" s="3"/>
      <c r="D319" s="3"/>
      <c r="E319" s="3"/>
      <c r="F319" s="3"/>
      <c r="G319" s="3"/>
      <c r="H319" s="3"/>
      <c r="I319" s="3"/>
      <c r="J319" s="3"/>
      <c r="K319" s="3"/>
      <c r="L319" s="3"/>
      <c r="M319" s="3"/>
      <c r="N319" s="3"/>
      <c r="O319" s="3"/>
      <c r="P319" s="3"/>
      <c r="Q319" s="3"/>
      <c r="R319" s="3"/>
      <c r="S319" s="3"/>
      <c r="T319" s="3"/>
      <c r="U319" s="3"/>
      <c r="V319" s="3"/>
      <c r="W319" s="3"/>
      <c r="X319" s="3"/>
      <c r="Y319" s="3"/>
      <c r="Z319" s="3"/>
      <c r="AA319" s="3"/>
      <c r="AB319" s="3"/>
      <c r="AC319" s="3"/>
      <c r="AD319" s="3"/>
      <c r="AO319" s="292"/>
      <c r="AZ319" s="292"/>
      <c r="BP319" s="7">
        <v>218</v>
      </c>
    </row>
    <row r="320" spans="1:68" s="7" customFormat="1" x14ac:dyDescent="0.25">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c r="AA320" s="3"/>
      <c r="AB320" s="3"/>
      <c r="AC320" s="3"/>
      <c r="AD320" s="3"/>
      <c r="AO320" s="292"/>
      <c r="AZ320" s="292"/>
      <c r="BP320" s="7">
        <v>219</v>
      </c>
    </row>
    <row r="321" spans="1:68" s="7" customFormat="1" x14ac:dyDescent="0.25">
      <c r="A321" s="3"/>
      <c r="B321" s="3"/>
      <c r="C321" s="3"/>
      <c r="D321" s="3"/>
      <c r="E321" s="3"/>
      <c r="F321" s="3"/>
      <c r="G321" s="3"/>
      <c r="H321" s="3"/>
      <c r="I321" s="3"/>
      <c r="J321" s="3"/>
      <c r="K321" s="3"/>
      <c r="L321" s="3"/>
      <c r="M321" s="3"/>
      <c r="N321" s="3"/>
      <c r="O321" s="3"/>
      <c r="P321" s="3"/>
      <c r="Q321" s="3"/>
      <c r="R321" s="3"/>
      <c r="S321" s="3"/>
      <c r="T321" s="3"/>
      <c r="U321" s="3"/>
      <c r="V321" s="3"/>
      <c r="W321" s="3"/>
      <c r="X321" s="3"/>
      <c r="Y321" s="3"/>
      <c r="Z321" s="3"/>
      <c r="AA321" s="3"/>
      <c r="AB321" s="3"/>
      <c r="AC321" s="3"/>
      <c r="AD321" s="3"/>
      <c r="AO321" s="292"/>
      <c r="AZ321" s="292"/>
      <c r="BP321" s="7">
        <v>220</v>
      </c>
    </row>
    <row r="322" spans="1:68" s="7" customFormat="1" x14ac:dyDescent="0.25">
      <c r="A322" s="3"/>
      <c r="B322" s="3"/>
      <c r="C322" s="3"/>
      <c r="D322" s="3"/>
      <c r="E322" s="3"/>
      <c r="F322" s="3"/>
      <c r="G322" s="3"/>
      <c r="H322" s="3"/>
      <c r="I322" s="3"/>
      <c r="J322" s="3"/>
      <c r="K322" s="3"/>
      <c r="L322" s="3"/>
      <c r="M322" s="3"/>
      <c r="N322" s="3"/>
      <c r="O322" s="3"/>
      <c r="P322" s="3"/>
      <c r="Q322" s="3"/>
      <c r="R322" s="3"/>
      <c r="S322" s="3"/>
      <c r="T322" s="3"/>
      <c r="U322" s="3"/>
      <c r="V322" s="3"/>
      <c r="W322" s="3"/>
      <c r="X322" s="3"/>
      <c r="Y322" s="3"/>
      <c r="Z322" s="3"/>
      <c r="AA322" s="3"/>
      <c r="AB322" s="3"/>
      <c r="AC322" s="3"/>
      <c r="AD322" s="3"/>
      <c r="AO322" s="292"/>
      <c r="AZ322" s="292"/>
      <c r="BP322" s="7">
        <v>221</v>
      </c>
    </row>
    <row r="323" spans="1:68" s="7" customFormat="1" x14ac:dyDescent="0.25">
      <c r="A323" s="3"/>
      <c r="B323" s="3"/>
      <c r="C323" s="3"/>
      <c r="D323" s="3"/>
      <c r="E323" s="3"/>
      <c r="F323" s="3"/>
      <c r="G323" s="3"/>
      <c r="H323" s="3"/>
      <c r="I323" s="3"/>
      <c r="J323" s="3"/>
      <c r="K323" s="3"/>
      <c r="L323" s="3"/>
      <c r="M323" s="3"/>
      <c r="N323" s="3"/>
      <c r="O323" s="3"/>
      <c r="P323" s="3"/>
      <c r="Q323" s="3"/>
      <c r="R323" s="3"/>
      <c r="S323" s="3"/>
      <c r="T323" s="3"/>
      <c r="U323" s="3"/>
      <c r="V323" s="3"/>
      <c r="W323" s="3"/>
      <c r="X323" s="3"/>
      <c r="Y323" s="3"/>
      <c r="Z323" s="3"/>
      <c r="AA323" s="3"/>
      <c r="AB323" s="3"/>
      <c r="AC323" s="3"/>
      <c r="AD323" s="3"/>
      <c r="AO323" s="292"/>
      <c r="AZ323" s="292"/>
      <c r="BP323" s="7">
        <v>222</v>
      </c>
    </row>
    <row r="324" spans="1:68" s="7" customFormat="1" x14ac:dyDescent="0.25">
      <c r="A324" s="3"/>
      <c r="B324" s="3"/>
      <c r="C324" s="3"/>
      <c r="D324" s="3"/>
      <c r="E324" s="3"/>
      <c r="F324" s="3"/>
      <c r="G324" s="3"/>
      <c r="H324" s="3"/>
      <c r="I324" s="3"/>
      <c r="J324" s="3"/>
      <c r="K324" s="3"/>
      <c r="L324" s="3"/>
      <c r="M324" s="3"/>
      <c r="N324" s="3"/>
      <c r="O324" s="3"/>
      <c r="P324" s="3"/>
      <c r="Q324" s="3"/>
      <c r="R324" s="3"/>
      <c r="S324" s="3"/>
      <c r="T324" s="3"/>
      <c r="U324" s="3"/>
      <c r="V324" s="3"/>
      <c r="W324" s="3"/>
      <c r="X324" s="3"/>
      <c r="Y324" s="3"/>
      <c r="Z324" s="3"/>
      <c r="AA324" s="3"/>
      <c r="AB324" s="3"/>
      <c r="AC324" s="3"/>
      <c r="AD324" s="3"/>
      <c r="AO324" s="292"/>
      <c r="AZ324" s="292"/>
      <c r="BP324" s="7">
        <v>223</v>
      </c>
    </row>
    <row r="325" spans="1:68" s="7" customFormat="1" x14ac:dyDescent="0.25">
      <c r="A325" s="3"/>
      <c r="B325" s="3"/>
      <c r="C325" s="3"/>
      <c r="D325" s="3"/>
      <c r="E325" s="3"/>
      <c r="F325" s="3"/>
      <c r="G325" s="3"/>
      <c r="H325" s="3"/>
      <c r="I325" s="3"/>
      <c r="J325" s="3"/>
      <c r="K325" s="3"/>
      <c r="L325" s="3"/>
      <c r="M325" s="3"/>
      <c r="N325" s="3"/>
      <c r="O325" s="3"/>
      <c r="P325" s="3"/>
      <c r="Q325" s="3"/>
      <c r="R325" s="3"/>
      <c r="S325" s="3"/>
      <c r="T325" s="3"/>
      <c r="U325" s="3"/>
      <c r="V325" s="3"/>
      <c r="W325" s="3"/>
      <c r="X325" s="3"/>
      <c r="Y325" s="3"/>
      <c r="Z325" s="3"/>
      <c r="AA325" s="3"/>
      <c r="AB325" s="3"/>
      <c r="AC325" s="3"/>
      <c r="AD325" s="3"/>
      <c r="AO325" s="292"/>
      <c r="AZ325" s="292"/>
      <c r="BP325" s="7">
        <v>224</v>
      </c>
    </row>
    <row r="326" spans="1:68" s="7" customFormat="1" x14ac:dyDescent="0.25">
      <c r="A326" s="3"/>
      <c r="B326" s="3"/>
      <c r="C326" s="3"/>
      <c r="D326" s="3"/>
      <c r="E326" s="3"/>
      <c r="F326" s="3"/>
      <c r="G326" s="3"/>
      <c r="H326" s="3"/>
      <c r="I326" s="3"/>
      <c r="J326" s="3"/>
      <c r="K326" s="3"/>
      <c r="L326" s="3"/>
      <c r="M326" s="3"/>
      <c r="N326" s="3"/>
      <c r="O326" s="3"/>
      <c r="P326" s="3"/>
      <c r="Q326" s="3"/>
      <c r="R326" s="3"/>
      <c r="S326" s="3"/>
      <c r="T326" s="3"/>
      <c r="U326" s="3"/>
      <c r="V326" s="3"/>
      <c r="W326" s="3"/>
      <c r="X326" s="3"/>
      <c r="Y326" s="3"/>
      <c r="Z326" s="3"/>
      <c r="AA326" s="3"/>
      <c r="AB326" s="3"/>
      <c r="AC326" s="3"/>
      <c r="AD326" s="3"/>
      <c r="AO326" s="292"/>
      <c r="AZ326" s="292"/>
      <c r="BP326" s="7">
        <v>225</v>
      </c>
    </row>
    <row r="327" spans="1:68" s="7" customFormat="1" x14ac:dyDescent="0.25">
      <c r="A327" s="3"/>
      <c r="B327" s="3"/>
      <c r="C327" s="3"/>
      <c r="D327" s="3"/>
      <c r="E327" s="3"/>
      <c r="F327" s="3"/>
      <c r="G327" s="3"/>
      <c r="H327" s="3"/>
      <c r="I327" s="3"/>
      <c r="J327" s="3"/>
      <c r="K327" s="3"/>
      <c r="L327" s="3"/>
      <c r="M327" s="3"/>
      <c r="N327" s="3"/>
      <c r="O327" s="3"/>
      <c r="P327" s="3"/>
      <c r="Q327" s="3"/>
      <c r="R327" s="3"/>
      <c r="S327" s="3"/>
      <c r="T327" s="3"/>
      <c r="U327" s="3"/>
      <c r="V327" s="3"/>
      <c r="W327" s="3"/>
      <c r="X327" s="3"/>
      <c r="Y327" s="3"/>
      <c r="Z327" s="3"/>
      <c r="AA327" s="3"/>
      <c r="AB327" s="3"/>
      <c r="AC327" s="3"/>
      <c r="AD327" s="3"/>
      <c r="AO327" s="292"/>
      <c r="AZ327" s="292"/>
      <c r="BP327" s="7">
        <v>226</v>
      </c>
    </row>
    <row r="328" spans="1:68" s="7" customFormat="1" x14ac:dyDescent="0.25">
      <c r="A328" s="3"/>
      <c r="B328" s="3"/>
      <c r="C328" s="3"/>
      <c r="D328" s="3"/>
      <c r="E328" s="3"/>
      <c r="F328" s="3"/>
      <c r="G328" s="3"/>
      <c r="H328" s="3"/>
      <c r="I328" s="3"/>
      <c r="J328" s="3"/>
      <c r="K328" s="3"/>
      <c r="L328" s="3"/>
      <c r="M328" s="3"/>
      <c r="N328" s="3"/>
      <c r="O328" s="3"/>
      <c r="P328" s="3"/>
      <c r="Q328" s="3"/>
      <c r="R328" s="3"/>
      <c r="S328" s="3"/>
      <c r="T328" s="3"/>
      <c r="U328" s="3"/>
      <c r="V328" s="3"/>
      <c r="W328" s="3"/>
      <c r="X328" s="3"/>
      <c r="Y328" s="3"/>
      <c r="Z328" s="3"/>
      <c r="AA328" s="3"/>
      <c r="AB328" s="3"/>
      <c r="AC328" s="3"/>
      <c r="AD328" s="3"/>
      <c r="AO328" s="292"/>
      <c r="AZ328" s="292"/>
      <c r="BP328" s="7">
        <v>227</v>
      </c>
    </row>
    <row r="329" spans="1:68" s="7" customFormat="1" x14ac:dyDescent="0.25">
      <c r="A329" s="3"/>
      <c r="B329" s="3"/>
      <c r="C329" s="3"/>
      <c r="D329" s="3"/>
      <c r="E329" s="3"/>
      <c r="F329" s="3"/>
      <c r="G329" s="3"/>
      <c r="H329" s="3"/>
      <c r="I329" s="3"/>
      <c r="J329" s="3"/>
      <c r="K329" s="3"/>
      <c r="L329" s="3"/>
      <c r="M329" s="3"/>
      <c r="N329" s="3"/>
      <c r="O329" s="3"/>
      <c r="P329" s="3"/>
      <c r="Q329" s="3"/>
      <c r="R329" s="3"/>
      <c r="S329" s="3"/>
      <c r="T329" s="3"/>
      <c r="U329" s="3"/>
      <c r="V329" s="3"/>
      <c r="W329" s="3"/>
      <c r="X329" s="3"/>
      <c r="Y329" s="3"/>
      <c r="Z329" s="3"/>
      <c r="AA329" s="3"/>
      <c r="AB329" s="3"/>
      <c r="AC329" s="3"/>
      <c r="AD329" s="3"/>
      <c r="AO329" s="292"/>
      <c r="AZ329" s="292"/>
      <c r="BP329" s="7">
        <v>228</v>
      </c>
    </row>
    <row r="330" spans="1:68" s="7" customFormat="1" x14ac:dyDescent="0.25">
      <c r="A330" s="3"/>
      <c r="B330" s="3"/>
      <c r="C330" s="3"/>
      <c r="D330" s="3"/>
      <c r="E330" s="3"/>
      <c r="F330" s="3"/>
      <c r="G330" s="3"/>
      <c r="H330" s="3"/>
      <c r="I330" s="3"/>
      <c r="J330" s="3"/>
      <c r="K330" s="3"/>
      <c r="L330" s="3"/>
      <c r="M330" s="3"/>
      <c r="N330" s="3"/>
      <c r="O330" s="3"/>
      <c r="P330" s="3"/>
      <c r="Q330" s="3"/>
      <c r="R330" s="3"/>
      <c r="S330" s="3"/>
      <c r="T330" s="3"/>
      <c r="U330" s="3"/>
      <c r="V330" s="3"/>
      <c r="W330" s="3"/>
      <c r="X330" s="3"/>
      <c r="Y330" s="3"/>
      <c r="Z330" s="3"/>
      <c r="AA330" s="3"/>
      <c r="AB330" s="3"/>
      <c r="AC330" s="3"/>
      <c r="AD330" s="3"/>
      <c r="AO330" s="292"/>
      <c r="AZ330" s="292"/>
      <c r="BP330" s="7">
        <v>229</v>
      </c>
    </row>
    <row r="331" spans="1:68" s="7" customFormat="1" x14ac:dyDescent="0.25">
      <c r="A331" s="3"/>
      <c r="B331" s="3"/>
      <c r="C331" s="3"/>
      <c r="D331" s="3"/>
      <c r="E331" s="3"/>
      <c r="F331" s="3"/>
      <c r="G331" s="3"/>
      <c r="H331" s="3"/>
      <c r="I331" s="3"/>
      <c r="J331" s="3"/>
      <c r="K331" s="3"/>
      <c r="L331" s="3"/>
      <c r="M331" s="3"/>
      <c r="N331" s="3"/>
      <c r="O331" s="3"/>
      <c r="P331" s="3"/>
      <c r="Q331" s="3"/>
      <c r="R331" s="3"/>
      <c r="S331" s="3"/>
      <c r="T331" s="3"/>
      <c r="U331" s="3"/>
      <c r="V331" s="3"/>
      <c r="W331" s="3"/>
      <c r="X331" s="3"/>
      <c r="Y331" s="3"/>
      <c r="Z331" s="3"/>
      <c r="AA331" s="3"/>
      <c r="AB331" s="3"/>
      <c r="AC331" s="3"/>
      <c r="AD331" s="3"/>
      <c r="AO331" s="292"/>
      <c r="AZ331" s="292"/>
      <c r="BP331" s="7">
        <v>230</v>
      </c>
    </row>
    <row r="332" spans="1:68" s="7" customFormat="1" x14ac:dyDescent="0.25">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c r="AA332" s="3"/>
      <c r="AB332" s="3"/>
      <c r="AC332" s="3"/>
      <c r="AD332" s="3"/>
      <c r="AO332" s="292"/>
      <c r="AZ332" s="292"/>
      <c r="BP332" s="7">
        <v>231</v>
      </c>
    </row>
    <row r="333" spans="1:68" s="7" customFormat="1" x14ac:dyDescent="0.25">
      <c r="A333" s="3"/>
      <c r="B333" s="3"/>
      <c r="C333" s="3"/>
      <c r="D333" s="3"/>
      <c r="E333" s="3"/>
      <c r="F333" s="3"/>
      <c r="G333" s="3"/>
      <c r="H333" s="3"/>
      <c r="I333" s="3"/>
      <c r="J333" s="3"/>
      <c r="K333" s="3"/>
      <c r="L333" s="3"/>
      <c r="M333" s="3"/>
      <c r="N333" s="3"/>
      <c r="O333" s="3"/>
      <c r="P333" s="3"/>
      <c r="Q333" s="3"/>
      <c r="R333" s="3"/>
      <c r="S333" s="3"/>
      <c r="T333" s="3"/>
      <c r="U333" s="3"/>
      <c r="V333" s="3"/>
      <c r="W333" s="3"/>
      <c r="X333" s="3"/>
      <c r="Y333" s="3"/>
      <c r="Z333" s="3"/>
      <c r="AA333" s="3"/>
      <c r="AB333" s="3"/>
      <c r="AC333" s="3"/>
      <c r="AD333" s="3"/>
      <c r="AO333" s="292"/>
      <c r="AZ333" s="292"/>
      <c r="BP333" s="7">
        <v>232</v>
      </c>
    </row>
    <row r="334" spans="1:68" s="7" customFormat="1" x14ac:dyDescent="0.25">
      <c r="A334" s="3"/>
      <c r="B334" s="3"/>
      <c r="C334" s="3"/>
      <c r="D334" s="3"/>
      <c r="E334" s="3"/>
      <c r="F334" s="3"/>
      <c r="G334" s="3"/>
      <c r="H334" s="3"/>
      <c r="I334" s="3"/>
      <c r="J334" s="3"/>
      <c r="K334" s="3"/>
      <c r="L334" s="3"/>
      <c r="M334" s="3"/>
      <c r="N334" s="3"/>
      <c r="O334" s="3"/>
      <c r="P334" s="3"/>
      <c r="Q334" s="3"/>
      <c r="R334" s="3"/>
      <c r="S334" s="3"/>
      <c r="T334" s="3"/>
      <c r="U334" s="3"/>
      <c r="V334" s="3"/>
      <c r="W334" s="3"/>
      <c r="X334" s="3"/>
      <c r="Y334" s="3"/>
      <c r="Z334" s="3"/>
      <c r="AA334" s="3"/>
      <c r="AB334" s="3"/>
      <c r="AC334" s="3"/>
      <c r="AD334" s="3"/>
      <c r="AO334" s="292"/>
      <c r="AZ334" s="292"/>
      <c r="BP334" s="7">
        <v>233</v>
      </c>
    </row>
    <row r="335" spans="1:68" s="7" customFormat="1" x14ac:dyDescent="0.25">
      <c r="A335" s="3"/>
      <c r="B335" s="3"/>
      <c r="C335" s="3"/>
      <c r="D335" s="3"/>
      <c r="E335" s="3"/>
      <c r="F335" s="3"/>
      <c r="G335" s="3"/>
      <c r="H335" s="3"/>
      <c r="I335" s="3"/>
      <c r="J335" s="3"/>
      <c r="K335" s="3"/>
      <c r="L335" s="3"/>
      <c r="M335" s="3"/>
      <c r="N335" s="3"/>
      <c r="O335" s="3"/>
      <c r="P335" s="3"/>
      <c r="Q335" s="3"/>
      <c r="R335" s="3"/>
      <c r="S335" s="3"/>
      <c r="T335" s="3"/>
      <c r="U335" s="3"/>
      <c r="V335" s="3"/>
      <c r="W335" s="3"/>
      <c r="X335" s="3"/>
      <c r="Y335" s="3"/>
      <c r="Z335" s="3"/>
      <c r="AA335" s="3"/>
      <c r="AB335" s="3"/>
      <c r="AC335" s="3"/>
      <c r="AD335" s="3"/>
      <c r="AO335" s="292"/>
      <c r="AZ335" s="292"/>
      <c r="BP335" s="7">
        <v>234</v>
      </c>
    </row>
    <row r="336" spans="1:68" s="7" customFormat="1" x14ac:dyDescent="0.25">
      <c r="A336" s="3"/>
      <c r="B336" s="3"/>
      <c r="C336" s="3"/>
      <c r="D336" s="3"/>
      <c r="E336" s="3"/>
      <c r="F336" s="3"/>
      <c r="G336" s="3"/>
      <c r="H336" s="3"/>
      <c r="I336" s="3"/>
      <c r="J336" s="3"/>
      <c r="K336" s="3"/>
      <c r="L336" s="3"/>
      <c r="M336" s="3"/>
      <c r="N336" s="3"/>
      <c r="O336" s="3"/>
      <c r="P336" s="3"/>
      <c r="Q336" s="3"/>
      <c r="R336" s="3"/>
      <c r="S336" s="3"/>
      <c r="T336" s="3"/>
      <c r="U336" s="3"/>
      <c r="V336" s="3"/>
      <c r="W336" s="3"/>
      <c r="X336" s="3"/>
      <c r="Y336" s="3"/>
      <c r="Z336" s="3"/>
      <c r="AA336" s="3"/>
      <c r="AB336" s="3"/>
      <c r="AC336" s="3"/>
      <c r="AD336" s="3"/>
      <c r="AO336" s="292"/>
      <c r="AZ336" s="292"/>
      <c r="BP336" s="7">
        <v>235</v>
      </c>
    </row>
    <row r="337" spans="1:68" s="7" customFormat="1" x14ac:dyDescent="0.25">
      <c r="A337" s="3"/>
      <c r="B337" s="3"/>
      <c r="C337" s="3"/>
      <c r="D337" s="3"/>
      <c r="E337" s="3"/>
      <c r="F337" s="3"/>
      <c r="G337" s="3"/>
      <c r="H337" s="3"/>
      <c r="I337" s="3"/>
      <c r="J337" s="3"/>
      <c r="K337" s="3"/>
      <c r="L337" s="3"/>
      <c r="M337" s="3"/>
      <c r="N337" s="3"/>
      <c r="O337" s="3"/>
      <c r="P337" s="3"/>
      <c r="Q337" s="3"/>
      <c r="R337" s="3"/>
      <c r="S337" s="3"/>
      <c r="T337" s="3"/>
      <c r="U337" s="3"/>
      <c r="V337" s="3"/>
      <c r="W337" s="3"/>
      <c r="X337" s="3"/>
      <c r="Y337" s="3"/>
      <c r="Z337" s="3"/>
      <c r="AA337" s="3"/>
      <c r="AB337" s="3"/>
      <c r="AC337" s="3"/>
      <c r="AD337" s="3"/>
      <c r="AO337" s="292"/>
      <c r="AZ337" s="292"/>
      <c r="BP337" s="7">
        <v>236</v>
      </c>
    </row>
    <row r="338" spans="1:68" s="7" customFormat="1" x14ac:dyDescent="0.25">
      <c r="A338" s="3"/>
      <c r="B338" s="3"/>
      <c r="C338" s="3"/>
      <c r="D338" s="3"/>
      <c r="E338" s="3"/>
      <c r="F338" s="3"/>
      <c r="G338" s="3"/>
      <c r="H338" s="3"/>
      <c r="I338" s="3"/>
      <c r="J338" s="3"/>
      <c r="K338" s="3"/>
      <c r="L338" s="3"/>
      <c r="M338" s="3"/>
      <c r="N338" s="3"/>
      <c r="O338" s="3"/>
      <c r="P338" s="3"/>
      <c r="Q338" s="3"/>
      <c r="R338" s="3"/>
      <c r="S338" s="3"/>
      <c r="T338" s="3"/>
      <c r="U338" s="3"/>
      <c r="V338" s="3"/>
      <c r="W338" s="3"/>
      <c r="X338" s="3"/>
      <c r="Y338" s="3"/>
      <c r="Z338" s="3"/>
      <c r="AA338" s="3"/>
      <c r="AB338" s="3"/>
      <c r="AC338" s="3"/>
      <c r="AD338" s="3"/>
      <c r="AO338" s="292"/>
      <c r="AZ338" s="292"/>
      <c r="BP338" s="7">
        <v>237</v>
      </c>
    </row>
    <row r="339" spans="1:68" s="7" customFormat="1" x14ac:dyDescent="0.25">
      <c r="A339" s="3"/>
      <c r="B339" s="3"/>
      <c r="C339" s="3"/>
      <c r="D339" s="3"/>
      <c r="E339" s="3"/>
      <c r="F339" s="3"/>
      <c r="G339" s="3"/>
      <c r="H339" s="3"/>
      <c r="I339" s="3"/>
      <c r="J339" s="3"/>
      <c r="K339" s="3"/>
      <c r="L339" s="3"/>
      <c r="M339" s="3"/>
      <c r="N339" s="3"/>
      <c r="O339" s="3"/>
      <c r="P339" s="3"/>
      <c r="Q339" s="3"/>
      <c r="R339" s="3"/>
      <c r="S339" s="3"/>
      <c r="T339" s="3"/>
      <c r="U339" s="3"/>
      <c r="V339" s="3"/>
      <c r="W339" s="3"/>
      <c r="X339" s="3"/>
      <c r="Y339" s="3"/>
      <c r="Z339" s="3"/>
      <c r="AA339" s="3"/>
      <c r="AB339" s="3"/>
      <c r="AC339" s="3"/>
      <c r="AD339" s="3"/>
      <c r="AO339" s="292"/>
      <c r="AZ339" s="292"/>
      <c r="BP339" s="7">
        <v>238</v>
      </c>
    </row>
    <row r="340" spans="1:68" s="7" customFormat="1" x14ac:dyDescent="0.25">
      <c r="A340" s="3"/>
      <c r="B340" s="3"/>
      <c r="C340" s="3"/>
      <c r="D340" s="3"/>
      <c r="E340" s="3"/>
      <c r="F340" s="3"/>
      <c r="G340" s="3"/>
      <c r="H340" s="3"/>
      <c r="I340" s="3"/>
      <c r="J340" s="3"/>
      <c r="K340" s="3"/>
      <c r="L340" s="3"/>
      <c r="M340" s="3"/>
      <c r="N340" s="3"/>
      <c r="O340" s="3"/>
      <c r="P340" s="3"/>
      <c r="Q340" s="3"/>
      <c r="R340" s="3"/>
      <c r="S340" s="3"/>
      <c r="T340" s="3"/>
      <c r="U340" s="3"/>
      <c r="V340" s="3"/>
      <c r="W340" s="3"/>
      <c r="X340" s="3"/>
      <c r="Y340" s="3"/>
      <c r="Z340" s="3"/>
      <c r="AA340" s="3"/>
      <c r="AB340" s="3"/>
      <c r="AC340" s="3"/>
      <c r="AD340" s="3"/>
      <c r="AO340" s="292"/>
      <c r="AZ340" s="292"/>
      <c r="BP340" s="7">
        <v>239</v>
      </c>
    </row>
    <row r="341" spans="1:68" s="7" customFormat="1" x14ac:dyDescent="0.25">
      <c r="A341" s="3"/>
      <c r="B341" s="3"/>
      <c r="C341" s="3"/>
      <c r="D341" s="3"/>
      <c r="E341" s="3"/>
      <c r="F341" s="3"/>
      <c r="G341" s="3"/>
      <c r="H341" s="3"/>
      <c r="I341" s="3"/>
      <c r="J341" s="3"/>
      <c r="K341" s="3"/>
      <c r="L341" s="3"/>
      <c r="M341" s="3"/>
      <c r="N341" s="3"/>
      <c r="O341" s="3"/>
      <c r="P341" s="3"/>
      <c r="Q341" s="3"/>
      <c r="R341" s="3"/>
      <c r="S341" s="3"/>
      <c r="T341" s="3"/>
      <c r="U341" s="3"/>
      <c r="V341" s="3"/>
      <c r="W341" s="3"/>
      <c r="X341" s="3"/>
      <c r="Y341" s="3"/>
      <c r="Z341" s="3"/>
      <c r="AA341" s="3"/>
      <c r="AB341" s="3"/>
      <c r="AC341" s="3"/>
      <c r="AD341" s="3"/>
      <c r="AO341" s="292"/>
      <c r="AZ341" s="292"/>
      <c r="BP341" s="7">
        <v>240</v>
      </c>
    </row>
    <row r="342" spans="1:68" s="7" customFormat="1" x14ac:dyDescent="0.25">
      <c r="A342" s="3"/>
      <c r="B342" s="3"/>
      <c r="C342" s="3"/>
      <c r="D342" s="3"/>
      <c r="E342" s="3"/>
      <c r="F342" s="3"/>
      <c r="G342" s="3"/>
      <c r="H342" s="3"/>
      <c r="I342" s="3"/>
      <c r="J342" s="3"/>
      <c r="K342" s="3"/>
      <c r="L342" s="3"/>
      <c r="M342" s="3"/>
      <c r="N342" s="3"/>
      <c r="O342" s="3"/>
      <c r="P342" s="3"/>
      <c r="Q342" s="3"/>
      <c r="R342" s="3"/>
      <c r="S342" s="3"/>
      <c r="T342" s="3"/>
      <c r="U342" s="3"/>
      <c r="V342" s="3"/>
      <c r="W342" s="3"/>
      <c r="X342" s="3"/>
      <c r="Y342" s="3"/>
      <c r="Z342" s="3"/>
      <c r="AA342" s="3"/>
      <c r="AB342" s="3"/>
      <c r="AC342" s="3"/>
      <c r="AD342" s="3"/>
      <c r="AO342" s="292"/>
      <c r="AZ342" s="292"/>
      <c r="BP342" s="7">
        <v>241</v>
      </c>
    </row>
    <row r="343" spans="1:68" s="7" customFormat="1" x14ac:dyDescent="0.25">
      <c r="A343" s="3"/>
      <c r="B343" s="3"/>
      <c r="C343" s="3"/>
      <c r="D343" s="3"/>
      <c r="E343" s="3"/>
      <c r="F343" s="3"/>
      <c r="G343" s="3"/>
      <c r="H343" s="3"/>
      <c r="I343" s="3"/>
      <c r="J343" s="3"/>
      <c r="K343" s="3"/>
      <c r="L343" s="3"/>
      <c r="M343" s="3"/>
      <c r="N343" s="3"/>
      <c r="O343" s="3"/>
      <c r="P343" s="3"/>
      <c r="Q343" s="3"/>
      <c r="R343" s="3"/>
      <c r="S343" s="3"/>
      <c r="T343" s="3"/>
      <c r="U343" s="3"/>
      <c r="V343" s="3"/>
      <c r="W343" s="3"/>
      <c r="X343" s="3"/>
      <c r="Y343" s="3"/>
      <c r="Z343" s="3"/>
      <c r="AA343" s="3"/>
      <c r="AB343" s="3"/>
      <c r="AC343" s="3"/>
      <c r="AD343" s="3"/>
      <c r="AO343" s="292"/>
      <c r="AZ343" s="292"/>
      <c r="BP343" s="7">
        <v>242</v>
      </c>
    </row>
    <row r="344" spans="1:68" s="7" customFormat="1" x14ac:dyDescent="0.25">
      <c r="A344" s="3"/>
      <c r="B344" s="3"/>
      <c r="C344" s="3"/>
      <c r="D344" s="3"/>
      <c r="E344" s="3"/>
      <c r="F344" s="3"/>
      <c r="G344" s="3"/>
      <c r="H344" s="3"/>
      <c r="I344" s="3"/>
      <c r="J344" s="3"/>
      <c r="K344" s="3"/>
      <c r="L344" s="3"/>
      <c r="M344" s="3"/>
      <c r="N344" s="3"/>
      <c r="O344" s="3"/>
      <c r="P344" s="3"/>
      <c r="Q344" s="3"/>
      <c r="R344" s="3"/>
      <c r="S344" s="3"/>
      <c r="T344" s="3"/>
      <c r="U344" s="3"/>
      <c r="V344" s="3"/>
      <c r="W344" s="3"/>
      <c r="X344" s="3"/>
      <c r="Y344" s="3"/>
      <c r="Z344" s="3"/>
      <c r="AA344" s="3"/>
      <c r="AB344" s="3"/>
      <c r="AC344" s="3"/>
      <c r="AD344" s="3"/>
      <c r="AO344" s="292"/>
      <c r="AZ344" s="292"/>
      <c r="BP344" s="7">
        <v>243</v>
      </c>
    </row>
    <row r="345" spans="1:68" s="7" customFormat="1" x14ac:dyDescent="0.25">
      <c r="A345" s="3"/>
      <c r="B345" s="3"/>
      <c r="C345" s="3"/>
      <c r="D345" s="3"/>
      <c r="E345" s="3"/>
      <c r="F345" s="3"/>
      <c r="G345" s="3"/>
      <c r="H345" s="3"/>
      <c r="I345" s="3"/>
      <c r="J345" s="3"/>
      <c r="K345" s="3"/>
      <c r="L345" s="3"/>
      <c r="M345" s="3"/>
      <c r="N345" s="3"/>
      <c r="O345" s="3"/>
      <c r="P345" s="3"/>
      <c r="Q345" s="3"/>
      <c r="R345" s="3"/>
      <c r="S345" s="3"/>
      <c r="T345" s="3"/>
      <c r="U345" s="3"/>
      <c r="V345" s="3"/>
      <c r="W345" s="3"/>
      <c r="X345" s="3"/>
      <c r="Y345" s="3"/>
      <c r="Z345" s="3"/>
      <c r="AA345" s="3"/>
      <c r="AB345" s="3"/>
      <c r="AC345" s="3"/>
      <c r="AD345" s="3"/>
      <c r="AO345" s="292"/>
      <c r="AZ345" s="292"/>
      <c r="BP345" s="7">
        <v>244</v>
      </c>
    </row>
    <row r="346" spans="1:68" s="7" customFormat="1" x14ac:dyDescent="0.25">
      <c r="A346" s="3"/>
      <c r="B346" s="3"/>
      <c r="C346" s="3"/>
      <c r="D346" s="3"/>
      <c r="E346" s="3"/>
      <c r="F346" s="3"/>
      <c r="G346" s="3"/>
      <c r="H346" s="3"/>
      <c r="I346" s="3"/>
      <c r="J346" s="3"/>
      <c r="K346" s="3"/>
      <c r="L346" s="3"/>
      <c r="M346" s="3"/>
      <c r="N346" s="3"/>
      <c r="O346" s="3"/>
      <c r="P346" s="3"/>
      <c r="Q346" s="3"/>
      <c r="R346" s="3"/>
      <c r="S346" s="3"/>
      <c r="T346" s="3"/>
      <c r="U346" s="3"/>
      <c r="V346" s="3"/>
      <c r="W346" s="3"/>
      <c r="X346" s="3"/>
      <c r="Y346" s="3"/>
      <c r="Z346" s="3"/>
      <c r="AA346" s="3"/>
      <c r="AB346" s="3"/>
      <c r="AC346" s="3"/>
      <c r="AD346" s="3"/>
      <c r="AO346" s="292"/>
      <c r="AZ346" s="292"/>
      <c r="BP346" s="7">
        <v>245</v>
      </c>
    </row>
    <row r="347" spans="1:68" s="7" customFormat="1" x14ac:dyDescent="0.25">
      <c r="A347" s="3"/>
      <c r="B347" s="3"/>
      <c r="C347" s="3"/>
      <c r="D347" s="3"/>
      <c r="E347" s="3"/>
      <c r="F347" s="3"/>
      <c r="G347" s="3"/>
      <c r="H347" s="3"/>
      <c r="I347" s="3"/>
      <c r="J347" s="3"/>
      <c r="K347" s="3"/>
      <c r="L347" s="3"/>
      <c r="M347" s="3"/>
      <c r="N347" s="3"/>
      <c r="O347" s="3"/>
      <c r="P347" s="3"/>
      <c r="Q347" s="3"/>
      <c r="R347" s="3"/>
      <c r="S347" s="3"/>
      <c r="T347" s="3"/>
      <c r="U347" s="3"/>
      <c r="V347" s="3"/>
      <c r="W347" s="3"/>
      <c r="X347" s="3"/>
      <c r="Y347" s="3"/>
      <c r="Z347" s="3"/>
      <c r="AA347" s="3"/>
      <c r="AB347" s="3"/>
      <c r="AC347" s="3"/>
      <c r="AD347" s="3"/>
      <c r="AO347" s="292"/>
      <c r="AZ347" s="292"/>
      <c r="BP347" s="7">
        <v>246</v>
      </c>
    </row>
    <row r="348" spans="1:68" s="7" customFormat="1" x14ac:dyDescent="0.25">
      <c r="A348" s="3"/>
      <c r="B348" s="3"/>
      <c r="C348" s="3"/>
      <c r="D348" s="3"/>
      <c r="E348" s="3"/>
      <c r="F348" s="3"/>
      <c r="G348" s="3"/>
      <c r="H348" s="3"/>
      <c r="I348" s="3"/>
      <c r="J348" s="3"/>
      <c r="K348" s="3"/>
      <c r="L348" s="3"/>
      <c r="M348" s="3"/>
      <c r="N348" s="3"/>
      <c r="O348" s="3"/>
      <c r="P348" s="3"/>
      <c r="Q348" s="3"/>
      <c r="R348" s="3"/>
      <c r="S348" s="3"/>
      <c r="T348" s="3"/>
      <c r="U348" s="3"/>
      <c r="V348" s="3"/>
      <c r="W348" s="3"/>
      <c r="X348" s="3"/>
      <c r="Y348" s="3"/>
      <c r="Z348" s="3"/>
      <c r="AA348" s="3"/>
      <c r="AB348" s="3"/>
      <c r="AC348" s="3"/>
      <c r="AD348" s="3"/>
      <c r="AO348" s="292"/>
      <c r="AZ348" s="292"/>
      <c r="BP348" s="7">
        <v>247</v>
      </c>
    </row>
    <row r="349" spans="1:68" s="7" customFormat="1" x14ac:dyDescent="0.25">
      <c r="A349" s="3"/>
      <c r="B349" s="3"/>
      <c r="C349" s="3"/>
      <c r="D349" s="3"/>
      <c r="E349" s="3"/>
      <c r="F349" s="3"/>
      <c r="G349" s="3"/>
      <c r="H349" s="3"/>
      <c r="I349" s="3"/>
      <c r="J349" s="3"/>
      <c r="K349" s="3"/>
      <c r="L349" s="3"/>
      <c r="M349" s="3"/>
      <c r="N349" s="3"/>
      <c r="O349" s="3"/>
      <c r="P349" s="3"/>
      <c r="Q349" s="3"/>
      <c r="R349" s="3"/>
      <c r="S349" s="3"/>
      <c r="T349" s="3"/>
      <c r="U349" s="3"/>
      <c r="V349" s="3"/>
      <c r="W349" s="3"/>
      <c r="X349" s="3"/>
      <c r="Y349" s="3"/>
      <c r="Z349" s="3"/>
      <c r="AA349" s="3"/>
      <c r="AB349" s="3"/>
      <c r="AC349" s="3"/>
      <c r="AD349" s="3"/>
      <c r="AO349" s="292"/>
      <c r="AZ349" s="292"/>
      <c r="BP349" s="7">
        <v>248</v>
      </c>
    </row>
    <row r="350" spans="1:68" s="7" customFormat="1" x14ac:dyDescent="0.25">
      <c r="A350" s="3"/>
      <c r="B350" s="3"/>
      <c r="C350" s="3"/>
      <c r="D350" s="3"/>
      <c r="E350" s="3"/>
      <c r="F350" s="3"/>
      <c r="G350" s="3"/>
      <c r="H350" s="3"/>
      <c r="I350" s="3"/>
      <c r="J350" s="3"/>
      <c r="K350" s="3"/>
      <c r="L350" s="3"/>
      <c r="M350" s="3"/>
      <c r="N350" s="3"/>
      <c r="O350" s="3"/>
      <c r="P350" s="3"/>
      <c r="Q350" s="3"/>
      <c r="R350" s="3"/>
      <c r="S350" s="3"/>
      <c r="T350" s="3"/>
      <c r="U350" s="3"/>
      <c r="V350" s="3"/>
      <c r="W350" s="3"/>
      <c r="X350" s="3"/>
      <c r="Y350" s="3"/>
      <c r="Z350" s="3"/>
      <c r="AA350" s="3"/>
      <c r="AB350" s="3"/>
      <c r="AC350" s="3"/>
      <c r="AD350" s="3"/>
      <c r="AO350" s="292"/>
      <c r="AZ350" s="292"/>
      <c r="BP350" s="7">
        <v>249</v>
      </c>
    </row>
    <row r="351" spans="1:68" s="7" customFormat="1" x14ac:dyDescent="0.25">
      <c r="A351" s="3"/>
      <c r="B351" s="3"/>
      <c r="C351" s="3"/>
      <c r="D351" s="3"/>
      <c r="E351" s="3"/>
      <c r="F351" s="3"/>
      <c r="G351" s="3"/>
      <c r="H351" s="3"/>
      <c r="I351" s="3"/>
      <c r="J351" s="3"/>
      <c r="K351" s="3"/>
      <c r="L351" s="3"/>
      <c r="M351" s="3"/>
      <c r="N351" s="3"/>
      <c r="O351" s="3"/>
      <c r="P351" s="3"/>
      <c r="Q351" s="3"/>
      <c r="R351" s="3"/>
      <c r="S351" s="3"/>
      <c r="T351" s="3"/>
      <c r="U351" s="3"/>
      <c r="V351" s="3"/>
      <c r="W351" s="3"/>
      <c r="X351" s="3"/>
      <c r="Y351" s="3"/>
      <c r="Z351" s="3"/>
      <c r="AA351" s="3"/>
      <c r="AB351" s="3"/>
      <c r="AC351" s="3"/>
      <c r="AD351" s="3"/>
      <c r="AO351" s="292"/>
      <c r="AZ351" s="292"/>
      <c r="BP351" s="7">
        <v>250</v>
      </c>
    </row>
    <row r="352" spans="1:68" s="7" customFormat="1" x14ac:dyDescent="0.25">
      <c r="A352" s="3"/>
      <c r="B352" s="3"/>
      <c r="C352" s="3"/>
      <c r="D352" s="3"/>
      <c r="E352" s="3"/>
      <c r="F352" s="3"/>
      <c r="G352" s="3"/>
      <c r="H352" s="3"/>
      <c r="I352" s="3"/>
      <c r="J352" s="3"/>
      <c r="K352" s="3"/>
      <c r="L352" s="3"/>
      <c r="M352" s="3"/>
      <c r="N352" s="3"/>
      <c r="O352" s="3"/>
      <c r="P352" s="3"/>
      <c r="Q352" s="3"/>
      <c r="R352" s="3"/>
      <c r="S352" s="3"/>
      <c r="T352" s="3"/>
      <c r="U352" s="3"/>
      <c r="V352" s="3"/>
      <c r="W352" s="3"/>
      <c r="X352" s="3"/>
      <c r="Y352" s="3"/>
      <c r="Z352" s="3"/>
      <c r="AA352" s="3"/>
      <c r="AB352" s="3"/>
      <c r="AC352" s="3"/>
      <c r="AD352" s="3"/>
      <c r="AO352" s="292"/>
      <c r="AZ352" s="292"/>
      <c r="BP352" s="7">
        <v>251</v>
      </c>
    </row>
    <row r="353" spans="1:68" s="7" customFormat="1" x14ac:dyDescent="0.25">
      <c r="A353" s="3"/>
      <c r="B353" s="3"/>
      <c r="C353" s="3"/>
      <c r="D353" s="3"/>
      <c r="E353" s="3"/>
      <c r="F353" s="3"/>
      <c r="G353" s="3"/>
      <c r="H353" s="3"/>
      <c r="I353" s="3"/>
      <c r="J353" s="3"/>
      <c r="K353" s="3"/>
      <c r="L353" s="3"/>
      <c r="M353" s="3"/>
      <c r="N353" s="3"/>
      <c r="O353" s="3"/>
      <c r="P353" s="3"/>
      <c r="Q353" s="3"/>
      <c r="R353" s="3"/>
      <c r="S353" s="3"/>
      <c r="T353" s="3"/>
      <c r="U353" s="3"/>
      <c r="V353" s="3"/>
      <c r="W353" s="3"/>
      <c r="X353" s="3"/>
      <c r="Y353" s="3"/>
      <c r="Z353" s="3"/>
      <c r="AA353" s="3"/>
      <c r="AB353" s="3"/>
      <c r="AC353" s="3"/>
      <c r="AD353" s="3"/>
      <c r="AO353" s="292"/>
      <c r="AZ353" s="292"/>
      <c r="BP353" s="7">
        <v>252</v>
      </c>
    </row>
    <row r="354" spans="1:68" s="7" customFormat="1" x14ac:dyDescent="0.25">
      <c r="A354" s="3"/>
      <c r="B354" s="3"/>
      <c r="C354" s="3"/>
      <c r="D354" s="3"/>
      <c r="E354" s="3"/>
      <c r="F354" s="3"/>
      <c r="G354" s="3"/>
      <c r="H354" s="3"/>
      <c r="I354" s="3"/>
      <c r="J354" s="3"/>
      <c r="K354" s="3"/>
      <c r="L354" s="3"/>
      <c r="M354" s="3"/>
      <c r="N354" s="3"/>
      <c r="O354" s="3"/>
      <c r="P354" s="3"/>
      <c r="Q354" s="3"/>
      <c r="R354" s="3"/>
      <c r="S354" s="3"/>
      <c r="T354" s="3"/>
      <c r="U354" s="3"/>
      <c r="V354" s="3"/>
      <c r="W354" s="3"/>
      <c r="X354" s="3"/>
      <c r="Y354" s="3"/>
      <c r="Z354" s="3"/>
      <c r="AA354" s="3"/>
      <c r="AB354" s="3"/>
      <c r="AC354" s="3"/>
      <c r="AD354" s="3"/>
      <c r="AO354" s="292"/>
      <c r="AZ354" s="292"/>
      <c r="BP354" s="7">
        <v>253</v>
      </c>
    </row>
    <row r="355" spans="1:68" s="7" customFormat="1" x14ac:dyDescent="0.25">
      <c r="A355" s="3"/>
      <c r="B355" s="3"/>
      <c r="C355" s="3"/>
      <c r="D355" s="3"/>
      <c r="E355" s="3"/>
      <c r="F355" s="3"/>
      <c r="G355" s="3"/>
      <c r="H355" s="3"/>
      <c r="I355" s="3"/>
      <c r="J355" s="3"/>
      <c r="K355" s="3"/>
      <c r="L355" s="3"/>
      <c r="M355" s="3"/>
      <c r="N355" s="3"/>
      <c r="O355" s="3"/>
      <c r="P355" s="3"/>
      <c r="Q355" s="3"/>
      <c r="R355" s="3"/>
      <c r="S355" s="3"/>
      <c r="T355" s="3"/>
      <c r="U355" s="3"/>
      <c r="V355" s="3"/>
      <c r="W355" s="3"/>
      <c r="X355" s="3"/>
      <c r="Y355" s="3"/>
      <c r="Z355" s="3"/>
      <c r="AA355" s="3"/>
      <c r="AB355" s="3"/>
      <c r="AC355" s="3"/>
      <c r="AD355" s="3"/>
      <c r="AO355" s="292"/>
      <c r="AZ355" s="292"/>
      <c r="BP355" s="7">
        <v>254</v>
      </c>
    </row>
    <row r="356" spans="1:68" s="7" customFormat="1" x14ac:dyDescent="0.25">
      <c r="A356" s="3"/>
      <c r="B356" s="3"/>
      <c r="C356" s="3"/>
      <c r="D356" s="3"/>
      <c r="E356" s="3"/>
      <c r="F356" s="3"/>
      <c r="G356" s="3"/>
      <c r="H356" s="3"/>
      <c r="I356" s="3"/>
      <c r="J356" s="3"/>
      <c r="K356" s="3"/>
      <c r="L356" s="3"/>
      <c r="M356" s="3"/>
      <c r="N356" s="3"/>
      <c r="O356" s="3"/>
      <c r="P356" s="3"/>
      <c r="Q356" s="3"/>
      <c r="R356" s="3"/>
      <c r="S356" s="3"/>
      <c r="T356" s="3"/>
      <c r="U356" s="3"/>
      <c r="V356" s="3"/>
      <c r="W356" s="3"/>
      <c r="X356" s="3"/>
      <c r="Y356" s="3"/>
      <c r="Z356" s="3"/>
      <c r="AA356" s="3"/>
      <c r="AB356" s="3"/>
      <c r="AC356" s="3"/>
      <c r="AD356" s="3"/>
      <c r="AO356" s="292"/>
      <c r="AZ356" s="292"/>
      <c r="BP356" s="7">
        <v>255</v>
      </c>
    </row>
    <row r="357" spans="1:68" s="7" customFormat="1" x14ac:dyDescent="0.25">
      <c r="A357" s="3"/>
      <c r="B357" s="3"/>
      <c r="C357" s="3"/>
      <c r="D357" s="3"/>
      <c r="E357" s="3"/>
      <c r="F357" s="3"/>
      <c r="G357" s="3"/>
      <c r="H357" s="3"/>
      <c r="I357" s="3"/>
      <c r="J357" s="3"/>
      <c r="K357" s="3"/>
      <c r="L357" s="3"/>
      <c r="M357" s="3"/>
      <c r="N357" s="3"/>
      <c r="O357" s="3"/>
      <c r="P357" s="3"/>
      <c r="Q357" s="3"/>
      <c r="R357" s="3"/>
      <c r="S357" s="3"/>
      <c r="T357" s="3"/>
      <c r="U357" s="3"/>
      <c r="V357" s="3"/>
      <c r="W357" s="3"/>
      <c r="X357" s="3"/>
      <c r="Y357" s="3"/>
      <c r="Z357" s="3"/>
      <c r="AA357" s="3"/>
      <c r="AB357" s="3"/>
      <c r="AC357" s="3"/>
      <c r="AD357" s="3"/>
      <c r="AO357" s="292"/>
      <c r="AZ357" s="292"/>
      <c r="BP357" s="7">
        <v>256</v>
      </c>
    </row>
    <row r="358" spans="1:68" s="7" customFormat="1" x14ac:dyDescent="0.25">
      <c r="A358" s="3"/>
      <c r="B358" s="3"/>
      <c r="C358" s="3"/>
      <c r="D358" s="3"/>
      <c r="E358" s="3"/>
      <c r="F358" s="3"/>
      <c r="G358" s="3"/>
      <c r="H358" s="3"/>
      <c r="I358" s="3"/>
      <c r="J358" s="3"/>
      <c r="K358" s="3"/>
      <c r="L358" s="3"/>
      <c r="M358" s="3"/>
      <c r="N358" s="3"/>
      <c r="O358" s="3"/>
      <c r="P358" s="3"/>
      <c r="Q358" s="3"/>
      <c r="R358" s="3"/>
      <c r="S358" s="3"/>
      <c r="T358" s="3"/>
      <c r="U358" s="3"/>
      <c r="V358" s="3"/>
      <c r="W358" s="3"/>
      <c r="X358" s="3"/>
      <c r="Y358" s="3"/>
      <c r="Z358" s="3"/>
      <c r="AA358" s="3"/>
      <c r="AB358" s="3"/>
      <c r="AC358" s="3"/>
      <c r="AD358" s="3"/>
      <c r="AO358" s="292"/>
      <c r="AZ358" s="292"/>
      <c r="BP358" s="7">
        <v>257</v>
      </c>
    </row>
    <row r="359" spans="1:68" s="7" customFormat="1" x14ac:dyDescent="0.25">
      <c r="A359" s="3"/>
      <c r="B359" s="3"/>
      <c r="C359" s="3"/>
      <c r="D359" s="3"/>
      <c r="E359" s="3"/>
      <c r="F359" s="3"/>
      <c r="G359" s="3"/>
      <c r="H359" s="3"/>
      <c r="I359" s="3"/>
      <c r="J359" s="3"/>
      <c r="K359" s="3"/>
      <c r="L359" s="3"/>
      <c r="M359" s="3"/>
      <c r="N359" s="3"/>
      <c r="O359" s="3"/>
      <c r="P359" s="3"/>
      <c r="Q359" s="3"/>
      <c r="R359" s="3"/>
      <c r="S359" s="3"/>
      <c r="T359" s="3"/>
      <c r="U359" s="3"/>
      <c r="V359" s="3"/>
      <c r="W359" s="3"/>
      <c r="X359" s="3"/>
      <c r="Y359" s="3"/>
      <c r="Z359" s="3"/>
      <c r="AA359" s="3"/>
      <c r="AB359" s="3"/>
      <c r="AC359" s="3"/>
      <c r="AD359" s="3"/>
      <c r="AO359" s="292"/>
      <c r="AZ359" s="292"/>
      <c r="BP359" s="7">
        <v>258</v>
      </c>
    </row>
    <row r="360" spans="1:68" s="7" customFormat="1" x14ac:dyDescent="0.25">
      <c r="A360" s="3"/>
      <c r="B360" s="3"/>
      <c r="C360" s="3"/>
      <c r="D360" s="3"/>
      <c r="E360" s="3"/>
      <c r="F360" s="3"/>
      <c r="G360" s="3"/>
      <c r="H360" s="3"/>
      <c r="I360" s="3"/>
      <c r="J360" s="3"/>
      <c r="K360" s="3"/>
      <c r="L360" s="3"/>
      <c r="M360" s="3"/>
      <c r="N360" s="3"/>
      <c r="O360" s="3"/>
      <c r="P360" s="3"/>
      <c r="Q360" s="3"/>
      <c r="R360" s="3"/>
      <c r="S360" s="3"/>
      <c r="T360" s="3"/>
      <c r="U360" s="3"/>
      <c r="V360" s="3"/>
      <c r="W360" s="3"/>
      <c r="X360" s="3"/>
      <c r="Y360" s="3"/>
      <c r="Z360" s="3"/>
      <c r="AA360" s="3"/>
      <c r="AB360" s="3"/>
      <c r="AC360" s="3"/>
      <c r="AD360" s="3"/>
      <c r="AO360" s="292"/>
      <c r="AZ360" s="292"/>
      <c r="BP360" s="7">
        <v>259</v>
      </c>
    </row>
    <row r="361" spans="1:68" s="7" customFormat="1" x14ac:dyDescent="0.25">
      <c r="A361" s="3"/>
      <c r="B361" s="3"/>
      <c r="C361" s="3"/>
      <c r="D361" s="3"/>
      <c r="E361" s="3"/>
      <c r="F361" s="3"/>
      <c r="G361" s="3"/>
      <c r="H361" s="3"/>
      <c r="I361" s="3"/>
      <c r="J361" s="3"/>
      <c r="K361" s="3"/>
      <c r="L361" s="3"/>
      <c r="M361" s="3"/>
      <c r="N361" s="3"/>
      <c r="O361" s="3"/>
      <c r="P361" s="3"/>
      <c r="Q361" s="3"/>
      <c r="R361" s="3"/>
      <c r="S361" s="3"/>
      <c r="T361" s="3"/>
      <c r="U361" s="3"/>
      <c r="V361" s="3"/>
      <c r="W361" s="3"/>
      <c r="X361" s="3"/>
      <c r="Y361" s="3"/>
      <c r="Z361" s="3"/>
      <c r="AA361" s="3"/>
      <c r="AB361" s="3"/>
      <c r="AC361" s="3"/>
      <c r="AD361" s="3"/>
      <c r="AO361" s="292"/>
      <c r="AZ361" s="292"/>
      <c r="BP361" s="7">
        <v>260</v>
      </c>
    </row>
    <row r="362" spans="1:68" s="7" customFormat="1" x14ac:dyDescent="0.25">
      <c r="A362" s="3"/>
      <c r="B362" s="3"/>
      <c r="C362" s="3"/>
      <c r="D362" s="3"/>
      <c r="E362" s="3"/>
      <c r="F362" s="3"/>
      <c r="G362" s="3"/>
      <c r="H362" s="3"/>
      <c r="I362" s="3"/>
      <c r="J362" s="3"/>
      <c r="K362" s="3"/>
      <c r="L362" s="3"/>
      <c r="M362" s="3"/>
      <c r="N362" s="3"/>
      <c r="O362" s="3"/>
      <c r="P362" s="3"/>
      <c r="Q362" s="3"/>
      <c r="R362" s="3"/>
      <c r="S362" s="3"/>
      <c r="T362" s="3"/>
      <c r="U362" s="3"/>
      <c r="V362" s="3"/>
      <c r="W362" s="3"/>
      <c r="X362" s="3"/>
      <c r="Y362" s="3"/>
      <c r="Z362" s="3"/>
      <c r="AA362" s="3"/>
      <c r="AB362" s="3"/>
      <c r="AC362" s="3"/>
      <c r="AD362" s="3"/>
      <c r="AO362" s="292"/>
      <c r="AZ362" s="292"/>
      <c r="BP362" s="7">
        <v>261</v>
      </c>
    </row>
    <row r="363" spans="1:68" s="7" customFormat="1" x14ac:dyDescent="0.25">
      <c r="A363" s="3"/>
      <c r="B363" s="3"/>
      <c r="C363" s="3"/>
      <c r="D363" s="3"/>
      <c r="E363" s="3"/>
      <c r="F363" s="3"/>
      <c r="G363" s="3"/>
      <c r="H363" s="3"/>
      <c r="I363" s="3"/>
      <c r="J363" s="3"/>
      <c r="K363" s="3"/>
      <c r="L363" s="3"/>
      <c r="M363" s="3"/>
      <c r="N363" s="3"/>
      <c r="O363" s="3"/>
      <c r="P363" s="3"/>
      <c r="Q363" s="3"/>
      <c r="R363" s="3"/>
      <c r="S363" s="3"/>
      <c r="T363" s="3"/>
      <c r="U363" s="3"/>
      <c r="V363" s="3"/>
      <c r="W363" s="3"/>
      <c r="X363" s="3"/>
      <c r="Y363" s="3"/>
      <c r="Z363" s="3"/>
      <c r="AA363" s="3"/>
      <c r="AB363" s="3"/>
      <c r="AC363" s="3"/>
      <c r="AD363" s="3"/>
      <c r="AO363" s="292"/>
      <c r="AZ363" s="292"/>
      <c r="BP363" s="7">
        <v>262</v>
      </c>
    </row>
    <row r="364" spans="1:68" s="7" customFormat="1" x14ac:dyDescent="0.25">
      <c r="A364" s="3"/>
      <c r="B364" s="3"/>
      <c r="C364" s="3"/>
      <c r="D364" s="3"/>
      <c r="E364" s="3"/>
      <c r="F364" s="3"/>
      <c r="G364" s="3"/>
      <c r="H364" s="3"/>
      <c r="I364" s="3"/>
      <c r="J364" s="3"/>
      <c r="K364" s="3"/>
      <c r="L364" s="3"/>
      <c r="M364" s="3"/>
      <c r="N364" s="3"/>
      <c r="O364" s="3"/>
      <c r="P364" s="3"/>
      <c r="Q364" s="3"/>
      <c r="R364" s="3"/>
      <c r="S364" s="3"/>
      <c r="T364" s="3"/>
      <c r="U364" s="3"/>
      <c r="V364" s="3"/>
      <c r="W364" s="3"/>
      <c r="X364" s="3"/>
      <c r="Y364" s="3"/>
      <c r="Z364" s="3"/>
      <c r="AA364" s="3"/>
      <c r="AB364" s="3"/>
      <c r="AC364" s="3"/>
      <c r="AD364" s="3"/>
      <c r="AO364" s="292"/>
      <c r="AZ364" s="292"/>
      <c r="BP364" s="7">
        <v>263</v>
      </c>
    </row>
    <row r="365" spans="1:68" s="7" customFormat="1" x14ac:dyDescent="0.25">
      <c r="A365" s="3"/>
      <c r="B365" s="3"/>
      <c r="C365" s="3"/>
      <c r="D365" s="3"/>
      <c r="E365" s="3"/>
      <c r="F365" s="3"/>
      <c r="G365" s="3"/>
      <c r="H365" s="3"/>
      <c r="I365" s="3"/>
      <c r="J365" s="3"/>
      <c r="K365" s="3"/>
      <c r="L365" s="3"/>
      <c r="M365" s="3"/>
      <c r="N365" s="3"/>
      <c r="O365" s="3"/>
      <c r="P365" s="3"/>
      <c r="Q365" s="3"/>
      <c r="R365" s="3"/>
      <c r="S365" s="3"/>
      <c r="T365" s="3"/>
      <c r="U365" s="3"/>
      <c r="V365" s="3"/>
      <c r="W365" s="3"/>
      <c r="X365" s="3"/>
      <c r="Y365" s="3"/>
      <c r="Z365" s="3"/>
      <c r="AA365" s="3"/>
      <c r="AB365" s="3"/>
      <c r="AC365" s="3"/>
      <c r="AD365" s="3"/>
      <c r="AO365" s="292"/>
      <c r="AZ365" s="292"/>
      <c r="BP365" s="7">
        <v>264</v>
      </c>
    </row>
    <row r="366" spans="1:68" s="7" customFormat="1" x14ac:dyDescent="0.25">
      <c r="A366" s="3"/>
      <c r="B366" s="3"/>
      <c r="C366" s="3"/>
      <c r="D366" s="3"/>
      <c r="E366" s="3"/>
      <c r="F366" s="3"/>
      <c r="G366" s="3"/>
      <c r="H366" s="3"/>
      <c r="I366" s="3"/>
      <c r="J366" s="3"/>
      <c r="K366" s="3"/>
      <c r="L366" s="3"/>
      <c r="M366" s="3"/>
      <c r="N366" s="3"/>
      <c r="O366" s="3"/>
      <c r="P366" s="3"/>
      <c r="Q366" s="3"/>
      <c r="R366" s="3"/>
      <c r="S366" s="3"/>
      <c r="T366" s="3"/>
      <c r="U366" s="3"/>
      <c r="V366" s="3"/>
      <c r="W366" s="3"/>
      <c r="X366" s="3"/>
      <c r="Y366" s="3"/>
      <c r="Z366" s="3"/>
      <c r="AA366" s="3"/>
      <c r="AB366" s="3"/>
      <c r="AC366" s="3"/>
      <c r="AD366" s="3"/>
      <c r="AO366" s="292"/>
      <c r="AZ366" s="292"/>
      <c r="BP366" s="7">
        <v>265</v>
      </c>
    </row>
    <row r="367" spans="1:68" s="7" customFormat="1" x14ac:dyDescent="0.25">
      <c r="A367" s="3"/>
      <c r="B367" s="3"/>
      <c r="C367" s="3"/>
      <c r="D367" s="3"/>
      <c r="E367" s="3"/>
      <c r="F367" s="3"/>
      <c r="G367" s="3"/>
      <c r="H367" s="3"/>
      <c r="I367" s="3"/>
      <c r="J367" s="3"/>
      <c r="K367" s="3"/>
      <c r="L367" s="3"/>
      <c r="M367" s="3"/>
      <c r="N367" s="3"/>
      <c r="O367" s="3"/>
      <c r="P367" s="3"/>
      <c r="Q367" s="3"/>
      <c r="R367" s="3"/>
      <c r="S367" s="3"/>
      <c r="T367" s="3"/>
      <c r="U367" s="3"/>
      <c r="V367" s="3"/>
      <c r="W367" s="3"/>
      <c r="X367" s="3"/>
      <c r="Y367" s="3"/>
      <c r="Z367" s="3"/>
      <c r="AA367" s="3"/>
      <c r="AB367" s="3"/>
      <c r="AC367" s="3"/>
      <c r="AD367" s="3"/>
      <c r="AO367" s="292"/>
      <c r="AZ367" s="292"/>
      <c r="BP367" s="7">
        <v>266</v>
      </c>
    </row>
    <row r="368" spans="1:68" s="7" customFormat="1" x14ac:dyDescent="0.25">
      <c r="A368" s="3"/>
      <c r="B368" s="3"/>
      <c r="C368" s="3"/>
      <c r="D368" s="3"/>
      <c r="E368" s="3"/>
      <c r="F368" s="3"/>
      <c r="G368" s="3"/>
      <c r="H368" s="3"/>
      <c r="I368" s="3"/>
      <c r="J368" s="3"/>
      <c r="K368" s="3"/>
      <c r="L368" s="3"/>
      <c r="M368" s="3"/>
      <c r="N368" s="3"/>
      <c r="O368" s="3"/>
      <c r="P368" s="3"/>
      <c r="Q368" s="3"/>
      <c r="R368" s="3"/>
      <c r="S368" s="3"/>
      <c r="T368" s="3"/>
      <c r="U368" s="3"/>
      <c r="V368" s="3"/>
      <c r="W368" s="3"/>
      <c r="X368" s="3"/>
      <c r="Y368" s="3"/>
      <c r="Z368" s="3"/>
      <c r="AA368" s="3"/>
      <c r="AB368" s="3"/>
      <c r="AC368" s="3"/>
      <c r="AD368" s="3"/>
      <c r="AO368" s="292"/>
      <c r="AZ368" s="292"/>
      <c r="BP368" s="7">
        <v>267</v>
      </c>
    </row>
    <row r="369" spans="1:68" s="7" customFormat="1" x14ac:dyDescent="0.25">
      <c r="A369" s="3"/>
      <c r="B369" s="3"/>
      <c r="C369" s="3"/>
      <c r="D369" s="3"/>
      <c r="E369" s="3"/>
      <c r="F369" s="3"/>
      <c r="G369" s="3"/>
      <c r="H369" s="3"/>
      <c r="I369" s="3"/>
      <c r="J369" s="3"/>
      <c r="K369" s="3"/>
      <c r="L369" s="3"/>
      <c r="M369" s="3"/>
      <c r="N369" s="3"/>
      <c r="O369" s="3"/>
      <c r="P369" s="3"/>
      <c r="Q369" s="3"/>
      <c r="R369" s="3"/>
      <c r="S369" s="3"/>
      <c r="T369" s="3"/>
      <c r="U369" s="3"/>
      <c r="V369" s="3"/>
      <c r="W369" s="3"/>
      <c r="X369" s="3"/>
      <c r="Y369" s="3"/>
      <c r="Z369" s="3"/>
      <c r="AA369" s="3"/>
      <c r="AB369" s="3"/>
      <c r="AC369" s="3"/>
      <c r="AD369" s="3"/>
      <c r="AO369" s="292"/>
      <c r="AZ369" s="292"/>
      <c r="BP369" s="7">
        <v>268</v>
      </c>
    </row>
    <row r="370" spans="1:68" s="7" customFormat="1" x14ac:dyDescent="0.25">
      <c r="A370" s="3"/>
      <c r="B370" s="3"/>
      <c r="C370" s="3"/>
      <c r="D370" s="3"/>
      <c r="E370" s="3"/>
      <c r="F370" s="3"/>
      <c r="G370" s="3"/>
      <c r="H370" s="3"/>
      <c r="I370" s="3"/>
      <c r="J370" s="3"/>
      <c r="K370" s="3"/>
      <c r="L370" s="3"/>
      <c r="M370" s="3"/>
      <c r="N370" s="3"/>
      <c r="O370" s="3"/>
      <c r="P370" s="3"/>
      <c r="Q370" s="3"/>
      <c r="R370" s="3"/>
      <c r="S370" s="3"/>
      <c r="T370" s="3"/>
      <c r="U370" s="3"/>
      <c r="V370" s="3"/>
      <c r="W370" s="3"/>
      <c r="X370" s="3"/>
      <c r="Y370" s="3"/>
      <c r="Z370" s="3"/>
      <c r="AA370" s="3"/>
      <c r="AB370" s="3"/>
      <c r="AC370" s="3"/>
      <c r="AD370" s="3"/>
      <c r="AO370" s="292"/>
      <c r="AZ370" s="292"/>
      <c r="BP370" s="7">
        <v>269</v>
      </c>
    </row>
    <row r="371" spans="1:68" s="7" customFormat="1" x14ac:dyDescent="0.25">
      <c r="A371" s="3"/>
      <c r="B371" s="3"/>
      <c r="C371" s="3"/>
      <c r="D371" s="3"/>
      <c r="E371" s="3"/>
      <c r="F371" s="3"/>
      <c r="G371" s="3"/>
      <c r="H371" s="3"/>
      <c r="I371" s="3"/>
      <c r="J371" s="3"/>
      <c r="K371" s="3"/>
      <c r="L371" s="3"/>
      <c r="M371" s="3"/>
      <c r="N371" s="3"/>
      <c r="O371" s="3"/>
      <c r="P371" s="3"/>
      <c r="Q371" s="3"/>
      <c r="R371" s="3"/>
      <c r="S371" s="3"/>
      <c r="T371" s="3"/>
      <c r="U371" s="3"/>
      <c r="V371" s="3"/>
      <c r="W371" s="3"/>
      <c r="X371" s="3"/>
      <c r="Y371" s="3"/>
      <c r="Z371" s="3"/>
      <c r="AA371" s="3"/>
      <c r="AB371" s="3"/>
      <c r="AC371" s="3"/>
      <c r="AD371" s="3"/>
      <c r="AO371" s="292"/>
      <c r="AZ371" s="292"/>
      <c r="BP371" s="7">
        <v>270</v>
      </c>
    </row>
    <row r="372" spans="1:68" s="7" customFormat="1" x14ac:dyDescent="0.25">
      <c r="A372" s="3"/>
      <c r="B372" s="3"/>
      <c r="C372" s="3"/>
      <c r="D372" s="3"/>
      <c r="E372" s="3"/>
      <c r="F372" s="3"/>
      <c r="G372" s="3"/>
      <c r="H372" s="3"/>
      <c r="I372" s="3"/>
      <c r="J372" s="3"/>
      <c r="K372" s="3"/>
      <c r="L372" s="3"/>
      <c r="M372" s="3"/>
      <c r="N372" s="3"/>
      <c r="O372" s="3"/>
      <c r="P372" s="3"/>
      <c r="Q372" s="3"/>
      <c r="R372" s="3"/>
      <c r="S372" s="3"/>
      <c r="T372" s="3"/>
      <c r="U372" s="3"/>
      <c r="V372" s="3"/>
      <c r="W372" s="3"/>
      <c r="X372" s="3"/>
      <c r="Y372" s="3"/>
      <c r="Z372" s="3"/>
      <c r="AA372" s="3"/>
      <c r="AB372" s="3"/>
      <c r="AC372" s="3"/>
      <c r="AD372" s="3"/>
      <c r="AO372" s="292"/>
      <c r="AZ372" s="292"/>
      <c r="BP372" s="7">
        <v>271</v>
      </c>
    </row>
    <row r="373" spans="1:68" s="7" customFormat="1" x14ac:dyDescent="0.25">
      <c r="A373" s="3"/>
      <c r="B373" s="3"/>
      <c r="C373" s="3"/>
      <c r="D373" s="3"/>
      <c r="E373" s="3"/>
      <c r="F373" s="3"/>
      <c r="G373" s="3"/>
      <c r="H373" s="3"/>
      <c r="I373" s="3"/>
      <c r="J373" s="3"/>
      <c r="K373" s="3"/>
      <c r="L373" s="3"/>
      <c r="M373" s="3"/>
      <c r="N373" s="3"/>
      <c r="O373" s="3"/>
      <c r="P373" s="3"/>
      <c r="Q373" s="3"/>
      <c r="R373" s="3"/>
      <c r="S373" s="3"/>
      <c r="T373" s="3"/>
      <c r="U373" s="3"/>
      <c r="V373" s="3"/>
      <c r="W373" s="3"/>
      <c r="X373" s="3"/>
      <c r="Y373" s="3"/>
      <c r="Z373" s="3"/>
      <c r="AA373" s="3"/>
      <c r="AB373" s="3"/>
      <c r="AC373" s="3"/>
      <c r="AD373" s="3"/>
      <c r="AO373" s="292"/>
      <c r="AZ373" s="292"/>
      <c r="BP373" s="7">
        <v>272</v>
      </c>
    </row>
    <row r="374" spans="1:68" s="7" customFormat="1" x14ac:dyDescent="0.25">
      <c r="A374" s="3"/>
      <c r="B374" s="3"/>
      <c r="C374" s="3"/>
      <c r="D374" s="3"/>
      <c r="E374" s="3"/>
      <c r="F374" s="3"/>
      <c r="G374" s="3"/>
      <c r="H374" s="3"/>
      <c r="I374" s="3"/>
      <c r="J374" s="3"/>
      <c r="K374" s="3"/>
      <c r="L374" s="3"/>
      <c r="M374" s="3"/>
      <c r="N374" s="3"/>
      <c r="O374" s="3"/>
      <c r="P374" s="3"/>
      <c r="Q374" s="3"/>
      <c r="R374" s="3"/>
      <c r="S374" s="3"/>
      <c r="T374" s="3"/>
      <c r="U374" s="3"/>
      <c r="V374" s="3"/>
      <c r="W374" s="3"/>
      <c r="X374" s="3"/>
      <c r="Y374" s="3"/>
      <c r="Z374" s="3"/>
      <c r="AA374" s="3"/>
      <c r="AB374" s="3"/>
      <c r="AC374" s="3"/>
      <c r="AD374" s="3"/>
      <c r="AO374" s="292"/>
      <c r="AZ374" s="292"/>
      <c r="BP374" s="7">
        <v>273</v>
      </c>
    </row>
    <row r="375" spans="1:68" s="7" customFormat="1" x14ac:dyDescent="0.25">
      <c r="A375" s="3"/>
      <c r="B375" s="3"/>
      <c r="C375" s="3"/>
      <c r="D375" s="3"/>
      <c r="E375" s="3"/>
      <c r="F375" s="3"/>
      <c r="G375" s="3"/>
      <c r="H375" s="3"/>
      <c r="I375" s="3"/>
      <c r="J375" s="3"/>
      <c r="K375" s="3"/>
      <c r="L375" s="3"/>
      <c r="M375" s="3"/>
      <c r="N375" s="3"/>
      <c r="O375" s="3"/>
      <c r="P375" s="3"/>
      <c r="Q375" s="3"/>
      <c r="R375" s="3"/>
      <c r="S375" s="3"/>
      <c r="T375" s="3"/>
      <c r="U375" s="3"/>
      <c r="V375" s="3"/>
      <c r="W375" s="3"/>
      <c r="X375" s="3"/>
      <c r="Y375" s="3"/>
      <c r="Z375" s="3"/>
      <c r="AA375" s="3"/>
      <c r="AB375" s="3"/>
      <c r="AC375" s="3"/>
      <c r="AD375" s="3"/>
      <c r="AO375" s="292"/>
      <c r="AZ375" s="292"/>
      <c r="BP375" s="7">
        <v>274</v>
      </c>
    </row>
    <row r="376" spans="1:68" s="7" customFormat="1" x14ac:dyDescent="0.25">
      <c r="A376" s="3"/>
      <c r="B376" s="3"/>
      <c r="C376" s="3"/>
      <c r="D376" s="3"/>
      <c r="E376" s="3"/>
      <c r="F376" s="3"/>
      <c r="G376" s="3"/>
      <c r="H376" s="3"/>
      <c r="I376" s="3"/>
      <c r="J376" s="3"/>
      <c r="K376" s="3"/>
      <c r="L376" s="3"/>
      <c r="M376" s="3"/>
      <c r="N376" s="3"/>
      <c r="O376" s="3"/>
      <c r="P376" s="3"/>
      <c r="Q376" s="3"/>
      <c r="R376" s="3"/>
      <c r="S376" s="3"/>
      <c r="T376" s="3"/>
      <c r="U376" s="3"/>
      <c r="V376" s="3"/>
      <c r="W376" s="3"/>
      <c r="X376" s="3"/>
      <c r="Y376" s="3"/>
      <c r="Z376" s="3"/>
      <c r="AA376" s="3"/>
      <c r="AB376" s="3"/>
      <c r="AC376" s="3"/>
      <c r="AD376" s="3"/>
      <c r="AO376" s="292"/>
      <c r="AZ376" s="292"/>
      <c r="BP376" s="7">
        <v>275</v>
      </c>
    </row>
    <row r="377" spans="1:68" s="7" customFormat="1" x14ac:dyDescent="0.25">
      <c r="A377" s="3"/>
      <c r="B377" s="3"/>
      <c r="C377" s="3"/>
      <c r="D377" s="3"/>
      <c r="E377" s="3"/>
      <c r="F377" s="3"/>
      <c r="G377" s="3"/>
      <c r="H377" s="3"/>
      <c r="I377" s="3"/>
      <c r="J377" s="3"/>
      <c r="K377" s="3"/>
      <c r="L377" s="3"/>
      <c r="M377" s="3"/>
      <c r="N377" s="3"/>
      <c r="O377" s="3"/>
      <c r="P377" s="3"/>
      <c r="Q377" s="3"/>
      <c r="R377" s="3"/>
      <c r="S377" s="3"/>
      <c r="T377" s="3"/>
      <c r="U377" s="3"/>
      <c r="V377" s="3"/>
      <c r="W377" s="3"/>
      <c r="X377" s="3"/>
      <c r="Y377" s="3"/>
      <c r="Z377" s="3"/>
      <c r="AA377" s="3"/>
      <c r="AB377" s="3"/>
      <c r="AC377" s="3"/>
      <c r="AD377" s="3"/>
      <c r="AO377" s="292"/>
      <c r="AZ377" s="292"/>
      <c r="BP377" s="7">
        <v>276</v>
      </c>
    </row>
    <row r="378" spans="1:68" s="7" customFormat="1" x14ac:dyDescent="0.25">
      <c r="A378" s="3"/>
      <c r="B378" s="3"/>
      <c r="C378" s="3"/>
      <c r="D378" s="3"/>
      <c r="E378" s="3"/>
      <c r="F378" s="3"/>
      <c r="G378" s="3"/>
      <c r="H378" s="3"/>
      <c r="I378" s="3"/>
      <c r="J378" s="3"/>
      <c r="K378" s="3"/>
      <c r="L378" s="3"/>
      <c r="M378" s="3"/>
      <c r="N378" s="3"/>
      <c r="O378" s="3"/>
      <c r="P378" s="3"/>
      <c r="Q378" s="3"/>
      <c r="R378" s="3"/>
      <c r="S378" s="3"/>
      <c r="T378" s="3"/>
      <c r="U378" s="3"/>
      <c r="V378" s="3"/>
      <c r="W378" s="3"/>
      <c r="X378" s="3"/>
      <c r="Y378" s="3"/>
      <c r="Z378" s="3"/>
      <c r="AA378" s="3"/>
      <c r="AB378" s="3"/>
      <c r="AC378" s="3"/>
      <c r="AD378" s="3"/>
      <c r="AO378" s="292"/>
      <c r="AZ378" s="292"/>
      <c r="BP378" s="7">
        <v>277</v>
      </c>
    </row>
    <row r="379" spans="1:68" s="7" customFormat="1" x14ac:dyDescent="0.25">
      <c r="A379" s="3"/>
      <c r="B379" s="3"/>
      <c r="C379" s="3"/>
      <c r="D379" s="3"/>
      <c r="E379" s="3"/>
      <c r="F379" s="3"/>
      <c r="G379" s="3"/>
      <c r="H379" s="3"/>
      <c r="I379" s="3"/>
      <c r="J379" s="3"/>
      <c r="K379" s="3"/>
      <c r="L379" s="3"/>
      <c r="M379" s="3"/>
      <c r="N379" s="3"/>
      <c r="O379" s="3"/>
      <c r="P379" s="3"/>
      <c r="Q379" s="3"/>
      <c r="R379" s="3"/>
      <c r="S379" s="3"/>
      <c r="T379" s="3"/>
      <c r="U379" s="3"/>
      <c r="V379" s="3"/>
      <c r="W379" s="3"/>
      <c r="X379" s="3"/>
      <c r="Y379" s="3"/>
      <c r="Z379" s="3"/>
      <c r="AA379" s="3"/>
      <c r="AB379" s="3"/>
      <c r="AC379" s="3"/>
      <c r="AD379" s="3"/>
      <c r="AO379" s="292"/>
      <c r="AZ379" s="292"/>
      <c r="BP379" s="7">
        <v>278</v>
      </c>
    </row>
    <row r="380" spans="1:68" s="7" customFormat="1" x14ac:dyDescent="0.25">
      <c r="A380" s="3"/>
      <c r="B380" s="3"/>
      <c r="C380" s="3"/>
      <c r="D380" s="3"/>
      <c r="E380" s="3"/>
      <c r="F380" s="3"/>
      <c r="G380" s="3"/>
      <c r="H380" s="3"/>
      <c r="I380" s="3"/>
      <c r="J380" s="3"/>
      <c r="K380" s="3"/>
      <c r="L380" s="3"/>
      <c r="M380" s="3"/>
      <c r="N380" s="3"/>
      <c r="O380" s="3"/>
      <c r="P380" s="3"/>
      <c r="Q380" s="3"/>
      <c r="R380" s="3"/>
      <c r="S380" s="3"/>
      <c r="T380" s="3"/>
      <c r="U380" s="3"/>
      <c r="V380" s="3"/>
      <c r="W380" s="3"/>
      <c r="X380" s="3"/>
      <c r="Y380" s="3"/>
      <c r="Z380" s="3"/>
      <c r="AA380" s="3"/>
      <c r="AB380" s="3"/>
      <c r="AC380" s="3"/>
      <c r="AD380" s="3"/>
      <c r="AO380" s="292"/>
      <c r="AZ380" s="292"/>
      <c r="BP380" s="7">
        <v>279</v>
      </c>
    </row>
    <row r="381" spans="1:68" s="7" customFormat="1" x14ac:dyDescent="0.25">
      <c r="A381" s="3"/>
      <c r="B381" s="3"/>
      <c r="C381" s="3"/>
      <c r="D381" s="3"/>
      <c r="E381" s="3"/>
      <c r="F381" s="3"/>
      <c r="G381" s="3"/>
      <c r="H381" s="3"/>
      <c r="I381" s="3"/>
      <c r="J381" s="3"/>
      <c r="K381" s="3"/>
      <c r="L381" s="3"/>
      <c r="M381" s="3"/>
      <c r="N381" s="3"/>
      <c r="O381" s="3"/>
      <c r="P381" s="3"/>
      <c r="Q381" s="3"/>
      <c r="R381" s="3"/>
      <c r="S381" s="3"/>
      <c r="T381" s="3"/>
      <c r="U381" s="3"/>
      <c r="V381" s="3"/>
      <c r="W381" s="3"/>
      <c r="X381" s="3"/>
      <c r="Y381" s="3"/>
      <c r="Z381" s="3"/>
      <c r="AA381" s="3"/>
      <c r="AB381" s="3"/>
      <c r="AC381" s="3"/>
      <c r="AD381" s="3"/>
      <c r="AO381" s="292"/>
      <c r="AZ381" s="292"/>
      <c r="BP381" s="7">
        <v>280</v>
      </c>
    </row>
    <row r="382" spans="1:68" s="7" customFormat="1" x14ac:dyDescent="0.25">
      <c r="A382" s="3"/>
      <c r="B382" s="3"/>
      <c r="C382" s="3"/>
      <c r="D382" s="3"/>
      <c r="E382" s="3"/>
      <c r="F382" s="3"/>
      <c r="G382" s="3"/>
      <c r="H382" s="3"/>
      <c r="I382" s="3"/>
      <c r="J382" s="3"/>
      <c r="K382" s="3"/>
      <c r="L382" s="3"/>
      <c r="M382" s="3"/>
      <c r="N382" s="3"/>
      <c r="O382" s="3"/>
      <c r="P382" s="3"/>
      <c r="Q382" s="3"/>
      <c r="R382" s="3"/>
      <c r="S382" s="3"/>
      <c r="T382" s="3"/>
      <c r="U382" s="3"/>
      <c r="V382" s="3"/>
      <c r="W382" s="3"/>
      <c r="X382" s="3"/>
      <c r="Y382" s="3"/>
      <c r="Z382" s="3"/>
      <c r="AA382" s="3"/>
      <c r="AB382" s="3"/>
      <c r="AC382" s="3"/>
      <c r="AD382" s="3"/>
      <c r="AO382" s="292"/>
      <c r="AZ382" s="292"/>
      <c r="BP382" s="7">
        <v>281</v>
      </c>
    </row>
    <row r="383" spans="1:68" s="7" customFormat="1" x14ac:dyDescent="0.25">
      <c r="A383" s="3"/>
      <c r="B383" s="3"/>
      <c r="C383" s="3"/>
      <c r="D383" s="3"/>
      <c r="E383" s="3"/>
      <c r="F383" s="3"/>
      <c r="G383" s="3"/>
      <c r="H383" s="3"/>
      <c r="I383" s="3"/>
      <c r="J383" s="3"/>
      <c r="K383" s="3"/>
      <c r="L383" s="3"/>
      <c r="M383" s="3"/>
      <c r="N383" s="3"/>
      <c r="O383" s="3"/>
      <c r="P383" s="3"/>
      <c r="Q383" s="3"/>
      <c r="R383" s="3"/>
      <c r="S383" s="3"/>
      <c r="T383" s="3"/>
      <c r="U383" s="3"/>
      <c r="V383" s="3"/>
      <c r="W383" s="3"/>
      <c r="X383" s="3"/>
      <c r="Y383" s="3"/>
      <c r="Z383" s="3"/>
      <c r="AA383" s="3"/>
      <c r="AB383" s="3"/>
      <c r="AC383" s="3"/>
      <c r="AD383" s="3"/>
      <c r="AO383" s="292"/>
      <c r="AZ383" s="292"/>
      <c r="BP383" s="7">
        <v>282</v>
      </c>
    </row>
    <row r="384" spans="1:68" s="7" customFormat="1" x14ac:dyDescent="0.25">
      <c r="A384" s="3"/>
      <c r="B384" s="3"/>
      <c r="C384" s="3"/>
      <c r="D384" s="3"/>
      <c r="E384" s="3"/>
      <c r="F384" s="3"/>
      <c r="G384" s="3"/>
      <c r="H384" s="3"/>
      <c r="I384" s="3"/>
      <c r="J384" s="3"/>
      <c r="K384" s="3"/>
      <c r="L384" s="3"/>
      <c r="M384" s="3"/>
      <c r="N384" s="3"/>
      <c r="O384" s="3"/>
      <c r="P384" s="3"/>
      <c r="Q384" s="3"/>
      <c r="R384" s="3"/>
      <c r="S384" s="3"/>
      <c r="T384" s="3"/>
      <c r="U384" s="3"/>
      <c r="V384" s="3"/>
      <c r="W384" s="3"/>
      <c r="X384" s="3"/>
      <c r="Y384" s="3"/>
      <c r="Z384" s="3"/>
      <c r="AA384" s="3"/>
      <c r="AB384" s="3"/>
      <c r="AC384" s="3"/>
      <c r="AD384" s="3"/>
      <c r="AO384" s="292"/>
      <c r="AZ384" s="292"/>
      <c r="BP384" s="7">
        <v>283</v>
      </c>
    </row>
    <row r="385" spans="1:68" s="7" customFormat="1" x14ac:dyDescent="0.25">
      <c r="A385" s="3"/>
      <c r="B385" s="3"/>
      <c r="C385" s="3"/>
      <c r="D385" s="3"/>
      <c r="E385" s="3"/>
      <c r="F385" s="3"/>
      <c r="G385" s="3"/>
      <c r="H385" s="3"/>
      <c r="I385" s="3"/>
      <c r="J385" s="3"/>
      <c r="K385" s="3"/>
      <c r="L385" s="3"/>
      <c r="M385" s="3"/>
      <c r="N385" s="3"/>
      <c r="O385" s="3"/>
      <c r="P385" s="3"/>
      <c r="Q385" s="3"/>
      <c r="R385" s="3"/>
      <c r="S385" s="3"/>
      <c r="T385" s="3"/>
      <c r="U385" s="3"/>
      <c r="V385" s="3"/>
      <c r="W385" s="3"/>
      <c r="X385" s="3"/>
      <c r="Y385" s="3"/>
      <c r="Z385" s="3"/>
      <c r="AA385" s="3"/>
      <c r="AB385" s="3"/>
      <c r="AC385" s="3"/>
      <c r="AD385" s="3"/>
      <c r="AO385" s="292"/>
      <c r="AZ385" s="292"/>
      <c r="BP385" s="7">
        <v>284</v>
      </c>
    </row>
    <row r="386" spans="1:68" s="7" customFormat="1" x14ac:dyDescent="0.25">
      <c r="A386" s="3"/>
      <c r="B386" s="3"/>
      <c r="C386" s="3"/>
      <c r="D386" s="3"/>
      <c r="E386" s="3"/>
      <c r="F386" s="3"/>
      <c r="G386" s="3"/>
      <c r="H386" s="3"/>
      <c r="I386" s="3"/>
      <c r="J386" s="3"/>
      <c r="K386" s="3"/>
      <c r="L386" s="3"/>
      <c r="M386" s="3"/>
      <c r="N386" s="3"/>
      <c r="O386" s="3"/>
      <c r="P386" s="3"/>
      <c r="Q386" s="3"/>
      <c r="R386" s="3"/>
      <c r="S386" s="3"/>
      <c r="T386" s="3"/>
      <c r="U386" s="3"/>
      <c r="V386" s="3"/>
      <c r="W386" s="3"/>
      <c r="X386" s="3"/>
      <c r="Y386" s="3"/>
      <c r="Z386" s="3"/>
      <c r="AA386" s="3"/>
      <c r="AB386" s="3"/>
      <c r="AC386" s="3"/>
      <c r="AD386" s="3"/>
      <c r="AO386" s="292"/>
      <c r="AZ386" s="292"/>
      <c r="BP386" s="7">
        <v>285</v>
      </c>
    </row>
    <row r="387" spans="1:68" s="7" customFormat="1" x14ac:dyDescent="0.25">
      <c r="A387" s="3"/>
      <c r="B387" s="3"/>
      <c r="C387" s="3"/>
      <c r="D387" s="3"/>
      <c r="E387" s="3"/>
      <c r="F387" s="3"/>
      <c r="G387" s="3"/>
      <c r="H387" s="3"/>
      <c r="I387" s="3"/>
      <c r="J387" s="3"/>
      <c r="K387" s="3"/>
      <c r="L387" s="3"/>
      <c r="M387" s="3"/>
      <c r="N387" s="3"/>
      <c r="O387" s="3"/>
      <c r="P387" s="3"/>
      <c r="Q387" s="3"/>
      <c r="R387" s="3"/>
      <c r="S387" s="3"/>
      <c r="T387" s="3"/>
      <c r="U387" s="3"/>
      <c r="V387" s="3"/>
      <c r="W387" s="3"/>
      <c r="X387" s="3"/>
      <c r="Y387" s="3"/>
      <c r="Z387" s="3"/>
      <c r="AA387" s="3"/>
      <c r="AB387" s="3"/>
      <c r="AC387" s="3"/>
      <c r="AD387" s="3"/>
      <c r="AO387" s="292"/>
      <c r="AZ387" s="292"/>
      <c r="BP387" s="7">
        <v>286</v>
      </c>
    </row>
    <row r="388" spans="1:68" s="7" customFormat="1" x14ac:dyDescent="0.25">
      <c r="A388" s="3"/>
      <c r="B388" s="3"/>
      <c r="C388" s="3"/>
      <c r="D388" s="3"/>
      <c r="E388" s="3"/>
      <c r="F388" s="3"/>
      <c r="G388" s="3"/>
      <c r="H388" s="3"/>
      <c r="I388" s="3"/>
      <c r="J388" s="3"/>
      <c r="K388" s="3"/>
      <c r="L388" s="3"/>
      <c r="M388" s="3"/>
      <c r="N388" s="3"/>
      <c r="O388" s="3"/>
      <c r="P388" s="3"/>
      <c r="Q388" s="3"/>
      <c r="R388" s="3"/>
      <c r="S388" s="3"/>
      <c r="T388" s="3"/>
      <c r="U388" s="3"/>
      <c r="V388" s="3"/>
      <c r="W388" s="3"/>
      <c r="X388" s="3"/>
      <c r="Y388" s="3"/>
      <c r="Z388" s="3"/>
      <c r="AA388" s="3"/>
      <c r="AB388" s="3"/>
      <c r="AC388" s="3"/>
      <c r="AD388" s="3"/>
      <c r="AO388" s="292"/>
      <c r="AZ388" s="292"/>
      <c r="BP388" s="7">
        <v>287</v>
      </c>
    </row>
    <row r="389" spans="1:68" s="7" customFormat="1" x14ac:dyDescent="0.25">
      <c r="A389" s="3"/>
      <c r="B389" s="3"/>
      <c r="C389" s="3"/>
      <c r="D389" s="3"/>
      <c r="E389" s="3"/>
      <c r="F389" s="3"/>
      <c r="G389" s="3"/>
      <c r="H389" s="3"/>
      <c r="I389" s="3"/>
      <c r="J389" s="3"/>
      <c r="K389" s="3"/>
      <c r="L389" s="3"/>
      <c r="M389" s="3"/>
      <c r="N389" s="3"/>
      <c r="O389" s="3"/>
      <c r="P389" s="3"/>
      <c r="Q389" s="3"/>
      <c r="R389" s="3"/>
      <c r="S389" s="3"/>
      <c r="T389" s="3"/>
      <c r="U389" s="3"/>
      <c r="V389" s="3"/>
      <c r="W389" s="3"/>
      <c r="X389" s="3"/>
      <c r="Y389" s="3"/>
      <c r="Z389" s="3"/>
      <c r="AA389" s="3"/>
      <c r="AB389" s="3"/>
      <c r="AC389" s="3"/>
      <c r="AD389" s="3"/>
      <c r="AO389" s="292"/>
      <c r="AZ389" s="292"/>
      <c r="BP389" s="7">
        <v>288</v>
      </c>
    </row>
    <row r="390" spans="1:68" s="7" customFormat="1" x14ac:dyDescent="0.25">
      <c r="A390" s="3"/>
      <c r="B390" s="3"/>
      <c r="C390" s="3"/>
      <c r="D390" s="3"/>
      <c r="E390" s="3"/>
      <c r="F390" s="3"/>
      <c r="G390" s="3"/>
      <c r="H390" s="3"/>
      <c r="I390" s="3"/>
      <c r="J390" s="3"/>
      <c r="K390" s="3"/>
      <c r="L390" s="3"/>
      <c r="M390" s="3"/>
      <c r="N390" s="3"/>
      <c r="O390" s="3"/>
      <c r="P390" s="3"/>
      <c r="Q390" s="3"/>
      <c r="R390" s="3"/>
      <c r="S390" s="3"/>
      <c r="T390" s="3"/>
      <c r="U390" s="3"/>
      <c r="V390" s="3"/>
      <c r="W390" s="3"/>
      <c r="X390" s="3"/>
      <c r="Y390" s="3"/>
      <c r="Z390" s="3"/>
      <c r="AA390" s="3"/>
      <c r="AB390" s="3"/>
      <c r="AC390" s="3"/>
      <c r="AD390" s="3"/>
      <c r="AO390" s="292"/>
      <c r="AZ390" s="292"/>
      <c r="BP390" s="7">
        <v>289</v>
      </c>
    </row>
    <row r="391" spans="1:68" s="7" customFormat="1" x14ac:dyDescent="0.25">
      <c r="A391" s="3"/>
      <c r="B391" s="3"/>
      <c r="C391" s="3"/>
      <c r="D391" s="3"/>
      <c r="E391" s="3"/>
      <c r="F391" s="3"/>
      <c r="G391" s="3"/>
      <c r="H391" s="3"/>
      <c r="I391" s="3"/>
      <c r="J391" s="3"/>
      <c r="K391" s="3"/>
      <c r="L391" s="3"/>
      <c r="M391" s="3"/>
      <c r="N391" s="3"/>
      <c r="O391" s="3"/>
      <c r="P391" s="3"/>
      <c r="Q391" s="3"/>
      <c r="R391" s="3"/>
      <c r="S391" s="3"/>
      <c r="T391" s="3"/>
      <c r="U391" s="3"/>
      <c r="V391" s="3"/>
      <c r="W391" s="3"/>
      <c r="X391" s="3"/>
      <c r="Y391" s="3"/>
      <c r="Z391" s="3"/>
      <c r="AA391" s="3"/>
      <c r="AB391" s="3"/>
      <c r="AC391" s="3"/>
      <c r="AD391" s="3"/>
      <c r="AO391" s="292"/>
      <c r="AZ391" s="292"/>
      <c r="BP391" s="7">
        <v>290</v>
      </c>
    </row>
    <row r="392" spans="1:68" s="7" customFormat="1" x14ac:dyDescent="0.25">
      <c r="A392" s="3"/>
      <c r="B392" s="3"/>
      <c r="C392" s="3"/>
      <c r="D392" s="3"/>
      <c r="E392" s="3"/>
      <c r="F392" s="3"/>
      <c r="G392" s="3"/>
      <c r="H392" s="3"/>
      <c r="I392" s="3"/>
      <c r="J392" s="3"/>
      <c r="K392" s="3"/>
      <c r="L392" s="3"/>
      <c r="M392" s="3"/>
      <c r="N392" s="3"/>
      <c r="O392" s="3"/>
      <c r="P392" s="3"/>
      <c r="Q392" s="3"/>
      <c r="R392" s="3"/>
      <c r="S392" s="3"/>
      <c r="T392" s="3"/>
      <c r="U392" s="3"/>
      <c r="V392" s="3"/>
      <c r="W392" s="3"/>
      <c r="X392" s="3"/>
      <c r="Y392" s="3"/>
      <c r="Z392" s="3"/>
      <c r="AA392" s="3"/>
      <c r="AB392" s="3"/>
      <c r="AC392" s="3"/>
      <c r="AD392" s="3"/>
      <c r="AO392" s="292"/>
      <c r="AZ392" s="292"/>
      <c r="BP392" s="7">
        <v>291</v>
      </c>
    </row>
    <row r="393" spans="1:68" s="7" customFormat="1" x14ac:dyDescent="0.25">
      <c r="A393" s="3"/>
      <c r="B393" s="3"/>
      <c r="C393" s="3"/>
      <c r="D393" s="3"/>
      <c r="E393" s="3"/>
      <c r="F393" s="3"/>
      <c r="G393" s="3"/>
      <c r="H393" s="3"/>
      <c r="I393" s="3"/>
      <c r="J393" s="3"/>
      <c r="K393" s="3"/>
      <c r="L393" s="3"/>
      <c r="M393" s="3"/>
      <c r="N393" s="3"/>
      <c r="O393" s="3"/>
      <c r="P393" s="3"/>
      <c r="Q393" s="3"/>
      <c r="R393" s="3"/>
      <c r="S393" s="3"/>
      <c r="T393" s="3"/>
      <c r="U393" s="3"/>
      <c r="V393" s="3"/>
      <c r="W393" s="3"/>
      <c r="X393" s="3"/>
      <c r="Y393" s="3"/>
      <c r="Z393" s="3"/>
      <c r="AA393" s="3"/>
      <c r="AB393" s="3"/>
      <c r="AC393" s="3"/>
      <c r="AD393" s="3"/>
      <c r="AO393" s="292"/>
      <c r="AZ393" s="292"/>
      <c r="BP393" s="7">
        <v>292</v>
      </c>
    </row>
    <row r="394" spans="1:68" s="7" customFormat="1" x14ac:dyDescent="0.25">
      <c r="A394" s="3"/>
      <c r="B394" s="3"/>
      <c r="C394" s="3"/>
      <c r="D394" s="3"/>
      <c r="E394" s="3"/>
      <c r="F394" s="3"/>
      <c r="G394" s="3"/>
      <c r="H394" s="3"/>
      <c r="I394" s="3"/>
      <c r="J394" s="3"/>
      <c r="K394" s="3"/>
      <c r="L394" s="3"/>
      <c r="M394" s="3"/>
      <c r="N394" s="3"/>
      <c r="O394" s="3"/>
      <c r="P394" s="3"/>
      <c r="Q394" s="3"/>
      <c r="R394" s="3"/>
      <c r="S394" s="3"/>
      <c r="T394" s="3"/>
      <c r="U394" s="3"/>
      <c r="V394" s="3"/>
      <c r="W394" s="3"/>
      <c r="X394" s="3"/>
      <c r="Y394" s="3"/>
      <c r="Z394" s="3"/>
      <c r="AA394" s="3"/>
      <c r="AB394" s="3"/>
      <c r="AC394" s="3"/>
      <c r="AD394" s="3"/>
      <c r="AO394" s="292"/>
      <c r="AZ394" s="292"/>
      <c r="BP394" s="7">
        <v>293</v>
      </c>
    </row>
    <row r="395" spans="1:68" s="7" customFormat="1" x14ac:dyDescent="0.25">
      <c r="A395" s="3"/>
      <c r="B395" s="3"/>
      <c r="C395" s="3"/>
      <c r="D395" s="3"/>
      <c r="E395" s="3"/>
      <c r="F395" s="3"/>
      <c r="G395" s="3"/>
      <c r="H395" s="3"/>
      <c r="I395" s="3"/>
      <c r="J395" s="3"/>
      <c r="K395" s="3"/>
      <c r="L395" s="3"/>
      <c r="M395" s="3"/>
      <c r="N395" s="3"/>
      <c r="O395" s="3"/>
      <c r="P395" s="3"/>
      <c r="Q395" s="3"/>
      <c r="R395" s="3"/>
      <c r="S395" s="3"/>
      <c r="T395" s="3"/>
      <c r="U395" s="3"/>
      <c r="V395" s="3"/>
      <c r="W395" s="3"/>
      <c r="X395" s="3"/>
      <c r="Y395" s="3"/>
      <c r="Z395" s="3"/>
      <c r="AA395" s="3"/>
      <c r="AB395" s="3"/>
      <c r="AC395" s="3"/>
      <c r="AD395" s="3"/>
      <c r="AO395" s="292"/>
      <c r="AZ395" s="292"/>
      <c r="BP395" s="7">
        <v>294</v>
      </c>
    </row>
    <row r="396" spans="1:68" s="7" customFormat="1" x14ac:dyDescent="0.25">
      <c r="A396" s="3"/>
      <c r="B396" s="3"/>
      <c r="C396" s="3"/>
      <c r="D396" s="3"/>
      <c r="E396" s="3"/>
      <c r="F396" s="3"/>
      <c r="G396" s="3"/>
      <c r="H396" s="3"/>
      <c r="I396" s="3"/>
      <c r="J396" s="3"/>
      <c r="K396" s="3"/>
      <c r="L396" s="3"/>
      <c r="M396" s="3"/>
      <c r="N396" s="3"/>
      <c r="O396" s="3"/>
      <c r="P396" s="3"/>
      <c r="Q396" s="3"/>
      <c r="R396" s="3"/>
      <c r="S396" s="3"/>
      <c r="T396" s="3"/>
      <c r="U396" s="3"/>
      <c r="V396" s="3"/>
      <c r="W396" s="3"/>
      <c r="X396" s="3"/>
      <c r="Y396" s="3"/>
      <c r="Z396" s="3"/>
      <c r="AA396" s="3"/>
      <c r="AB396" s="3"/>
      <c r="AC396" s="3"/>
      <c r="AD396" s="3"/>
      <c r="AO396" s="292"/>
      <c r="AZ396" s="292"/>
      <c r="BP396" s="7">
        <v>295</v>
      </c>
    </row>
    <row r="397" spans="1:68" s="7" customFormat="1" x14ac:dyDescent="0.25">
      <c r="A397" s="3"/>
      <c r="B397" s="3"/>
      <c r="C397" s="3"/>
      <c r="D397" s="3"/>
      <c r="E397" s="3"/>
      <c r="F397" s="3"/>
      <c r="G397" s="3"/>
      <c r="H397" s="3"/>
      <c r="I397" s="3"/>
      <c r="J397" s="3"/>
      <c r="K397" s="3"/>
      <c r="L397" s="3"/>
      <c r="M397" s="3"/>
      <c r="N397" s="3"/>
      <c r="O397" s="3"/>
      <c r="P397" s="3"/>
      <c r="Q397" s="3"/>
      <c r="R397" s="3"/>
      <c r="S397" s="3"/>
      <c r="T397" s="3"/>
      <c r="U397" s="3"/>
      <c r="V397" s="3"/>
      <c r="W397" s="3"/>
      <c r="X397" s="3"/>
      <c r="Y397" s="3"/>
      <c r="Z397" s="3"/>
      <c r="AA397" s="3"/>
      <c r="AB397" s="3"/>
      <c r="AC397" s="3"/>
      <c r="AD397" s="3"/>
      <c r="AO397" s="292"/>
      <c r="AZ397" s="292"/>
      <c r="BP397" s="7">
        <v>296</v>
      </c>
    </row>
    <row r="398" spans="1:68" s="7" customFormat="1" x14ac:dyDescent="0.25">
      <c r="A398" s="3"/>
      <c r="B398" s="3"/>
      <c r="C398" s="3"/>
      <c r="D398" s="3"/>
      <c r="E398" s="3"/>
      <c r="F398" s="3"/>
      <c r="G398" s="3"/>
      <c r="H398" s="3"/>
      <c r="I398" s="3"/>
      <c r="J398" s="3"/>
      <c r="K398" s="3"/>
      <c r="L398" s="3"/>
      <c r="M398" s="3"/>
      <c r="N398" s="3"/>
      <c r="O398" s="3"/>
      <c r="P398" s="3"/>
      <c r="Q398" s="3"/>
      <c r="R398" s="3"/>
      <c r="S398" s="3"/>
      <c r="T398" s="3"/>
      <c r="U398" s="3"/>
      <c r="V398" s="3"/>
      <c r="W398" s="3"/>
      <c r="X398" s="3"/>
      <c r="Y398" s="3"/>
      <c r="Z398" s="3"/>
      <c r="AA398" s="3"/>
      <c r="AB398" s="3"/>
      <c r="AC398" s="3"/>
      <c r="AD398" s="3"/>
      <c r="AO398" s="292"/>
      <c r="AZ398" s="292"/>
      <c r="BP398" s="7">
        <v>297</v>
      </c>
    </row>
    <row r="399" spans="1:68" s="7" customFormat="1" x14ac:dyDescent="0.25">
      <c r="A399" s="3"/>
      <c r="B399" s="3"/>
      <c r="C399" s="3"/>
      <c r="D399" s="3"/>
      <c r="E399" s="3"/>
      <c r="F399" s="3"/>
      <c r="G399" s="3"/>
      <c r="H399" s="3"/>
      <c r="I399" s="3"/>
      <c r="J399" s="3"/>
      <c r="K399" s="3"/>
      <c r="L399" s="3"/>
      <c r="M399" s="3"/>
      <c r="N399" s="3"/>
      <c r="O399" s="3"/>
      <c r="P399" s="3"/>
      <c r="Q399" s="3"/>
      <c r="R399" s="3"/>
      <c r="S399" s="3"/>
      <c r="T399" s="3"/>
      <c r="U399" s="3"/>
      <c r="V399" s="3"/>
      <c r="W399" s="3"/>
      <c r="X399" s="3"/>
      <c r="Y399" s="3"/>
      <c r="Z399" s="3"/>
      <c r="AA399" s="3"/>
      <c r="AB399" s="3"/>
      <c r="AC399" s="3"/>
      <c r="AD399" s="3"/>
      <c r="AO399" s="292"/>
      <c r="AZ399" s="292"/>
      <c r="BP399" s="7">
        <v>298</v>
      </c>
    </row>
    <row r="400" spans="1:68" s="7" customFormat="1" x14ac:dyDescent="0.25">
      <c r="A400" s="3"/>
      <c r="B400" s="3"/>
      <c r="C400" s="3"/>
      <c r="D400" s="3"/>
      <c r="E400" s="3"/>
      <c r="F400" s="3"/>
      <c r="G400" s="3"/>
      <c r="H400" s="3"/>
      <c r="I400" s="3"/>
      <c r="J400" s="3"/>
      <c r="K400" s="3"/>
      <c r="L400" s="3"/>
      <c r="M400" s="3"/>
      <c r="N400" s="3"/>
      <c r="O400" s="3"/>
      <c r="P400" s="3"/>
      <c r="Q400" s="3"/>
      <c r="R400" s="3"/>
      <c r="S400" s="3"/>
      <c r="T400" s="3"/>
      <c r="U400" s="3"/>
      <c r="V400" s="3"/>
      <c r="W400" s="3"/>
      <c r="X400" s="3"/>
      <c r="Y400" s="3"/>
      <c r="Z400" s="3"/>
      <c r="AA400" s="3"/>
      <c r="AB400" s="3"/>
      <c r="AC400" s="3"/>
      <c r="AD400" s="3"/>
      <c r="AO400" s="292"/>
      <c r="AZ400" s="292"/>
      <c r="BP400" s="7">
        <v>299</v>
      </c>
    </row>
    <row r="401" spans="1:68" s="7" customFormat="1" x14ac:dyDescent="0.25">
      <c r="A401" s="3"/>
      <c r="B401" s="3"/>
      <c r="C401" s="3"/>
      <c r="D401" s="3"/>
      <c r="E401" s="3"/>
      <c r="F401" s="3"/>
      <c r="G401" s="3"/>
      <c r="H401" s="3"/>
      <c r="I401" s="3"/>
      <c r="J401" s="3"/>
      <c r="K401" s="3"/>
      <c r="L401" s="3"/>
      <c r="M401" s="3"/>
      <c r="N401" s="3"/>
      <c r="O401" s="3"/>
      <c r="P401" s="3"/>
      <c r="Q401" s="3"/>
      <c r="R401" s="3"/>
      <c r="S401" s="3"/>
      <c r="T401" s="3"/>
      <c r="U401" s="3"/>
      <c r="V401" s="3"/>
      <c r="W401" s="3"/>
      <c r="X401" s="3"/>
      <c r="Y401" s="3"/>
      <c r="Z401" s="3"/>
      <c r="AA401" s="3"/>
      <c r="AB401" s="3"/>
      <c r="AC401" s="3"/>
      <c r="AD401" s="3"/>
      <c r="AO401" s="292"/>
      <c r="AZ401" s="292"/>
      <c r="BP401" s="7">
        <v>300</v>
      </c>
    </row>
    <row r="402" spans="1:68" s="7" customFormat="1" x14ac:dyDescent="0.25">
      <c r="A402" s="3"/>
      <c r="B402" s="3"/>
      <c r="C402" s="3"/>
      <c r="D402" s="3"/>
      <c r="E402" s="3"/>
      <c r="F402" s="3"/>
      <c r="G402" s="3"/>
      <c r="H402" s="3"/>
      <c r="I402" s="3"/>
      <c r="J402" s="3"/>
      <c r="K402" s="3"/>
      <c r="L402" s="3"/>
      <c r="M402" s="3"/>
      <c r="N402" s="3"/>
      <c r="O402" s="3"/>
      <c r="P402" s="3"/>
      <c r="Q402" s="3"/>
      <c r="R402" s="3"/>
      <c r="S402" s="3"/>
      <c r="T402" s="3"/>
      <c r="U402" s="3"/>
      <c r="V402" s="3"/>
      <c r="W402" s="3"/>
      <c r="X402" s="3"/>
      <c r="Y402" s="3"/>
      <c r="Z402" s="3"/>
      <c r="AA402" s="3"/>
      <c r="AB402" s="3"/>
      <c r="AC402" s="3"/>
      <c r="AD402" s="3"/>
      <c r="AO402" s="292"/>
      <c r="AZ402" s="292"/>
      <c r="BP402" s="7">
        <v>301</v>
      </c>
    </row>
    <row r="403" spans="1:68" s="7" customFormat="1" x14ac:dyDescent="0.25">
      <c r="A403" s="3"/>
      <c r="B403" s="3"/>
      <c r="C403" s="3"/>
      <c r="D403" s="3"/>
      <c r="E403" s="3"/>
      <c r="F403" s="3"/>
      <c r="G403" s="3"/>
      <c r="H403" s="3"/>
      <c r="I403" s="3"/>
      <c r="J403" s="3"/>
      <c r="K403" s="3"/>
      <c r="L403" s="3"/>
      <c r="M403" s="3"/>
      <c r="N403" s="3"/>
      <c r="O403" s="3"/>
      <c r="P403" s="3"/>
      <c r="Q403" s="3"/>
      <c r="R403" s="3"/>
      <c r="S403" s="3"/>
      <c r="T403" s="3"/>
      <c r="U403" s="3"/>
      <c r="V403" s="3"/>
      <c r="W403" s="3"/>
      <c r="X403" s="3"/>
      <c r="Y403" s="3"/>
      <c r="Z403" s="3"/>
      <c r="AA403" s="3"/>
      <c r="AB403" s="3"/>
      <c r="AC403" s="3"/>
      <c r="AD403" s="3"/>
      <c r="AO403" s="292"/>
      <c r="AZ403" s="292"/>
      <c r="BP403" s="7">
        <v>302</v>
      </c>
    </row>
    <row r="404" spans="1:68" s="7" customFormat="1" x14ac:dyDescent="0.25">
      <c r="A404" s="3"/>
      <c r="B404" s="3"/>
      <c r="C404" s="3"/>
      <c r="D404" s="3"/>
      <c r="E404" s="3"/>
      <c r="F404" s="3"/>
      <c r="G404" s="3"/>
      <c r="H404" s="3"/>
      <c r="I404" s="3"/>
      <c r="J404" s="3"/>
      <c r="K404" s="3"/>
      <c r="L404" s="3"/>
      <c r="M404" s="3"/>
      <c r="N404" s="3"/>
      <c r="O404" s="3"/>
      <c r="P404" s="3"/>
      <c r="Q404" s="3"/>
      <c r="R404" s="3"/>
      <c r="S404" s="3"/>
      <c r="T404" s="3"/>
      <c r="U404" s="3"/>
      <c r="V404" s="3"/>
      <c r="W404" s="3"/>
      <c r="X404" s="3"/>
      <c r="Y404" s="3"/>
      <c r="Z404" s="3"/>
      <c r="AA404" s="3"/>
      <c r="AB404" s="3"/>
      <c r="AC404" s="3"/>
      <c r="AD404" s="3"/>
      <c r="AO404" s="292"/>
      <c r="AZ404" s="292"/>
      <c r="BP404" s="7">
        <v>303</v>
      </c>
    </row>
    <row r="405" spans="1:68" s="7" customFormat="1" x14ac:dyDescent="0.25">
      <c r="A405" s="3"/>
      <c r="B405" s="3"/>
      <c r="C405" s="3"/>
      <c r="D405" s="3"/>
      <c r="E405" s="3"/>
      <c r="F405" s="3"/>
      <c r="G405" s="3"/>
      <c r="H405" s="3"/>
      <c r="I405" s="3"/>
      <c r="J405" s="3"/>
      <c r="K405" s="3"/>
      <c r="L405" s="3"/>
      <c r="M405" s="3"/>
      <c r="N405" s="3"/>
      <c r="O405" s="3"/>
      <c r="P405" s="3"/>
      <c r="Q405" s="3"/>
      <c r="R405" s="3"/>
      <c r="S405" s="3"/>
      <c r="T405" s="3"/>
      <c r="U405" s="3"/>
      <c r="V405" s="3"/>
      <c r="W405" s="3"/>
      <c r="X405" s="3"/>
      <c r="Y405" s="3"/>
      <c r="Z405" s="3"/>
      <c r="AA405" s="3"/>
      <c r="AB405" s="3"/>
      <c r="AC405" s="3"/>
      <c r="AD405" s="3"/>
      <c r="AO405" s="292"/>
      <c r="AZ405" s="292"/>
      <c r="BP405" s="7">
        <v>304</v>
      </c>
    </row>
    <row r="406" spans="1:68" s="7" customFormat="1" x14ac:dyDescent="0.25">
      <c r="A406" s="3"/>
      <c r="B406" s="3"/>
      <c r="C406" s="3"/>
      <c r="D406" s="3"/>
      <c r="E406" s="3"/>
      <c r="F406" s="3"/>
      <c r="G406" s="3"/>
      <c r="H406" s="3"/>
      <c r="I406" s="3"/>
      <c r="J406" s="3"/>
      <c r="K406" s="3"/>
      <c r="L406" s="3"/>
      <c r="M406" s="3"/>
      <c r="N406" s="3"/>
      <c r="O406" s="3"/>
      <c r="P406" s="3"/>
      <c r="Q406" s="3"/>
      <c r="R406" s="3"/>
      <c r="S406" s="3"/>
      <c r="T406" s="3"/>
      <c r="U406" s="3"/>
      <c r="V406" s="3"/>
      <c r="W406" s="3"/>
      <c r="X406" s="3"/>
      <c r="Y406" s="3"/>
      <c r="Z406" s="3"/>
      <c r="AA406" s="3"/>
      <c r="AB406" s="3"/>
      <c r="AC406" s="3"/>
      <c r="AD406" s="3"/>
      <c r="AO406" s="292"/>
      <c r="AZ406" s="292"/>
      <c r="BP406" s="7">
        <v>305</v>
      </c>
    </row>
    <row r="407" spans="1:68" s="7" customFormat="1" x14ac:dyDescent="0.25">
      <c r="A407" s="3"/>
      <c r="B407" s="3"/>
      <c r="C407" s="3"/>
      <c r="D407" s="3"/>
      <c r="E407" s="3"/>
      <c r="F407" s="3"/>
      <c r="G407" s="3"/>
      <c r="H407" s="3"/>
      <c r="I407" s="3"/>
      <c r="J407" s="3"/>
      <c r="K407" s="3"/>
      <c r="L407" s="3"/>
      <c r="M407" s="3"/>
      <c r="N407" s="3"/>
      <c r="O407" s="3"/>
      <c r="P407" s="3"/>
      <c r="Q407" s="3"/>
      <c r="R407" s="3"/>
      <c r="S407" s="3"/>
      <c r="T407" s="3"/>
      <c r="U407" s="3"/>
      <c r="V407" s="3"/>
      <c r="W407" s="3"/>
      <c r="X407" s="3"/>
      <c r="Y407" s="3"/>
      <c r="Z407" s="3"/>
      <c r="AA407" s="3"/>
      <c r="AB407" s="3"/>
      <c r="AC407" s="3"/>
      <c r="AD407" s="3"/>
      <c r="AO407" s="292"/>
      <c r="AZ407" s="292"/>
      <c r="BP407" s="7">
        <v>306</v>
      </c>
    </row>
    <row r="408" spans="1:68" s="7" customFormat="1" x14ac:dyDescent="0.25">
      <c r="A408" s="3"/>
      <c r="B408" s="3"/>
      <c r="C408" s="3"/>
      <c r="D408" s="3"/>
      <c r="E408" s="3"/>
      <c r="F408" s="3"/>
      <c r="G408" s="3"/>
      <c r="H408" s="3"/>
      <c r="I408" s="3"/>
      <c r="J408" s="3"/>
      <c r="K408" s="3"/>
      <c r="L408" s="3"/>
      <c r="M408" s="3"/>
      <c r="N408" s="3"/>
      <c r="O408" s="3"/>
      <c r="P408" s="3"/>
      <c r="Q408" s="3"/>
      <c r="R408" s="3"/>
      <c r="S408" s="3"/>
      <c r="T408" s="3"/>
      <c r="U408" s="3"/>
      <c r="V408" s="3"/>
      <c r="W408" s="3"/>
      <c r="X408" s="3"/>
      <c r="Y408" s="3"/>
      <c r="Z408" s="3"/>
      <c r="AA408" s="3"/>
      <c r="AB408" s="3"/>
      <c r="AC408" s="3"/>
      <c r="AD408" s="3"/>
      <c r="AO408" s="292"/>
      <c r="AZ408" s="292"/>
      <c r="BP408" s="7">
        <v>307</v>
      </c>
    </row>
    <row r="409" spans="1:68" s="7" customFormat="1" x14ac:dyDescent="0.25">
      <c r="A409" s="3"/>
      <c r="B409" s="3"/>
      <c r="C409" s="3"/>
      <c r="D409" s="3"/>
      <c r="E409" s="3"/>
      <c r="F409" s="3"/>
      <c r="G409" s="3"/>
      <c r="H409" s="3"/>
      <c r="I409" s="3"/>
      <c r="J409" s="3"/>
      <c r="K409" s="3"/>
      <c r="L409" s="3"/>
      <c r="M409" s="3"/>
      <c r="N409" s="3"/>
      <c r="O409" s="3"/>
      <c r="P409" s="3"/>
      <c r="Q409" s="3"/>
      <c r="R409" s="3"/>
      <c r="S409" s="3"/>
      <c r="T409" s="3"/>
      <c r="U409" s="3"/>
      <c r="V409" s="3"/>
      <c r="W409" s="3"/>
      <c r="X409" s="3"/>
      <c r="Y409" s="3"/>
      <c r="Z409" s="3"/>
      <c r="AA409" s="3"/>
      <c r="AB409" s="3"/>
      <c r="AC409" s="3"/>
      <c r="AD409" s="3"/>
      <c r="AO409" s="292"/>
      <c r="AZ409" s="292"/>
      <c r="BP409" s="7">
        <v>308</v>
      </c>
    </row>
    <row r="410" spans="1:68" s="7" customFormat="1" x14ac:dyDescent="0.25">
      <c r="A410" s="3"/>
      <c r="B410" s="3"/>
      <c r="C410" s="3"/>
      <c r="D410" s="3"/>
      <c r="E410" s="3"/>
      <c r="F410" s="3"/>
      <c r="G410" s="3"/>
      <c r="H410" s="3"/>
      <c r="I410" s="3"/>
      <c r="J410" s="3"/>
      <c r="K410" s="3"/>
      <c r="L410" s="3"/>
      <c r="M410" s="3"/>
      <c r="N410" s="3"/>
      <c r="O410" s="3"/>
      <c r="P410" s="3"/>
      <c r="Q410" s="3"/>
      <c r="R410" s="3"/>
      <c r="S410" s="3"/>
      <c r="T410" s="3"/>
      <c r="U410" s="3"/>
      <c r="V410" s="3"/>
      <c r="W410" s="3"/>
      <c r="X410" s="3"/>
      <c r="Y410" s="3"/>
      <c r="Z410" s="3"/>
      <c r="AA410" s="3"/>
      <c r="AB410" s="3"/>
      <c r="AC410" s="3"/>
      <c r="AD410" s="3"/>
      <c r="AO410" s="292"/>
      <c r="AZ410" s="292"/>
      <c r="BP410" s="7">
        <v>309</v>
      </c>
    </row>
    <row r="411" spans="1:68" s="7" customFormat="1" x14ac:dyDescent="0.25">
      <c r="A411" s="3"/>
      <c r="B411" s="3"/>
      <c r="C411" s="3"/>
      <c r="D411" s="3"/>
      <c r="E411" s="3"/>
      <c r="F411" s="3"/>
      <c r="G411" s="3"/>
      <c r="H411" s="3"/>
      <c r="I411" s="3"/>
      <c r="J411" s="3"/>
      <c r="K411" s="3"/>
      <c r="L411" s="3"/>
      <c r="M411" s="3"/>
      <c r="N411" s="3"/>
      <c r="O411" s="3"/>
      <c r="P411" s="3"/>
      <c r="Q411" s="3"/>
      <c r="R411" s="3"/>
      <c r="S411" s="3"/>
      <c r="T411" s="3"/>
      <c r="U411" s="3"/>
      <c r="V411" s="3"/>
      <c r="W411" s="3"/>
      <c r="X411" s="3"/>
      <c r="Y411" s="3"/>
      <c r="Z411" s="3"/>
      <c r="AA411" s="3"/>
      <c r="AB411" s="3"/>
      <c r="AC411" s="3"/>
      <c r="AD411" s="3"/>
      <c r="AO411" s="292"/>
      <c r="AZ411" s="292"/>
      <c r="BP411" s="7">
        <v>310</v>
      </c>
    </row>
    <row r="412" spans="1:68" s="7" customFormat="1" x14ac:dyDescent="0.25">
      <c r="A412" s="3"/>
      <c r="B412" s="3"/>
      <c r="C412" s="3"/>
      <c r="D412" s="3"/>
      <c r="E412" s="3"/>
      <c r="F412" s="3"/>
      <c r="G412" s="3"/>
      <c r="H412" s="3"/>
      <c r="I412" s="3"/>
      <c r="J412" s="3"/>
      <c r="K412" s="3"/>
      <c r="L412" s="3"/>
      <c r="M412" s="3"/>
      <c r="N412" s="3"/>
      <c r="O412" s="3"/>
      <c r="P412" s="3"/>
      <c r="Q412" s="3"/>
      <c r="R412" s="3"/>
      <c r="S412" s="3"/>
      <c r="T412" s="3"/>
      <c r="U412" s="3"/>
      <c r="V412" s="3"/>
      <c r="W412" s="3"/>
      <c r="X412" s="3"/>
      <c r="Y412" s="3"/>
      <c r="Z412" s="3"/>
      <c r="AA412" s="3"/>
      <c r="AB412" s="3"/>
      <c r="AC412" s="3"/>
      <c r="AD412" s="3"/>
      <c r="AO412" s="292"/>
      <c r="AZ412" s="292"/>
      <c r="BP412" s="7">
        <v>311</v>
      </c>
    </row>
    <row r="413" spans="1:68" s="7" customFormat="1" x14ac:dyDescent="0.25">
      <c r="A413" s="3"/>
      <c r="B413" s="3"/>
      <c r="C413" s="3"/>
      <c r="D413" s="3"/>
      <c r="E413" s="3"/>
      <c r="F413" s="3"/>
      <c r="G413" s="3"/>
      <c r="H413" s="3"/>
      <c r="I413" s="3"/>
      <c r="J413" s="3"/>
      <c r="K413" s="3"/>
      <c r="L413" s="3"/>
      <c r="M413" s="3"/>
      <c r="N413" s="3"/>
      <c r="O413" s="3"/>
      <c r="P413" s="3"/>
      <c r="Q413" s="3"/>
      <c r="R413" s="3"/>
      <c r="S413" s="3"/>
      <c r="T413" s="3"/>
      <c r="U413" s="3"/>
      <c r="V413" s="3"/>
      <c r="W413" s="3"/>
      <c r="X413" s="3"/>
      <c r="Y413" s="3"/>
      <c r="Z413" s="3"/>
      <c r="AA413" s="3"/>
      <c r="AB413" s="3"/>
      <c r="AC413" s="3"/>
      <c r="AD413" s="3"/>
      <c r="AO413" s="292"/>
      <c r="AZ413" s="292"/>
      <c r="BP413" s="7">
        <v>312</v>
      </c>
    </row>
    <row r="414" spans="1:68" s="7" customFormat="1" x14ac:dyDescent="0.25">
      <c r="A414" s="3"/>
      <c r="B414" s="3"/>
      <c r="C414" s="3"/>
      <c r="D414" s="3"/>
      <c r="E414" s="3"/>
      <c r="F414" s="3"/>
      <c r="G414" s="3"/>
      <c r="H414" s="3"/>
      <c r="I414" s="3"/>
      <c r="J414" s="3"/>
      <c r="K414" s="3"/>
      <c r="L414" s="3"/>
      <c r="M414" s="3"/>
      <c r="N414" s="3"/>
      <c r="O414" s="3"/>
      <c r="P414" s="3"/>
      <c r="Q414" s="3"/>
      <c r="R414" s="3"/>
      <c r="S414" s="3"/>
      <c r="T414" s="3"/>
      <c r="U414" s="3"/>
      <c r="V414" s="3"/>
      <c r="W414" s="3"/>
      <c r="X414" s="3"/>
      <c r="Y414" s="3"/>
      <c r="Z414" s="3"/>
      <c r="AA414" s="3"/>
      <c r="AB414" s="3"/>
      <c r="AC414" s="3"/>
      <c r="AD414" s="3"/>
      <c r="AO414" s="292"/>
      <c r="AZ414" s="292"/>
      <c r="BP414" s="7">
        <v>313</v>
      </c>
    </row>
    <row r="415" spans="1:68" s="7" customFormat="1" x14ac:dyDescent="0.25">
      <c r="A415" s="3"/>
      <c r="B415" s="3"/>
      <c r="C415" s="3"/>
      <c r="D415" s="3"/>
      <c r="E415" s="3"/>
      <c r="F415" s="3"/>
      <c r="G415" s="3"/>
      <c r="H415" s="3"/>
      <c r="I415" s="3"/>
      <c r="J415" s="3"/>
      <c r="K415" s="3"/>
      <c r="L415" s="3"/>
      <c r="M415" s="3"/>
      <c r="N415" s="3"/>
      <c r="O415" s="3"/>
      <c r="P415" s="3"/>
      <c r="Q415" s="3"/>
      <c r="R415" s="3"/>
      <c r="S415" s="3"/>
      <c r="T415" s="3"/>
      <c r="U415" s="3"/>
      <c r="V415" s="3"/>
      <c r="W415" s="3"/>
      <c r="X415" s="3"/>
      <c r="Y415" s="3"/>
      <c r="Z415" s="3"/>
      <c r="AA415" s="3"/>
      <c r="AB415" s="3"/>
      <c r="AC415" s="3"/>
      <c r="AD415" s="3"/>
      <c r="AO415" s="292"/>
      <c r="AZ415" s="292"/>
      <c r="BP415" s="7">
        <v>314</v>
      </c>
    </row>
    <row r="416" spans="1:68" s="7" customFormat="1" x14ac:dyDescent="0.25">
      <c r="A416" s="3"/>
      <c r="B416" s="3"/>
      <c r="C416" s="3"/>
      <c r="D416" s="3"/>
      <c r="E416" s="3"/>
      <c r="F416" s="3"/>
      <c r="G416" s="3"/>
      <c r="H416" s="3"/>
      <c r="I416" s="3"/>
      <c r="J416" s="3"/>
      <c r="K416" s="3"/>
      <c r="L416" s="3"/>
      <c r="M416" s="3"/>
      <c r="N416" s="3"/>
      <c r="O416" s="3"/>
      <c r="P416" s="3"/>
      <c r="Q416" s="3"/>
      <c r="R416" s="3"/>
      <c r="S416" s="3"/>
      <c r="T416" s="3"/>
      <c r="U416" s="3"/>
      <c r="V416" s="3"/>
      <c r="W416" s="3"/>
      <c r="X416" s="3"/>
      <c r="Y416" s="3"/>
      <c r="Z416" s="3"/>
      <c r="AA416" s="3"/>
      <c r="AB416" s="3"/>
      <c r="AC416" s="3"/>
      <c r="AD416" s="3"/>
      <c r="AO416" s="292"/>
      <c r="AZ416" s="292"/>
      <c r="BP416" s="7">
        <v>315</v>
      </c>
    </row>
    <row r="417" spans="1:68" s="7" customFormat="1" x14ac:dyDescent="0.25">
      <c r="A417" s="3"/>
      <c r="B417" s="3"/>
      <c r="C417" s="3"/>
      <c r="D417" s="3"/>
      <c r="E417" s="3"/>
      <c r="F417" s="3"/>
      <c r="G417" s="3"/>
      <c r="H417" s="3"/>
      <c r="I417" s="3"/>
      <c r="J417" s="3"/>
      <c r="K417" s="3"/>
      <c r="L417" s="3"/>
      <c r="M417" s="3"/>
      <c r="N417" s="3"/>
      <c r="O417" s="3"/>
      <c r="P417" s="3"/>
      <c r="Q417" s="3"/>
      <c r="R417" s="3"/>
      <c r="S417" s="3"/>
      <c r="T417" s="3"/>
      <c r="U417" s="3"/>
      <c r="V417" s="3"/>
      <c r="W417" s="3"/>
      <c r="X417" s="3"/>
      <c r="Y417" s="3"/>
      <c r="Z417" s="3"/>
      <c r="AA417" s="3"/>
      <c r="AB417" s="3"/>
      <c r="AC417" s="3"/>
      <c r="AD417" s="3"/>
      <c r="AO417" s="292"/>
      <c r="AZ417" s="292"/>
      <c r="BP417" s="7">
        <v>316</v>
      </c>
    </row>
    <row r="418" spans="1:68" s="7" customFormat="1" x14ac:dyDescent="0.25">
      <c r="A418" s="3"/>
      <c r="B418" s="3"/>
      <c r="C418" s="3"/>
      <c r="D418" s="3"/>
      <c r="E418" s="3"/>
      <c r="F418" s="3"/>
      <c r="G418" s="3"/>
      <c r="H418" s="3"/>
      <c r="I418" s="3"/>
      <c r="J418" s="3"/>
      <c r="K418" s="3"/>
      <c r="L418" s="3"/>
      <c r="M418" s="3"/>
      <c r="N418" s="3"/>
      <c r="O418" s="3"/>
      <c r="P418" s="3"/>
      <c r="Q418" s="3"/>
      <c r="R418" s="3"/>
      <c r="S418" s="3"/>
      <c r="T418" s="3"/>
      <c r="U418" s="3"/>
      <c r="V418" s="3"/>
      <c r="W418" s="3"/>
      <c r="X418" s="3"/>
      <c r="Y418" s="3"/>
      <c r="Z418" s="3"/>
      <c r="AA418" s="3"/>
      <c r="AB418" s="3"/>
      <c r="AC418" s="3"/>
      <c r="AD418" s="3"/>
      <c r="AO418" s="292"/>
      <c r="AZ418" s="292"/>
      <c r="BP418" s="7">
        <v>317</v>
      </c>
    </row>
    <row r="419" spans="1:68" s="7" customFormat="1" x14ac:dyDescent="0.25">
      <c r="A419" s="3"/>
      <c r="B419" s="3"/>
      <c r="C419" s="3"/>
      <c r="D419" s="3"/>
      <c r="E419" s="3"/>
      <c r="F419" s="3"/>
      <c r="G419" s="3"/>
      <c r="H419" s="3"/>
      <c r="I419" s="3"/>
      <c r="J419" s="3"/>
      <c r="K419" s="3"/>
      <c r="L419" s="3"/>
      <c r="M419" s="3"/>
      <c r="N419" s="3"/>
      <c r="O419" s="3"/>
      <c r="P419" s="3"/>
      <c r="Q419" s="3"/>
      <c r="R419" s="3"/>
      <c r="S419" s="3"/>
      <c r="T419" s="3"/>
      <c r="U419" s="3"/>
      <c r="V419" s="3"/>
      <c r="W419" s="3"/>
      <c r="X419" s="3"/>
      <c r="Y419" s="3"/>
      <c r="Z419" s="3"/>
      <c r="AA419" s="3"/>
      <c r="AB419" s="3"/>
      <c r="AC419" s="3"/>
      <c r="AD419" s="3"/>
      <c r="AO419" s="292"/>
      <c r="AZ419" s="292"/>
      <c r="BP419" s="7">
        <v>318</v>
      </c>
    </row>
    <row r="420" spans="1:68" s="7" customFormat="1" x14ac:dyDescent="0.25">
      <c r="A420" s="3"/>
      <c r="B420" s="3"/>
      <c r="C420" s="3"/>
      <c r="D420" s="3"/>
      <c r="E420" s="3"/>
      <c r="F420" s="3"/>
      <c r="G420" s="3"/>
      <c r="H420" s="3"/>
      <c r="I420" s="3"/>
      <c r="J420" s="3"/>
      <c r="K420" s="3"/>
      <c r="L420" s="3"/>
      <c r="M420" s="3"/>
      <c r="N420" s="3"/>
      <c r="O420" s="3"/>
      <c r="P420" s="3"/>
      <c r="Q420" s="3"/>
      <c r="R420" s="3"/>
      <c r="S420" s="3"/>
      <c r="T420" s="3"/>
      <c r="U420" s="3"/>
      <c r="V420" s="3"/>
      <c r="W420" s="3"/>
      <c r="X420" s="3"/>
      <c r="Y420" s="3"/>
      <c r="Z420" s="3"/>
      <c r="AA420" s="3"/>
      <c r="AB420" s="3"/>
      <c r="AC420" s="3"/>
      <c r="AD420" s="3"/>
      <c r="AO420" s="292"/>
      <c r="AZ420" s="292"/>
      <c r="BP420" s="7">
        <v>319</v>
      </c>
    </row>
    <row r="421" spans="1:68" s="7" customFormat="1" x14ac:dyDescent="0.25">
      <c r="A421" s="3"/>
      <c r="B421" s="3"/>
      <c r="C421" s="3"/>
      <c r="D421" s="3"/>
      <c r="E421" s="3"/>
      <c r="F421" s="3"/>
      <c r="G421" s="3"/>
      <c r="H421" s="3"/>
      <c r="I421" s="3"/>
      <c r="J421" s="3"/>
      <c r="K421" s="3"/>
      <c r="L421" s="3"/>
      <c r="M421" s="3"/>
      <c r="N421" s="3"/>
      <c r="O421" s="3"/>
      <c r="P421" s="3"/>
      <c r="Q421" s="3"/>
      <c r="R421" s="3"/>
      <c r="S421" s="3"/>
      <c r="T421" s="3"/>
      <c r="U421" s="3"/>
      <c r="V421" s="3"/>
      <c r="W421" s="3"/>
      <c r="X421" s="3"/>
      <c r="Y421" s="3"/>
      <c r="Z421" s="3"/>
      <c r="AA421" s="3"/>
      <c r="AB421" s="3"/>
      <c r="AC421" s="3"/>
      <c r="AD421" s="3"/>
      <c r="AO421" s="292"/>
      <c r="AZ421" s="292"/>
      <c r="BP421" s="7">
        <v>320</v>
      </c>
    </row>
    <row r="422" spans="1:68" s="7" customFormat="1" x14ac:dyDescent="0.25">
      <c r="A422" s="3"/>
      <c r="B422" s="3"/>
      <c r="C422" s="3"/>
      <c r="D422" s="3"/>
      <c r="E422" s="3"/>
      <c r="F422" s="3"/>
      <c r="G422" s="3"/>
      <c r="H422" s="3"/>
      <c r="I422" s="3"/>
      <c r="J422" s="3"/>
      <c r="K422" s="3"/>
      <c r="L422" s="3"/>
      <c r="M422" s="3"/>
      <c r="N422" s="3"/>
      <c r="O422" s="3"/>
      <c r="P422" s="3"/>
      <c r="Q422" s="3"/>
      <c r="R422" s="3"/>
      <c r="S422" s="3"/>
      <c r="T422" s="3"/>
      <c r="U422" s="3"/>
      <c r="V422" s="3"/>
      <c r="W422" s="3"/>
      <c r="X422" s="3"/>
      <c r="Y422" s="3"/>
      <c r="Z422" s="3"/>
      <c r="AA422" s="3"/>
      <c r="AB422" s="3"/>
      <c r="AC422" s="3"/>
      <c r="AD422" s="3"/>
      <c r="AO422" s="292"/>
      <c r="AZ422" s="292"/>
      <c r="BP422" s="7">
        <v>321</v>
      </c>
    </row>
    <row r="423" spans="1:68" s="7" customFormat="1" x14ac:dyDescent="0.25">
      <c r="A423" s="3"/>
      <c r="B423" s="3"/>
      <c r="C423" s="3"/>
      <c r="D423" s="3"/>
      <c r="E423" s="3"/>
      <c r="F423" s="3"/>
      <c r="G423" s="3"/>
      <c r="H423" s="3"/>
      <c r="I423" s="3"/>
      <c r="J423" s="3"/>
      <c r="K423" s="3"/>
      <c r="L423" s="3"/>
      <c r="M423" s="3"/>
      <c r="N423" s="3"/>
      <c r="O423" s="3"/>
      <c r="P423" s="3"/>
      <c r="Q423" s="3"/>
      <c r="R423" s="3"/>
      <c r="S423" s="3"/>
      <c r="T423" s="3"/>
      <c r="U423" s="3"/>
      <c r="V423" s="3"/>
      <c r="W423" s="3"/>
      <c r="X423" s="3"/>
      <c r="Y423" s="3"/>
      <c r="Z423" s="3"/>
      <c r="AA423" s="3"/>
      <c r="AB423" s="3"/>
      <c r="AC423" s="3"/>
      <c r="AD423" s="3"/>
      <c r="AO423" s="292"/>
      <c r="AZ423" s="292"/>
      <c r="BP423" s="7">
        <v>322</v>
      </c>
    </row>
    <row r="424" spans="1:68" s="7" customFormat="1" x14ac:dyDescent="0.25">
      <c r="A424" s="3"/>
      <c r="B424" s="3"/>
      <c r="C424" s="3"/>
      <c r="D424" s="3"/>
      <c r="E424" s="3"/>
      <c r="F424" s="3"/>
      <c r="G424" s="3"/>
      <c r="H424" s="3"/>
      <c r="I424" s="3"/>
      <c r="J424" s="3"/>
      <c r="K424" s="3"/>
      <c r="L424" s="3"/>
      <c r="M424" s="3"/>
      <c r="N424" s="3"/>
      <c r="O424" s="3"/>
      <c r="P424" s="3"/>
      <c r="Q424" s="3"/>
      <c r="R424" s="3"/>
      <c r="S424" s="3"/>
      <c r="T424" s="3"/>
      <c r="U424" s="3"/>
      <c r="V424" s="3"/>
      <c r="W424" s="3"/>
      <c r="X424" s="3"/>
      <c r="Y424" s="3"/>
      <c r="Z424" s="3"/>
      <c r="AA424" s="3"/>
      <c r="AB424" s="3"/>
      <c r="AC424" s="3"/>
      <c r="AD424" s="3"/>
      <c r="AO424" s="292"/>
      <c r="AZ424" s="292"/>
      <c r="BP424" s="7">
        <v>323</v>
      </c>
    </row>
    <row r="425" spans="1:68" s="7" customFormat="1" x14ac:dyDescent="0.25">
      <c r="A425" s="3"/>
      <c r="B425" s="3"/>
      <c r="C425" s="3"/>
      <c r="D425" s="3"/>
      <c r="E425" s="3"/>
      <c r="F425" s="3"/>
      <c r="G425" s="3"/>
      <c r="H425" s="3"/>
      <c r="I425" s="3"/>
      <c r="J425" s="3"/>
      <c r="K425" s="3"/>
      <c r="L425" s="3"/>
      <c r="M425" s="3"/>
      <c r="N425" s="3"/>
      <c r="O425" s="3"/>
      <c r="P425" s="3"/>
      <c r="Q425" s="3"/>
      <c r="R425" s="3"/>
      <c r="S425" s="3"/>
      <c r="T425" s="3"/>
      <c r="U425" s="3"/>
      <c r="V425" s="3"/>
      <c r="W425" s="3"/>
      <c r="X425" s="3"/>
      <c r="Y425" s="3"/>
      <c r="Z425" s="3"/>
      <c r="AA425" s="3"/>
      <c r="AB425" s="3"/>
      <c r="AC425" s="3"/>
      <c r="AD425" s="3"/>
      <c r="AO425" s="292"/>
      <c r="AZ425" s="292"/>
      <c r="BP425" s="7">
        <v>324</v>
      </c>
    </row>
    <row r="426" spans="1:68" s="7" customFormat="1" x14ac:dyDescent="0.25">
      <c r="A426" s="3"/>
      <c r="B426" s="3"/>
      <c r="C426" s="3"/>
      <c r="D426" s="3"/>
      <c r="E426" s="3"/>
      <c r="F426" s="3"/>
      <c r="G426" s="3"/>
      <c r="H426" s="3"/>
      <c r="I426" s="3"/>
      <c r="J426" s="3"/>
      <c r="K426" s="3"/>
      <c r="L426" s="3"/>
      <c r="M426" s="3"/>
      <c r="N426" s="3"/>
      <c r="O426" s="3"/>
      <c r="P426" s="3"/>
      <c r="Q426" s="3"/>
      <c r="R426" s="3"/>
      <c r="S426" s="3"/>
      <c r="T426" s="3"/>
      <c r="U426" s="3"/>
      <c r="V426" s="3"/>
      <c r="W426" s="3"/>
      <c r="X426" s="3"/>
      <c r="Y426" s="3"/>
      <c r="Z426" s="3"/>
      <c r="AA426" s="3"/>
      <c r="AB426" s="3"/>
      <c r="AC426" s="3"/>
      <c r="AD426" s="3"/>
      <c r="AO426" s="292"/>
      <c r="AZ426" s="292"/>
      <c r="BP426" s="7">
        <v>325</v>
      </c>
    </row>
    <row r="427" spans="1:68" s="7" customFormat="1" x14ac:dyDescent="0.25">
      <c r="A427" s="3"/>
      <c r="B427" s="3"/>
      <c r="C427" s="3"/>
      <c r="D427" s="3"/>
      <c r="E427" s="3"/>
      <c r="F427" s="3"/>
      <c r="G427" s="3"/>
      <c r="H427" s="3"/>
      <c r="I427" s="3"/>
      <c r="J427" s="3"/>
      <c r="K427" s="3"/>
      <c r="L427" s="3"/>
      <c r="M427" s="3"/>
      <c r="N427" s="3"/>
      <c r="O427" s="3"/>
      <c r="P427" s="3"/>
      <c r="Q427" s="3"/>
      <c r="R427" s="3"/>
      <c r="S427" s="3"/>
      <c r="T427" s="3"/>
      <c r="U427" s="3"/>
      <c r="V427" s="3"/>
      <c r="W427" s="3"/>
      <c r="X427" s="3"/>
      <c r="Y427" s="3"/>
      <c r="Z427" s="3"/>
      <c r="AA427" s="3"/>
      <c r="AB427" s="3"/>
      <c r="AC427" s="3"/>
      <c r="AD427" s="3"/>
      <c r="AO427" s="292"/>
      <c r="AZ427" s="292"/>
      <c r="BP427" s="7">
        <v>326</v>
      </c>
    </row>
    <row r="428" spans="1:68" s="7" customFormat="1" x14ac:dyDescent="0.25">
      <c r="A428" s="3"/>
      <c r="B428" s="3"/>
      <c r="C428" s="3"/>
      <c r="D428" s="3"/>
      <c r="E428" s="3"/>
      <c r="F428" s="3"/>
      <c r="G428" s="3"/>
      <c r="H428" s="3"/>
      <c r="I428" s="3"/>
      <c r="J428" s="3"/>
      <c r="K428" s="3"/>
      <c r="L428" s="3"/>
      <c r="M428" s="3"/>
      <c r="N428" s="3"/>
      <c r="O428" s="3"/>
      <c r="P428" s="3"/>
      <c r="Q428" s="3"/>
      <c r="R428" s="3"/>
      <c r="S428" s="3"/>
      <c r="T428" s="3"/>
      <c r="U428" s="3"/>
      <c r="V428" s="3"/>
      <c r="W428" s="3"/>
      <c r="X428" s="3"/>
      <c r="Y428" s="3"/>
      <c r="Z428" s="3"/>
      <c r="AA428" s="3"/>
      <c r="AB428" s="3"/>
      <c r="AC428" s="3"/>
      <c r="AD428" s="3"/>
      <c r="AO428" s="292"/>
      <c r="AZ428" s="292"/>
      <c r="BP428" s="7">
        <v>327</v>
      </c>
    </row>
    <row r="429" spans="1:68" s="7" customFormat="1" x14ac:dyDescent="0.25">
      <c r="A429" s="3"/>
      <c r="B429" s="3"/>
      <c r="C429" s="3"/>
      <c r="D429" s="3"/>
      <c r="E429" s="3"/>
      <c r="F429" s="3"/>
      <c r="G429" s="3"/>
      <c r="H429" s="3"/>
      <c r="I429" s="3"/>
      <c r="J429" s="3"/>
      <c r="K429" s="3"/>
      <c r="L429" s="3"/>
      <c r="M429" s="3"/>
      <c r="N429" s="3"/>
      <c r="O429" s="3"/>
      <c r="P429" s="3"/>
      <c r="Q429" s="3"/>
      <c r="R429" s="3"/>
      <c r="S429" s="3"/>
      <c r="T429" s="3"/>
      <c r="U429" s="3"/>
      <c r="V429" s="3"/>
      <c r="W429" s="3"/>
      <c r="X429" s="3"/>
      <c r="Y429" s="3"/>
      <c r="Z429" s="3"/>
      <c r="AA429" s="3"/>
      <c r="AB429" s="3"/>
      <c r="AC429" s="3"/>
      <c r="AD429" s="3"/>
      <c r="AO429" s="292"/>
      <c r="AZ429" s="292"/>
      <c r="BP429" s="7">
        <v>328</v>
      </c>
    </row>
    <row r="430" spans="1:68" s="7" customFormat="1" x14ac:dyDescent="0.25">
      <c r="A430" s="3"/>
      <c r="B430" s="3"/>
      <c r="C430" s="3"/>
      <c r="D430" s="3"/>
      <c r="E430" s="3"/>
      <c r="F430" s="3"/>
      <c r="G430" s="3"/>
      <c r="H430" s="3"/>
      <c r="I430" s="3"/>
      <c r="J430" s="3"/>
      <c r="K430" s="3"/>
      <c r="L430" s="3"/>
      <c r="M430" s="3"/>
      <c r="N430" s="3"/>
      <c r="O430" s="3"/>
      <c r="P430" s="3"/>
      <c r="Q430" s="3"/>
      <c r="R430" s="3"/>
      <c r="S430" s="3"/>
      <c r="T430" s="3"/>
      <c r="U430" s="3"/>
      <c r="V430" s="3"/>
      <c r="W430" s="3"/>
      <c r="X430" s="3"/>
      <c r="Y430" s="3"/>
      <c r="Z430" s="3"/>
      <c r="AA430" s="3"/>
      <c r="AB430" s="3"/>
      <c r="AC430" s="3"/>
      <c r="AD430" s="3"/>
      <c r="AO430" s="292"/>
      <c r="AZ430" s="292"/>
      <c r="BP430" s="7">
        <v>329</v>
      </c>
    </row>
    <row r="431" spans="1:68" s="7" customFormat="1" x14ac:dyDescent="0.25">
      <c r="A431" s="3"/>
      <c r="B431" s="3"/>
      <c r="C431" s="3"/>
      <c r="D431" s="3"/>
      <c r="E431" s="3"/>
      <c r="F431" s="3"/>
      <c r="G431" s="3"/>
      <c r="H431" s="3"/>
      <c r="I431" s="3"/>
      <c r="J431" s="3"/>
      <c r="K431" s="3"/>
      <c r="L431" s="3"/>
      <c r="M431" s="3"/>
      <c r="N431" s="3"/>
      <c r="O431" s="3"/>
      <c r="P431" s="3"/>
      <c r="Q431" s="3"/>
      <c r="R431" s="3"/>
      <c r="S431" s="3"/>
      <c r="T431" s="3"/>
      <c r="U431" s="3"/>
      <c r="V431" s="3"/>
      <c r="W431" s="3"/>
      <c r="X431" s="3"/>
      <c r="Y431" s="3"/>
      <c r="Z431" s="3"/>
      <c r="AA431" s="3"/>
      <c r="AB431" s="3"/>
      <c r="AC431" s="3"/>
      <c r="AD431" s="3"/>
      <c r="AO431" s="292"/>
      <c r="AZ431" s="292"/>
      <c r="BP431" s="7">
        <v>330</v>
      </c>
    </row>
    <row r="432" spans="1:68" s="7" customFormat="1" x14ac:dyDescent="0.25">
      <c r="A432" s="3"/>
      <c r="B432" s="3"/>
      <c r="C432" s="3"/>
      <c r="D432" s="3"/>
      <c r="E432" s="3"/>
      <c r="F432" s="3"/>
      <c r="G432" s="3"/>
      <c r="H432" s="3"/>
      <c r="I432" s="3"/>
      <c r="J432" s="3"/>
      <c r="K432" s="3"/>
      <c r="L432" s="3"/>
      <c r="M432" s="3"/>
      <c r="N432" s="3"/>
      <c r="O432" s="3"/>
      <c r="P432" s="3"/>
      <c r="Q432" s="3"/>
      <c r="R432" s="3"/>
      <c r="S432" s="3"/>
      <c r="T432" s="3"/>
      <c r="U432" s="3"/>
      <c r="V432" s="3"/>
      <c r="W432" s="3"/>
      <c r="X432" s="3"/>
      <c r="Y432" s="3"/>
      <c r="Z432" s="3"/>
      <c r="AA432" s="3"/>
      <c r="AB432" s="3"/>
      <c r="AC432" s="3"/>
      <c r="AD432" s="3"/>
      <c r="AO432" s="292"/>
      <c r="AZ432" s="292"/>
      <c r="BP432" s="7">
        <v>331</v>
      </c>
    </row>
    <row r="433" spans="1:68" s="7" customFormat="1" x14ac:dyDescent="0.25">
      <c r="A433" s="3"/>
      <c r="B433" s="3"/>
      <c r="C433" s="3"/>
      <c r="D433" s="3"/>
      <c r="E433" s="3"/>
      <c r="F433" s="3"/>
      <c r="G433" s="3"/>
      <c r="H433" s="3"/>
      <c r="I433" s="3"/>
      <c r="J433" s="3"/>
      <c r="K433" s="3"/>
      <c r="L433" s="3"/>
      <c r="M433" s="3"/>
      <c r="N433" s="3"/>
      <c r="O433" s="3"/>
      <c r="P433" s="3"/>
      <c r="Q433" s="3"/>
      <c r="R433" s="3"/>
      <c r="S433" s="3"/>
      <c r="T433" s="3"/>
      <c r="U433" s="3"/>
      <c r="V433" s="3"/>
      <c r="W433" s="3"/>
      <c r="X433" s="3"/>
      <c r="Y433" s="3"/>
      <c r="Z433" s="3"/>
      <c r="AA433" s="3"/>
      <c r="AB433" s="3"/>
      <c r="AC433" s="3"/>
      <c r="AD433" s="3"/>
      <c r="AO433" s="292"/>
      <c r="AZ433" s="292"/>
      <c r="BP433" s="7">
        <v>332</v>
      </c>
    </row>
    <row r="434" spans="1:68" s="7" customFormat="1" x14ac:dyDescent="0.25">
      <c r="A434" s="3"/>
      <c r="B434" s="3"/>
      <c r="C434" s="3"/>
      <c r="D434" s="3"/>
      <c r="E434" s="3"/>
      <c r="F434" s="3"/>
      <c r="G434" s="3"/>
      <c r="H434" s="3"/>
      <c r="I434" s="3"/>
      <c r="J434" s="3"/>
      <c r="K434" s="3"/>
      <c r="L434" s="3"/>
      <c r="M434" s="3"/>
      <c r="N434" s="3"/>
      <c r="O434" s="3"/>
      <c r="P434" s="3"/>
      <c r="Q434" s="3"/>
      <c r="R434" s="3"/>
      <c r="S434" s="3"/>
      <c r="T434" s="3"/>
      <c r="U434" s="3"/>
      <c r="V434" s="3"/>
      <c r="W434" s="3"/>
      <c r="X434" s="3"/>
      <c r="Y434" s="3"/>
      <c r="Z434" s="3"/>
      <c r="AA434" s="3"/>
      <c r="AB434" s="3"/>
      <c r="AC434" s="3"/>
      <c r="AD434" s="3"/>
      <c r="AO434" s="292"/>
      <c r="AZ434" s="292"/>
      <c r="BP434" s="7">
        <v>333</v>
      </c>
    </row>
    <row r="435" spans="1:68" s="7" customFormat="1" x14ac:dyDescent="0.25">
      <c r="A435" s="3"/>
      <c r="B435" s="3"/>
      <c r="C435" s="3"/>
      <c r="D435" s="3"/>
      <c r="E435" s="3"/>
      <c r="F435" s="3"/>
      <c r="G435" s="3"/>
      <c r="H435" s="3"/>
      <c r="I435" s="3"/>
      <c r="J435" s="3"/>
      <c r="K435" s="3"/>
      <c r="L435" s="3"/>
      <c r="M435" s="3"/>
      <c r="N435" s="3"/>
      <c r="O435" s="3"/>
      <c r="P435" s="3"/>
      <c r="Q435" s="3"/>
      <c r="R435" s="3"/>
      <c r="S435" s="3"/>
      <c r="T435" s="3"/>
      <c r="U435" s="3"/>
      <c r="V435" s="3"/>
      <c r="W435" s="3"/>
      <c r="X435" s="3"/>
      <c r="Y435" s="3"/>
      <c r="Z435" s="3"/>
      <c r="AA435" s="3"/>
      <c r="AB435" s="3"/>
      <c r="AC435" s="3"/>
      <c r="AD435" s="3"/>
      <c r="AO435" s="292"/>
      <c r="AZ435" s="292"/>
      <c r="BP435" s="7">
        <v>334</v>
      </c>
    </row>
    <row r="436" spans="1:68" s="7" customFormat="1" x14ac:dyDescent="0.25">
      <c r="A436" s="3"/>
      <c r="B436" s="3"/>
      <c r="C436" s="3"/>
      <c r="D436" s="3"/>
      <c r="E436" s="3"/>
      <c r="F436" s="3"/>
      <c r="G436" s="3"/>
      <c r="H436" s="3"/>
      <c r="I436" s="3"/>
      <c r="J436" s="3"/>
      <c r="K436" s="3"/>
      <c r="L436" s="3"/>
      <c r="M436" s="3"/>
      <c r="N436" s="3"/>
      <c r="O436" s="3"/>
      <c r="P436" s="3"/>
      <c r="Q436" s="3"/>
      <c r="R436" s="3"/>
      <c r="S436" s="3"/>
      <c r="T436" s="3"/>
      <c r="U436" s="3"/>
      <c r="V436" s="3"/>
      <c r="W436" s="3"/>
      <c r="X436" s="3"/>
      <c r="Y436" s="3"/>
      <c r="Z436" s="3"/>
      <c r="AA436" s="3"/>
      <c r="AB436" s="3"/>
      <c r="AC436" s="3"/>
      <c r="AD436" s="3"/>
      <c r="AO436" s="292"/>
      <c r="AZ436" s="292"/>
      <c r="BP436" s="7">
        <v>335</v>
      </c>
    </row>
    <row r="437" spans="1:68" s="7" customFormat="1" x14ac:dyDescent="0.25">
      <c r="A437" s="3"/>
      <c r="B437" s="3"/>
      <c r="C437" s="3"/>
      <c r="D437" s="3"/>
      <c r="E437" s="3"/>
      <c r="F437" s="3"/>
      <c r="G437" s="3"/>
      <c r="H437" s="3"/>
      <c r="I437" s="3"/>
      <c r="J437" s="3"/>
      <c r="K437" s="3"/>
      <c r="L437" s="3"/>
      <c r="M437" s="3"/>
      <c r="N437" s="3"/>
      <c r="O437" s="3"/>
      <c r="P437" s="3"/>
      <c r="Q437" s="3"/>
      <c r="R437" s="3"/>
      <c r="S437" s="3"/>
      <c r="T437" s="3"/>
      <c r="U437" s="3"/>
      <c r="V437" s="3"/>
      <c r="W437" s="3"/>
      <c r="X437" s="3"/>
      <c r="Y437" s="3"/>
      <c r="Z437" s="3"/>
      <c r="AA437" s="3"/>
      <c r="AB437" s="3"/>
      <c r="AC437" s="3"/>
      <c r="AD437" s="3"/>
      <c r="AO437" s="292"/>
      <c r="AZ437" s="292"/>
      <c r="BP437" s="7">
        <v>336</v>
      </c>
    </row>
    <row r="438" spans="1:68" s="7" customFormat="1" x14ac:dyDescent="0.25">
      <c r="A438" s="3"/>
      <c r="B438" s="3"/>
      <c r="C438" s="3"/>
      <c r="D438" s="3"/>
      <c r="E438" s="3"/>
      <c r="F438" s="3"/>
      <c r="G438" s="3"/>
      <c r="H438" s="3"/>
      <c r="I438" s="3"/>
      <c r="J438" s="3"/>
      <c r="K438" s="3"/>
      <c r="L438" s="3"/>
      <c r="M438" s="3"/>
      <c r="N438" s="3"/>
      <c r="O438" s="3"/>
      <c r="P438" s="3"/>
      <c r="Q438" s="3"/>
      <c r="R438" s="3"/>
      <c r="S438" s="3"/>
      <c r="T438" s="3"/>
      <c r="U438" s="3"/>
      <c r="V438" s="3"/>
      <c r="W438" s="3"/>
      <c r="X438" s="3"/>
      <c r="Y438" s="3"/>
      <c r="Z438" s="3"/>
      <c r="AA438" s="3"/>
      <c r="AB438" s="3"/>
      <c r="AC438" s="3"/>
      <c r="AD438" s="3"/>
      <c r="AO438" s="292"/>
      <c r="AZ438" s="292"/>
      <c r="BP438" s="7">
        <v>337</v>
      </c>
    </row>
    <row r="439" spans="1:68" s="7" customFormat="1" x14ac:dyDescent="0.25">
      <c r="A439" s="3"/>
      <c r="B439" s="3"/>
      <c r="C439" s="3"/>
      <c r="D439" s="3"/>
      <c r="E439" s="3"/>
      <c r="F439" s="3"/>
      <c r="G439" s="3"/>
      <c r="H439" s="3"/>
      <c r="I439" s="3"/>
      <c r="J439" s="3"/>
      <c r="K439" s="3"/>
      <c r="L439" s="3"/>
      <c r="M439" s="3"/>
      <c r="N439" s="3"/>
      <c r="O439" s="3"/>
      <c r="P439" s="3"/>
      <c r="Q439" s="3"/>
      <c r="R439" s="3"/>
      <c r="S439" s="3"/>
      <c r="T439" s="3"/>
      <c r="U439" s="3"/>
      <c r="V439" s="3"/>
      <c r="W439" s="3"/>
      <c r="X439" s="3"/>
      <c r="Y439" s="3"/>
      <c r="Z439" s="3"/>
      <c r="AA439" s="3"/>
      <c r="AB439" s="3"/>
      <c r="AC439" s="3"/>
      <c r="AD439" s="3"/>
      <c r="AO439" s="292"/>
      <c r="AZ439" s="292"/>
      <c r="BP439" s="7">
        <v>338</v>
      </c>
    </row>
    <row r="440" spans="1:68" s="7" customFormat="1" x14ac:dyDescent="0.25">
      <c r="A440" s="3"/>
      <c r="B440" s="3"/>
      <c r="C440" s="3"/>
      <c r="D440" s="3"/>
      <c r="E440" s="3"/>
      <c r="F440" s="3"/>
      <c r="G440" s="3"/>
      <c r="H440" s="3"/>
      <c r="I440" s="3"/>
      <c r="J440" s="3"/>
      <c r="K440" s="3"/>
      <c r="L440" s="3"/>
      <c r="M440" s="3"/>
      <c r="N440" s="3"/>
      <c r="O440" s="3"/>
      <c r="P440" s="3"/>
      <c r="Q440" s="3"/>
      <c r="R440" s="3"/>
      <c r="S440" s="3"/>
      <c r="T440" s="3"/>
      <c r="U440" s="3"/>
      <c r="V440" s="3"/>
      <c r="W440" s="3"/>
      <c r="X440" s="3"/>
      <c r="Y440" s="3"/>
      <c r="Z440" s="3"/>
      <c r="AA440" s="3"/>
      <c r="AB440" s="3"/>
      <c r="AC440" s="3"/>
      <c r="AD440" s="3"/>
      <c r="AO440" s="292"/>
      <c r="AZ440" s="292"/>
      <c r="BP440" s="7">
        <v>339</v>
      </c>
    </row>
    <row r="441" spans="1:68" s="7" customFormat="1" x14ac:dyDescent="0.25">
      <c r="A441" s="3"/>
      <c r="B441" s="3"/>
      <c r="C441" s="3"/>
      <c r="D441" s="3"/>
      <c r="E441" s="3"/>
      <c r="F441" s="3"/>
      <c r="G441" s="3"/>
      <c r="H441" s="3"/>
      <c r="I441" s="3"/>
      <c r="J441" s="3"/>
      <c r="K441" s="3"/>
      <c r="L441" s="3"/>
      <c r="M441" s="3"/>
      <c r="N441" s="3"/>
      <c r="O441" s="3"/>
      <c r="P441" s="3"/>
      <c r="Q441" s="3"/>
      <c r="R441" s="3"/>
      <c r="S441" s="3"/>
      <c r="T441" s="3"/>
      <c r="U441" s="3"/>
      <c r="V441" s="3"/>
      <c r="W441" s="3"/>
      <c r="X441" s="3"/>
      <c r="Y441" s="3"/>
      <c r="Z441" s="3"/>
      <c r="AA441" s="3"/>
      <c r="AB441" s="3"/>
      <c r="AC441" s="3"/>
      <c r="AD441" s="3"/>
      <c r="AO441" s="292"/>
      <c r="AZ441" s="292"/>
      <c r="BP441" s="7">
        <v>340</v>
      </c>
    </row>
    <row r="442" spans="1:68" s="7" customFormat="1" x14ac:dyDescent="0.25">
      <c r="A442" s="3"/>
      <c r="B442" s="3"/>
      <c r="C442" s="3"/>
      <c r="D442" s="3"/>
      <c r="E442" s="3"/>
      <c r="F442" s="3"/>
      <c r="G442" s="3"/>
      <c r="H442" s="3"/>
      <c r="I442" s="3"/>
      <c r="J442" s="3"/>
      <c r="K442" s="3"/>
      <c r="L442" s="3"/>
      <c r="M442" s="3"/>
      <c r="N442" s="3"/>
      <c r="O442" s="3"/>
      <c r="P442" s="3"/>
      <c r="Q442" s="3"/>
      <c r="R442" s="3"/>
      <c r="S442" s="3"/>
      <c r="T442" s="3"/>
      <c r="U442" s="3"/>
      <c r="V442" s="3"/>
      <c r="W442" s="3"/>
      <c r="X442" s="3"/>
      <c r="Y442" s="3"/>
      <c r="Z442" s="3"/>
      <c r="AA442" s="3"/>
      <c r="AB442" s="3"/>
      <c r="AC442" s="3"/>
      <c r="AD442" s="3"/>
      <c r="AO442" s="292"/>
      <c r="AZ442" s="292"/>
      <c r="BP442" s="7">
        <v>341</v>
      </c>
    </row>
    <row r="443" spans="1:68" s="7" customFormat="1" x14ac:dyDescent="0.25">
      <c r="A443" s="3"/>
      <c r="B443" s="3"/>
      <c r="C443" s="3"/>
      <c r="D443" s="3"/>
      <c r="E443" s="3"/>
      <c r="F443" s="3"/>
      <c r="G443" s="3"/>
      <c r="H443" s="3"/>
      <c r="I443" s="3"/>
      <c r="J443" s="3"/>
      <c r="K443" s="3"/>
      <c r="L443" s="3"/>
      <c r="M443" s="3"/>
      <c r="N443" s="3"/>
      <c r="O443" s="3"/>
      <c r="P443" s="3"/>
      <c r="Q443" s="3"/>
      <c r="R443" s="3"/>
      <c r="S443" s="3"/>
      <c r="T443" s="3"/>
      <c r="U443" s="3"/>
      <c r="V443" s="3"/>
      <c r="W443" s="3"/>
      <c r="X443" s="3"/>
      <c r="Y443" s="3"/>
      <c r="Z443" s="3"/>
      <c r="AA443" s="3"/>
      <c r="AB443" s="3"/>
      <c r="AC443" s="3"/>
      <c r="AD443" s="3"/>
      <c r="AO443" s="292"/>
      <c r="AZ443" s="292"/>
      <c r="BP443" s="7">
        <v>342</v>
      </c>
    </row>
    <row r="444" spans="1:68" s="7" customFormat="1" x14ac:dyDescent="0.25">
      <c r="A444" s="3"/>
      <c r="B444" s="3"/>
      <c r="C444" s="3"/>
      <c r="D444" s="3"/>
      <c r="E444" s="3"/>
      <c r="F444" s="3"/>
      <c r="G444" s="3"/>
      <c r="H444" s="3"/>
      <c r="I444" s="3"/>
      <c r="J444" s="3"/>
      <c r="K444" s="3"/>
      <c r="L444" s="3"/>
      <c r="M444" s="3"/>
      <c r="N444" s="3"/>
      <c r="O444" s="3"/>
      <c r="P444" s="3"/>
      <c r="Q444" s="3"/>
      <c r="R444" s="3"/>
      <c r="S444" s="3"/>
      <c r="T444" s="3"/>
      <c r="U444" s="3"/>
      <c r="V444" s="3"/>
      <c r="W444" s="3"/>
      <c r="X444" s="3"/>
      <c r="Y444" s="3"/>
      <c r="Z444" s="3"/>
      <c r="AA444" s="3"/>
      <c r="AB444" s="3"/>
      <c r="AC444" s="3"/>
      <c r="AD444" s="3"/>
      <c r="AO444" s="292"/>
      <c r="AZ444" s="292"/>
      <c r="BP444" s="7">
        <v>343</v>
      </c>
    </row>
    <row r="445" spans="1:68" s="7" customFormat="1" x14ac:dyDescent="0.25">
      <c r="A445" s="3"/>
      <c r="B445" s="3"/>
      <c r="C445" s="3"/>
      <c r="D445" s="3"/>
      <c r="E445" s="3"/>
      <c r="F445" s="3"/>
      <c r="G445" s="3"/>
      <c r="H445" s="3"/>
      <c r="I445" s="3"/>
      <c r="J445" s="3"/>
      <c r="K445" s="3"/>
      <c r="L445" s="3"/>
      <c r="M445" s="3"/>
      <c r="N445" s="3"/>
      <c r="O445" s="3"/>
      <c r="P445" s="3"/>
      <c r="Q445" s="3"/>
      <c r="R445" s="3"/>
      <c r="S445" s="3"/>
      <c r="T445" s="3"/>
      <c r="U445" s="3"/>
      <c r="V445" s="3"/>
      <c r="W445" s="3"/>
      <c r="X445" s="3"/>
      <c r="Y445" s="3"/>
      <c r="Z445" s="3"/>
      <c r="AA445" s="3"/>
      <c r="AB445" s="3"/>
      <c r="AC445" s="3"/>
      <c r="AD445" s="3"/>
      <c r="AO445" s="292"/>
      <c r="AZ445" s="292"/>
      <c r="BP445" s="7">
        <v>344</v>
      </c>
    </row>
    <row r="446" spans="1:68" s="7" customFormat="1" x14ac:dyDescent="0.25">
      <c r="A446" s="3"/>
      <c r="B446" s="3"/>
      <c r="C446" s="3"/>
      <c r="D446" s="3"/>
      <c r="E446" s="3"/>
      <c r="F446" s="3"/>
      <c r="G446" s="3"/>
      <c r="H446" s="3"/>
      <c r="I446" s="3"/>
      <c r="J446" s="3"/>
      <c r="K446" s="3"/>
      <c r="L446" s="3"/>
      <c r="M446" s="3"/>
      <c r="N446" s="3"/>
      <c r="O446" s="3"/>
      <c r="P446" s="3"/>
      <c r="Q446" s="3"/>
      <c r="R446" s="3"/>
      <c r="S446" s="3"/>
      <c r="T446" s="3"/>
      <c r="U446" s="3"/>
      <c r="V446" s="3"/>
      <c r="W446" s="3"/>
      <c r="X446" s="3"/>
      <c r="Y446" s="3"/>
      <c r="Z446" s="3"/>
      <c r="AA446" s="3"/>
      <c r="AB446" s="3"/>
      <c r="AC446" s="3"/>
      <c r="AD446" s="3"/>
      <c r="AO446" s="292"/>
      <c r="AZ446" s="292"/>
      <c r="BP446" s="7">
        <v>345</v>
      </c>
    </row>
    <row r="447" spans="1:68" s="7" customFormat="1" x14ac:dyDescent="0.25">
      <c r="A447" s="3"/>
      <c r="B447" s="3"/>
      <c r="C447" s="3"/>
      <c r="D447" s="3"/>
      <c r="E447" s="3"/>
      <c r="F447" s="3"/>
      <c r="G447" s="3"/>
      <c r="H447" s="3"/>
      <c r="I447" s="3"/>
      <c r="J447" s="3"/>
      <c r="K447" s="3"/>
      <c r="L447" s="3"/>
      <c r="M447" s="3"/>
      <c r="N447" s="3"/>
      <c r="O447" s="3"/>
      <c r="P447" s="3"/>
      <c r="Q447" s="3"/>
      <c r="R447" s="3"/>
      <c r="S447" s="3"/>
      <c r="T447" s="3"/>
      <c r="U447" s="3"/>
      <c r="V447" s="3"/>
      <c r="W447" s="3"/>
      <c r="X447" s="3"/>
      <c r="Y447" s="3"/>
      <c r="Z447" s="3"/>
      <c r="AA447" s="3"/>
      <c r="AB447" s="3"/>
      <c r="AC447" s="3"/>
      <c r="AD447" s="3"/>
      <c r="AO447" s="292"/>
      <c r="AZ447" s="292"/>
      <c r="BP447" s="7">
        <v>346</v>
      </c>
    </row>
    <row r="448" spans="1:68" s="7" customFormat="1" x14ac:dyDescent="0.25">
      <c r="A448" s="3"/>
      <c r="B448" s="3"/>
      <c r="C448" s="3"/>
      <c r="D448" s="3"/>
      <c r="E448" s="3"/>
      <c r="F448" s="3"/>
      <c r="G448" s="3"/>
      <c r="H448" s="3"/>
      <c r="I448" s="3"/>
      <c r="J448" s="3"/>
      <c r="K448" s="3"/>
      <c r="L448" s="3"/>
      <c r="M448" s="3"/>
      <c r="N448" s="3"/>
      <c r="O448" s="3"/>
      <c r="P448" s="3"/>
      <c r="Q448" s="3"/>
      <c r="R448" s="3"/>
      <c r="S448" s="3"/>
      <c r="T448" s="3"/>
      <c r="U448" s="3"/>
      <c r="V448" s="3"/>
      <c r="W448" s="3"/>
      <c r="X448" s="3"/>
      <c r="Y448" s="3"/>
      <c r="Z448" s="3"/>
      <c r="AA448" s="3"/>
      <c r="AB448" s="3"/>
      <c r="AC448" s="3"/>
      <c r="AD448" s="3"/>
      <c r="AO448" s="292"/>
      <c r="AZ448" s="292"/>
      <c r="BP448" s="7">
        <v>347</v>
      </c>
    </row>
    <row r="449" spans="1:68" s="7" customFormat="1" x14ac:dyDescent="0.25">
      <c r="A449" s="3"/>
      <c r="B449" s="3"/>
      <c r="C449" s="3"/>
      <c r="D449" s="3"/>
      <c r="E449" s="3"/>
      <c r="F449" s="3"/>
      <c r="G449" s="3"/>
      <c r="H449" s="3"/>
      <c r="I449" s="3"/>
      <c r="J449" s="3"/>
      <c r="K449" s="3"/>
      <c r="L449" s="3"/>
      <c r="M449" s="3"/>
      <c r="N449" s="3"/>
      <c r="O449" s="3"/>
      <c r="P449" s="3"/>
      <c r="Q449" s="3"/>
      <c r="R449" s="3"/>
      <c r="S449" s="3"/>
      <c r="T449" s="3"/>
      <c r="U449" s="3"/>
      <c r="V449" s="3"/>
      <c r="W449" s="3"/>
      <c r="X449" s="3"/>
      <c r="Y449" s="3"/>
      <c r="Z449" s="3"/>
      <c r="AA449" s="3"/>
      <c r="AB449" s="3"/>
      <c r="AC449" s="3"/>
      <c r="AD449" s="3"/>
      <c r="AO449" s="292"/>
      <c r="AZ449" s="292"/>
      <c r="BP449" s="7">
        <v>348</v>
      </c>
    </row>
    <row r="450" spans="1:68" s="7" customFormat="1" x14ac:dyDescent="0.25">
      <c r="A450" s="3"/>
      <c r="B450" s="3"/>
      <c r="C450" s="3"/>
      <c r="D450" s="3"/>
      <c r="E450" s="3"/>
      <c r="F450" s="3"/>
      <c r="G450" s="3"/>
      <c r="H450" s="3"/>
      <c r="I450" s="3"/>
      <c r="J450" s="3"/>
      <c r="K450" s="3"/>
      <c r="L450" s="3"/>
      <c r="M450" s="3"/>
      <c r="N450" s="3"/>
      <c r="O450" s="3"/>
      <c r="P450" s="3"/>
      <c r="Q450" s="3"/>
      <c r="R450" s="3"/>
      <c r="S450" s="3"/>
      <c r="T450" s="3"/>
      <c r="U450" s="3"/>
      <c r="V450" s="3"/>
      <c r="W450" s="3"/>
      <c r="X450" s="3"/>
      <c r="Y450" s="3"/>
      <c r="Z450" s="3"/>
      <c r="AA450" s="3"/>
      <c r="AB450" s="3"/>
      <c r="AC450" s="3"/>
      <c r="AD450" s="3"/>
      <c r="AO450" s="292"/>
      <c r="AZ450" s="292"/>
      <c r="BP450" s="7">
        <v>349</v>
      </c>
    </row>
    <row r="451" spans="1:68" s="7" customFormat="1" x14ac:dyDescent="0.25">
      <c r="A451" s="3"/>
      <c r="B451" s="3"/>
      <c r="C451" s="3"/>
      <c r="D451" s="3"/>
      <c r="E451" s="3"/>
      <c r="F451" s="3"/>
      <c r="G451" s="3"/>
      <c r="H451" s="3"/>
      <c r="I451" s="3"/>
      <c r="J451" s="3"/>
      <c r="K451" s="3"/>
      <c r="L451" s="3"/>
      <c r="M451" s="3"/>
      <c r="N451" s="3"/>
      <c r="O451" s="3"/>
      <c r="P451" s="3"/>
      <c r="Q451" s="3"/>
      <c r="R451" s="3"/>
      <c r="S451" s="3"/>
      <c r="T451" s="3"/>
      <c r="U451" s="3"/>
      <c r="V451" s="3"/>
      <c r="W451" s="3"/>
      <c r="X451" s="3"/>
      <c r="Y451" s="3"/>
      <c r="Z451" s="3"/>
      <c r="AA451" s="3"/>
      <c r="AB451" s="3"/>
      <c r="AC451" s="3"/>
      <c r="AD451" s="3"/>
      <c r="AO451" s="292"/>
      <c r="AZ451" s="292"/>
      <c r="BP451" s="7">
        <v>350</v>
      </c>
    </row>
    <row r="452" spans="1:68" s="7" customFormat="1" ht="33" customHeight="1" x14ac:dyDescent="0.25">
      <c r="A452" s="3"/>
      <c r="B452" s="3"/>
      <c r="C452" s="3"/>
      <c r="D452" s="3"/>
      <c r="E452" s="3"/>
      <c r="F452" s="3"/>
      <c r="G452" s="3"/>
      <c r="H452" s="3"/>
      <c r="I452" s="3"/>
      <c r="J452" s="3"/>
      <c r="K452" s="3"/>
      <c r="L452" s="3"/>
      <c r="M452" s="3"/>
      <c r="N452" s="3"/>
      <c r="O452" s="3"/>
      <c r="P452" s="3"/>
      <c r="Q452" s="3"/>
      <c r="R452" s="3"/>
      <c r="S452" s="3"/>
      <c r="T452" s="3"/>
      <c r="U452" s="3"/>
      <c r="V452" s="3"/>
      <c r="W452" s="3"/>
      <c r="X452" s="3"/>
      <c r="Y452" s="3"/>
      <c r="Z452" s="3"/>
      <c r="AA452" s="3"/>
      <c r="AB452" s="3"/>
      <c r="AC452" s="3"/>
      <c r="AD452" s="3"/>
      <c r="AO452" s="292"/>
      <c r="AZ452" s="292"/>
    </row>
    <row r="453" spans="1:68" s="7" customFormat="1" x14ac:dyDescent="0.25">
      <c r="A453" s="3"/>
      <c r="B453" s="3"/>
      <c r="C453" s="3"/>
      <c r="D453" s="3"/>
      <c r="E453" s="3"/>
      <c r="F453" s="3"/>
      <c r="G453" s="3"/>
      <c r="H453" s="3"/>
      <c r="I453" s="3"/>
      <c r="J453" s="3"/>
      <c r="K453" s="3"/>
      <c r="L453" s="3"/>
      <c r="M453" s="3"/>
      <c r="N453" s="3"/>
      <c r="O453" s="3"/>
      <c r="P453" s="3"/>
      <c r="Q453" s="3"/>
      <c r="R453" s="3"/>
      <c r="S453" s="3"/>
      <c r="T453" s="3"/>
      <c r="U453" s="3"/>
      <c r="V453" s="3"/>
      <c r="W453" s="3"/>
      <c r="X453" s="3"/>
      <c r="Y453" s="3"/>
      <c r="Z453" s="3"/>
      <c r="AA453" s="3"/>
      <c r="AB453" s="3"/>
      <c r="AC453" s="3"/>
      <c r="AD453" s="3"/>
      <c r="AO453" s="292"/>
      <c r="AZ453" s="292"/>
    </row>
    <row r="454" spans="1:68" s="10" customFormat="1" ht="105.75" customHeight="1" x14ac:dyDescent="0.25">
      <c r="A454" s="3"/>
      <c r="B454" s="3"/>
      <c r="C454" s="3"/>
      <c r="D454" s="3"/>
      <c r="E454" s="3"/>
      <c r="F454" s="3"/>
      <c r="G454" s="3"/>
      <c r="H454" s="3"/>
      <c r="I454" s="3"/>
      <c r="J454" s="3"/>
      <c r="K454" s="3"/>
      <c r="L454" s="3"/>
      <c r="M454" s="3"/>
      <c r="N454" s="3"/>
      <c r="O454" s="3"/>
      <c r="P454" s="3"/>
      <c r="Q454" s="3"/>
      <c r="R454" s="3"/>
      <c r="S454" s="3"/>
      <c r="T454" s="3"/>
      <c r="U454" s="3"/>
      <c r="V454" s="3"/>
      <c r="W454" s="3"/>
      <c r="X454" s="3"/>
      <c r="Y454" s="3"/>
      <c r="Z454" s="3"/>
      <c r="AA454" s="3"/>
      <c r="AB454" s="3"/>
      <c r="AC454" s="3"/>
      <c r="AD454" s="3"/>
      <c r="AO454" s="389"/>
      <c r="AT454" s="7"/>
      <c r="AZ454" s="389"/>
    </row>
    <row r="455" spans="1:68" s="7" customFormat="1" x14ac:dyDescent="0.25">
      <c r="A455" s="3"/>
      <c r="B455" s="3"/>
      <c r="C455" s="3"/>
      <c r="D455" s="3"/>
      <c r="E455" s="3"/>
      <c r="F455" s="3"/>
      <c r="G455" s="3"/>
      <c r="H455" s="3"/>
      <c r="I455" s="3"/>
      <c r="J455" s="3"/>
      <c r="K455" s="3"/>
      <c r="L455" s="3"/>
      <c r="M455" s="3"/>
      <c r="N455" s="3"/>
      <c r="O455" s="3"/>
      <c r="P455" s="3"/>
      <c r="Q455" s="3"/>
      <c r="R455" s="3"/>
      <c r="S455" s="3"/>
      <c r="T455" s="3"/>
      <c r="U455" s="3"/>
      <c r="V455" s="3"/>
      <c r="W455" s="3"/>
      <c r="X455" s="3"/>
      <c r="Y455" s="3"/>
      <c r="Z455" s="3"/>
      <c r="AA455" s="3"/>
      <c r="AB455" s="3"/>
      <c r="AC455" s="3"/>
      <c r="AD455" s="3"/>
      <c r="AO455" s="292"/>
      <c r="AT455" s="7">
        <v>1</v>
      </c>
      <c r="AZ455" s="292"/>
    </row>
    <row r="456" spans="1:68" s="7" customFormat="1" x14ac:dyDescent="0.25">
      <c r="A456" s="3"/>
      <c r="B456" s="3"/>
      <c r="C456" s="3"/>
      <c r="D456" s="3"/>
      <c r="E456" s="3"/>
      <c r="F456" s="3"/>
      <c r="G456" s="3"/>
      <c r="H456" s="3"/>
      <c r="I456" s="3"/>
      <c r="J456" s="3"/>
      <c r="K456" s="3"/>
      <c r="L456" s="3"/>
      <c r="M456" s="3"/>
      <c r="N456" s="3"/>
      <c r="O456" s="3"/>
      <c r="P456" s="3"/>
      <c r="Q456" s="3"/>
      <c r="R456" s="3"/>
      <c r="S456" s="3"/>
      <c r="T456" s="3"/>
      <c r="U456" s="3"/>
      <c r="V456" s="3"/>
      <c r="W456" s="3"/>
      <c r="X456" s="3"/>
      <c r="Y456" s="3"/>
      <c r="Z456" s="3"/>
      <c r="AA456" s="3"/>
      <c r="AB456" s="3"/>
      <c r="AC456" s="3"/>
      <c r="AD456" s="3"/>
      <c r="AO456" s="292"/>
      <c r="AT456" s="7">
        <v>2</v>
      </c>
      <c r="AZ456" s="292"/>
    </row>
    <row r="457" spans="1:68" s="7" customFormat="1" x14ac:dyDescent="0.25">
      <c r="A457" s="3"/>
      <c r="B457" s="3"/>
      <c r="C457" s="3"/>
      <c r="D457" s="3"/>
      <c r="E457" s="3"/>
      <c r="F457" s="3"/>
      <c r="G457" s="3"/>
      <c r="H457" s="3"/>
      <c r="I457" s="3"/>
      <c r="J457" s="3"/>
      <c r="K457" s="3"/>
      <c r="L457" s="3"/>
      <c r="M457" s="3"/>
      <c r="N457" s="3"/>
      <c r="O457" s="3"/>
      <c r="P457" s="3"/>
      <c r="Q457" s="3"/>
      <c r="R457" s="3"/>
      <c r="S457" s="3"/>
      <c r="T457" s="3"/>
      <c r="U457" s="3"/>
      <c r="V457" s="3"/>
      <c r="W457" s="3"/>
      <c r="X457" s="3"/>
      <c r="Y457" s="3"/>
      <c r="Z457" s="3"/>
      <c r="AA457" s="3"/>
      <c r="AB457" s="3"/>
      <c r="AC457" s="3"/>
      <c r="AD457" s="3"/>
      <c r="AO457" s="292"/>
      <c r="AT457" s="7">
        <v>3</v>
      </c>
      <c r="AZ457" s="292"/>
    </row>
    <row r="458" spans="1:68" s="7" customFormat="1" x14ac:dyDescent="0.25">
      <c r="A458" s="3"/>
      <c r="B458" s="3"/>
      <c r="C458" s="3"/>
      <c r="D458" s="3"/>
      <c r="E458" s="3"/>
      <c r="F458" s="3"/>
      <c r="G458" s="3"/>
      <c r="H458" s="3"/>
      <c r="I458" s="3"/>
      <c r="J458" s="3"/>
      <c r="K458" s="3"/>
      <c r="L458" s="3"/>
      <c r="M458" s="3"/>
      <c r="N458" s="3"/>
      <c r="O458" s="3"/>
      <c r="P458" s="3"/>
      <c r="Q458" s="3"/>
      <c r="R458" s="3"/>
      <c r="S458" s="3"/>
      <c r="T458" s="3"/>
      <c r="U458" s="3"/>
      <c r="V458" s="3"/>
      <c r="W458" s="3"/>
      <c r="X458" s="3"/>
      <c r="Y458" s="3"/>
      <c r="Z458" s="3"/>
      <c r="AA458" s="3"/>
      <c r="AB458" s="3"/>
      <c r="AC458" s="3"/>
      <c r="AD458" s="3"/>
      <c r="AO458" s="292"/>
      <c r="AT458" s="7">
        <v>4</v>
      </c>
      <c r="AZ458" s="292"/>
    </row>
    <row r="459" spans="1:68" s="7" customFormat="1" x14ac:dyDescent="0.25">
      <c r="A459" s="3"/>
      <c r="B459" s="3"/>
      <c r="C459" s="3"/>
      <c r="D459" s="3"/>
      <c r="E459" s="3"/>
      <c r="F459" s="3"/>
      <c r="G459" s="3"/>
      <c r="H459" s="3"/>
      <c r="I459" s="3"/>
      <c r="J459" s="3"/>
      <c r="K459" s="3"/>
      <c r="L459" s="3"/>
      <c r="M459" s="3"/>
      <c r="N459" s="3"/>
      <c r="O459" s="3"/>
      <c r="P459" s="3"/>
      <c r="Q459" s="3"/>
      <c r="R459" s="3"/>
      <c r="S459" s="3"/>
      <c r="T459" s="3"/>
      <c r="U459" s="3"/>
      <c r="V459" s="3"/>
      <c r="W459" s="3"/>
      <c r="X459" s="3"/>
      <c r="Y459" s="3"/>
      <c r="Z459" s="3"/>
      <c r="AA459" s="3"/>
      <c r="AB459" s="3"/>
      <c r="AC459" s="3"/>
      <c r="AD459" s="3"/>
      <c r="AO459" s="292"/>
      <c r="AT459" s="7">
        <v>5</v>
      </c>
      <c r="AZ459" s="292"/>
    </row>
    <row r="460" spans="1:68" s="7" customFormat="1" x14ac:dyDescent="0.25">
      <c r="A460" s="3"/>
      <c r="B460" s="3"/>
      <c r="C460" s="3"/>
      <c r="D460" s="3"/>
      <c r="E460" s="3"/>
      <c r="F460" s="3"/>
      <c r="G460" s="3"/>
      <c r="H460" s="3"/>
      <c r="I460" s="3"/>
      <c r="J460" s="3"/>
      <c r="K460" s="3"/>
      <c r="L460" s="3"/>
      <c r="M460" s="3"/>
      <c r="N460" s="3"/>
      <c r="O460" s="3"/>
      <c r="P460" s="3"/>
      <c r="Q460" s="3"/>
      <c r="R460" s="3"/>
      <c r="S460" s="3"/>
      <c r="T460" s="3"/>
      <c r="U460" s="3"/>
      <c r="V460" s="3"/>
      <c r="W460" s="3"/>
      <c r="X460" s="3"/>
      <c r="Y460" s="3"/>
      <c r="Z460" s="3"/>
      <c r="AA460" s="3"/>
      <c r="AB460" s="3"/>
      <c r="AC460" s="3"/>
      <c r="AD460" s="3"/>
      <c r="AO460" s="292"/>
      <c r="AT460" s="7">
        <v>6</v>
      </c>
      <c r="AZ460" s="292"/>
    </row>
    <row r="461" spans="1:68" s="7" customFormat="1" x14ac:dyDescent="0.25">
      <c r="A461" s="3"/>
      <c r="B461" s="3"/>
      <c r="C461" s="3"/>
      <c r="D461" s="3"/>
      <c r="E461" s="3"/>
      <c r="F461" s="3"/>
      <c r="G461" s="3"/>
      <c r="H461" s="3"/>
      <c r="I461" s="3"/>
      <c r="J461" s="3"/>
      <c r="K461" s="3"/>
      <c r="L461" s="3"/>
      <c r="M461" s="3"/>
      <c r="N461" s="3"/>
      <c r="O461" s="3"/>
      <c r="P461" s="3"/>
      <c r="Q461" s="3"/>
      <c r="R461" s="3"/>
      <c r="S461" s="3"/>
      <c r="T461" s="3"/>
      <c r="U461" s="3"/>
      <c r="V461" s="3"/>
      <c r="W461" s="3"/>
      <c r="X461" s="3"/>
      <c r="Y461" s="3"/>
      <c r="Z461" s="3"/>
      <c r="AA461" s="3"/>
      <c r="AB461" s="3"/>
      <c r="AC461" s="3"/>
      <c r="AD461" s="3"/>
      <c r="AO461" s="292"/>
      <c r="AT461" s="7">
        <v>7</v>
      </c>
      <c r="AZ461" s="292"/>
    </row>
    <row r="462" spans="1:68" s="7" customFormat="1" x14ac:dyDescent="0.25">
      <c r="A462" s="3"/>
      <c r="B462" s="3"/>
      <c r="C462" s="3"/>
      <c r="D462" s="3"/>
      <c r="E462" s="3"/>
      <c r="F462" s="3"/>
      <c r="G462" s="3"/>
      <c r="H462" s="3"/>
      <c r="I462" s="3"/>
      <c r="J462" s="3"/>
      <c r="K462" s="3"/>
      <c r="L462" s="3"/>
      <c r="M462" s="3"/>
      <c r="N462" s="3"/>
      <c r="O462" s="3"/>
      <c r="P462" s="3"/>
      <c r="Q462" s="3"/>
      <c r="R462" s="3"/>
      <c r="S462" s="3"/>
      <c r="T462" s="3"/>
      <c r="U462" s="3"/>
      <c r="V462" s="3"/>
      <c r="W462" s="3"/>
      <c r="X462" s="3"/>
      <c r="Y462" s="3"/>
      <c r="Z462" s="3"/>
      <c r="AA462" s="3"/>
      <c r="AB462" s="3"/>
      <c r="AC462" s="3"/>
      <c r="AD462" s="3"/>
      <c r="AO462" s="292"/>
      <c r="AT462" s="7">
        <v>8</v>
      </c>
      <c r="AZ462" s="292"/>
    </row>
    <row r="463" spans="1:68" s="7" customFormat="1" x14ac:dyDescent="0.25">
      <c r="A463" s="3"/>
      <c r="B463" s="3"/>
      <c r="C463" s="3"/>
      <c r="D463" s="3"/>
      <c r="E463" s="3"/>
      <c r="F463" s="3"/>
      <c r="G463" s="3"/>
      <c r="H463" s="3"/>
      <c r="I463" s="3"/>
      <c r="J463" s="3"/>
      <c r="K463" s="3"/>
      <c r="L463" s="3"/>
      <c r="M463" s="3"/>
      <c r="N463" s="3"/>
      <c r="O463" s="3"/>
      <c r="P463" s="3"/>
      <c r="Q463" s="3"/>
      <c r="R463" s="3"/>
      <c r="S463" s="3"/>
      <c r="T463" s="3"/>
      <c r="U463" s="3"/>
      <c r="V463" s="3"/>
      <c r="W463" s="3"/>
      <c r="X463" s="3"/>
      <c r="Y463" s="3"/>
      <c r="Z463" s="3"/>
      <c r="AA463" s="3"/>
      <c r="AB463" s="3"/>
      <c r="AC463" s="3"/>
      <c r="AD463" s="3"/>
      <c r="AO463" s="292"/>
      <c r="AT463" s="7">
        <v>9</v>
      </c>
      <c r="AZ463" s="292"/>
    </row>
    <row r="464" spans="1:68" s="7" customFormat="1" x14ac:dyDescent="0.25">
      <c r="A464" s="3"/>
      <c r="B464" s="3"/>
      <c r="C464" s="3"/>
      <c r="D464" s="3"/>
      <c r="E464" s="3"/>
      <c r="F464" s="3"/>
      <c r="G464" s="3"/>
      <c r="H464" s="3"/>
      <c r="I464" s="3"/>
      <c r="J464" s="3"/>
      <c r="K464" s="3"/>
      <c r="L464" s="3"/>
      <c r="M464" s="3"/>
      <c r="N464" s="3"/>
      <c r="O464" s="3"/>
      <c r="P464" s="3"/>
      <c r="Q464" s="3"/>
      <c r="R464" s="3"/>
      <c r="S464" s="3"/>
      <c r="T464" s="3"/>
      <c r="U464" s="3"/>
      <c r="V464" s="3"/>
      <c r="W464" s="3"/>
      <c r="X464" s="3"/>
      <c r="Y464" s="3"/>
      <c r="Z464" s="3"/>
      <c r="AA464" s="3"/>
      <c r="AB464" s="3"/>
      <c r="AC464" s="3"/>
      <c r="AD464" s="3"/>
      <c r="AO464" s="292"/>
      <c r="AT464" s="7">
        <v>10</v>
      </c>
      <c r="AZ464" s="292"/>
    </row>
    <row r="465" spans="1:52" s="7" customFormat="1" x14ac:dyDescent="0.25">
      <c r="A465" s="3"/>
      <c r="B465" s="3"/>
      <c r="C465" s="3"/>
      <c r="D465" s="3"/>
      <c r="E465" s="3"/>
      <c r="F465" s="3"/>
      <c r="G465" s="3"/>
      <c r="H465" s="3"/>
      <c r="I465" s="3"/>
      <c r="J465" s="3"/>
      <c r="K465" s="3"/>
      <c r="L465" s="3"/>
      <c r="M465" s="3"/>
      <c r="N465" s="3"/>
      <c r="O465" s="3"/>
      <c r="P465" s="3"/>
      <c r="Q465" s="3"/>
      <c r="R465" s="3"/>
      <c r="S465" s="3"/>
      <c r="T465" s="3"/>
      <c r="U465" s="3"/>
      <c r="V465" s="3"/>
      <c r="W465" s="3"/>
      <c r="X465" s="3"/>
      <c r="Y465" s="3"/>
      <c r="Z465" s="3"/>
      <c r="AA465" s="3"/>
      <c r="AB465" s="3"/>
      <c r="AC465" s="3"/>
      <c r="AD465" s="3"/>
      <c r="AO465" s="292"/>
      <c r="AT465" s="7">
        <v>11</v>
      </c>
      <c r="AZ465" s="292"/>
    </row>
    <row r="466" spans="1:52" s="7" customFormat="1" x14ac:dyDescent="0.25">
      <c r="A466" s="3"/>
      <c r="B466" s="3"/>
      <c r="C466" s="3"/>
      <c r="D466" s="3"/>
      <c r="E466" s="3"/>
      <c r="F466" s="3"/>
      <c r="G466" s="3"/>
      <c r="H466" s="3"/>
      <c r="I466" s="3"/>
      <c r="J466" s="3"/>
      <c r="K466" s="3"/>
      <c r="L466" s="3"/>
      <c r="M466" s="3"/>
      <c r="N466" s="3"/>
      <c r="O466" s="3"/>
      <c r="P466" s="3"/>
      <c r="Q466" s="3"/>
      <c r="R466" s="3"/>
      <c r="S466" s="3"/>
      <c r="T466" s="3"/>
      <c r="U466" s="3"/>
      <c r="V466" s="3"/>
      <c r="W466" s="3"/>
      <c r="X466" s="3"/>
      <c r="Y466" s="3"/>
      <c r="Z466" s="3"/>
      <c r="AA466" s="3"/>
      <c r="AB466" s="3"/>
      <c r="AC466" s="3"/>
      <c r="AD466" s="3"/>
      <c r="AO466" s="292"/>
      <c r="AT466" s="7">
        <v>12</v>
      </c>
      <c r="AZ466" s="292"/>
    </row>
    <row r="467" spans="1:52" s="7" customFormat="1" x14ac:dyDescent="0.25">
      <c r="A467" s="3"/>
      <c r="B467" s="3"/>
      <c r="C467" s="3"/>
      <c r="D467" s="3"/>
      <c r="E467" s="3"/>
      <c r="F467" s="3"/>
      <c r="G467" s="3"/>
      <c r="H467" s="3"/>
      <c r="I467" s="3"/>
      <c r="J467" s="3"/>
      <c r="K467" s="3"/>
      <c r="L467" s="3"/>
      <c r="M467" s="3"/>
      <c r="N467" s="3"/>
      <c r="O467" s="3"/>
      <c r="P467" s="3"/>
      <c r="Q467" s="3"/>
      <c r="R467" s="3"/>
      <c r="S467" s="3"/>
      <c r="T467" s="3"/>
      <c r="U467" s="3"/>
      <c r="V467" s="3"/>
      <c r="W467" s="3"/>
      <c r="X467" s="3"/>
      <c r="Y467" s="3"/>
      <c r="Z467" s="3"/>
      <c r="AA467" s="3"/>
      <c r="AB467" s="3"/>
      <c r="AC467" s="3"/>
      <c r="AD467" s="3"/>
      <c r="AO467" s="292"/>
      <c r="AT467" s="7">
        <v>13</v>
      </c>
      <c r="AZ467" s="292"/>
    </row>
    <row r="468" spans="1:52" s="7" customFormat="1" x14ac:dyDescent="0.25">
      <c r="A468" s="3"/>
      <c r="B468" s="3"/>
      <c r="C468" s="3"/>
      <c r="D468" s="3"/>
      <c r="E468" s="3"/>
      <c r="F468" s="3"/>
      <c r="G468" s="3"/>
      <c r="H468" s="3"/>
      <c r="I468" s="3"/>
      <c r="J468" s="3"/>
      <c r="K468" s="3"/>
      <c r="L468" s="3"/>
      <c r="M468" s="3"/>
      <c r="N468" s="3"/>
      <c r="O468" s="3"/>
      <c r="P468" s="3"/>
      <c r="Q468" s="3"/>
      <c r="R468" s="3"/>
      <c r="S468" s="3"/>
      <c r="T468" s="3"/>
      <c r="U468" s="3"/>
      <c r="V468" s="3"/>
      <c r="W468" s="3"/>
      <c r="X468" s="3"/>
      <c r="Y468" s="3"/>
      <c r="Z468" s="3"/>
      <c r="AA468" s="3"/>
      <c r="AB468" s="3"/>
      <c r="AC468" s="3"/>
      <c r="AD468" s="3"/>
      <c r="AO468" s="292"/>
      <c r="AT468" s="7">
        <v>14</v>
      </c>
      <c r="AZ468" s="292"/>
    </row>
    <row r="469" spans="1:52" s="7" customFormat="1" x14ac:dyDescent="0.25">
      <c r="A469" s="3"/>
      <c r="B469" s="3"/>
      <c r="C469" s="3"/>
      <c r="D469" s="3"/>
      <c r="E469" s="3"/>
      <c r="F469" s="3"/>
      <c r="G469" s="3"/>
      <c r="H469" s="3"/>
      <c r="I469" s="3"/>
      <c r="J469" s="3"/>
      <c r="K469" s="3"/>
      <c r="L469" s="3"/>
      <c r="M469" s="3"/>
      <c r="N469" s="3"/>
      <c r="O469" s="3"/>
      <c r="P469" s="3"/>
      <c r="Q469" s="3"/>
      <c r="R469" s="3"/>
      <c r="S469" s="3"/>
      <c r="T469" s="3"/>
      <c r="U469" s="3"/>
      <c r="V469" s="3"/>
      <c r="W469" s="3"/>
      <c r="X469" s="3"/>
      <c r="Y469" s="3"/>
      <c r="Z469" s="3"/>
      <c r="AA469" s="3"/>
      <c r="AB469" s="3"/>
      <c r="AC469" s="3"/>
      <c r="AD469" s="3"/>
      <c r="AO469" s="292"/>
      <c r="AT469" s="7">
        <v>15</v>
      </c>
      <c r="AZ469" s="292"/>
    </row>
    <row r="470" spans="1:52" s="7" customFormat="1" x14ac:dyDescent="0.25">
      <c r="A470" s="3"/>
      <c r="B470" s="3"/>
      <c r="C470" s="3"/>
      <c r="D470" s="3"/>
      <c r="E470" s="3"/>
      <c r="F470" s="3"/>
      <c r="G470" s="3"/>
      <c r="H470" s="3"/>
      <c r="I470" s="3"/>
      <c r="J470" s="3"/>
      <c r="K470" s="3"/>
      <c r="L470" s="3"/>
      <c r="M470" s="3"/>
      <c r="N470" s="3"/>
      <c r="O470" s="3"/>
      <c r="P470" s="3"/>
      <c r="Q470" s="3"/>
      <c r="R470" s="3"/>
      <c r="S470" s="3"/>
      <c r="T470" s="3"/>
      <c r="U470" s="3"/>
      <c r="V470" s="3"/>
      <c r="W470" s="3"/>
      <c r="X470" s="3"/>
      <c r="Y470" s="3"/>
      <c r="Z470" s="3"/>
      <c r="AA470" s="3"/>
      <c r="AB470" s="3"/>
      <c r="AC470" s="3"/>
      <c r="AD470" s="3"/>
      <c r="AO470" s="292"/>
      <c r="AT470" s="7">
        <v>16</v>
      </c>
      <c r="AZ470" s="292"/>
    </row>
    <row r="471" spans="1:52" s="7" customFormat="1" x14ac:dyDescent="0.25">
      <c r="A471" s="3"/>
      <c r="B471" s="3"/>
      <c r="C471" s="3"/>
      <c r="D471" s="3"/>
      <c r="E471" s="3"/>
      <c r="F471" s="3"/>
      <c r="G471" s="3"/>
      <c r="H471" s="3"/>
      <c r="I471" s="3"/>
      <c r="J471" s="3"/>
      <c r="K471" s="3"/>
      <c r="L471" s="3"/>
      <c r="M471" s="3"/>
      <c r="N471" s="3"/>
      <c r="O471" s="3"/>
      <c r="P471" s="3"/>
      <c r="Q471" s="3"/>
      <c r="R471" s="3"/>
      <c r="S471" s="3"/>
      <c r="T471" s="3"/>
      <c r="U471" s="3"/>
      <c r="V471" s="3"/>
      <c r="W471" s="3"/>
      <c r="X471" s="3"/>
      <c r="Y471" s="3"/>
      <c r="Z471" s="3"/>
      <c r="AA471" s="3"/>
      <c r="AB471" s="3"/>
      <c r="AC471" s="3"/>
      <c r="AD471" s="3"/>
      <c r="AO471" s="292"/>
      <c r="AT471" s="7">
        <v>17</v>
      </c>
      <c r="AZ471" s="292"/>
    </row>
    <row r="472" spans="1:52" s="7" customFormat="1" x14ac:dyDescent="0.25">
      <c r="A472" s="3"/>
      <c r="B472" s="3"/>
      <c r="C472" s="3"/>
      <c r="D472" s="3"/>
      <c r="E472" s="3"/>
      <c r="F472" s="3"/>
      <c r="G472" s="3"/>
      <c r="H472" s="3"/>
      <c r="I472" s="3"/>
      <c r="J472" s="3"/>
      <c r="K472" s="3"/>
      <c r="L472" s="3"/>
      <c r="M472" s="3"/>
      <c r="N472" s="3"/>
      <c r="O472" s="3"/>
      <c r="P472" s="3"/>
      <c r="Q472" s="3"/>
      <c r="R472" s="3"/>
      <c r="S472" s="3"/>
      <c r="T472" s="3"/>
      <c r="U472" s="3"/>
      <c r="V472" s="3"/>
      <c r="W472" s="3"/>
      <c r="X472" s="3"/>
      <c r="Y472" s="3"/>
      <c r="Z472" s="3"/>
      <c r="AA472" s="3"/>
      <c r="AB472" s="3"/>
      <c r="AC472" s="3"/>
      <c r="AD472" s="3"/>
      <c r="AO472" s="292"/>
      <c r="AT472" s="7">
        <v>18</v>
      </c>
      <c r="AZ472" s="292"/>
    </row>
    <row r="473" spans="1:52" s="7" customFormat="1" x14ac:dyDescent="0.25">
      <c r="A473" s="3"/>
      <c r="B473" s="3"/>
      <c r="C473" s="3"/>
      <c r="D473" s="3"/>
      <c r="E473" s="3"/>
      <c r="F473" s="3"/>
      <c r="G473" s="3"/>
      <c r="H473" s="3"/>
      <c r="I473" s="3"/>
      <c r="J473" s="3"/>
      <c r="K473" s="3"/>
      <c r="L473" s="3"/>
      <c r="M473" s="3"/>
      <c r="N473" s="3"/>
      <c r="O473" s="3"/>
      <c r="P473" s="3"/>
      <c r="Q473" s="3"/>
      <c r="R473" s="3"/>
      <c r="S473" s="3"/>
      <c r="T473" s="3"/>
      <c r="U473" s="3"/>
      <c r="V473" s="3"/>
      <c r="W473" s="3"/>
      <c r="X473" s="3"/>
      <c r="Y473" s="3"/>
      <c r="Z473" s="3"/>
      <c r="AA473" s="3"/>
      <c r="AB473" s="3"/>
      <c r="AC473" s="3"/>
      <c r="AD473" s="3"/>
      <c r="AO473" s="292"/>
      <c r="AT473" s="7">
        <v>19</v>
      </c>
      <c r="AZ473" s="292"/>
    </row>
    <row r="474" spans="1:52" s="7" customFormat="1" x14ac:dyDescent="0.25">
      <c r="A474" s="3"/>
      <c r="B474" s="3"/>
      <c r="C474" s="3"/>
      <c r="D474" s="3"/>
      <c r="E474" s="3"/>
      <c r="F474" s="3"/>
      <c r="G474" s="3"/>
      <c r="H474" s="3"/>
      <c r="I474" s="3"/>
      <c r="J474" s="3"/>
      <c r="K474" s="3"/>
      <c r="L474" s="3"/>
      <c r="M474" s="3"/>
      <c r="N474" s="3"/>
      <c r="O474" s="3"/>
      <c r="P474" s="3"/>
      <c r="Q474" s="3"/>
      <c r="R474" s="3"/>
      <c r="S474" s="3"/>
      <c r="T474" s="3"/>
      <c r="U474" s="3"/>
      <c r="V474" s="3"/>
      <c r="W474" s="3"/>
      <c r="X474" s="3"/>
      <c r="Y474" s="3"/>
      <c r="Z474" s="3"/>
      <c r="AA474" s="3"/>
      <c r="AB474" s="3"/>
      <c r="AC474" s="3"/>
      <c r="AD474" s="3"/>
      <c r="AO474" s="292"/>
      <c r="AT474" s="7">
        <v>20</v>
      </c>
      <c r="AZ474" s="292"/>
    </row>
    <row r="475" spans="1:52" s="7" customFormat="1" x14ac:dyDescent="0.25">
      <c r="A475" s="3"/>
      <c r="B475" s="3"/>
      <c r="C475" s="3"/>
      <c r="D475" s="3"/>
      <c r="E475" s="3"/>
      <c r="F475" s="3"/>
      <c r="G475" s="3"/>
      <c r="H475" s="3"/>
      <c r="I475" s="3"/>
      <c r="J475" s="3"/>
      <c r="K475" s="3"/>
      <c r="L475" s="3"/>
      <c r="M475" s="3"/>
      <c r="N475" s="3"/>
      <c r="O475" s="3"/>
      <c r="P475" s="3"/>
      <c r="Q475" s="3"/>
      <c r="R475" s="3"/>
      <c r="S475" s="3"/>
      <c r="T475" s="3"/>
      <c r="U475" s="3"/>
      <c r="V475" s="3"/>
      <c r="W475" s="3"/>
      <c r="X475" s="3"/>
      <c r="Y475" s="3"/>
      <c r="Z475" s="3"/>
      <c r="AA475" s="3"/>
      <c r="AB475" s="3"/>
      <c r="AC475" s="3"/>
      <c r="AD475" s="3"/>
      <c r="AO475" s="292"/>
      <c r="AT475" s="7">
        <v>21</v>
      </c>
      <c r="AZ475" s="292"/>
    </row>
    <row r="476" spans="1:52" s="7" customFormat="1" x14ac:dyDescent="0.25">
      <c r="A476" s="3"/>
      <c r="B476" s="3"/>
      <c r="C476" s="3"/>
      <c r="D476" s="3"/>
      <c r="E476" s="3"/>
      <c r="F476" s="3"/>
      <c r="G476" s="3"/>
      <c r="H476" s="3"/>
      <c r="I476" s="3"/>
      <c r="J476" s="3"/>
      <c r="K476" s="3"/>
      <c r="L476" s="3"/>
      <c r="M476" s="3"/>
      <c r="N476" s="3"/>
      <c r="O476" s="3"/>
      <c r="P476" s="3"/>
      <c r="Q476" s="3"/>
      <c r="R476" s="3"/>
      <c r="S476" s="3"/>
      <c r="T476" s="3"/>
      <c r="U476" s="3"/>
      <c r="V476" s="3"/>
      <c r="W476" s="3"/>
      <c r="X476" s="3"/>
      <c r="Y476" s="3"/>
      <c r="Z476" s="3"/>
      <c r="AA476" s="3"/>
      <c r="AB476" s="3"/>
      <c r="AC476" s="3"/>
      <c r="AD476" s="3"/>
      <c r="AO476" s="292"/>
      <c r="AT476" s="7">
        <v>22</v>
      </c>
      <c r="AZ476" s="292"/>
    </row>
    <row r="477" spans="1:52" s="7" customFormat="1" x14ac:dyDescent="0.25">
      <c r="A477" s="3"/>
      <c r="B477" s="3"/>
      <c r="C477" s="3"/>
      <c r="D477" s="3"/>
      <c r="E477" s="3"/>
      <c r="F477" s="3"/>
      <c r="G477" s="3"/>
      <c r="H477" s="3"/>
      <c r="I477" s="3"/>
      <c r="J477" s="3"/>
      <c r="K477" s="3"/>
      <c r="L477" s="3"/>
      <c r="M477" s="3"/>
      <c r="N477" s="3"/>
      <c r="O477" s="3"/>
      <c r="P477" s="3"/>
      <c r="Q477" s="3"/>
      <c r="R477" s="3"/>
      <c r="S477" s="3"/>
      <c r="T477" s="3"/>
      <c r="U477" s="3"/>
      <c r="V477" s="3"/>
      <c r="W477" s="3"/>
      <c r="X477" s="3"/>
      <c r="Y477" s="3"/>
      <c r="Z477" s="3"/>
      <c r="AA477" s="3"/>
      <c r="AB477" s="3"/>
      <c r="AC477" s="3"/>
      <c r="AD477" s="3"/>
      <c r="AO477" s="292"/>
      <c r="AT477" s="7">
        <v>23</v>
      </c>
      <c r="AZ477" s="292"/>
    </row>
    <row r="478" spans="1:52" s="7" customFormat="1" x14ac:dyDescent="0.25">
      <c r="A478" s="3"/>
      <c r="B478" s="3"/>
      <c r="C478" s="3"/>
      <c r="D478" s="3"/>
      <c r="E478" s="3"/>
      <c r="F478" s="3"/>
      <c r="G478" s="3"/>
      <c r="H478" s="3"/>
      <c r="I478" s="3"/>
      <c r="J478" s="3"/>
      <c r="K478" s="3"/>
      <c r="L478" s="3"/>
      <c r="M478" s="3"/>
      <c r="N478" s="3"/>
      <c r="O478" s="3"/>
      <c r="P478" s="3"/>
      <c r="Q478" s="3"/>
      <c r="R478" s="3"/>
      <c r="S478" s="3"/>
      <c r="T478" s="3"/>
      <c r="U478" s="3"/>
      <c r="V478" s="3"/>
      <c r="W478" s="3"/>
      <c r="X478" s="3"/>
      <c r="Y478" s="3"/>
      <c r="Z478" s="3"/>
      <c r="AA478" s="3"/>
      <c r="AB478" s="3"/>
      <c r="AC478" s="3"/>
      <c r="AD478" s="3"/>
      <c r="AO478" s="292"/>
      <c r="AT478" s="7">
        <v>24</v>
      </c>
      <c r="AZ478" s="292"/>
    </row>
    <row r="479" spans="1:52" s="7" customFormat="1" x14ac:dyDescent="0.25">
      <c r="A479" s="3"/>
      <c r="B479" s="3"/>
      <c r="C479" s="3"/>
      <c r="D479" s="3"/>
      <c r="E479" s="3"/>
      <c r="F479" s="3"/>
      <c r="G479" s="3"/>
      <c r="H479" s="3"/>
      <c r="I479" s="3"/>
      <c r="J479" s="3"/>
      <c r="K479" s="3"/>
      <c r="L479" s="3"/>
      <c r="M479" s="3"/>
      <c r="N479" s="3"/>
      <c r="O479" s="3"/>
      <c r="P479" s="3"/>
      <c r="Q479" s="3"/>
      <c r="R479" s="3"/>
      <c r="S479" s="3"/>
      <c r="T479" s="3"/>
      <c r="U479" s="3"/>
      <c r="V479" s="3"/>
      <c r="W479" s="3"/>
      <c r="X479" s="3"/>
      <c r="Y479" s="3"/>
      <c r="Z479" s="3"/>
      <c r="AA479" s="3"/>
      <c r="AB479" s="3"/>
      <c r="AC479" s="3"/>
      <c r="AD479" s="3"/>
      <c r="AO479" s="292"/>
      <c r="AT479" s="7">
        <v>25</v>
      </c>
      <c r="AZ479" s="292"/>
    </row>
    <row r="480" spans="1:52" s="7" customFormat="1" x14ac:dyDescent="0.25">
      <c r="A480" s="3"/>
      <c r="B480" s="3"/>
      <c r="C480" s="3"/>
      <c r="D480" s="3"/>
      <c r="E480" s="3"/>
      <c r="F480" s="3"/>
      <c r="G480" s="3"/>
      <c r="H480" s="3"/>
      <c r="I480" s="3"/>
      <c r="J480" s="3"/>
      <c r="K480" s="3"/>
      <c r="L480" s="3"/>
      <c r="M480" s="3"/>
      <c r="N480" s="3"/>
      <c r="O480" s="3"/>
      <c r="P480" s="3"/>
      <c r="Q480" s="3"/>
      <c r="R480" s="3"/>
      <c r="S480" s="3"/>
      <c r="T480" s="3"/>
      <c r="U480" s="3"/>
      <c r="V480" s="3"/>
      <c r="W480" s="3"/>
      <c r="X480" s="3"/>
      <c r="Y480" s="3"/>
      <c r="Z480" s="3"/>
      <c r="AA480" s="3"/>
      <c r="AB480" s="3"/>
      <c r="AC480" s="3"/>
      <c r="AD480" s="3"/>
      <c r="AO480" s="292"/>
      <c r="AT480" s="7">
        <v>26</v>
      </c>
      <c r="AZ480" s="292"/>
    </row>
    <row r="481" spans="1:52" s="7" customFormat="1" x14ac:dyDescent="0.25">
      <c r="A481" s="3"/>
      <c r="B481" s="3"/>
      <c r="C481" s="3"/>
      <c r="D481" s="3"/>
      <c r="E481" s="3"/>
      <c r="F481" s="3"/>
      <c r="G481" s="3"/>
      <c r="H481" s="3"/>
      <c r="I481" s="3"/>
      <c r="J481" s="3"/>
      <c r="K481" s="3"/>
      <c r="L481" s="3"/>
      <c r="M481" s="3"/>
      <c r="N481" s="3"/>
      <c r="O481" s="3"/>
      <c r="P481" s="3"/>
      <c r="Q481" s="3"/>
      <c r="R481" s="3"/>
      <c r="S481" s="3"/>
      <c r="T481" s="3"/>
      <c r="U481" s="3"/>
      <c r="V481" s="3"/>
      <c r="W481" s="3"/>
      <c r="X481" s="3"/>
      <c r="Y481" s="3"/>
      <c r="Z481" s="3"/>
      <c r="AA481" s="3"/>
      <c r="AB481" s="3"/>
      <c r="AC481" s="3"/>
      <c r="AD481" s="3"/>
      <c r="AO481" s="292"/>
      <c r="AT481" s="7">
        <v>27</v>
      </c>
      <c r="AZ481" s="292"/>
    </row>
    <row r="482" spans="1:52" s="7" customFormat="1" x14ac:dyDescent="0.25">
      <c r="A482" s="3"/>
      <c r="B482" s="3"/>
      <c r="C482" s="3"/>
      <c r="D482" s="3"/>
      <c r="E482" s="3"/>
      <c r="F482" s="3"/>
      <c r="G482" s="3"/>
      <c r="H482" s="3"/>
      <c r="I482" s="3"/>
      <c r="J482" s="3"/>
      <c r="K482" s="3"/>
      <c r="L482" s="3"/>
      <c r="M482" s="3"/>
      <c r="N482" s="3"/>
      <c r="O482" s="3"/>
      <c r="P482" s="3"/>
      <c r="Q482" s="3"/>
      <c r="R482" s="3"/>
      <c r="S482" s="3"/>
      <c r="T482" s="3"/>
      <c r="U482" s="3"/>
      <c r="V482" s="3"/>
      <c r="W482" s="3"/>
      <c r="X482" s="3"/>
      <c r="Y482" s="3"/>
      <c r="Z482" s="3"/>
      <c r="AA482" s="3"/>
      <c r="AB482" s="3"/>
      <c r="AC482" s="3"/>
      <c r="AD482" s="3"/>
      <c r="AO482" s="292"/>
      <c r="AT482" s="7">
        <v>28</v>
      </c>
      <c r="AZ482" s="292"/>
    </row>
    <row r="483" spans="1:52" s="7" customFormat="1" x14ac:dyDescent="0.25">
      <c r="A483" s="3"/>
      <c r="B483" s="3"/>
      <c r="C483" s="3"/>
      <c r="D483" s="3"/>
      <c r="E483" s="3"/>
      <c r="F483" s="3"/>
      <c r="G483" s="3"/>
      <c r="H483" s="3"/>
      <c r="I483" s="3"/>
      <c r="J483" s="3"/>
      <c r="K483" s="3"/>
      <c r="L483" s="3"/>
      <c r="M483" s="3"/>
      <c r="N483" s="3"/>
      <c r="O483" s="3"/>
      <c r="P483" s="3"/>
      <c r="Q483" s="3"/>
      <c r="R483" s="3"/>
      <c r="S483" s="3"/>
      <c r="T483" s="3"/>
      <c r="U483" s="3"/>
      <c r="V483" s="3"/>
      <c r="W483" s="3"/>
      <c r="X483" s="3"/>
      <c r="Y483" s="3"/>
      <c r="Z483" s="3"/>
      <c r="AA483" s="3"/>
      <c r="AB483" s="3"/>
      <c r="AC483" s="3"/>
      <c r="AD483" s="3"/>
      <c r="AO483" s="292"/>
      <c r="AT483" s="7">
        <v>29</v>
      </c>
      <c r="AZ483" s="292"/>
    </row>
    <row r="484" spans="1:52" s="7" customFormat="1" x14ac:dyDescent="0.25">
      <c r="A484" s="3"/>
      <c r="B484" s="3"/>
      <c r="C484" s="3"/>
      <c r="D484" s="3"/>
      <c r="E484" s="3"/>
      <c r="F484" s="3"/>
      <c r="G484" s="3"/>
      <c r="H484" s="3"/>
      <c r="I484" s="3"/>
      <c r="J484" s="3"/>
      <c r="K484" s="3"/>
      <c r="L484" s="3"/>
      <c r="M484" s="3"/>
      <c r="N484" s="3"/>
      <c r="O484" s="3"/>
      <c r="P484" s="3"/>
      <c r="Q484" s="3"/>
      <c r="R484" s="3"/>
      <c r="S484" s="3"/>
      <c r="T484" s="3"/>
      <c r="U484" s="3"/>
      <c r="V484" s="3"/>
      <c r="W484" s="3"/>
      <c r="X484" s="3"/>
      <c r="Y484" s="3"/>
      <c r="Z484" s="3"/>
      <c r="AA484" s="3"/>
      <c r="AB484" s="3"/>
      <c r="AC484" s="3"/>
      <c r="AD484" s="3"/>
      <c r="AO484" s="292"/>
      <c r="AT484" s="7">
        <v>30</v>
      </c>
      <c r="AZ484" s="292"/>
    </row>
    <row r="485" spans="1:52" s="7" customFormat="1" ht="14.45" customHeight="1" x14ac:dyDescent="0.25">
      <c r="A485" s="3"/>
      <c r="B485" s="3"/>
      <c r="C485" s="3"/>
      <c r="D485" s="3"/>
      <c r="E485" s="3"/>
      <c r="F485" s="3"/>
      <c r="G485" s="3"/>
      <c r="H485" s="3"/>
      <c r="I485" s="3"/>
      <c r="J485" s="3"/>
      <c r="K485" s="3"/>
      <c r="L485" s="3"/>
      <c r="M485" s="3"/>
      <c r="N485" s="3"/>
      <c r="O485" s="3"/>
      <c r="P485" s="3"/>
      <c r="Q485" s="3"/>
      <c r="R485" s="3"/>
      <c r="S485" s="3"/>
      <c r="T485" s="3"/>
      <c r="U485" s="3"/>
      <c r="V485" s="3"/>
      <c r="W485" s="3"/>
      <c r="X485" s="3"/>
      <c r="Y485" s="3"/>
      <c r="Z485" s="3"/>
      <c r="AA485" s="3"/>
      <c r="AB485" s="3"/>
      <c r="AC485" s="3"/>
      <c r="AD485" s="3"/>
      <c r="AO485" s="292"/>
      <c r="AZ485" s="292"/>
    </row>
    <row r="489" spans="1:52" ht="14.25" customHeight="1" x14ac:dyDescent="0.25"/>
    <row r="490" spans="1:52" ht="14.25" customHeight="1" x14ac:dyDescent="0.25"/>
    <row r="491" spans="1:52" ht="14.25" customHeight="1" x14ac:dyDescent="0.25"/>
    <row r="492" spans="1:52" ht="14.25" customHeight="1" x14ac:dyDescent="0.25"/>
    <row r="493" spans="1:52" ht="14.25" customHeight="1" x14ac:dyDescent="0.25"/>
    <row r="494" spans="1:52" ht="14.25" customHeight="1" x14ac:dyDescent="0.25"/>
    <row r="495" spans="1:52" ht="14.25" customHeight="1" x14ac:dyDescent="0.25"/>
    <row r="496" spans="1:52"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sheetData>
  <sheetProtection algorithmName="SHA-512" hashValue="LpNPQYCjL31nto2H4rzoJxQOj24bFm2igncz7St7+Hho+dsQa7jhAR2Lv85NpSjagRYWeL1akefbPxyqwDQzCw==" saltValue="lg49nlbACR+dcmczxQdvCQ==" spinCount="100000" sheet="1" formatColumns="0" formatRows="0" insertColumns="0" insertRows="0" autoFilter="0"/>
  <protectedRanges>
    <protectedRange sqref="H28 H31" name="DatosProveedor"/>
    <protectedRange sqref="N28" name="DatosProveedor_1"/>
    <protectedRange sqref="T28 T31" name="DatosProveedor_2"/>
    <protectedRange sqref="H30" name="DatosProveedor_3"/>
  </protectedRanges>
  <autoFilter ref="A10:BP165" xr:uid="{CD4E1CA7-A360-49FE-9893-C36C580FA894}">
    <filterColumn colId="2">
      <filters>
        <filter val="Alquiler de sillas"/>
      </filters>
    </filterColumn>
  </autoFilter>
  <mergeCells count="62">
    <mergeCell ref="BD116:BD289"/>
    <mergeCell ref="BE116:BF289"/>
    <mergeCell ref="A114:AD114"/>
    <mergeCell ref="Z4:AA4"/>
    <mergeCell ref="Z5:AA5"/>
    <mergeCell ref="Z6:AA6"/>
    <mergeCell ref="N9:S9"/>
    <mergeCell ref="T9:Y9"/>
    <mergeCell ref="N3:W6"/>
    <mergeCell ref="H9:M9"/>
    <mergeCell ref="Z9:AC9"/>
    <mergeCell ref="A3:M3"/>
    <mergeCell ref="A4:B6"/>
    <mergeCell ref="E4:F4"/>
    <mergeCell ref="H4:M4"/>
    <mergeCell ref="D5:F5"/>
    <mergeCell ref="Z152:Z165"/>
    <mergeCell ref="AA152:AA165"/>
    <mergeCell ref="AV116:BC116"/>
    <mergeCell ref="AV117:BC289"/>
    <mergeCell ref="A113:Z113"/>
    <mergeCell ref="T152:Y152"/>
    <mergeCell ref="T153:Y165"/>
    <mergeCell ref="M120:O120"/>
    <mergeCell ref="M121:O121"/>
    <mergeCell ref="M152:O152"/>
    <mergeCell ref="M130:O130"/>
    <mergeCell ref="M131:O131"/>
    <mergeCell ref="M132:O132"/>
    <mergeCell ref="M133:O133"/>
    <mergeCell ref="M134:O134"/>
    <mergeCell ref="M135:O135"/>
    <mergeCell ref="L5:M5"/>
    <mergeCell ref="I5:J5"/>
    <mergeCell ref="A153:I153"/>
    <mergeCell ref="M115:O115"/>
    <mergeCell ref="M116:O116"/>
    <mergeCell ref="M117:O117"/>
    <mergeCell ref="M118:O118"/>
    <mergeCell ref="M119:O119"/>
    <mergeCell ref="D6:M6"/>
    <mergeCell ref="M122:O122"/>
    <mergeCell ref="M123:O123"/>
    <mergeCell ref="M124:O124"/>
    <mergeCell ref="M125:O125"/>
    <mergeCell ref="M127:O127"/>
    <mergeCell ref="M128:O128"/>
    <mergeCell ref="M129:O129"/>
    <mergeCell ref="M136:O136"/>
    <mergeCell ref="M151:O151"/>
    <mergeCell ref="M150:O150"/>
    <mergeCell ref="M149:O149"/>
    <mergeCell ref="M148:O148"/>
    <mergeCell ref="M147:O147"/>
    <mergeCell ref="M146:O146"/>
    <mergeCell ref="M145:O145"/>
    <mergeCell ref="M143:O143"/>
    <mergeCell ref="M142:O142"/>
    <mergeCell ref="M141:O141"/>
    <mergeCell ref="M139:O139"/>
    <mergeCell ref="M138:O138"/>
    <mergeCell ref="M137:O137"/>
  </mergeCells>
  <conditionalFormatting sqref="BA79:BA82 AC11:AC112">
    <cfRule type="cellIs" dxfId="76" priority="113" stopIfTrue="1" operator="greaterThan">
      <formula>0.2</formula>
    </cfRule>
  </conditionalFormatting>
  <conditionalFormatting sqref="BA11:BA17 BA19:BA21 BA23:BA26 BA31:BA34 BA37:BA39 BA41:BA44 BA46:BA47 BA49:BA50 BA52:BA54 BA56:BA57 BA59:BA62 BA64:BA65 BA67:BA68 BA74 BA77 BA93 BA95:BA98 BA108">
    <cfRule type="cellIs" dxfId="75" priority="95" stopIfTrue="1" operator="greaterThan">
      <formula>0.2</formula>
    </cfRule>
  </conditionalFormatting>
  <conditionalFormatting sqref="BA112">
    <cfRule type="cellIs" dxfId="74" priority="94" stopIfTrue="1" operator="greaterThan">
      <formula>0.2</formula>
    </cfRule>
  </conditionalFormatting>
  <conditionalFormatting sqref="BA18">
    <cfRule type="cellIs" dxfId="73" priority="93" stopIfTrue="1" operator="greaterThan">
      <formula>0.2</formula>
    </cfRule>
  </conditionalFormatting>
  <conditionalFormatting sqref="BA22">
    <cfRule type="cellIs" dxfId="72" priority="92" stopIfTrue="1" operator="greaterThan">
      <formula>0.2</formula>
    </cfRule>
  </conditionalFormatting>
  <conditionalFormatting sqref="BA27">
    <cfRule type="cellIs" dxfId="71" priority="91" stopIfTrue="1" operator="greaterThan">
      <formula>0.2</formula>
    </cfRule>
  </conditionalFormatting>
  <conditionalFormatting sqref="BA28">
    <cfRule type="cellIs" dxfId="70" priority="90" stopIfTrue="1" operator="greaterThan">
      <formula>0.2</formula>
    </cfRule>
  </conditionalFormatting>
  <conditionalFormatting sqref="BA29">
    <cfRule type="cellIs" dxfId="69" priority="89" stopIfTrue="1" operator="greaterThan">
      <formula>0.2</formula>
    </cfRule>
  </conditionalFormatting>
  <conditionalFormatting sqref="BA30">
    <cfRule type="cellIs" dxfId="68" priority="88" stopIfTrue="1" operator="greaterThan">
      <formula>0.2</formula>
    </cfRule>
  </conditionalFormatting>
  <conditionalFormatting sqref="BA35">
    <cfRule type="cellIs" dxfId="67" priority="87" stopIfTrue="1" operator="greaterThan">
      <formula>0.2</formula>
    </cfRule>
  </conditionalFormatting>
  <conditionalFormatting sqref="BA36">
    <cfRule type="cellIs" dxfId="66" priority="86" stopIfTrue="1" operator="greaterThan">
      <formula>0.2</formula>
    </cfRule>
  </conditionalFormatting>
  <conditionalFormatting sqref="BA48">
    <cfRule type="cellIs" dxfId="65" priority="83" stopIfTrue="1" operator="greaterThan">
      <formula>0.2</formula>
    </cfRule>
  </conditionalFormatting>
  <conditionalFormatting sqref="BA51">
    <cfRule type="cellIs" dxfId="64" priority="82" stopIfTrue="1" operator="greaterThan">
      <formula>0.2</formula>
    </cfRule>
  </conditionalFormatting>
  <conditionalFormatting sqref="BA55">
    <cfRule type="cellIs" dxfId="63" priority="81" stopIfTrue="1" operator="greaterThan">
      <formula>0.2</formula>
    </cfRule>
  </conditionalFormatting>
  <conditionalFormatting sqref="BA63">
    <cfRule type="cellIs" dxfId="62" priority="79" stopIfTrue="1" operator="greaterThan">
      <formula>0.2</formula>
    </cfRule>
  </conditionalFormatting>
  <conditionalFormatting sqref="BA73">
    <cfRule type="cellIs" dxfId="61" priority="76" stopIfTrue="1" operator="greaterThan">
      <formula>0.2</formula>
    </cfRule>
  </conditionalFormatting>
  <conditionalFormatting sqref="BA75">
    <cfRule type="cellIs" dxfId="60" priority="75" stopIfTrue="1" operator="greaterThan">
      <formula>0.2</formula>
    </cfRule>
  </conditionalFormatting>
  <conditionalFormatting sqref="BA76">
    <cfRule type="cellIs" dxfId="59" priority="74" stopIfTrue="1" operator="greaterThan">
      <formula>0.2</formula>
    </cfRule>
  </conditionalFormatting>
  <conditionalFormatting sqref="BA78">
    <cfRule type="cellIs" dxfId="58" priority="73" stopIfTrue="1" operator="greaterThan">
      <formula>0.2</formula>
    </cfRule>
  </conditionalFormatting>
  <conditionalFormatting sqref="BA91">
    <cfRule type="cellIs" dxfId="57" priority="71" stopIfTrue="1" operator="greaterThan">
      <formula>0.2</formula>
    </cfRule>
  </conditionalFormatting>
  <conditionalFormatting sqref="BA92">
    <cfRule type="cellIs" dxfId="56" priority="70" stopIfTrue="1" operator="greaterThan">
      <formula>0.2</formula>
    </cfRule>
  </conditionalFormatting>
  <conditionalFormatting sqref="BA111">
    <cfRule type="cellIs" dxfId="55" priority="63" stopIfTrue="1" operator="greaterThan">
      <formula>0.2</formula>
    </cfRule>
  </conditionalFormatting>
  <conditionalFormatting sqref="BA94">
    <cfRule type="cellIs" dxfId="54" priority="69" stopIfTrue="1" operator="greaterThan">
      <formula>0.2</formula>
    </cfRule>
  </conditionalFormatting>
  <conditionalFormatting sqref="BA99 BA101:BA106">
    <cfRule type="cellIs" dxfId="53" priority="68" stopIfTrue="1" operator="greaterThan">
      <formula>0.2</formula>
    </cfRule>
  </conditionalFormatting>
  <conditionalFormatting sqref="BA107">
    <cfRule type="cellIs" dxfId="52" priority="66" stopIfTrue="1" operator="greaterThan">
      <formula>0.2</formula>
    </cfRule>
  </conditionalFormatting>
  <conditionalFormatting sqref="BA109">
    <cfRule type="cellIs" dxfId="51" priority="65" stopIfTrue="1" operator="greaterThan">
      <formula>0.2</formula>
    </cfRule>
  </conditionalFormatting>
  <conditionalFormatting sqref="BA110">
    <cfRule type="cellIs" dxfId="50" priority="64" stopIfTrue="1" operator="greaterThan">
      <formula>0.2</formula>
    </cfRule>
  </conditionalFormatting>
  <conditionalFormatting sqref="C82">
    <cfRule type="duplicateValues" dxfId="49" priority="62"/>
  </conditionalFormatting>
  <conditionalFormatting sqref="C84">
    <cfRule type="duplicateValues" dxfId="48" priority="60"/>
  </conditionalFormatting>
  <conditionalFormatting sqref="C85">
    <cfRule type="duplicateValues" dxfId="47" priority="58"/>
  </conditionalFormatting>
  <conditionalFormatting sqref="C88">
    <cfRule type="duplicateValues" dxfId="46" priority="55"/>
  </conditionalFormatting>
  <conditionalFormatting sqref="C90">
    <cfRule type="duplicateValues" dxfId="45" priority="54"/>
  </conditionalFormatting>
  <conditionalFormatting sqref="C89">
    <cfRule type="duplicateValues" dxfId="44" priority="53"/>
  </conditionalFormatting>
  <conditionalFormatting sqref="C83">
    <cfRule type="duplicateValues" dxfId="43" priority="52"/>
  </conditionalFormatting>
  <conditionalFormatting sqref="C87">
    <cfRule type="duplicateValues" dxfId="42" priority="130"/>
  </conditionalFormatting>
  <conditionalFormatting sqref="BA83">
    <cfRule type="cellIs" dxfId="41" priority="51" stopIfTrue="1" operator="greaterThan">
      <formula>0.2</formula>
    </cfRule>
  </conditionalFormatting>
  <conditionalFormatting sqref="BA84">
    <cfRule type="cellIs" dxfId="40" priority="50" stopIfTrue="1" operator="greaterThan">
      <formula>0.2</formula>
    </cfRule>
  </conditionalFormatting>
  <conditionalFormatting sqref="BA85">
    <cfRule type="cellIs" dxfId="39" priority="49" stopIfTrue="1" operator="greaterThan">
      <formula>0.2</formula>
    </cfRule>
  </conditionalFormatting>
  <conditionalFormatting sqref="BA86">
    <cfRule type="cellIs" dxfId="38" priority="48" stopIfTrue="1" operator="greaterThan">
      <formula>0.2</formula>
    </cfRule>
  </conditionalFormatting>
  <conditionalFormatting sqref="BA87">
    <cfRule type="cellIs" dxfId="37" priority="47" stopIfTrue="1" operator="greaterThan">
      <formula>0.2</formula>
    </cfRule>
  </conditionalFormatting>
  <conditionalFormatting sqref="BA88">
    <cfRule type="cellIs" dxfId="36" priority="46" stopIfTrue="1" operator="greaterThan">
      <formula>0.2</formula>
    </cfRule>
  </conditionalFormatting>
  <conditionalFormatting sqref="BA89">
    <cfRule type="cellIs" dxfId="35" priority="45" stopIfTrue="1" operator="greaterThan">
      <formula>0.2</formula>
    </cfRule>
  </conditionalFormatting>
  <conditionalFormatting sqref="BA90">
    <cfRule type="cellIs" dxfId="34" priority="44" stopIfTrue="1" operator="greaterThan">
      <formula>0.2</formula>
    </cfRule>
  </conditionalFormatting>
  <conditionalFormatting sqref="C86">
    <cfRule type="duplicateValues" dxfId="33" priority="133"/>
  </conditionalFormatting>
  <conditionalFormatting sqref="BA71:BA72">
    <cfRule type="cellIs" dxfId="32" priority="33" stopIfTrue="1" operator="greaterThan">
      <formula>0.2</formula>
    </cfRule>
  </conditionalFormatting>
  <conditionalFormatting sqref="C71">
    <cfRule type="duplicateValues" dxfId="31" priority="32"/>
  </conditionalFormatting>
  <conditionalFormatting sqref="AK72">
    <cfRule type="cellIs" dxfId="30" priority="29" stopIfTrue="1" operator="greaterThan">
      <formula>0.2</formula>
    </cfRule>
  </conditionalFormatting>
  <conditionalFormatting sqref="C72:C73">
    <cfRule type="duplicateValues" dxfId="29" priority="28"/>
  </conditionalFormatting>
  <conditionalFormatting sqref="C69">
    <cfRule type="duplicateValues" dxfId="28" priority="26"/>
  </conditionalFormatting>
  <conditionalFormatting sqref="C74">
    <cfRule type="duplicateValues" dxfId="27" priority="25"/>
  </conditionalFormatting>
  <conditionalFormatting sqref="C77">
    <cfRule type="duplicateValues" dxfId="26" priority="24"/>
  </conditionalFormatting>
  <conditionalFormatting sqref="C100">
    <cfRule type="duplicateValues" dxfId="25" priority="23"/>
  </conditionalFormatting>
  <conditionalFormatting sqref="C101">
    <cfRule type="duplicateValues" dxfId="24" priority="22"/>
  </conditionalFormatting>
  <conditionalFormatting sqref="C102">
    <cfRule type="duplicateValues" dxfId="23" priority="21"/>
  </conditionalFormatting>
  <conditionalFormatting sqref="C103">
    <cfRule type="duplicateValues" dxfId="22" priority="20"/>
  </conditionalFormatting>
  <conditionalFormatting sqref="C104">
    <cfRule type="duplicateValues" dxfId="21" priority="19"/>
  </conditionalFormatting>
  <conditionalFormatting sqref="C105">
    <cfRule type="duplicateValues" dxfId="20" priority="17"/>
  </conditionalFormatting>
  <conditionalFormatting sqref="C106">
    <cfRule type="duplicateValues" dxfId="19" priority="16"/>
  </conditionalFormatting>
  <conditionalFormatting sqref="AS100">
    <cfRule type="cellIs" dxfId="18" priority="14" stopIfTrue="1" operator="greaterThan">
      <formula>0.2</formula>
    </cfRule>
  </conditionalFormatting>
  <conditionalFormatting sqref="C40">
    <cfRule type="duplicateValues" dxfId="17" priority="13"/>
  </conditionalFormatting>
  <conditionalFormatting sqref="C45">
    <cfRule type="duplicateValues" dxfId="16" priority="12"/>
  </conditionalFormatting>
  <conditionalFormatting sqref="C58">
    <cfRule type="duplicateValues" dxfId="15" priority="11"/>
  </conditionalFormatting>
  <conditionalFormatting sqref="C66">
    <cfRule type="duplicateValues" dxfId="14" priority="9"/>
  </conditionalFormatting>
  <conditionalFormatting sqref="BA40">
    <cfRule type="cellIs" dxfId="13" priority="8" stopIfTrue="1" operator="greaterThan">
      <formula>0.2</formula>
    </cfRule>
  </conditionalFormatting>
  <conditionalFormatting sqref="BA45">
    <cfRule type="cellIs" dxfId="12" priority="7" stopIfTrue="1" operator="greaterThan">
      <formula>0.2</formula>
    </cfRule>
  </conditionalFormatting>
  <conditionalFormatting sqref="BA58">
    <cfRule type="cellIs" dxfId="11" priority="6" stopIfTrue="1" operator="greaterThan">
      <formula>0.2</formula>
    </cfRule>
  </conditionalFormatting>
  <conditionalFormatting sqref="BA66">
    <cfRule type="cellIs" dxfId="10" priority="5" stopIfTrue="1" operator="greaterThan">
      <formula>0.2</formula>
    </cfRule>
  </conditionalFormatting>
  <conditionalFormatting sqref="C75">
    <cfRule type="duplicateValues" dxfId="9" priority="4"/>
  </conditionalFormatting>
  <conditionalFormatting sqref="C76">
    <cfRule type="duplicateValues" dxfId="8" priority="3"/>
  </conditionalFormatting>
  <conditionalFormatting sqref="C78">
    <cfRule type="duplicateValues" dxfId="7" priority="2"/>
  </conditionalFormatting>
  <dataValidations count="1">
    <dataValidation type="list" allowBlank="1" showInputMessage="1" showErrorMessage="1" sqref="G11:G100 G103:G111" xr:uid="{B0B430CC-5923-401F-ACB6-687926A263B7}">
      <formula1>"Compra,Alquiler,PrestaciónServicio"</formula1>
    </dataValidation>
  </dataValidations>
  <pageMargins left="0.25" right="0.25" top="0.75" bottom="0.75" header="0.3" footer="0.3"/>
  <pageSetup paperSize="3" scale="10" orientation="landscape" r:id="rId1"/>
  <colBreaks count="2" manualBreakCount="2">
    <brk id="13" max="1048575" man="1"/>
    <brk id="25" max="516"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3750C36C-53AB-4024-94CE-11C3C31AE4C6}">
          <x14:formula1>
            <xm:f>Lista!$V$8:$V$14</xm:f>
          </x14:formula1>
          <xm:sqref>H4:M4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DD1713-A10F-42ED-8A0F-E7324B900F4C}">
  <sheetPr codeName="Hoja1"/>
  <dimension ref="A1:B104"/>
  <sheetViews>
    <sheetView workbookViewId="0"/>
  </sheetViews>
  <sheetFormatPr baseColWidth="10" defaultColWidth="11.28515625" defaultRowHeight="15" x14ac:dyDescent="0.25"/>
  <cols>
    <col min="1" max="1" width="16.7109375" bestFit="1" customWidth="1"/>
    <col min="2" max="2" width="50.140625" bestFit="1" customWidth="1"/>
  </cols>
  <sheetData>
    <row r="1" spans="1:2" x14ac:dyDescent="0.25">
      <c r="A1" t="s">
        <v>408</v>
      </c>
    </row>
    <row r="2" spans="1:2" x14ac:dyDescent="0.25">
      <c r="A2" s="61" t="s">
        <v>409</v>
      </c>
      <c r="B2" t="s">
        <v>410</v>
      </c>
    </row>
    <row r="3" spans="1:2" x14ac:dyDescent="0.25">
      <c r="A3" s="62" t="s">
        <v>411</v>
      </c>
      <c r="B3">
        <v>87</v>
      </c>
    </row>
    <row r="4" spans="1:2" x14ac:dyDescent="0.25">
      <c r="A4" s="62" t="s">
        <v>412</v>
      </c>
      <c r="B4">
        <v>87</v>
      </c>
    </row>
    <row r="100" spans="1:2" x14ac:dyDescent="0.25">
      <c r="A100" t="s">
        <v>413</v>
      </c>
    </row>
    <row r="102" spans="1:2" x14ac:dyDescent="0.25">
      <c r="A102" s="61" t="s">
        <v>409</v>
      </c>
      <c r="B102" t="s">
        <v>414</v>
      </c>
    </row>
    <row r="103" spans="1:2" x14ac:dyDescent="0.25">
      <c r="A103" s="62" t="s">
        <v>411</v>
      </c>
      <c r="B103" t="e">
        <v>#DIV/0!</v>
      </c>
    </row>
    <row r="104" spans="1:2" x14ac:dyDescent="0.25">
      <c r="A104" s="62" t="s">
        <v>412</v>
      </c>
      <c r="B104" t="e">
        <v>#DIV/0!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88F819-0A3D-4C1F-9AE3-9D4FBECFC639}">
  <sheetPr codeName="Hoja9">
    <pageSetUpPr fitToPage="1"/>
  </sheetPr>
  <dimension ref="A3:AD502"/>
  <sheetViews>
    <sheetView view="pageBreakPreview" topLeftCell="T470" zoomScale="56" zoomScaleNormal="52" zoomScaleSheetLayoutView="56" workbookViewId="0">
      <selection activeCell="D6" sqref="D6:M6"/>
    </sheetView>
  </sheetViews>
  <sheetFormatPr baseColWidth="10" defaultColWidth="11.28515625" defaultRowHeight="15" customHeight="1" x14ac:dyDescent="0.25"/>
  <cols>
    <col min="1" max="1" width="17.140625" style="3" customWidth="1"/>
    <col min="2" max="2" width="24.28515625" style="3" customWidth="1"/>
    <col min="3" max="3" width="52.28515625" style="3" customWidth="1"/>
    <col min="4" max="4" width="77.28515625" style="3" customWidth="1"/>
    <col min="5" max="7" width="28.28515625" style="3" customWidth="1"/>
    <col min="8" max="8" width="31.28515625" style="3" customWidth="1"/>
    <col min="9" max="9" width="30.140625" style="3" customWidth="1"/>
    <col min="10" max="11" width="25.28515625" style="3" customWidth="1"/>
    <col min="12" max="12" width="33.7109375" style="3" customWidth="1"/>
    <col min="13" max="14" width="25.28515625" style="3" customWidth="1"/>
    <col min="15" max="17" width="24.28515625" style="3" customWidth="1"/>
    <col min="18" max="18" width="30.5703125" style="3" customWidth="1"/>
    <col min="19" max="19" width="31.140625" style="3" customWidth="1"/>
    <col min="20" max="23" width="24.28515625" style="3" customWidth="1"/>
    <col min="24" max="25" width="33.85546875" style="3" bestFit="1" customWidth="1"/>
    <col min="26" max="26" width="24.28515625" style="3" customWidth="1"/>
    <col min="27" max="27" width="33.85546875" style="3" bestFit="1" customWidth="1"/>
    <col min="28" max="28" width="33.28515625" style="3" bestFit="1" customWidth="1"/>
    <col min="29" max="29" width="24.28515625" style="3" customWidth="1"/>
    <col min="30" max="30" width="56.28515625" style="3" customWidth="1"/>
    <col min="31" max="16384" width="11.28515625" style="3"/>
  </cols>
  <sheetData>
    <row r="3" spans="1:30" s="1" customFormat="1" ht="32.450000000000003" customHeight="1" x14ac:dyDescent="0.25">
      <c r="A3" s="503" t="s">
        <v>0</v>
      </c>
      <c r="B3" s="503"/>
      <c r="C3" s="503"/>
      <c r="D3" s="503"/>
      <c r="E3" s="503"/>
      <c r="F3" s="503"/>
      <c r="G3" s="503"/>
      <c r="H3" s="503"/>
      <c r="I3" s="503"/>
      <c r="J3" s="503"/>
      <c r="K3" s="503"/>
      <c r="L3" s="503"/>
      <c r="M3" s="503"/>
      <c r="N3" s="504" t="s">
        <v>1</v>
      </c>
      <c r="O3" s="504"/>
      <c r="P3" s="504"/>
      <c r="Q3" s="504"/>
      <c r="R3" s="504"/>
      <c r="S3" s="504"/>
      <c r="T3" s="504"/>
      <c r="U3" s="504"/>
      <c r="V3" s="504"/>
      <c r="W3" s="504"/>
      <c r="X3" s="33"/>
      <c r="Y3" s="33"/>
      <c r="Z3" s="33"/>
      <c r="AA3" s="33"/>
      <c r="AB3" s="33"/>
      <c r="AC3" s="33"/>
    </row>
    <row r="4" spans="1:30" s="2" customFormat="1" ht="70.150000000000006" customHeight="1" x14ac:dyDescent="0.25">
      <c r="A4" s="505"/>
      <c r="B4" s="505"/>
      <c r="C4" s="45" t="s">
        <v>2</v>
      </c>
      <c r="D4" s="407">
        <v>46160</v>
      </c>
      <c r="E4" s="466" t="s">
        <v>3</v>
      </c>
      <c r="F4" s="466"/>
      <c r="G4" s="17"/>
      <c r="H4" s="506" t="s">
        <v>4</v>
      </c>
      <c r="I4" s="506"/>
      <c r="J4" s="506"/>
      <c r="K4" s="506"/>
      <c r="L4" s="506"/>
      <c r="M4" s="506"/>
      <c r="N4" s="504"/>
      <c r="O4" s="504"/>
      <c r="P4" s="504"/>
      <c r="Q4" s="504"/>
      <c r="R4" s="504"/>
      <c r="S4" s="504"/>
      <c r="T4" s="504"/>
      <c r="U4" s="504"/>
      <c r="V4" s="504"/>
      <c r="W4" s="504"/>
      <c r="Z4" s="510" t="s">
        <v>5</v>
      </c>
      <c r="AA4" s="510"/>
      <c r="AB4" s="394">
        <f>IF(B11="","",AA113)</f>
        <v>590462282.71803367</v>
      </c>
      <c r="AC4" s="393"/>
      <c r="AD4" s="393"/>
    </row>
    <row r="5" spans="1:30" s="2" customFormat="1" ht="63" customHeight="1" x14ac:dyDescent="0.25">
      <c r="A5" s="505"/>
      <c r="B5" s="505"/>
      <c r="C5" s="20" t="s">
        <v>6</v>
      </c>
      <c r="D5" s="507" t="s">
        <v>7</v>
      </c>
      <c r="E5" s="508"/>
      <c r="F5" s="509"/>
      <c r="G5" s="99"/>
      <c r="H5" s="20" t="s">
        <v>8</v>
      </c>
      <c r="I5" s="507" t="s">
        <v>331</v>
      </c>
      <c r="J5" s="509"/>
      <c r="K5" s="20" t="s">
        <v>9</v>
      </c>
      <c r="L5" s="507"/>
      <c r="M5" s="509"/>
      <c r="N5" s="504"/>
      <c r="O5" s="504"/>
      <c r="P5" s="504"/>
      <c r="Q5" s="504"/>
      <c r="R5" s="504"/>
      <c r="S5" s="504"/>
      <c r="T5" s="504"/>
      <c r="U5" s="504"/>
      <c r="V5" s="504"/>
      <c r="W5" s="504"/>
      <c r="Z5" s="510" t="s">
        <v>10</v>
      </c>
      <c r="AA5" s="510"/>
      <c r="AB5" s="394">
        <f>IF(B11="","",L153)</f>
        <v>927118595</v>
      </c>
      <c r="AC5" s="393"/>
      <c r="AD5" s="404"/>
    </row>
    <row r="6" spans="1:30" s="2" customFormat="1" ht="54" customHeight="1" x14ac:dyDescent="0.25">
      <c r="A6" s="505"/>
      <c r="B6" s="505"/>
      <c r="C6" s="46" t="s">
        <v>11</v>
      </c>
      <c r="D6" s="466" t="s">
        <v>12</v>
      </c>
      <c r="E6" s="466"/>
      <c r="F6" s="466"/>
      <c r="G6" s="466"/>
      <c r="H6" s="466"/>
      <c r="I6" s="466"/>
      <c r="J6" s="466"/>
      <c r="K6" s="466"/>
      <c r="L6" s="466"/>
      <c r="M6" s="466"/>
      <c r="N6" s="504"/>
      <c r="O6" s="504"/>
      <c r="P6" s="504"/>
      <c r="Q6" s="504"/>
      <c r="R6" s="504"/>
      <c r="S6" s="504"/>
      <c r="T6" s="504"/>
      <c r="U6" s="504"/>
      <c r="V6" s="504"/>
      <c r="W6" s="504"/>
      <c r="X6" s="73">
        <f>X7-X8</f>
        <v>0</v>
      </c>
      <c r="Y6" s="73">
        <f>Y7-Y8</f>
        <v>0</v>
      </c>
      <c r="Z6" s="510" t="s">
        <v>13</v>
      </c>
      <c r="AA6" s="510"/>
      <c r="AB6" s="395">
        <f>IF(B11="","",(AB4+AB5))</f>
        <v>1517580877.7180338</v>
      </c>
      <c r="AC6" s="405"/>
      <c r="AD6" s="406"/>
    </row>
    <row r="7" spans="1:30" ht="21" x14ac:dyDescent="0.35">
      <c r="K7" s="272"/>
      <c r="L7" s="272"/>
      <c r="M7" s="272"/>
      <c r="Q7" s="272"/>
      <c r="R7" s="272"/>
      <c r="S7" s="272"/>
      <c r="W7" s="272"/>
      <c r="X7" s="272"/>
      <c r="Y7" s="272"/>
    </row>
    <row r="8" spans="1:30" ht="21" x14ac:dyDescent="0.35">
      <c r="A8" s="4"/>
      <c r="J8" s="16"/>
      <c r="K8" s="274"/>
      <c r="L8" s="274"/>
      <c r="M8" s="274"/>
      <c r="P8" s="16"/>
      <c r="Q8" s="272"/>
      <c r="R8" s="272"/>
      <c r="S8" s="272"/>
      <c r="V8" s="16"/>
      <c r="W8" s="16"/>
      <c r="X8" s="16"/>
      <c r="Y8" s="16"/>
      <c r="Z8" s="16"/>
    </row>
    <row r="9" spans="1:30" s="18" customFormat="1" ht="45" customHeight="1" x14ac:dyDescent="0.4">
      <c r="H9" s="492" t="s">
        <v>14</v>
      </c>
      <c r="I9" s="493"/>
      <c r="J9" s="493"/>
      <c r="K9" s="493"/>
      <c r="L9" s="493"/>
      <c r="M9" s="494"/>
      <c r="N9" s="495" t="s">
        <v>15</v>
      </c>
      <c r="O9" s="496"/>
      <c r="P9" s="496"/>
      <c r="Q9" s="496"/>
      <c r="R9" s="496"/>
      <c r="S9" s="497"/>
      <c r="T9" s="498" t="s">
        <v>16</v>
      </c>
      <c r="U9" s="499"/>
      <c r="V9" s="499"/>
      <c r="W9" s="499"/>
      <c r="X9" s="499"/>
      <c r="Y9" s="500"/>
      <c r="Z9" s="501" t="s">
        <v>17</v>
      </c>
      <c r="AA9" s="502"/>
      <c r="AB9" s="502"/>
      <c r="AC9" s="502"/>
    </row>
    <row r="10" spans="1:30" s="18" customFormat="1" ht="156.6" customHeight="1" x14ac:dyDescent="0.3">
      <c r="A10" s="92" t="s">
        <v>18</v>
      </c>
      <c r="B10" s="92" t="s">
        <v>19</v>
      </c>
      <c r="C10" s="92" t="s">
        <v>20</v>
      </c>
      <c r="D10" s="92" t="s">
        <v>21</v>
      </c>
      <c r="E10" s="92" t="s">
        <v>22</v>
      </c>
      <c r="F10" s="92" t="s">
        <v>23</v>
      </c>
      <c r="G10" s="92" t="s">
        <v>24</v>
      </c>
      <c r="H10" s="93" t="s">
        <v>25</v>
      </c>
      <c r="I10" s="93" t="s">
        <v>26</v>
      </c>
      <c r="J10" s="93" t="s">
        <v>27</v>
      </c>
      <c r="K10" s="93" t="s">
        <v>28</v>
      </c>
      <c r="L10" s="93" t="s">
        <v>29</v>
      </c>
      <c r="M10" s="93" t="s">
        <v>30</v>
      </c>
      <c r="N10" s="92" t="s">
        <v>31</v>
      </c>
      <c r="O10" s="92" t="s">
        <v>26</v>
      </c>
      <c r="P10" s="92" t="s">
        <v>27</v>
      </c>
      <c r="Q10" s="92" t="s">
        <v>28</v>
      </c>
      <c r="R10" s="92" t="s">
        <v>29</v>
      </c>
      <c r="S10" s="92" t="s">
        <v>30</v>
      </c>
      <c r="T10" s="94" t="s">
        <v>32</v>
      </c>
      <c r="U10" s="94" t="s">
        <v>26</v>
      </c>
      <c r="V10" s="94" t="s">
        <v>27</v>
      </c>
      <c r="W10" s="94" t="s">
        <v>28</v>
      </c>
      <c r="X10" s="94" t="s">
        <v>29</v>
      </c>
      <c r="Y10" s="94" t="s">
        <v>30</v>
      </c>
      <c r="Z10" s="93" t="s">
        <v>33</v>
      </c>
      <c r="AA10" s="93" t="s">
        <v>34</v>
      </c>
      <c r="AB10" s="93" t="s">
        <v>35</v>
      </c>
      <c r="AC10" s="93" t="s">
        <v>36</v>
      </c>
      <c r="AD10" s="95" t="s">
        <v>37</v>
      </c>
    </row>
    <row r="11" spans="1:30" s="370" customFormat="1" ht="84" x14ac:dyDescent="0.35">
      <c r="A11" s="276">
        <v>1</v>
      </c>
      <c r="B11" s="277" t="s">
        <v>38</v>
      </c>
      <c r="C11" s="277" t="s">
        <v>39</v>
      </c>
      <c r="D11" s="396" t="s">
        <v>40</v>
      </c>
      <c r="E11" s="277" t="s">
        <v>41</v>
      </c>
      <c r="F11" s="100">
        <v>60</v>
      </c>
      <c r="G11" s="277" t="s">
        <v>42</v>
      </c>
      <c r="H11" s="441" t="s">
        <v>43</v>
      </c>
      <c r="I11" s="397">
        <v>5033.6099999999997</v>
      </c>
      <c r="J11" s="442">
        <f>I11*19%</f>
        <v>956.38589999999999</v>
      </c>
      <c r="K11" s="442">
        <f>I11+J11</f>
        <v>5989.9958999999999</v>
      </c>
      <c r="L11" s="443">
        <f>IF(B11="","",(I11*F11))</f>
        <v>302016.59999999998</v>
      </c>
      <c r="M11" s="443">
        <f>IF(B11="","",(K11*F11))</f>
        <v>359399.75400000002</v>
      </c>
      <c r="N11" s="444" t="s">
        <v>44</v>
      </c>
      <c r="O11" s="445">
        <v>5462.18</v>
      </c>
      <c r="P11" s="445">
        <f>O11*19%</f>
        <v>1037.8142</v>
      </c>
      <c r="Q11" s="445">
        <f t="shared" ref="Q11:Q74" si="0">O11+P11</f>
        <v>6499.9942000000001</v>
      </c>
      <c r="R11" s="446">
        <f t="shared" ref="R11:R74" si="1">IF(B11="","",(O11*F11))</f>
        <v>327730.80000000005</v>
      </c>
      <c r="S11" s="446">
        <f t="shared" ref="S11:S74" si="2">IF(B11="","",(Q11*F11))</f>
        <v>389999.652</v>
      </c>
      <c r="T11" s="447" t="s">
        <v>45</v>
      </c>
      <c r="U11" s="448">
        <v>4201.68</v>
      </c>
      <c r="V11" s="448">
        <f t="shared" ref="V11:V18" si="3">U11*19%</f>
        <v>798.31920000000002</v>
      </c>
      <c r="W11" s="448">
        <f>U11+V11</f>
        <v>4999.9992000000002</v>
      </c>
      <c r="X11" s="449">
        <f t="shared" ref="X11:X73" si="4">IF(B11="","",(U11*F11))</f>
        <v>252100.80000000002</v>
      </c>
      <c r="Y11" s="449">
        <f t="shared" ref="Y11:Y73" si="5">IF(B11="","",(W11*F11))</f>
        <v>299999.95199999999</v>
      </c>
      <c r="Z11" s="450">
        <f t="shared" ref="Z11:Z74" si="6">IF(A11="","",AVERAGE(K11,Q11,W11))</f>
        <v>5829.9964333333337</v>
      </c>
      <c r="AA11" s="450">
        <f t="shared" ref="AA11:AA74" si="7">IF(B11="","",Z11*F11)</f>
        <v>349799.78600000002</v>
      </c>
      <c r="AB11" s="450">
        <f t="shared" ref="AB11:AB74" si="8">IF(B11="","",STDEV(M11,S11,Y11))</f>
        <v>45761.403379083953</v>
      </c>
      <c r="AC11" s="451">
        <f t="shared" ref="AC11:AC74" si="9">IF(B11="","",(AB11/AA11))</f>
        <v>0.13082170204381985</v>
      </c>
      <c r="AD11" s="398"/>
    </row>
    <row r="12" spans="1:30" s="370" customFormat="1" ht="96" x14ac:dyDescent="0.35">
      <c r="A12" s="276">
        <v>2</v>
      </c>
      <c r="B12" s="277" t="s">
        <v>38</v>
      </c>
      <c r="C12" s="277" t="s">
        <v>46</v>
      </c>
      <c r="D12" s="396" t="s">
        <v>47</v>
      </c>
      <c r="E12" s="277" t="s">
        <v>41</v>
      </c>
      <c r="F12" s="100">
        <v>6</v>
      </c>
      <c r="G12" s="277" t="s">
        <v>42</v>
      </c>
      <c r="H12" s="441" t="s">
        <v>48</v>
      </c>
      <c r="I12" s="397">
        <v>5407.56</v>
      </c>
      <c r="J12" s="442">
        <f t="shared" ref="J12:J75" si="10">I12*19%</f>
        <v>1027.4364</v>
      </c>
      <c r="K12" s="442">
        <f t="shared" ref="K12:K75" si="11">I12+J12</f>
        <v>6434.9964</v>
      </c>
      <c r="L12" s="443">
        <f t="shared" ref="L12:L75" si="12">IF(B12="","",(I12*F12))</f>
        <v>32445.360000000001</v>
      </c>
      <c r="M12" s="443">
        <f t="shared" ref="M12:M75" si="13">IF(B12="","",(K12*F12))</f>
        <v>38609.9784</v>
      </c>
      <c r="N12" s="444" t="s">
        <v>49</v>
      </c>
      <c r="O12" s="445">
        <v>4628.57</v>
      </c>
      <c r="P12" s="445">
        <f t="shared" ref="P12:P74" si="14">O12*19%</f>
        <v>879.42829999999992</v>
      </c>
      <c r="Q12" s="445">
        <f t="shared" si="0"/>
        <v>5507.9982999999993</v>
      </c>
      <c r="R12" s="446">
        <f t="shared" si="1"/>
        <v>27771.42</v>
      </c>
      <c r="S12" s="446">
        <f t="shared" si="2"/>
        <v>33047.989799999996</v>
      </c>
      <c r="T12" s="447" t="s">
        <v>50</v>
      </c>
      <c r="U12" s="448">
        <v>4968.91</v>
      </c>
      <c r="V12" s="448">
        <f t="shared" si="3"/>
        <v>944.09289999999999</v>
      </c>
      <c r="W12" s="448">
        <f t="shared" ref="W12:W75" si="15">U12+V12</f>
        <v>5913.0028999999995</v>
      </c>
      <c r="X12" s="449">
        <f t="shared" si="4"/>
        <v>29813.46</v>
      </c>
      <c r="Y12" s="449">
        <f t="shared" si="5"/>
        <v>35478.017399999997</v>
      </c>
      <c r="Z12" s="450">
        <f t="shared" si="6"/>
        <v>5951.9991999999993</v>
      </c>
      <c r="AA12" s="450">
        <f t="shared" si="7"/>
        <v>35711.995199999998</v>
      </c>
      <c r="AB12" s="450">
        <f t="shared" si="8"/>
        <v>2788.3666374424529</v>
      </c>
      <c r="AC12" s="451">
        <f t="shared" si="9"/>
        <v>7.807927341574164E-2</v>
      </c>
      <c r="AD12" s="398"/>
    </row>
    <row r="13" spans="1:30" s="370" customFormat="1" ht="84" x14ac:dyDescent="0.35">
      <c r="A13" s="276">
        <v>3</v>
      </c>
      <c r="B13" s="277" t="s">
        <v>38</v>
      </c>
      <c r="C13" s="277" t="s">
        <v>51</v>
      </c>
      <c r="D13" s="396" t="s">
        <v>52</v>
      </c>
      <c r="E13" s="277" t="s">
        <v>41</v>
      </c>
      <c r="F13" s="100">
        <v>60</v>
      </c>
      <c r="G13" s="277" t="s">
        <v>42</v>
      </c>
      <c r="H13" s="441" t="s">
        <v>53</v>
      </c>
      <c r="I13" s="397">
        <v>27500</v>
      </c>
      <c r="J13" s="442">
        <f t="shared" si="10"/>
        <v>5225</v>
      </c>
      <c r="K13" s="442">
        <f t="shared" si="11"/>
        <v>32725</v>
      </c>
      <c r="L13" s="443">
        <f t="shared" si="12"/>
        <v>1650000</v>
      </c>
      <c r="M13" s="443">
        <f t="shared" si="13"/>
        <v>1963500</v>
      </c>
      <c r="N13" s="444" t="s">
        <v>54</v>
      </c>
      <c r="O13" s="445">
        <v>25500</v>
      </c>
      <c r="P13" s="445">
        <f t="shared" si="14"/>
        <v>4845</v>
      </c>
      <c r="Q13" s="445">
        <f t="shared" si="0"/>
        <v>30345</v>
      </c>
      <c r="R13" s="446">
        <f t="shared" si="1"/>
        <v>1530000</v>
      </c>
      <c r="S13" s="446">
        <f t="shared" si="2"/>
        <v>1820700</v>
      </c>
      <c r="T13" s="447" t="s">
        <v>55</v>
      </c>
      <c r="U13" s="448">
        <v>28750</v>
      </c>
      <c r="V13" s="448">
        <f t="shared" si="3"/>
        <v>5462.5</v>
      </c>
      <c r="W13" s="448">
        <f t="shared" si="15"/>
        <v>34212.5</v>
      </c>
      <c r="X13" s="449">
        <f t="shared" si="4"/>
        <v>1725000</v>
      </c>
      <c r="Y13" s="449">
        <f t="shared" si="5"/>
        <v>2052750</v>
      </c>
      <c r="Z13" s="450">
        <f t="shared" si="6"/>
        <v>32427.5</v>
      </c>
      <c r="AA13" s="450">
        <f t="shared" si="7"/>
        <v>1945650</v>
      </c>
      <c r="AB13" s="450">
        <f t="shared" si="8"/>
        <v>117050.27765879071</v>
      </c>
      <c r="AC13" s="451">
        <f t="shared" si="9"/>
        <v>6.0159986461486244E-2</v>
      </c>
      <c r="AD13" s="398"/>
    </row>
    <row r="14" spans="1:30" s="370" customFormat="1" ht="84" x14ac:dyDescent="0.35">
      <c r="A14" s="276">
        <v>4</v>
      </c>
      <c r="B14" s="277" t="s">
        <v>38</v>
      </c>
      <c r="C14" s="277" t="s">
        <v>56</v>
      </c>
      <c r="D14" s="396" t="s">
        <v>57</v>
      </c>
      <c r="E14" s="277" t="s">
        <v>41</v>
      </c>
      <c r="F14" s="100">
        <v>60</v>
      </c>
      <c r="G14" s="277" t="s">
        <v>42</v>
      </c>
      <c r="H14" s="441" t="s">
        <v>58</v>
      </c>
      <c r="I14" s="397">
        <v>36050.42</v>
      </c>
      <c r="J14" s="442">
        <f t="shared" si="10"/>
        <v>6849.5797999999995</v>
      </c>
      <c r="K14" s="442">
        <f t="shared" si="11"/>
        <v>42899.999799999998</v>
      </c>
      <c r="L14" s="443">
        <f t="shared" si="12"/>
        <v>2163025.1999999997</v>
      </c>
      <c r="M14" s="443">
        <f t="shared" si="13"/>
        <v>2573999.9879999999</v>
      </c>
      <c r="N14" s="444" t="s">
        <v>59</v>
      </c>
      <c r="O14" s="445">
        <v>41596.639999999999</v>
      </c>
      <c r="P14" s="445">
        <f t="shared" si="14"/>
        <v>7903.3616000000002</v>
      </c>
      <c r="Q14" s="445">
        <f t="shared" si="0"/>
        <v>49500.001600000003</v>
      </c>
      <c r="R14" s="446">
        <f t="shared" si="1"/>
        <v>2495798.4</v>
      </c>
      <c r="S14" s="446">
        <f t="shared" si="2"/>
        <v>2970000.0960000004</v>
      </c>
      <c r="T14" s="447" t="s">
        <v>60</v>
      </c>
      <c r="U14" s="448">
        <v>34453.78</v>
      </c>
      <c r="V14" s="448">
        <f t="shared" si="3"/>
        <v>6546.2182000000003</v>
      </c>
      <c r="W14" s="448">
        <f t="shared" si="15"/>
        <v>40999.998200000002</v>
      </c>
      <c r="X14" s="449">
        <f t="shared" si="4"/>
        <v>2067226.7999999998</v>
      </c>
      <c r="Y14" s="449">
        <f t="shared" si="5"/>
        <v>2459999.892</v>
      </c>
      <c r="Z14" s="450">
        <f t="shared" si="6"/>
        <v>44466.666533333337</v>
      </c>
      <c r="AA14" s="450">
        <f t="shared" si="7"/>
        <v>2667999.9920000001</v>
      </c>
      <c r="AB14" s="450">
        <f t="shared" si="8"/>
        <v>267679.01035383879</v>
      </c>
      <c r="AC14" s="451">
        <f t="shared" si="9"/>
        <v>0.10032946445145222</v>
      </c>
      <c r="AD14" s="398"/>
    </row>
    <row r="15" spans="1:30" s="370" customFormat="1" ht="84" x14ac:dyDescent="0.35">
      <c r="A15" s="276">
        <v>5</v>
      </c>
      <c r="B15" s="277" t="s">
        <v>38</v>
      </c>
      <c r="C15" s="277" t="s">
        <v>61</v>
      </c>
      <c r="D15" s="396" t="s">
        <v>62</v>
      </c>
      <c r="E15" s="277" t="s">
        <v>41</v>
      </c>
      <c r="F15" s="100">
        <v>3</v>
      </c>
      <c r="G15" s="277" t="s">
        <v>42</v>
      </c>
      <c r="H15" s="441" t="s">
        <v>63</v>
      </c>
      <c r="I15" s="397">
        <v>329.41</v>
      </c>
      <c r="J15" s="442">
        <f t="shared" si="10"/>
        <v>62.587900000000005</v>
      </c>
      <c r="K15" s="442">
        <f t="shared" si="11"/>
        <v>391.99790000000002</v>
      </c>
      <c r="L15" s="443">
        <f t="shared" si="12"/>
        <v>988.23</v>
      </c>
      <c r="M15" s="443">
        <f t="shared" si="13"/>
        <v>1175.9937</v>
      </c>
      <c r="N15" s="444" t="s">
        <v>64</v>
      </c>
      <c r="O15" s="445">
        <v>420.17</v>
      </c>
      <c r="P15" s="445">
        <f t="shared" si="14"/>
        <v>79.832300000000004</v>
      </c>
      <c r="Q15" s="445">
        <f t="shared" si="0"/>
        <v>500.00229999999999</v>
      </c>
      <c r="R15" s="446">
        <f t="shared" si="1"/>
        <v>1260.51</v>
      </c>
      <c r="S15" s="446">
        <f t="shared" si="2"/>
        <v>1500.0068999999999</v>
      </c>
      <c r="T15" s="447" t="s">
        <v>65</v>
      </c>
      <c r="U15" s="448">
        <v>495.8</v>
      </c>
      <c r="V15" s="448">
        <f t="shared" si="3"/>
        <v>94.201999999999998</v>
      </c>
      <c r="W15" s="448">
        <f t="shared" si="15"/>
        <v>590.00199999999995</v>
      </c>
      <c r="X15" s="449">
        <f t="shared" si="4"/>
        <v>1487.4</v>
      </c>
      <c r="Y15" s="449">
        <f t="shared" si="5"/>
        <v>1770.0059999999999</v>
      </c>
      <c r="Z15" s="450">
        <f t="shared" si="6"/>
        <v>494.0007333333333</v>
      </c>
      <c r="AA15" s="450">
        <f t="shared" si="7"/>
        <v>1482.0021999999999</v>
      </c>
      <c r="AB15" s="450">
        <f t="shared" si="8"/>
        <v>297.41516446608688</v>
      </c>
      <c r="AC15" s="451">
        <f t="shared" si="9"/>
        <v>0.20068469835340791</v>
      </c>
      <c r="AD15" s="398"/>
    </row>
    <row r="16" spans="1:30" s="370" customFormat="1" ht="84" x14ac:dyDescent="0.35">
      <c r="A16" s="276">
        <v>6</v>
      </c>
      <c r="B16" s="277" t="s">
        <v>38</v>
      </c>
      <c r="C16" s="277" t="s">
        <v>66</v>
      </c>
      <c r="D16" s="396" t="s">
        <v>67</v>
      </c>
      <c r="E16" s="277" t="s">
        <v>41</v>
      </c>
      <c r="F16" s="100">
        <v>60</v>
      </c>
      <c r="G16" s="277" t="s">
        <v>42</v>
      </c>
      <c r="H16" s="441" t="s">
        <v>68</v>
      </c>
      <c r="I16" s="397">
        <v>19327.73</v>
      </c>
      <c r="J16" s="442">
        <f t="shared" si="10"/>
        <v>3672.2687000000001</v>
      </c>
      <c r="K16" s="442">
        <f t="shared" si="11"/>
        <v>22999.9987</v>
      </c>
      <c r="L16" s="443">
        <f t="shared" si="12"/>
        <v>1159663.8</v>
      </c>
      <c r="M16" s="443">
        <f t="shared" si="13"/>
        <v>1379999.922</v>
      </c>
      <c r="N16" s="444" t="s">
        <v>69</v>
      </c>
      <c r="O16" s="445">
        <v>19099</v>
      </c>
      <c r="P16" s="445">
        <f t="shared" si="14"/>
        <v>3628.81</v>
      </c>
      <c r="Q16" s="445">
        <f t="shared" si="0"/>
        <v>22727.81</v>
      </c>
      <c r="R16" s="446">
        <f t="shared" si="1"/>
        <v>1145940</v>
      </c>
      <c r="S16" s="446">
        <f t="shared" si="2"/>
        <v>1363668.6</v>
      </c>
      <c r="T16" s="447" t="s">
        <v>70</v>
      </c>
      <c r="U16" s="448">
        <v>23600</v>
      </c>
      <c r="V16" s="448">
        <f t="shared" si="3"/>
        <v>4484</v>
      </c>
      <c r="W16" s="448">
        <f t="shared" si="15"/>
        <v>28084</v>
      </c>
      <c r="X16" s="449">
        <f t="shared" si="4"/>
        <v>1416000</v>
      </c>
      <c r="Y16" s="449">
        <f t="shared" si="5"/>
        <v>1685040</v>
      </c>
      <c r="Z16" s="450">
        <f t="shared" si="6"/>
        <v>24603.93623333333</v>
      </c>
      <c r="AA16" s="450">
        <f t="shared" si="7"/>
        <v>1476236.1739999999</v>
      </c>
      <c r="AB16" s="450">
        <f t="shared" si="8"/>
        <v>181013.69101188346</v>
      </c>
      <c r="AC16" s="451">
        <f t="shared" si="9"/>
        <v>0.12261838193641465</v>
      </c>
      <c r="AD16" s="398"/>
    </row>
    <row r="17" spans="1:30" s="370" customFormat="1" ht="210" x14ac:dyDescent="0.35">
      <c r="A17" s="276">
        <v>7</v>
      </c>
      <c r="B17" s="277" t="s">
        <v>38</v>
      </c>
      <c r="C17" s="277" t="s">
        <v>71</v>
      </c>
      <c r="D17" s="396" t="s">
        <v>72</v>
      </c>
      <c r="E17" s="277" t="s">
        <v>41</v>
      </c>
      <c r="F17" s="100">
        <v>60</v>
      </c>
      <c r="G17" s="277" t="s">
        <v>42</v>
      </c>
      <c r="H17" s="441" t="s">
        <v>73</v>
      </c>
      <c r="I17" s="397">
        <v>38000</v>
      </c>
      <c r="J17" s="442">
        <f t="shared" si="10"/>
        <v>7220</v>
      </c>
      <c r="K17" s="442">
        <f t="shared" si="11"/>
        <v>45220</v>
      </c>
      <c r="L17" s="443">
        <f t="shared" si="12"/>
        <v>2280000</v>
      </c>
      <c r="M17" s="443">
        <f t="shared" si="13"/>
        <v>2713200</v>
      </c>
      <c r="N17" s="444" t="s">
        <v>74</v>
      </c>
      <c r="O17" s="445">
        <v>38000</v>
      </c>
      <c r="P17" s="445">
        <f t="shared" si="14"/>
        <v>7220</v>
      </c>
      <c r="Q17" s="445">
        <f t="shared" si="0"/>
        <v>45220</v>
      </c>
      <c r="R17" s="446">
        <f t="shared" si="1"/>
        <v>2280000</v>
      </c>
      <c r="S17" s="446">
        <f t="shared" si="2"/>
        <v>2713200</v>
      </c>
      <c r="T17" s="447" t="s">
        <v>75</v>
      </c>
      <c r="U17" s="448">
        <v>38000</v>
      </c>
      <c r="V17" s="448"/>
      <c r="W17" s="448">
        <f t="shared" si="15"/>
        <v>38000</v>
      </c>
      <c r="X17" s="449">
        <f t="shared" si="4"/>
        <v>2280000</v>
      </c>
      <c r="Y17" s="449">
        <f t="shared" si="5"/>
        <v>2280000</v>
      </c>
      <c r="Z17" s="450">
        <f t="shared" si="6"/>
        <v>42813.333333333336</v>
      </c>
      <c r="AA17" s="450">
        <f t="shared" si="7"/>
        <v>2568800</v>
      </c>
      <c r="AB17" s="450">
        <f t="shared" si="8"/>
        <v>250108.13661294588</v>
      </c>
      <c r="AC17" s="451">
        <f t="shared" si="9"/>
        <v>9.7363802792333337E-2</v>
      </c>
      <c r="AD17" s="398"/>
    </row>
    <row r="18" spans="1:30" s="370" customFormat="1" ht="409.5" x14ac:dyDescent="0.35">
      <c r="A18" s="276">
        <v>8</v>
      </c>
      <c r="B18" s="277" t="s">
        <v>38</v>
      </c>
      <c r="C18" s="277" t="s">
        <v>76</v>
      </c>
      <c r="D18" s="396" t="s">
        <v>77</v>
      </c>
      <c r="E18" s="277" t="s">
        <v>41</v>
      </c>
      <c r="F18" s="100">
        <v>60</v>
      </c>
      <c r="G18" s="277" t="s">
        <v>42</v>
      </c>
      <c r="H18" s="441" t="s">
        <v>48</v>
      </c>
      <c r="I18" s="397">
        <v>51750</v>
      </c>
      <c r="J18" s="442">
        <f t="shared" si="10"/>
        <v>9832.5</v>
      </c>
      <c r="K18" s="442">
        <f t="shared" si="11"/>
        <v>61582.5</v>
      </c>
      <c r="L18" s="443">
        <f t="shared" si="12"/>
        <v>3105000</v>
      </c>
      <c r="M18" s="443">
        <f t="shared" si="13"/>
        <v>3694950</v>
      </c>
      <c r="N18" s="444" t="s">
        <v>53</v>
      </c>
      <c r="O18" s="445">
        <v>53000</v>
      </c>
      <c r="P18" s="445">
        <f t="shared" si="14"/>
        <v>10070</v>
      </c>
      <c r="Q18" s="445">
        <f t="shared" si="0"/>
        <v>63070</v>
      </c>
      <c r="R18" s="446">
        <f t="shared" si="1"/>
        <v>3180000</v>
      </c>
      <c r="S18" s="446">
        <f t="shared" si="2"/>
        <v>3784200</v>
      </c>
      <c r="T18" s="447" t="s">
        <v>55</v>
      </c>
      <c r="U18" s="448">
        <v>38800</v>
      </c>
      <c r="V18" s="448">
        <f t="shared" si="3"/>
        <v>7372</v>
      </c>
      <c r="W18" s="448">
        <f t="shared" si="15"/>
        <v>46172</v>
      </c>
      <c r="X18" s="449">
        <f t="shared" si="4"/>
        <v>2328000</v>
      </c>
      <c r="Y18" s="449">
        <f t="shared" si="5"/>
        <v>2770320</v>
      </c>
      <c r="Z18" s="450">
        <f t="shared" si="6"/>
        <v>56941.5</v>
      </c>
      <c r="AA18" s="450">
        <f t="shared" si="7"/>
        <v>3416490</v>
      </c>
      <c r="AB18" s="450">
        <f t="shared" si="8"/>
        <v>561376.11482855235</v>
      </c>
      <c r="AC18" s="451">
        <f t="shared" si="9"/>
        <v>0.16431370056067846</v>
      </c>
      <c r="AD18" s="398"/>
    </row>
    <row r="19" spans="1:30" s="370" customFormat="1" ht="315" x14ac:dyDescent="0.35">
      <c r="A19" s="276">
        <v>9</v>
      </c>
      <c r="B19" s="277" t="s">
        <v>38</v>
      </c>
      <c r="C19" s="277" t="s">
        <v>78</v>
      </c>
      <c r="D19" s="396" t="s">
        <v>79</v>
      </c>
      <c r="E19" s="277" t="s">
        <v>41</v>
      </c>
      <c r="F19" s="100">
        <v>60</v>
      </c>
      <c r="G19" s="277" t="s">
        <v>42</v>
      </c>
      <c r="H19" s="441" t="s">
        <v>75</v>
      </c>
      <c r="I19" s="397">
        <v>15000</v>
      </c>
      <c r="J19" s="442"/>
      <c r="K19" s="442">
        <f t="shared" si="11"/>
        <v>15000</v>
      </c>
      <c r="L19" s="443">
        <f t="shared" si="12"/>
        <v>900000</v>
      </c>
      <c r="M19" s="443">
        <f t="shared" si="13"/>
        <v>900000</v>
      </c>
      <c r="N19" s="444" t="s">
        <v>80</v>
      </c>
      <c r="O19" s="445">
        <v>12000</v>
      </c>
      <c r="P19" s="445">
        <f t="shared" si="14"/>
        <v>2280</v>
      </c>
      <c r="Q19" s="445">
        <f t="shared" si="0"/>
        <v>14280</v>
      </c>
      <c r="R19" s="446">
        <f t="shared" si="1"/>
        <v>720000</v>
      </c>
      <c r="S19" s="446">
        <f t="shared" si="2"/>
        <v>856800</v>
      </c>
      <c r="T19" s="447"/>
      <c r="U19" s="448"/>
      <c r="V19" s="448"/>
      <c r="W19" s="448"/>
      <c r="X19" s="449"/>
      <c r="Y19" s="449"/>
      <c r="Z19" s="450">
        <f t="shared" si="6"/>
        <v>14640</v>
      </c>
      <c r="AA19" s="450">
        <f t="shared" si="7"/>
        <v>878400</v>
      </c>
      <c r="AB19" s="450">
        <f t="shared" si="8"/>
        <v>30547.012947258852</v>
      </c>
      <c r="AC19" s="451">
        <f t="shared" si="9"/>
        <v>3.4775743337043322E-2</v>
      </c>
      <c r="AD19" s="398"/>
    </row>
    <row r="20" spans="1:30" s="370" customFormat="1" ht="84" x14ac:dyDescent="0.35">
      <c r="A20" s="276">
        <v>10</v>
      </c>
      <c r="B20" s="277" t="s">
        <v>38</v>
      </c>
      <c r="C20" s="277" t="s">
        <v>81</v>
      </c>
      <c r="D20" s="396" t="s">
        <v>82</v>
      </c>
      <c r="E20" s="277" t="s">
        <v>41</v>
      </c>
      <c r="F20" s="100">
        <v>60</v>
      </c>
      <c r="G20" s="277" t="s">
        <v>42</v>
      </c>
      <c r="H20" s="441" t="s">
        <v>48</v>
      </c>
      <c r="I20" s="397">
        <v>2200</v>
      </c>
      <c r="J20" s="442">
        <f t="shared" si="10"/>
        <v>418</v>
      </c>
      <c r="K20" s="442">
        <f t="shared" si="11"/>
        <v>2618</v>
      </c>
      <c r="L20" s="443">
        <f t="shared" si="12"/>
        <v>132000</v>
      </c>
      <c r="M20" s="443">
        <f t="shared" si="13"/>
        <v>157080</v>
      </c>
      <c r="N20" s="444" t="s">
        <v>83</v>
      </c>
      <c r="O20" s="445">
        <v>2689.08</v>
      </c>
      <c r="P20" s="445">
        <f t="shared" si="14"/>
        <v>510.92520000000002</v>
      </c>
      <c r="Q20" s="445">
        <f t="shared" si="0"/>
        <v>3200.0052000000001</v>
      </c>
      <c r="R20" s="446">
        <f t="shared" si="1"/>
        <v>161344.79999999999</v>
      </c>
      <c r="S20" s="446">
        <f t="shared" si="2"/>
        <v>192000.31200000001</v>
      </c>
      <c r="T20" s="447" t="s">
        <v>84</v>
      </c>
      <c r="U20" s="448">
        <v>3800</v>
      </c>
      <c r="V20" s="448"/>
      <c r="W20" s="448">
        <f t="shared" si="15"/>
        <v>3800</v>
      </c>
      <c r="X20" s="449">
        <f t="shared" si="4"/>
        <v>228000</v>
      </c>
      <c r="Y20" s="449">
        <f t="shared" si="5"/>
        <v>228000</v>
      </c>
      <c r="Z20" s="450">
        <f t="shared" si="6"/>
        <v>3206.001733333333</v>
      </c>
      <c r="AA20" s="450">
        <f t="shared" si="7"/>
        <v>192360.10399999999</v>
      </c>
      <c r="AB20" s="450">
        <f t="shared" si="8"/>
        <v>35461.368948652285</v>
      </c>
      <c r="AC20" s="451">
        <f t="shared" si="9"/>
        <v>0.18434887594286331</v>
      </c>
      <c r="AD20" s="398"/>
    </row>
    <row r="21" spans="1:30" s="370" customFormat="1" ht="147" x14ac:dyDescent="0.35">
      <c r="A21" s="276">
        <v>11</v>
      </c>
      <c r="B21" s="277" t="s">
        <v>38</v>
      </c>
      <c r="C21" s="277" t="s">
        <v>345</v>
      </c>
      <c r="D21" s="396" t="s">
        <v>86</v>
      </c>
      <c r="E21" s="277" t="s">
        <v>87</v>
      </c>
      <c r="F21" s="100">
        <v>108</v>
      </c>
      <c r="G21" s="277" t="s">
        <v>88</v>
      </c>
      <c r="H21" s="441" t="s">
        <v>89</v>
      </c>
      <c r="I21" s="397">
        <v>302522</v>
      </c>
      <c r="J21" s="442">
        <f t="shared" si="10"/>
        <v>57479.18</v>
      </c>
      <c r="K21" s="442">
        <f t="shared" si="11"/>
        <v>360001.18</v>
      </c>
      <c r="L21" s="443">
        <f t="shared" si="12"/>
        <v>32672376</v>
      </c>
      <c r="M21" s="443">
        <f t="shared" si="13"/>
        <v>38880127.439999998</v>
      </c>
      <c r="N21" s="444" t="s">
        <v>90</v>
      </c>
      <c r="O21" s="445">
        <v>252101</v>
      </c>
      <c r="P21" s="445">
        <f t="shared" si="14"/>
        <v>47899.19</v>
      </c>
      <c r="Q21" s="445">
        <f t="shared" si="0"/>
        <v>300000.19</v>
      </c>
      <c r="R21" s="446">
        <f t="shared" si="1"/>
        <v>27226908</v>
      </c>
      <c r="S21" s="446">
        <f t="shared" si="2"/>
        <v>32400020.52</v>
      </c>
      <c r="T21" s="447"/>
      <c r="U21" s="448"/>
      <c r="V21" s="448"/>
      <c r="W21" s="448"/>
      <c r="X21" s="449"/>
      <c r="Y21" s="449"/>
      <c r="Z21" s="450">
        <f t="shared" si="6"/>
        <v>330000.685</v>
      </c>
      <c r="AA21" s="450">
        <f t="shared" si="7"/>
        <v>35640073.979999997</v>
      </c>
      <c r="AB21" s="450">
        <f t="shared" si="8"/>
        <v>4582127.5459458707</v>
      </c>
      <c r="AC21" s="451">
        <f t="shared" si="9"/>
        <v>0.1285667237536377</v>
      </c>
      <c r="AD21" s="398"/>
    </row>
    <row r="22" spans="1:30" s="370" customFormat="1" ht="147" x14ac:dyDescent="0.35">
      <c r="A22" s="276">
        <v>12</v>
      </c>
      <c r="B22" s="277" t="s">
        <v>38</v>
      </c>
      <c r="C22" s="277" t="s">
        <v>347</v>
      </c>
      <c r="D22" s="396" t="s">
        <v>92</v>
      </c>
      <c r="E22" s="277" t="s">
        <v>87</v>
      </c>
      <c r="F22" s="100">
        <v>5</v>
      </c>
      <c r="G22" s="277" t="s">
        <v>88</v>
      </c>
      <c r="H22" s="441" t="s">
        <v>89</v>
      </c>
      <c r="I22" s="397">
        <v>302522</v>
      </c>
      <c r="J22" s="442">
        <f t="shared" si="10"/>
        <v>57479.18</v>
      </c>
      <c r="K22" s="442">
        <f t="shared" si="11"/>
        <v>360001.18</v>
      </c>
      <c r="L22" s="443">
        <f t="shared" si="12"/>
        <v>1512610</v>
      </c>
      <c r="M22" s="443">
        <f t="shared" si="13"/>
        <v>1800005.9</v>
      </c>
      <c r="N22" s="444" t="s">
        <v>90</v>
      </c>
      <c r="O22" s="445">
        <v>252101</v>
      </c>
      <c r="P22" s="445">
        <f t="shared" si="14"/>
        <v>47899.19</v>
      </c>
      <c r="Q22" s="445">
        <f t="shared" si="0"/>
        <v>300000.19</v>
      </c>
      <c r="R22" s="446">
        <f t="shared" si="1"/>
        <v>1260505</v>
      </c>
      <c r="S22" s="446">
        <f t="shared" si="2"/>
        <v>1500000.95</v>
      </c>
      <c r="T22" s="447"/>
      <c r="U22" s="448"/>
      <c r="V22" s="448"/>
      <c r="W22" s="448"/>
      <c r="X22" s="449"/>
      <c r="Y22" s="449"/>
      <c r="Z22" s="450">
        <f t="shared" si="6"/>
        <v>330000.685</v>
      </c>
      <c r="AA22" s="450">
        <f t="shared" si="7"/>
        <v>1650003.425</v>
      </c>
      <c r="AB22" s="450">
        <f t="shared" si="8"/>
        <v>212135.53453453109</v>
      </c>
      <c r="AC22" s="451">
        <f t="shared" si="9"/>
        <v>0.1285667237536377</v>
      </c>
      <c r="AD22" s="398"/>
    </row>
    <row r="23" spans="1:30" s="370" customFormat="1" ht="409.5" x14ac:dyDescent="0.35">
      <c r="A23" s="276">
        <v>13</v>
      </c>
      <c r="B23" s="277" t="s">
        <v>38</v>
      </c>
      <c r="C23" s="277" t="s">
        <v>93</v>
      </c>
      <c r="D23" s="396" t="s">
        <v>94</v>
      </c>
      <c r="E23" s="277" t="s">
        <v>41</v>
      </c>
      <c r="F23" s="100">
        <v>540</v>
      </c>
      <c r="G23" s="277" t="s">
        <v>42</v>
      </c>
      <c r="H23" s="441" t="s">
        <v>95</v>
      </c>
      <c r="I23" s="397">
        <v>11700</v>
      </c>
      <c r="J23" s="442">
        <f>I23*8%</f>
        <v>936</v>
      </c>
      <c r="K23" s="442">
        <f t="shared" si="11"/>
        <v>12636</v>
      </c>
      <c r="L23" s="443">
        <f t="shared" si="12"/>
        <v>6318000</v>
      </c>
      <c r="M23" s="443">
        <f t="shared" si="13"/>
        <v>6823440</v>
      </c>
      <c r="N23" s="444" t="s">
        <v>50</v>
      </c>
      <c r="O23" s="445">
        <v>8570</v>
      </c>
      <c r="P23" s="445">
        <f>O23*8%</f>
        <v>685.6</v>
      </c>
      <c r="Q23" s="445">
        <f t="shared" si="0"/>
        <v>9255.6</v>
      </c>
      <c r="R23" s="446">
        <f t="shared" si="1"/>
        <v>4627800</v>
      </c>
      <c r="S23" s="446">
        <f t="shared" si="2"/>
        <v>4998024</v>
      </c>
      <c r="T23" s="447" t="s">
        <v>96</v>
      </c>
      <c r="U23" s="448">
        <v>13871</v>
      </c>
      <c r="V23" s="448"/>
      <c r="W23" s="448">
        <f t="shared" si="15"/>
        <v>13871</v>
      </c>
      <c r="X23" s="449">
        <f t="shared" si="4"/>
        <v>7490340</v>
      </c>
      <c r="Y23" s="449">
        <f t="shared" si="5"/>
        <v>7490340</v>
      </c>
      <c r="Z23" s="450">
        <f t="shared" si="6"/>
        <v>11920.866666666667</v>
      </c>
      <c r="AA23" s="450">
        <f t="shared" si="7"/>
        <v>6437268</v>
      </c>
      <c r="AB23" s="450">
        <f t="shared" si="8"/>
        <v>1290254.3823417148</v>
      </c>
      <c r="AC23" s="451">
        <f t="shared" si="9"/>
        <v>0.20043508866520934</v>
      </c>
      <c r="AD23" s="398"/>
    </row>
    <row r="24" spans="1:30" s="370" customFormat="1" ht="357" x14ac:dyDescent="0.35">
      <c r="A24" s="276">
        <v>14</v>
      </c>
      <c r="B24" s="277" t="s">
        <v>38</v>
      </c>
      <c r="C24" s="277" t="s">
        <v>97</v>
      </c>
      <c r="D24" s="396" t="s">
        <v>98</v>
      </c>
      <c r="E24" s="277" t="s">
        <v>41</v>
      </c>
      <c r="F24" s="100">
        <v>65</v>
      </c>
      <c r="G24" s="277" t="s">
        <v>42</v>
      </c>
      <c r="H24" s="441" t="s">
        <v>99</v>
      </c>
      <c r="I24" s="397">
        <v>21600</v>
      </c>
      <c r="J24" s="442">
        <f>I24*8%</f>
        <v>1728</v>
      </c>
      <c r="K24" s="442">
        <f t="shared" si="11"/>
        <v>23328</v>
      </c>
      <c r="L24" s="443">
        <f t="shared" si="12"/>
        <v>1404000</v>
      </c>
      <c r="M24" s="443">
        <f t="shared" si="13"/>
        <v>1516320</v>
      </c>
      <c r="N24" s="444" t="s">
        <v>100</v>
      </c>
      <c r="O24" s="445">
        <v>25000</v>
      </c>
      <c r="P24" s="445">
        <f>O24*8%</f>
        <v>2000</v>
      </c>
      <c r="Q24" s="445">
        <f t="shared" si="0"/>
        <v>27000</v>
      </c>
      <c r="R24" s="446">
        <f t="shared" si="1"/>
        <v>1625000</v>
      </c>
      <c r="S24" s="446">
        <f t="shared" si="2"/>
        <v>1755000</v>
      </c>
      <c r="T24" s="447" t="s">
        <v>101</v>
      </c>
      <c r="U24" s="448">
        <v>26824</v>
      </c>
      <c r="V24" s="448">
        <f>U24*8%</f>
        <v>2145.92</v>
      </c>
      <c r="W24" s="448">
        <f t="shared" si="15"/>
        <v>28969.919999999998</v>
      </c>
      <c r="X24" s="449">
        <f t="shared" si="4"/>
        <v>1743560</v>
      </c>
      <c r="Y24" s="449">
        <f t="shared" si="5"/>
        <v>1883044.7999999998</v>
      </c>
      <c r="Z24" s="450">
        <f t="shared" si="6"/>
        <v>26432.639999999999</v>
      </c>
      <c r="AA24" s="450">
        <f t="shared" si="7"/>
        <v>1718121.5999999999</v>
      </c>
      <c r="AB24" s="450">
        <f t="shared" si="8"/>
        <v>186123.02926741756</v>
      </c>
      <c r="AC24" s="451">
        <f t="shared" si="9"/>
        <v>0.10832936927596834</v>
      </c>
      <c r="AD24" s="398"/>
    </row>
    <row r="25" spans="1:30" s="370" customFormat="1" ht="63" x14ac:dyDescent="0.35">
      <c r="A25" s="276">
        <v>15</v>
      </c>
      <c r="B25" s="277" t="s">
        <v>102</v>
      </c>
      <c r="C25" s="277" t="s">
        <v>39</v>
      </c>
      <c r="D25" s="396" t="s">
        <v>40</v>
      </c>
      <c r="E25" s="277" t="s">
        <v>41</v>
      </c>
      <c r="F25" s="100">
        <v>60</v>
      </c>
      <c r="G25" s="277" t="s">
        <v>42</v>
      </c>
      <c r="H25" s="441" t="s">
        <v>43</v>
      </c>
      <c r="I25" s="397">
        <v>5033.6099999999997</v>
      </c>
      <c r="J25" s="442">
        <f>I25*19%</f>
        <v>956.38589999999999</v>
      </c>
      <c r="K25" s="442">
        <f t="shared" si="11"/>
        <v>5989.9958999999999</v>
      </c>
      <c r="L25" s="443">
        <f t="shared" si="12"/>
        <v>302016.59999999998</v>
      </c>
      <c r="M25" s="443">
        <f t="shared" si="13"/>
        <v>359399.75400000002</v>
      </c>
      <c r="N25" s="444" t="s">
        <v>44</v>
      </c>
      <c r="O25" s="445">
        <v>5462.18</v>
      </c>
      <c r="P25" s="445">
        <f>O25*19%</f>
        <v>1037.8142</v>
      </c>
      <c r="Q25" s="445">
        <f t="shared" si="0"/>
        <v>6499.9942000000001</v>
      </c>
      <c r="R25" s="446">
        <f t="shared" si="1"/>
        <v>327730.80000000005</v>
      </c>
      <c r="S25" s="446">
        <f t="shared" si="2"/>
        <v>389999.652</v>
      </c>
      <c r="T25" s="447" t="s">
        <v>45</v>
      </c>
      <c r="U25" s="448">
        <v>4201.68</v>
      </c>
      <c r="V25" s="448">
        <f t="shared" ref="V25:V79" si="16">U25*19%</f>
        <v>798.31920000000002</v>
      </c>
      <c r="W25" s="448">
        <f t="shared" si="15"/>
        <v>4999.9992000000002</v>
      </c>
      <c r="X25" s="449">
        <f t="shared" si="4"/>
        <v>252100.80000000002</v>
      </c>
      <c r="Y25" s="449">
        <f t="shared" si="5"/>
        <v>299999.95199999999</v>
      </c>
      <c r="Z25" s="450">
        <f t="shared" si="6"/>
        <v>5829.9964333333337</v>
      </c>
      <c r="AA25" s="450">
        <f t="shared" si="7"/>
        <v>349799.78600000002</v>
      </c>
      <c r="AB25" s="450">
        <f t="shared" si="8"/>
        <v>45761.403379083953</v>
      </c>
      <c r="AC25" s="451">
        <f t="shared" si="9"/>
        <v>0.13082170204381985</v>
      </c>
      <c r="AD25" s="398"/>
    </row>
    <row r="26" spans="1:30" s="370" customFormat="1" ht="96" x14ac:dyDescent="0.35">
      <c r="A26" s="276">
        <v>16</v>
      </c>
      <c r="B26" s="277" t="s">
        <v>102</v>
      </c>
      <c r="C26" s="277" t="s">
        <v>46</v>
      </c>
      <c r="D26" s="396" t="s">
        <v>47</v>
      </c>
      <c r="E26" s="277" t="s">
        <v>41</v>
      </c>
      <c r="F26" s="100">
        <v>6</v>
      </c>
      <c r="G26" s="277" t="s">
        <v>42</v>
      </c>
      <c r="H26" s="441" t="s">
        <v>48</v>
      </c>
      <c r="I26" s="397">
        <v>5407.56</v>
      </c>
      <c r="J26" s="442">
        <f t="shared" ref="J26:J27" si="17">I26*19%</f>
        <v>1027.4364</v>
      </c>
      <c r="K26" s="442">
        <f t="shared" si="11"/>
        <v>6434.9964</v>
      </c>
      <c r="L26" s="443">
        <f t="shared" si="12"/>
        <v>32445.360000000001</v>
      </c>
      <c r="M26" s="443">
        <f t="shared" si="13"/>
        <v>38609.9784</v>
      </c>
      <c r="N26" s="444" t="s">
        <v>49</v>
      </c>
      <c r="O26" s="445">
        <v>4628.57</v>
      </c>
      <c r="P26" s="445">
        <f t="shared" ref="P26" si="18">O26*19%</f>
        <v>879.42829999999992</v>
      </c>
      <c r="Q26" s="445">
        <f t="shared" si="0"/>
        <v>5507.9982999999993</v>
      </c>
      <c r="R26" s="446">
        <f t="shared" si="1"/>
        <v>27771.42</v>
      </c>
      <c r="S26" s="446">
        <f t="shared" si="2"/>
        <v>33047.989799999996</v>
      </c>
      <c r="T26" s="447" t="s">
        <v>50</v>
      </c>
      <c r="U26" s="448">
        <v>4968.91</v>
      </c>
      <c r="V26" s="448">
        <f t="shared" si="16"/>
        <v>944.09289999999999</v>
      </c>
      <c r="W26" s="448">
        <f t="shared" si="15"/>
        <v>5913.0028999999995</v>
      </c>
      <c r="X26" s="449">
        <f t="shared" si="4"/>
        <v>29813.46</v>
      </c>
      <c r="Y26" s="449">
        <f t="shared" si="5"/>
        <v>35478.017399999997</v>
      </c>
      <c r="Z26" s="450">
        <f t="shared" si="6"/>
        <v>5951.9991999999993</v>
      </c>
      <c r="AA26" s="450">
        <f t="shared" si="7"/>
        <v>35711.995199999998</v>
      </c>
      <c r="AB26" s="450">
        <f t="shared" si="8"/>
        <v>2788.3666374424529</v>
      </c>
      <c r="AC26" s="451">
        <f t="shared" si="9"/>
        <v>7.807927341574164E-2</v>
      </c>
      <c r="AD26" s="398"/>
    </row>
    <row r="27" spans="1:30" s="370" customFormat="1" ht="84" x14ac:dyDescent="0.35">
      <c r="A27" s="276">
        <v>17</v>
      </c>
      <c r="B27" s="277" t="s">
        <v>102</v>
      </c>
      <c r="C27" s="277" t="s">
        <v>103</v>
      </c>
      <c r="D27" s="396" t="s">
        <v>104</v>
      </c>
      <c r="E27" s="277" t="s">
        <v>41</v>
      </c>
      <c r="F27" s="100">
        <v>60</v>
      </c>
      <c r="G27" s="277" t="s">
        <v>42</v>
      </c>
      <c r="H27" s="441" t="s">
        <v>105</v>
      </c>
      <c r="I27" s="397">
        <v>5042.0200000000004</v>
      </c>
      <c r="J27" s="442">
        <f t="shared" si="17"/>
        <v>957.98380000000009</v>
      </c>
      <c r="K27" s="442">
        <f t="shared" si="11"/>
        <v>6000.0038000000004</v>
      </c>
      <c r="L27" s="443">
        <f t="shared" si="12"/>
        <v>302521.2</v>
      </c>
      <c r="M27" s="443">
        <f t="shared" si="13"/>
        <v>360000.228</v>
      </c>
      <c r="N27" s="444" t="s">
        <v>106</v>
      </c>
      <c r="O27" s="445">
        <v>3529.41</v>
      </c>
      <c r="P27" s="445">
        <f t="shared" si="14"/>
        <v>670.58789999999999</v>
      </c>
      <c r="Q27" s="445">
        <f t="shared" si="0"/>
        <v>4199.9979000000003</v>
      </c>
      <c r="R27" s="446">
        <f t="shared" si="1"/>
        <v>211764.59999999998</v>
      </c>
      <c r="S27" s="446">
        <f t="shared" si="2"/>
        <v>251999.87400000001</v>
      </c>
      <c r="T27" s="447" t="s">
        <v>107</v>
      </c>
      <c r="U27" s="448">
        <v>4201.68</v>
      </c>
      <c r="V27" s="448">
        <f t="shared" si="16"/>
        <v>798.31920000000002</v>
      </c>
      <c r="W27" s="448">
        <f t="shared" si="15"/>
        <v>4999.9992000000002</v>
      </c>
      <c r="X27" s="449">
        <f t="shared" si="4"/>
        <v>252100.80000000002</v>
      </c>
      <c r="Y27" s="449">
        <f t="shared" si="5"/>
        <v>299999.95199999999</v>
      </c>
      <c r="Z27" s="450">
        <f t="shared" si="6"/>
        <v>5066.6669666666667</v>
      </c>
      <c r="AA27" s="450">
        <f t="shared" si="7"/>
        <v>304000.01799999998</v>
      </c>
      <c r="AB27" s="450">
        <f t="shared" si="8"/>
        <v>54111.177329962127</v>
      </c>
      <c r="AC27" s="451">
        <f t="shared" si="9"/>
        <v>0.1779972833092468</v>
      </c>
      <c r="AD27" s="398"/>
    </row>
    <row r="28" spans="1:30" s="370" customFormat="1" ht="399" x14ac:dyDescent="0.35">
      <c r="A28" s="276">
        <v>18</v>
      </c>
      <c r="B28" s="277" t="s">
        <v>102</v>
      </c>
      <c r="C28" s="277" t="s">
        <v>108</v>
      </c>
      <c r="D28" s="396" t="s">
        <v>109</v>
      </c>
      <c r="E28" s="277" t="s">
        <v>41</v>
      </c>
      <c r="F28" s="100">
        <v>60</v>
      </c>
      <c r="G28" s="277" t="s">
        <v>42</v>
      </c>
      <c r="H28" s="441" t="s">
        <v>53</v>
      </c>
      <c r="I28" s="397">
        <v>11500</v>
      </c>
      <c r="J28" s="442">
        <f t="shared" si="10"/>
        <v>2185</v>
      </c>
      <c r="K28" s="442">
        <f t="shared" si="11"/>
        <v>13685</v>
      </c>
      <c r="L28" s="443">
        <f t="shared" si="12"/>
        <v>690000</v>
      </c>
      <c r="M28" s="443">
        <f t="shared" si="13"/>
        <v>821100</v>
      </c>
      <c r="N28" s="444" t="s">
        <v>55</v>
      </c>
      <c r="O28" s="445">
        <v>9200</v>
      </c>
      <c r="P28" s="445">
        <f t="shared" si="14"/>
        <v>1748</v>
      </c>
      <c r="Q28" s="445">
        <f t="shared" si="0"/>
        <v>10948</v>
      </c>
      <c r="R28" s="446">
        <f t="shared" si="1"/>
        <v>552000</v>
      </c>
      <c r="S28" s="446">
        <f t="shared" si="2"/>
        <v>656880</v>
      </c>
      <c r="T28" s="447" t="s">
        <v>110</v>
      </c>
      <c r="U28" s="448">
        <v>12300</v>
      </c>
      <c r="V28" s="448">
        <f t="shared" si="16"/>
        <v>2337</v>
      </c>
      <c r="W28" s="448">
        <f t="shared" si="15"/>
        <v>14637</v>
      </c>
      <c r="X28" s="449">
        <f t="shared" si="4"/>
        <v>738000</v>
      </c>
      <c r="Y28" s="449">
        <f t="shared" si="5"/>
        <v>878220</v>
      </c>
      <c r="Z28" s="450">
        <f t="shared" si="6"/>
        <v>13090</v>
      </c>
      <c r="AA28" s="450">
        <f t="shared" si="7"/>
        <v>785400</v>
      </c>
      <c r="AB28" s="450">
        <f t="shared" si="8"/>
        <v>114907.42534753792</v>
      </c>
      <c r="AC28" s="451">
        <f t="shared" si="9"/>
        <v>0.14630433581300983</v>
      </c>
      <c r="AD28" s="398"/>
    </row>
    <row r="29" spans="1:30" s="370" customFormat="1" ht="409.5" x14ac:dyDescent="0.35">
      <c r="A29" s="276">
        <v>19</v>
      </c>
      <c r="B29" s="277" t="s">
        <v>102</v>
      </c>
      <c r="C29" s="277" t="s">
        <v>111</v>
      </c>
      <c r="D29" s="396" t="s">
        <v>112</v>
      </c>
      <c r="E29" s="277" t="s">
        <v>41</v>
      </c>
      <c r="F29" s="100">
        <v>60</v>
      </c>
      <c r="G29" s="277" t="s">
        <v>42</v>
      </c>
      <c r="H29" s="441" t="s">
        <v>48</v>
      </c>
      <c r="I29" s="397">
        <v>5750</v>
      </c>
      <c r="J29" s="442">
        <f t="shared" si="10"/>
        <v>1092.5</v>
      </c>
      <c r="K29" s="442">
        <f t="shared" si="11"/>
        <v>6842.5</v>
      </c>
      <c r="L29" s="443">
        <f t="shared" si="12"/>
        <v>345000</v>
      </c>
      <c r="M29" s="443">
        <f t="shared" si="13"/>
        <v>410550</v>
      </c>
      <c r="N29" s="444" t="s">
        <v>110</v>
      </c>
      <c r="O29" s="445">
        <v>7500</v>
      </c>
      <c r="P29" s="445">
        <f t="shared" si="14"/>
        <v>1425</v>
      </c>
      <c r="Q29" s="445">
        <f t="shared" si="0"/>
        <v>8925</v>
      </c>
      <c r="R29" s="446">
        <f t="shared" si="1"/>
        <v>450000</v>
      </c>
      <c r="S29" s="446">
        <f t="shared" si="2"/>
        <v>535500</v>
      </c>
      <c r="T29" s="447" t="s">
        <v>53</v>
      </c>
      <c r="U29" s="448">
        <v>7000</v>
      </c>
      <c r="V29" s="448">
        <f t="shared" si="16"/>
        <v>1330</v>
      </c>
      <c r="W29" s="448">
        <f t="shared" si="15"/>
        <v>8330</v>
      </c>
      <c r="X29" s="449">
        <f t="shared" si="4"/>
        <v>420000</v>
      </c>
      <c r="Y29" s="449">
        <f t="shared" si="5"/>
        <v>499800</v>
      </c>
      <c r="Z29" s="450">
        <f t="shared" si="6"/>
        <v>8032.5</v>
      </c>
      <c r="AA29" s="450">
        <f t="shared" si="7"/>
        <v>481950</v>
      </c>
      <c r="AB29" s="450">
        <f t="shared" si="8"/>
        <v>64359.09026703221</v>
      </c>
      <c r="AC29" s="451">
        <f t="shared" si="9"/>
        <v>0.1335389361282959</v>
      </c>
      <c r="AD29" s="398"/>
    </row>
    <row r="30" spans="1:30" s="370" customFormat="1" ht="315" x14ac:dyDescent="0.35">
      <c r="A30" s="276">
        <v>20</v>
      </c>
      <c r="B30" s="277" t="s">
        <v>102</v>
      </c>
      <c r="C30" s="277" t="s">
        <v>113</v>
      </c>
      <c r="D30" s="396" t="s">
        <v>114</v>
      </c>
      <c r="E30" s="277" t="s">
        <v>41</v>
      </c>
      <c r="F30" s="100">
        <v>60</v>
      </c>
      <c r="G30" s="277" t="s">
        <v>42</v>
      </c>
      <c r="H30" s="441" t="s">
        <v>115</v>
      </c>
      <c r="I30" s="397">
        <v>11260.504201680673</v>
      </c>
      <c r="J30" s="442">
        <f t="shared" si="10"/>
        <v>2139.4957983193281</v>
      </c>
      <c r="K30" s="442">
        <f t="shared" si="11"/>
        <v>13400</v>
      </c>
      <c r="L30" s="443">
        <f t="shared" si="12"/>
        <v>675630.25210084033</v>
      </c>
      <c r="M30" s="443">
        <f t="shared" si="13"/>
        <v>804000</v>
      </c>
      <c r="N30" s="444" t="s">
        <v>107</v>
      </c>
      <c r="O30" s="445">
        <f>12000/1.19</f>
        <v>10084.033613445379</v>
      </c>
      <c r="P30" s="445">
        <f t="shared" si="14"/>
        <v>1915.966386554622</v>
      </c>
      <c r="Q30" s="445">
        <f t="shared" si="0"/>
        <v>12000.000000000002</v>
      </c>
      <c r="R30" s="446">
        <f t="shared" si="1"/>
        <v>605042.01680672274</v>
      </c>
      <c r="S30" s="446">
        <f t="shared" si="2"/>
        <v>720000.00000000012</v>
      </c>
      <c r="T30" s="447" t="s">
        <v>116</v>
      </c>
      <c r="U30" s="448">
        <f>9900/1.19</f>
        <v>8319.3277310924368</v>
      </c>
      <c r="V30" s="448">
        <f t="shared" si="16"/>
        <v>1580.672268907563</v>
      </c>
      <c r="W30" s="448">
        <f t="shared" si="15"/>
        <v>9900</v>
      </c>
      <c r="X30" s="449">
        <f t="shared" si="4"/>
        <v>499159.66386554623</v>
      </c>
      <c r="Y30" s="449">
        <f t="shared" si="5"/>
        <v>594000</v>
      </c>
      <c r="Z30" s="450">
        <f t="shared" si="6"/>
        <v>11766.666666666666</v>
      </c>
      <c r="AA30" s="450">
        <f t="shared" si="7"/>
        <v>706000</v>
      </c>
      <c r="AB30" s="450">
        <f t="shared" si="8"/>
        <v>105697.68209379107</v>
      </c>
      <c r="AC30" s="451">
        <f t="shared" si="9"/>
        <v>0.1497134307277494</v>
      </c>
      <c r="AD30" s="398"/>
    </row>
    <row r="31" spans="1:30" s="370" customFormat="1" ht="24" x14ac:dyDescent="0.35">
      <c r="A31" s="276">
        <v>21</v>
      </c>
      <c r="B31" s="277" t="s">
        <v>102</v>
      </c>
      <c r="C31" s="277" t="s">
        <v>117</v>
      </c>
      <c r="D31" s="396" t="s">
        <v>118</v>
      </c>
      <c r="E31" s="277" t="s">
        <v>41</v>
      </c>
      <c r="F31" s="100">
        <v>60</v>
      </c>
      <c r="G31" s="277" t="s">
        <v>42</v>
      </c>
      <c r="H31" s="441" t="s">
        <v>119</v>
      </c>
      <c r="I31" s="397">
        <v>23890.76</v>
      </c>
      <c r="J31" s="442">
        <f t="shared" si="10"/>
        <v>4539.2443999999996</v>
      </c>
      <c r="K31" s="442">
        <f t="shared" si="11"/>
        <v>28430.004399999998</v>
      </c>
      <c r="L31" s="443">
        <f t="shared" si="12"/>
        <v>1433445.5999999999</v>
      </c>
      <c r="M31" s="443">
        <f t="shared" si="13"/>
        <v>1705800.264</v>
      </c>
      <c r="N31" s="444" t="s">
        <v>120</v>
      </c>
      <c r="O31" s="445">
        <v>23109.24</v>
      </c>
      <c r="P31" s="445">
        <f t="shared" si="14"/>
        <v>4390.7556000000004</v>
      </c>
      <c r="Q31" s="445">
        <f t="shared" si="0"/>
        <v>27499.995600000002</v>
      </c>
      <c r="R31" s="446">
        <f t="shared" si="1"/>
        <v>1386554.4000000001</v>
      </c>
      <c r="S31" s="446">
        <f t="shared" si="2"/>
        <v>1649999.736</v>
      </c>
      <c r="T31" s="447" t="s">
        <v>121</v>
      </c>
      <c r="U31" s="448">
        <v>25210.080000000002</v>
      </c>
      <c r="V31" s="448">
        <f t="shared" si="16"/>
        <v>4789.9152000000004</v>
      </c>
      <c r="W31" s="448">
        <f t="shared" si="15"/>
        <v>29999.995200000001</v>
      </c>
      <c r="X31" s="449">
        <f t="shared" si="4"/>
        <v>1512604.8</v>
      </c>
      <c r="Y31" s="449">
        <f t="shared" si="5"/>
        <v>1799999.7120000001</v>
      </c>
      <c r="Z31" s="450">
        <f t="shared" si="6"/>
        <v>28643.331733333336</v>
      </c>
      <c r="AA31" s="450">
        <f t="shared" si="7"/>
        <v>1718599.9040000001</v>
      </c>
      <c r="AB31" s="450">
        <f t="shared" si="8"/>
        <v>75814.716830555713</v>
      </c>
      <c r="AC31" s="451">
        <f t="shared" si="9"/>
        <v>4.4114233134831891E-2</v>
      </c>
      <c r="AD31" s="398"/>
    </row>
    <row r="32" spans="1:30" s="370" customFormat="1" ht="63" x14ac:dyDescent="0.35">
      <c r="A32" s="276">
        <v>22</v>
      </c>
      <c r="B32" s="277" t="s">
        <v>102</v>
      </c>
      <c r="C32" s="277" t="s">
        <v>122</v>
      </c>
      <c r="D32" s="396" t="s">
        <v>123</v>
      </c>
      <c r="E32" s="277" t="s">
        <v>41</v>
      </c>
      <c r="F32" s="100">
        <v>60</v>
      </c>
      <c r="G32" s="277" t="s">
        <v>42</v>
      </c>
      <c r="H32" s="441" t="s">
        <v>124</v>
      </c>
      <c r="I32" s="397">
        <v>13043</v>
      </c>
      <c r="J32" s="442">
        <f>I32*19%</f>
        <v>2478.17</v>
      </c>
      <c r="K32" s="442">
        <f t="shared" si="11"/>
        <v>15521.17</v>
      </c>
      <c r="L32" s="443">
        <f t="shared" si="12"/>
        <v>782580</v>
      </c>
      <c r="M32" s="443">
        <f t="shared" si="13"/>
        <v>931270.2</v>
      </c>
      <c r="N32" s="444" t="s">
        <v>125</v>
      </c>
      <c r="O32" s="445">
        <v>14033.61</v>
      </c>
      <c r="P32" s="445">
        <f>O32*19%</f>
        <v>2666.3859000000002</v>
      </c>
      <c r="Q32" s="445">
        <f t="shared" si="0"/>
        <v>16699.995900000002</v>
      </c>
      <c r="R32" s="446">
        <f t="shared" si="1"/>
        <v>842016.60000000009</v>
      </c>
      <c r="S32" s="446">
        <f t="shared" si="2"/>
        <v>1001999.7540000001</v>
      </c>
      <c r="T32" s="447" t="s">
        <v>43</v>
      </c>
      <c r="U32" s="448">
        <v>12092.44</v>
      </c>
      <c r="V32" s="448">
        <f t="shared" si="16"/>
        <v>2297.5636</v>
      </c>
      <c r="W32" s="448">
        <f t="shared" si="15"/>
        <v>14390.0036</v>
      </c>
      <c r="X32" s="449">
        <f t="shared" si="4"/>
        <v>725546.4</v>
      </c>
      <c r="Y32" s="449">
        <f t="shared" si="5"/>
        <v>863400.21600000001</v>
      </c>
      <c r="Z32" s="450">
        <f t="shared" si="6"/>
        <v>15537.056500000001</v>
      </c>
      <c r="AA32" s="450">
        <f t="shared" si="7"/>
        <v>932223.39</v>
      </c>
      <c r="AB32" s="450">
        <f t="shared" si="8"/>
        <v>69304.685352690547</v>
      </c>
      <c r="AC32" s="451">
        <f t="shared" si="9"/>
        <v>7.434343108757499E-2</v>
      </c>
      <c r="AD32" s="398"/>
    </row>
    <row r="33" spans="1:30" s="370" customFormat="1" ht="231" x14ac:dyDescent="0.35">
      <c r="A33" s="276">
        <v>23</v>
      </c>
      <c r="B33" s="277" t="s">
        <v>102</v>
      </c>
      <c r="C33" s="277" t="s">
        <v>126</v>
      </c>
      <c r="D33" s="396" t="s">
        <v>127</v>
      </c>
      <c r="E33" s="277" t="s">
        <v>41</v>
      </c>
      <c r="F33" s="100">
        <v>60</v>
      </c>
      <c r="G33" s="277" t="s">
        <v>42</v>
      </c>
      <c r="H33" s="441" t="s">
        <v>128</v>
      </c>
      <c r="I33" s="397">
        <v>17500</v>
      </c>
      <c r="J33" s="442">
        <f t="shared" ref="J33:J40" si="19">I33*19%</f>
        <v>3325</v>
      </c>
      <c r="K33" s="442">
        <f t="shared" si="11"/>
        <v>20825</v>
      </c>
      <c r="L33" s="443">
        <f t="shared" si="12"/>
        <v>1050000</v>
      </c>
      <c r="M33" s="443">
        <f t="shared" si="13"/>
        <v>1249500</v>
      </c>
      <c r="N33" s="444" t="s">
        <v>74</v>
      </c>
      <c r="O33" s="445">
        <v>20000</v>
      </c>
      <c r="P33" s="445">
        <f t="shared" ref="P33:P40" si="20">O33*19%</f>
        <v>3800</v>
      </c>
      <c r="Q33" s="445">
        <f t="shared" si="0"/>
        <v>23800</v>
      </c>
      <c r="R33" s="446">
        <f t="shared" si="1"/>
        <v>1200000</v>
      </c>
      <c r="S33" s="446">
        <f t="shared" si="2"/>
        <v>1428000</v>
      </c>
      <c r="T33" s="447" t="s">
        <v>129</v>
      </c>
      <c r="U33" s="448">
        <v>18000</v>
      </c>
      <c r="V33" s="448"/>
      <c r="W33" s="448">
        <f t="shared" si="15"/>
        <v>18000</v>
      </c>
      <c r="X33" s="449">
        <f t="shared" si="4"/>
        <v>1080000</v>
      </c>
      <c r="Y33" s="449">
        <f t="shared" si="5"/>
        <v>1080000</v>
      </c>
      <c r="Z33" s="450">
        <f t="shared" si="6"/>
        <v>20875</v>
      </c>
      <c r="AA33" s="450">
        <f t="shared" si="7"/>
        <v>1252500</v>
      </c>
      <c r="AB33" s="450">
        <f t="shared" si="8"/>
        <v>174019.3954707348</v>
      </c>
      <c r="AC33" s="451">
        <f t="shared" si="9"/>
        <v>0.13893764109439904</v>
      </c>
      <c r="AD33" s="398"/>
    </row>
    <row r="34" spans="1:30" s="370" customFormat="1" ht="63" x14ac:dyDescent="0.35">
      <c r="A34" s="276">
        <v>24</v>
      </c>
      <c r="B34" s="277" t="s">
        <v>102</v>
      </c>
      <c r="C34" s="277" t="s">
        <v>61</v>
      </c>
      <c r="D34" s="396" t="s">
        <v>62</v>
      </c>
      <c r="E34" s="277" t="s">
        <v>41</v>
      </c>
      <c r="F34" s="100">
        <v>3</v>
      </c>
      <c r="G34" s="277" t="s">
        <v>42</v>
      </c>
      <c r="H34" s="441" t="s">
        <v>63</v>
      </c>
      <c r="I34" s="397">
        <v>329.41</v>
      </c>
      <c r="J34" s="442">
        <f t="shared" si="19"/>
        <v>62.587900000000005</v>
      </c>
      <c r="K34" s="442">
        <f t="shared" si="11"/>
        <v>391.99790000000002</v>
      </c>
      <c r="L34" s="443">
        <f t="shared" si="12"/>
        <v>988.23</v>
      </c>
      <c r="M34" s="443">
        <f t="shared" si="13"/>
        <v>1175.9937</v>
      </c>
      <c r="N34" s="444" t="s">
        <v>64</v>
      </c>
      <c r="O34" s="445">
        <v>420.17</v>
      </c>
      <c r="P34" s="445">
        <f t="shared" si="20"/>
        <v>79.832300000000004</v>
      </c>
      <c r="Q34" s="445">
        <f t="shared" si="0"/>
        <v>500.00229999999999</v>
      </c>
      <c r="R34" s="446">
        <f t="shared" si="1"/>
        <v>1260.51</v>
      </c>
      <c r="S34" s="446">
        <f t="shared" si="2"/>
        <v>1500.0068999999999</v>
      </c>
      <c r="T34" s="447" t="s">
        <v>65</v>
      </c>
      <c r="U34" s="448">
        <v>495.8</v>
      </c>
      <c r="V34" s="448">
        <f t="shared" ref="V34:V36" si="21">U34*19%</f>
        <v>94.201999999999998</v>
      </c>
      <c r="W34" s="448">
        <f t="shared" si="15"/>
        <v>590.00199999999995</v>
      </c>
      <c r="X34" s="449">
        <f t="shared" si="4"/>
        <v>1487.4</v>
      </c>
      <c r="Y34" s="449">
        <f t="shared" si="5"/>
        <v>1770.0059999999999</v>
      </c>
      <c r="Z34" s="450">
        <f t="shared" si="6"/>
        <v>494.0007333333333</v>
      </c>
      <c r="AA34" s="450">
        <f t="shared" si="7"/>
        <v>1482.0021999999999</v>
      </c>
      <c r="AB34" s="450">
        <f t="shared" si="8"/>
        <v>297.41516446608688</v>
      </c>
      <c r="AC34" s="451">
        <f t="shared" si="9"/>
        <v>0.20068469835340791</v>
      </c>
      <c r="AD34" s="398"/>
    </row>
    <row r="35" spans="1:30" s="370" customFormat="1" ht="147" x14ac:dyDescent="0.35">
      <c r="A35" s="276">
        <v>25</v>
      </c>
      <c r="B35" s="277" t="s">
        <v>102</v>
      </c>
      <c r="C35" s="277" t="s">
        <v>130</v>
      </c>
      <c r="D35" s="396" t="s">
        <v>131</v>
      </c>
      <c r="E35" s="277" t="s">
        <v>41</v>
      </c>
      <c r="F35" s="100">
        <v>240</v>
      </c>
      <c r="G35" s="277" t="s">
        <v>42</v>
      </c>
      <c r="H35" s="441" t="s">
        <v>132</v>
      </c>
      <c r="I35" s="397">
        <v>8500</v>
      </c>
      <c r="J35" s="442">
        <f t="shared" si="19"/>
        <v>1615</v>
      </c>
      <c r="K35" s="442">
        <f t="shared" si="11"/>
        <v>10115</v>
      </c>
      <c r="L35" s="443">
        <f t="shared" si="12"/>
        <v>2040000</v>
      </c>
      <c r="M35" s="443">
        <f t="shared" si="13"/>
        <v>2427600</v>
      </c>
      <c r="N35" s="444" t="s">
        <v>133</v>
      </c>
      <c r="O35" s="445">
        <v>9900</v>
      </c>
      <c r="P35" s="445">
        <f t="shared" si="20"/>
        <v>1881</v>
      </c>
      <c r="Q35" s="445">
        <f t="shared" si="0"/>
        <v>11781</v>
      </c>
      <c r="R35" s="446">
        <f t="shared" si="1"/>
        <v>2376000</v>
      </c>
      <c r="S35" s="446">
        <f t="shared" si="2"/>
        <v>2827440</v>
      </c>
      <c r="T35" s="447" t="s">
        <v>134</v>
      </c>
      <c r="U35" s="448">
        <v>9900</v>
      </c>
      <c r="V35" s="448">
        <f t="shared" si="21"/>
        <v>1881</v>
      </c>
      <c r="W35" s="448">
        <f t="shared" si="15"/>
        <v>11781</v>
      </c>
      <c r="X35" s="449">
        <f t="shared" si="4"/>
        <v>2376000</v>
      </c>
      <c r="Y35" s="449">
        <f t="shared" si="5"/>
        <v>2827440</v>
      </c>
      <c r="Z35" s="450">
        <f t="shared" si="6"/>
        <v>11225.666666666666</v>
      </c>
      <c r="AA35" s="450">
        <f t="shared" si="7"/>
        <v>2694160</v>
      </c>
      <c r="AB35" s="450">
        <f t="shared" si="8"/>
        <v>230847.73163277996</v>
      </c>
      <c r="AC35" s="451">
        <f t="shared" si="9"/>
        <v>8.5684492247223618E-2</v>
      </c>
      <c r="AD35" s="398"/>
    </row>
    <row r="36" spans="1:30" s="370" customFormat="1" ht="126" x14ac:dyDescent="0.35">
      <c r="A36" s="276">
        <v>26</v>
      </c>
      <c r="B36" s="277" t="s">
        <v>102</v>
      </c>
      <c r="C36" s="277" t="s">
        <v>135</v>
      </c>
      <c r="D36" s="396" t="s">
        <v>136</v>
      </c>
      <c r="E36" s="277" t="s">
        <v>41</v>
      </c>
      <c r="F36" s="100">
        <v>60</v>
      </c>
      <c r="G36" s="277" t="s">
        <v>42</v>
      </c>
      <c r="H36" s="441" t="s">
        <v>53</v>
      </c>
      <c r="I36" s="397">
        <v>6500</v>
      </c>
      <c r="J36" s="442">
        <f t="shared" si="19"/>
        <v>1235</v>
      </c>
      <c r="K36" s="442">
        <f t="shared" si="11"/>
        <v>7735</v>
      </c>
      <c r="L36" s="443">
        <f t="shared" si="12"/>
        <v>390000</v>
      </c>
      <c r="M36" s="443">
        <f t="shared" si="13"/>
        <v>464100</v>
      </c>
      <c r="N36" s="444" t="s">
        <v>55</v>
      </c>
      <c r="O36" s="445">
        <v>4600</v>
      </c>
      <c r="P36" s="445">
        <f t="shared" si="20"/>
        <v>874</v>
      </c>
      <c r="Q36" s="445">
        <f t="shared" si="0"/>
        <v>5474</v>
      </c>
      <c r="R36" s="446">
        <f t="shared" si="1"/>
        <v>276000</v>
      </c>
      <c r="S36" s="446">
        <f t="shared" si="2"/>
        <v>328440</v>
      </c>
      <c r="T36" s="447" t="s">
        <v>137</v>
      </c>
      <c r="U36" s="448">
        <v>6950</v>
      </c>
      <c r="V36" s="448">
        <f t="shared" si="21"/>
        <v>1320.5</v>
      </c>
      <c r="W36" s="448">
        <f t="shared" si="15"/>
        <v>8270.5</v>
      </c>
      <c r="X36" s="449">
        <f t="shared" si="4"/>
        <v>417000</v>
      </c>
      <c r="Y36" s="449">
        <f t="shared" si="5"/>
        <v>496230</v>
      </c>
      <c r="Z36" s="450">
        <f t="shared" si="6"/>
        <v>7159.833333333333</v>
      </c>
      <c r="AA36" s="450">
        <f t="shared" si="7"/>
        <v>429590</v>
      </c>
      <c r="AB36" s="450">
        <f t="shared" si="8"/>
        <v>89059.39647224205</v>
      </c>
      <c r="AC36" s="451">
        <f t="shared" si="9"/>
        <v>0.2073125456184782</v>
      </c>
      <c r="AD36" s="398"/>
    </row>
    <row r="37" spans="1:30" s="370" customFormat="1" ht="315" x14ac:dyDescent="0.35">
      <c r="A37" s="276">
        <v>27</v>
      </c>
      <c r="B37" s="277" t="s">
        <v>102</v>
      </c>
      <c r="C37" s="277" t="s">
        <v>78</v>
      </c>
      <c r="D37" s="396" t="s">
        <v>79</v>
      </c>
      <c r="E37" s="277" t="s">
        <v>41</v>
      </c>
      <c r="F37" s="100">
        <v>60</v>
      </c>
      <c r="G37" s="277" t="s">
        <v>42</v>
      </c>
      <c r="H37" s="441" t="s">
        <v>75</v>
      </c>
      <c r="I37" s="397">
        <v>15000</v>
      </c>
      <c r="J37" s="442"/>
      <c r="K37" s="442">
        <f t="shared" si="11"/>
        <v>15000</v>
      </c>
      <c r="L37" s="443">
        <f t="shared" si="12"/>
        <v>900000</v>
      </c>
      <c r="M37" s="443">
        <f t="shared" si="13"/>
        <v>900000</v>
      </c>
      <c r="N37" s="444" t="s">
        <v>80</v>
      </c>
      <c r="O37" s="445">
        <v>12000</v>
      </c>
      <c r="P37" s="445">
        <f t="shared" si="20"/>
        <v>2280</v>
      </c>
      <c r="Q37" s="445">
        <f t="shared" si="0"/>
        <v>14280</v>
      </c>
      <c r="R37" s="446">
        <f t="shared" si="1"/>
        <v>720000</v>
      </c>
      <c r="S37" s="446">
        <f t="shared" si="2"/>
        <v>856800</v>
      </c>
      <c r="T37" s="447"/>
      <c r="U37" s="448"/>
      <c r="V37" s="448"/>
      <c r="W37" s="448"/>
      <c r="X37" s="449"/>
      <c r="Y37" s="449"/>
      <c r="Z37" s="450">
        <f t="shared" si="6"/>
        <v>14640</v>
      </c>
      <c r="AA37" s="450">
        <f t="shared" si="7"/>
        <v>878400</v>
      </c>
      <c r="AB37" s="450">
        <f t="shared" si="8"/>
        <v>30547.012947258852</v>
      </c>
      <c r="AC37" s="451">
        <f t="shared" si="9"/>
        <v>3.4775743337043322E-2</v>
      </c>
      <c r="AD37" s="398"/>
    </row>
    <row r="38" spans="1:30" s="370" customFormat="1" ht="84" x14ac:dyDescent="0.35">
      <c r="A38" s="276">
        <v>28</v>
      </c>
      <c r="B38" s="277" t="s">
        <v>102</v>
      </c>
      <c r="C38" s="277" t="s">
        <v>81</v>
      </c>
      <c r="D38" s="396" t="s">
        <v>82</v>
      </c>
      <c r="E38" s="277" t="s">
        <v>41</v>
      </c>
      <c r="F38" s="100">
        <v>60</v>
      </c>
      <c r="G38" s="277" t="s">
        <v>42</v>
      </c>
      <c r="H38" s="441" t="s">
        <v>48</v>
      </c>
      <c r="I38" s="397">
        <v>2200</v>
      </c>
      <c r="J38" s="442">
        <f t="shared" si="19"/>
        <v>418</v>
      </c>
      <c r="K38" s="442">
        <f t="shared" si="11"/>
        <v>2618</v>
      </c>
      <c r="L38" s="443">
        <f t="shared" si="12"/>
        <v>132000</v>
      </c>
      <c r="M38" s="443">
        <f t="shared" si="13"/>
        <v>157080</v>
      </c>
      <c r="N38" s="444" t="s">
        <v>83</v>
      </c>
      <c r="O38" s="445">
        <v>2689.08</v>
      </c>
      <c r="P38" s="445">
        <f t="shared" si="20"/>
        <v>510.92520000000002</v>
      </c>
      <c r="Q38" s="445">
        <f t="shared" si="0"/>
        <v>3200.0052000000001</v>
      </c>
      <c r="R38" s="446">
        <f t="shared" si="1"/>
        <v>161344.79999999999</v>
      </c>
      <c r="S38" s="446">
        <f t="shared" si="2"/>
        <v>192000.31200000001</v>
      </c>
      <c r="T38" s="447" t="s">
        <v>84</v>
      </c>
      <c r="U38" s="448">
        <v>3800</v>
      </c>
      <c r="V38" s="448"/>
      <c r="W38" s="448">
        <f t="shared" si="15"/>
        <v>3800</v>
      </c>
      <c r="X38" s="449">
        <f t="shared" si="4"/>
        <v>228000</v>
      </c>
      <c r="Y38" s="449">
        <f t="shared" si="5"/>
        <v>228000</v>
      </c>
      <c r="Z38" s="450">
        <f t="shared" si="6"/>
        <v>3206.001733333333</v>
      </c>
      <c r="AA38" s="450">
        <f t="shared" si="7"/>
        <v>192360.10399999999</v>
      </c>
      <c r="AB38" s="450">
        <f t="shared" si="8"/>
        <v>35461.368948652285</v>
      </c>
      <c r="AC38" s="451">
        <f t="shared" si="9"/>
        <v>0.18434887594286331</v>
      </c>
      <c r="AD38" s="398"/>
    </row>
    <row r="39" spans="1:30" s="370" customFormat="1" ht="147" x14ac:dyDescent="0.35">
      <c r="A39" s="276">
        <v>29</v>
      </c>
      <c r="B39" s="277" t="s">
        <v>102</v>
      </c>
      <c r="C39" s="277" t="s">
        <v>345</v>
      </c>
      <c r="D39" s="396" t="s">
        <v>86</v>
      </c>
      <c r="E39" s="277" t="s">
        <v>87</v>
      </c>
      <c r="F39" s="100">
        <v>108</v>
      </c>
      <c r="G39" s="277" t="s">
        <v>88</v>
      </c>
      <c r="H39" s="441" t="s">
        <v>89</v>
      </c>
      <c r="I39" s="397">
        <v>302522</v>
      </c>
      <c r="J39" s="442">
        <f t="shared" si="19"/>
        <v>57479.18</v>
      </c>
      <c r="K39" s="442">
        <f t="shared" si="11"/>
        <v>360001.18</v>
      </c>
      <c r="L39" s="443">
        <f t="shared" si="12"/>
        <v>32672376</v>
      </c>
      <c r="M39" s="443">
        <f t="shared" si="13"/>
        <v>38880127.439999998</v>
      </c>
      <c r="N39" s="444" t="s">
        <v>90</v>
      </c>
      <c r="O39" s="445">
        <v>252101</v>
      </c>
      <c r="P39" s="445">
        <f t="shared" si="20"/>
        <v>47899.19</v>
      </c>
      <c r="Q39" s="445">
        <f t="shared" si="0"/>
        <v>300000.19</v>
      </c>
      <c r="R39" s="446">
        <f t="shared" si="1"/>
        <v>27226908</v>
      </c>
      <c r="S39" s="446">
        <f t="shared" si="2"/>
        <v>32400020.52</v>
      </c>
      <c r="T39" s="447"/>
      <c r="U39" s="448"/>
      <c r="V39" s="448"/>
      <c r="W39" s="448"/>
      <c r="X39" s="449"/>
      <c r="Y39" s="449"/>
      <c r="Z39" s="450">
        <f t="shared" si="6"/>
        <v>330000.685</v>
      </c>
      <c r="AA39" s="450">
        <f t="shared" si="7"/>
        <v>35640073.979999997</v>
      </c>
      <c r="AB39" s="450">
        <f t="shared" si="8"/>
        <v>4582127.5459458707</v>
      </c>
      <c r="AC39" s="451">
        <f t="shared" si="9"/>
        <v>0.1285667237536377</v>
      </c>
      <c r="AD39" s="398"/>
    </row>
    <row r="40" spans="1:30" s="370" customFormat="1" ht="105" x14ac:dyDescent="0.35">
      <c r="A40" s="276">
        <v>30</v>
      </c>
      <c r="B40" s="277" t="s">
        <v>102</v>
      </c>
      <c r="C40" s="277" t="s">
        <v>347</v>
      </c>
      <c r="D40" s="396" t="s">
        <v>352</v>
      </c>
      <c r="E40" s="277" t="s">
        <v>87</v>
      </c>
      <c r="F40" s="100">
        <v>5</v>
      </c>
      <c r="G40" s="277" t="s">
        <v>88</v>
      </c>
      <c r="H40" s="441" t="s">
        <v>89</v>
      </c>
      <c r="I40" s="397">
        <v>302522</v>
      </c>
      <c r="J40" s="442">
        <f t="shared" si="19"/>
        <v>57479.18</v>
      </c>
      <c r="K40" s="442">
        <f t="shared" si="11"/>
        <v>360001.18</v>
      </c>
      <c r="L40" s="443">
        <f t="shared" si="12"/>
        <v>1512610</v>
      </c>
      <c r="M40" s="443">
        <f t="shared" si="13"/>
        <v>1800005.9</v>
      </c>
      <c r="N40" s="444" t="s">
        <v>90</v>
      </c>
      <c r="O40" s="445">
        <v>252101</v>
      </c>
      <c r="P40" s="445">
        <f t="shared" si="20"/>
        <v>47899.19</v>
      </c>
      <c r="Q40" s="445">
        <f t="shared" si="0"/>
        <v>300000.19</v>
      </c>
      <c r="R40" s="446">
        <f t="shared" si="1"/>
        <v>1260505</v>
      </c>
      <c r="S40" s="446">
        <f t="shared" si="2"/>
        <v>1500000.95</v>
      </c>
      <c r="T40" s="447"/>
      <c r="U40" s="448"/>
      <c r="V40" s="448"/>
      <c r="W40" s="448"/>
      <c r="X40" s="449"/>
      <c r="Y40" s="449"/>
      <c r="Z40" s="450">
        <f t="shared" si="6"/>
        <v>330000.685</v>
      </c>
      <c r="AA40" s="450">
        <f t="shared" si="7"/>
        <v>1650003.425</v>
      </c>
      <c r="AB40" s="450">
        <f t="shared" si="8"/>
        <v>212135.53453453109</v>
      </c>
      <c r="AC40" s="451">
        <f t="shared" si="9"/>
        <v>0.1285667237536377</v>
      </c>
      <c r="AD40" s="398"/>
    </row>
    <row r="41" spans="1:30" s="370" customFormat="1" ht="409.5" x14ac:dyDescent="0.35">
      <c r="A41" s="276">
        <v>31</v>
      </c>
      <c r="B41" s="277" t="s">
        <v>102</v>
      </c>
      <c r="C41" s="277" t="s">
        <v>93</v>
      </c>
      <c r="D41" s="396" t="s">
        <v>94</v>
      </c>
      <c r="E41" s="277" t="s">
        <v>41</v>
      </c>
      <c r="F41" s="100">
        <v>540</v>
      </c>
      <c r="G41" s="277" t="s">
        <v>42</v>
      </c>
      <c r="H41" s="441" t="s">
        <v>95</v>
      </c>
      <c r="I41" s="397">
        <v>11700</v>
      </c>
      <c r="J41" s="442">
        <f>I41*8%</f>
        <v>936</v>
      </c>
      <c r="K41" s="442">
        <f t="shared" si="11"/>
        <v>12636</v>
      </c>
      <c r="L41" s="443">
        <f t="shared" si="12"/>
        <v>6318000</v>
      </c>
      <c r="M41" s="443">
        <f t="shared" si="13"/>
        <v>6823440</v>
      </c>
      <c r="N41" s="444" t="s">
        <v>50</v>
      </c>
      <c r="O41" s="445">
        <v>8570</v>
      </c>
      <c r="P41" s="445">
        <f>O41*8%</f>
        <v>685.6</v>
      </c>
      <c r="Q41" s="445">
        <f t="shared" si="0"/>
        <v>9255.6</v>
      </c>
      <c r="R41" s="446">
        <f t="shared" si="1"/>
        <v>4627800</v>
      </c>
      <c r="S41" s="446">
        <f t="shared" si="2"/>
        <v>4998024</v>
      </c>
      <c r="T41" s="447" t="s">
        <v>96</v>
      </c>
      <c r="U41" s="448">
        <v>13871</v>
      </c>
      <c r="V41" s="448"/>
      <c r="W41" s="448">
        <f t="shared" si="15"/>
        <v>13871</v>
      </c>
      <c r="X41" s="449">
        <f t="shared" si="4"/>
        <v>7490340</v>
      </c>
      <c r="Y41" s="449">
        <f t="shared" si="5"/>
        <v>7490340</v>
      </c>
      <c r="Z41" s="450">
        <f t="shared" si="6"/>
        <v>11920.866666666667</v>
      </c>
      <c r="AA41" s="450">
        <f t="shared" si="7"/>
        <v>6437268</v>
      </c>
      <c r="AB41" s="450">
        <f t="shared" si="8"/>
        <v>1290254.3823417148</v>
      </c>
      <c r="AC41" s="451">
        <f t="shared" si="9"/>
        <v>0.20043508866520934</v>
      </c>
      <c r="AD41" s="398"/>
    </row>
    <row r="42" spans="1:30" s="370" customFormat="1" ht="357" x14ac:dyDescent="0.35">
      <c r="A42" s="276">
        <v>32</v>
      </c>
      <c r="B42" s="277" t="s">
        <v>102</v>
      </c>
      <c r="C42" s="277" t="s">
        <v>97</v>
      </c>
      <c r="D42" s="396" t="s">
        <v>98</v>
      </c>
      <c r="E42" s="277" t="s">
        <v>41</v>
      </c>
      <c r="F42" s="100">
        <v>65</v>
      </c>
      <c r="G42" s="277" t="s">
        <v>42</v>
      </c>
      <c r="H42" s="441" t="s">
        <v>99</v>
      </c>
      <c r="I42" s="397">
        <v>21600</v>
      </c>
      <c r="J42" s="442">
        <f>I42*8%</f>
        <v>1728</v>
      </c>
      <c r="K42" s="442">
        <f t="shared" si="11"/>
        <v>23328</v>
      </c>
      <c r="L42" s="443">
        <f t="shared" si="12"/>
        <v>1404000</v>
      </c>
      <c r="M42" s="443">
        <f t="shared" si="13"/>
        <v>1516320</v>
      </c>
      <c r="N42" s="444" t="s">
        <v>100</v>
      </c>
      <c r="O42" s="445">
        <v>25000</v>
      </c>
      <c r="P42" s="445">
        <f>O42*8%</f>
        <v>2000</v>
      </c>
      <c r="Q42" s="445">
        <f t="shared" si="0"/>
        <v>27000</v>
      </c>
      <c r="R42" s="446">
        <f t="shared" si="1"/>
        <v>1625000</v>
      </c>
      <c r="S42" s="446">
        <f t="shared" si="2"/>
        <v>1755000</v>
      </c>
      <c r="T42" s="447" t="s">
        <v>101</v>
      </c>
      <c r="U42" s="448">
        <v>26824</v>
      </c>
      <c r="V42" s="448">
        <f>U42*8%</f>
        <v>2145.92</v>
      </c>
      <c r="W42" s="448">
        <f t="shared" si="15"/>
        <v>28969.919999999998</v>
      </c>
      <c r="X42" s="449">
        <f t="shared" si="4"/>
        <v>1743560</v>
      </c>
      <c r="Y42" s="449">
        <f t="shared" si="5"/>
        <v>1883044.7999999998</v>
      </c>
      <c r="Z42" s="450">
        <f t="shared" si="6"/>
        <v>26432.639999999999</v>
      </c>
      <c r="AA42" s="450">
        <f t="shared" si="7"/>
        <v>1718121.5999999999</v>
      </c>
      <c r="AB42" s="450">
        <f t="shared" si="8"/>
        <v>186123.02926741756</v>
      </c>
      <c r="AC42" s="451">
        <f t="shared" si="9"/>
        <v>0.10832936927596834</v>
      </c>
      <c r="AD42" s="398"/>
    </row>
    <row r="43" spans="1:30" s="370" customFormat="1" ht="409.5" x14ac:dyDescent="0.35">
      <c r="A43" s="276">
        <v>33</v>
      </c>
      <c r="B43" s="277" t="s">
        <v>138</v>
      </c>
      <c r="C43" s="277" t="s">
        <v>93</v>
      </c>
      <c r="D43" s="396" t="s">
        <v>94</v>
      </c>
      <c r="E43" s="277" t="s">
        <v>41</v>
      </c>
      <c r="F43" s="100">
        <v>550</v>
      </c>
      <c r="G43" s="277" t="s">
        <v>42</v>
      </c>
      <c r="H43" s="441" t="s">
        <v>95</v>
      </c>
      <c r="I43" s="397">
        <v>11700</v>
      </c>
      <c r="J43" s="442">
        <f>I43*8%</f>
        <v>936</v>
      </c>
      <c r="K43" s="442">
        <f t="shared" si="11"/>
        <v>12636</v>
      </c>
      <c r="L43" s="443">
        <f t="shared" si="12"/>
        <v>6435000</v>
      </c>
      <c r="M43" s="443">
        <f t="shared" si="13"/>
        <v>6949800</v>
      </c>
      <c r="N43" s="444" t="s">
        <v>50</v>
      </c>
      <c r="O43" s="445">
        <v>8570</v>
      </c>
      <c r="P43" s="445">
        <f>O43*8%</f>
        <v>685.6</v>
      </c>
      <c r="Q43" s="445">
        <f t="shared" si="0"/>
        <v>9255.6</v>
      </c>
      <c r="R43" s="446">
        <f t="shared" si="1"/>
        <v>4713500</v>
      </c>
      <c r="S43" s="446">
        <f t="shared" si="2"/>
        <v>5090580</v>
      </c>
      <c r="T43" s="447" t="s">
        <v>96</v>
      </c>
      <c r="U43" s="448">
        <v>13871</v>
      </c>
      <c r="V43" s="448"/>
      <c r="W43" s="448">
        <f t="shared" si="15"/>
        <v>13871</v>
      </c>
      <c r="X43" s="449">
        <f t="shared" si="4"/>
        <v>7629050</v>
      </c>
      <c r="Y43" s="449">
        <f t="shared" si="5"/>
        <v>7629050</v>
      </c>
      <c r="Z43" s="450">
        <f t="shared" si="6"/>
        <v>11920.866666666667</v>
      </c>
      <c r="AA43" s="450">
        <f t="shared" si="7"/>
        <v>6556476.666666667</v>
      </c>
      <c r="AB43" s="450">
        <f t="shared" si="8"/>
        <v>1314147.9820147105</v>
      </c>
      <c r="AC43" s="451">
        <f t="shared" si="9"/>
        <v>0.20043508866520948</v>
      </c>
      <c r="AD43" s="398"/>
    </row>
    <row r="44" spans="1:30" s="370" customFormat="1" ht="147" x14ac:dyDescent="0.35">
      <c r="A44" s="276">
        <v>34</v>
      </c>
      <c r="B44" s="277" t="s">
        <v>138</v>
      </c>
      <c r="C44" s="277" t="s">
        <v>345</v>
      </c>
      <c r="D44" s="396" t="s">
        <v>86</v>
      </c>
      <c r="E44" s="277" t="s">
        <v>87</v>
      </c>
      <c r="F44" s="100">
        <v>108</v>
      </c>
      <c r="G44" s="277" t="s">
        <v>88</v>
      </c>
      <c r="H44" s="441" t="s">
        <v>89</v>
      </c>
      <c r="I44" s="397">
        <v>302522</v>
      </c>
      <c r="J44" s="442">
        <f t="shared" si="10"/>
        <v>57479.18</v>
      </c>
      <c r="K44" s="442">
        <f t="shared" si="11"/>
        <v>360001.18</v>
      </c>
      <c r="L44" s="443">
        <f t="shared" si="12"/>
        <v>32672376</v>
      </c>
      <c r="M44" s="443">
        <f t="shared" si="13"/>
        <v>38880127.439999998</v>
      </c>
      <c r="N44" s="444" t="s">
        <v>90</v>
      </c>
      <c r="O44" s="445">
        <v>252101</v>
      </c>
      <c r="P44" s="445">
        <f t="shared" si="14"/>
        <v>47899.19</v>
      </c>
      <c r="Q44" s="445">
        <f t="shared" si="0"/>
        <v>300000.19</v>
      </c>
      <c r="R44" s="446">
        <f t="shared" si="1"/>
        <v>27226908</v>
      </c>
      <c r="S44" s="446">
        <f t="shared" si="2"/>
        <v>32400020.52</v>
      </c>
      <c r="T44" s="447"/>
      <c r="U44" s="448"/>
      <c r="V44" s="448"/>
      <c r="W44" s="448"/>
      <c r="X44" s="449"/>
      <c r="Y44" s="449"/>
      <c r="Z44" s="450">
        <f t="shared" si="6"/>
        <v>330000.685</v>
      </c>
      <c r="AA44" s="450">
        <f t="shared" si="7"/>
        <v>35640073.979999997</v>
      </c>
      <c r="AB44" s="450">
        <f t="shared" si="8"/>
        <v>4582127.5459458707</v>
      </c>
      <c r="AC44" s="451">
        <f t="shared" si="9"/>
        <v>0.1285667237536377</v>
      </c>
      <c r="AD44" s="398"/>
    </row>
    <row r="45" spans="1:30" s="370" customFormat="1" ht="105" x14ac:dyDescent="0.35">
      <c r="A45" s="276">
        <v>35</v>
      </c>
      <c r="B45" s="277" t="s">
        <v>138</v>
      </c>
      <c r="C45" s="277" t="s">
        <v>347</v>
      </c>
      <c r="D45" s="396" t="s">
        <v>352</v>
      </c>
      <c r="E45" s="277" t="s">
        <v>87</v>
      </c>
      <c r="F45" s="100">
        <v>5</v>
      </c>
      <c r="G45" s="277" t="s">
        <v>88</v>
      </c>
      <c r="H45" s="441" t="s">
        <v>89</v>
      </c>
      <c r="I45" s="397">
        <v>302522</v>
      </c>
      <c r="J45" s="442">
        <f t="shared" si="10"/>
        <v>57479.18</v>
      </c>
      <c r="K45" s="442">
        <f t="shared" si="11"/>
        <v>360001.18</v>
      </c>
      <c r="L45" s="443">
        <f t="shared" si="12"/>
        <v>1512610</v>
      </c>
      <c r="M45" s="443">
        <f t="shared" si="13"/>
        <v>1800005.9</v>
      </c>
      <c r="N45" s="444" t="s">
        <v>90</v>
      </c>
      <c r="O45" s="445">
        <v>252101</v>
      </c>
      <c r="P45" s="445">
        <f t="shared" si="14"/>
        <v>47899.19</v>
      </c>
      <c r="Q45" s="445">
        <f t="shared" si="0"/>
        <v>300000.19</v>
      </c>
      <c r="R45" s="446">
        <f t="shared" si="1"/>
        <v>1260505</v>
      </c>
      <c r="S45" s="446">
        <f t="shared" si="2"/>
        <v>1500000.95</v>
      </c>
      <c r="T45" s="447"/>
      <c r="U45" s="448"/>
      <c r="V45" s="448"/>
      <c r="W45" s="448"/>
      <c r="X45" s="449"/>
      <c r="Y45" s="449"/>
      <c r="Z45" s="450">
        <f t="shared" si="6"/>
        <v>330000.685</v>
      </c>
      <c r="AA45" s="450">
        <f t="shared" si="7"/>
        <v>1650003.425</v>
      </c>
      <c r="AB45" s="450">
        <f t="shared" si="8"/>
        <v>212135.53453453109</v>
      </c>
      <c r="AC45" s="451">
        <f t="shared" si="9"/>
        <v>0.1285667237536377</v>
      </c>
      <c r="AD45" s="398"/>
    </row>
    <row r="46" spans="1:30" s="370" customFormat="1" ht="357" x14ac:dyDescent="0.35">
      <c r="A46" s="276">
        <v>36</v>
      </c>
      <c r="B46" s="277" t="s">
        <v>138</v>
      </c>
      <c r="C46" s="277" t="s">
        <v>97</v>
      </c>
      <c r="D46" s="396" t="s">
        <v>98</v>
      </c>
      <c r="E46" s="277" t="s">
        <v>41</v>
      </c>
      <c r="F46" s="100">
        <v>65</v>
      </c>
      <c r="G46" s="277" t="s">
        <v>42</v>
      </c>
      <c r="H46" s="441" t="s">
        <v>99</v>
      </c>
      <c r="I46" s="397">
        <v>21600</v>
      </c>
      <c r="J46" s="442">
        <f>I46*8%</f>
        <v>1728</v>
      </c>
      <c r="K46" s="442">
        <f t="shared" si="11"/>
        <v>23328</v>
      </c>
      <c r="L46" s="443">
        <f t="shared" si="12"/>
        <v>1404000</v>
      </c>
      <c r="M46" s="443">
        <f t="shared" si="13"/>
        <v>1516320</v>
      </c>
      <c r="N46" s="444" t="s">
        <v>100</v>
      </c>
      <c r="O46" s="445">
        <v>25000</v>
      </c>
      <c r="P46" s="445">
        <f>O46*8%</f>
        <v>2000</v>
      </c>
      <c r="Q46" s="445">
        <f t="shared" si="0"/>
        <v>27000</v>
      </c>
      <c r="R46" s="446">
        <f t="shared" si="1"/>
        <v>1625000</v>
      </c>
      <c r="S46" s="446">
        <f t="shared" si="2"/>
        <v>1755000</v>
      </c>
      <c r="T46" s="447" t="s">
        <v>101</v>
      </c>
      <c r="U46" s="448">
        <v>26824</v>
      </c>
      <c r="V46" s="448">
        <f>U46*8%</f>
        <v>2145.92</v>
      </c>
      <c r="W46" s="448">
        <f t="shared" si="15"/>
        <v>28969.919999999998</v>
      </c>
      <c r="X46" s="449">
        <f t="shared" si="4"/>
        <v>1743560</v>
      </c>
      <c r="Y46" s="449">
        <f t="shared" si="5"/>
        <v>1883044.7999999998</v>
      </c>
      <c r="Z46" s="450">
        <f t="shared" si="6"/>
        <v>26432.639999999999</v>
      </c>
      <c r="AA46" s="450">
        <f t="shared" si="7"/>
        <v>1718121.5999999999</v>
      </c>
      <c r="AB46" s="450">
        <f t="shared" si="8"/>
        <v>186123.02926741756</v>
      </c>
      <c r="AC46" s="451">
        <f t="shared" si="9"/>
        <v>0.10832936927596834</v>
      </c>
      <c r="AD46" s="398"/>
    </row>
    <row r="47" spans="1:30" s="370" customFormat="1" ht="63" x14ac:dyDescent="0.35">
      <c r="A47" s="276">
        <v>37</v>
      </c>
      <c r="B47" s="277" t="s">
        <v>138</v>
      </c>
      <c r="C47" s="277" t="s">
        <v>139</v>
      </c>
      <c r="D47" s="396" t="s">
        <v>140</v>
      </c>
      <c r="E47" s="277" t="s">
        <v>141</v>
      </c>
      <c r="F47" s="100">
        <v>25</v>
      </c>
      <c r="G47" s="277" t="s">
        <v>42</v>
      </c>
      <c r="H47" s="441" t="s">
        <v>43</v>
      </c>
      <c r="I47" s="397">
        <v>13277.31</v>
      </c>
      <c r="J47" s="442">
        <f t="shared" si="10"/>
        <v>2522.6889000000001</v>
      </c>
      <c r="K47" s="442">
        <f t="shared" si="11"/>
        <v>15799.998899999999</v>
      </c>
      <c r="L47" s="443">
        <f t="shared" si="12"/>
        <v>331932.75</v>
      </c>
      <c r="M47" s="443">
        <f t="shared" si="13"/>
        <v>394999.97249999997</v>
      </c>
      <c r="N47" s="444" t="s">
        <v>142</v>
      </c>
      <c r="O47" s="445">
        <v>16369.75</v>
      </c>
      <c r="P47" s="445">
        <f>O47*19%</f>
        <v>3110.2525000000001</v>
      </c>
      <c r="Q47" s="445">
        <f t="shared" si="0"/>
        <v>19480.002499999999</v>
      </c>
      <c r="R47" s="446">
        <f t="shared" si="1"/>
        <v>409243.75</v>
      </c>
      <c r="S47" s="446">
        <f t="shared" si="2"/>
        <v>487000.06249999994</v>
      </c>
      <c r="T47" s="447" t="s">
        <v>143</v>
      </c>
      <c r="U47" s="448">
        <v>14621.85</v>
      </c>
      <c r="V47" s="448">
        <f t="shared" si="16"/>
        <v>2778.1514999999999</v>
      </c>
      <c r="W47" s="448">
        <f t="shared" si="15"/>
        <v>17400.001499999998</v>
      </c>
      <c r="X47" s="449">
        <f t="shared" si="4"/>
        <v>365546.25</v>
      </c>
      <c r="Y47" s="449">
        <f t="shared" si="5"/>
        <v>435000.03749999998</v>
      </c>
      <c r="Z47" s="450">
        <f t="shared" si="6"/>
        <v>17560.000966666663</v>
      </c>
      <c r="AA47" s="450">
        <f t="shared" si="7"/>
        <v>439000.02416666655</v>
      </c>
      <c r="AB47" s="450">
        <f t="shared" si="8"/>
        <v>46130.294384516521</v>
      </c>
      <c r="AC47" s="451">
        <f t="shared" si="9"/>
        <v>0.10508039144663722</v>
      </c>
      <c r="AD47" s="398"/>
    </row>
    <row r="48" spans="1:30" s="370" customFormat="1" ht="147" x14ac:dyDescent="0.35">
      <c r="A48" s="276">
        <v>38</v>
      </c>
      <c r="B48" s="277" t="s">
        <v>138</v>
      </c>
      <c r="C48" s="277" t="s">
        <v>144</v>
      </c>
      <c r="D48" s="396" t="s">
        <v>145</v>
      </c>
      <c r="E48" s="277" t="s">
        <v>41</v>
      </c>
      <c r="F48" s="100">
        <v>60</v>
      </c>
      <c r="G48" s="277" t="s">
        <v>42</v>
      </c>
      <c r="H48" s="441" t="s">
        <v>48</v>
      </c>
      <c r="I48" s="397">
        <v>40250</v>
      </c>
      <c r="J48" s="442">
        <f t="shared" si="10"/>
        <v>7647.5</v>
      </c>
      <c r="K48" s="442">
        <f t="shared" si="11"/>
        <v>47897.5</v>
      </c>
      <c r="L48" s="443">
        <f t="shared" si="12"/>
        <v>2415000</v>
      </c>
      <c r="M48" s="443">
        <f t="shared" si="13"/>
        <v>2873850</v>
      </c>
      <c r="N48" s="444" t="s">
        <v>53</v>
      </c>
      <c r="O48" s="445">
        <v>41000</v>
      </c>
      <c r="P48" s="445">
        <f t="shared" si="14"/>
        <v>7790</v>
      </c>
      <c r="Q48" s="445">
        <f t="shared" si="0"/>
        <v>48790</v>
      </c>
      <c r="R48" s="446">
        <f t="shared" si="1"/>
        <v>2460000</v>
      </c>
      <c r="S48" s="446">
        <f t="shared" si="2"/>
        <v>2927400</v>
      </c>
      <c r="T48" s="447"/>
      <c r="U48" s="448"/>
      <c r="V48" s="448"/>
      <c r="W48" s="448"/>
      <c r="X48" s="449"/>
      <c r="Y48" s="449"/>
      <c r="Z48" s="450">
        <f t="shared" si="6"/>
        <v>48343.75</v>
      </c>
      <c r="AA48" s="450">
        <f t="shared" si="7"/>
        <v>2900625</v>
      </c>
      <c r="AB48" s="450">
        <f t="shared" si="8"/>
        <v>37865.568132539622</v>
      </c>
      <c r="AC48" s="451">
        <f t="shared" si="9"/>
        <v>1.3054279037290109E-2</v>
      </c>
      <c r="AD48" s="398"/>
    </row>
    <row r="49" spans="1:30" s="370" customFormat="1" ht="63" x14ac:dyDescent="0.35">
      <c r="A49" s="276">
        <v>39</v>
      </c>
      <c r="B49" s="277" t="s">
        <v>138</v>
      </c>
      <c r="C49" s="277" t="s">
        <v>39</v>
      </c>
      <c r="D49" s="396" t="s">
        <v>40</v>
      </c>
      <c r="E49" s="277" t="s">
        <v>41</v>
      </c>
      <c r="F49" s="100">
        <v>60</v>
      </c>
      <c r="G49" s="277" t="s">
        <v>42</v>
      </c>
      <c r="H49" s="441" t="s">
        <v>43</v>
      </c>
      <c r="I49" s="397">
        <v>5033.6099999999997</v>
      </c>
      <c r="J49" s="442">
        <f t="shared" si="10"/>
        <v>956.38589999999999</v>
      </c>
      <c r="K49" s="442">
        <f t="shared" si="11"/>
        <v>5989.9958999999999</v>
      </c>
      <c r="L49" s="443">
        <f t="shared" si="12"/>
        <v>302016.59999999998</v>
      </c>
      <c r="M49" s="443">
        <f t="shared" si="13"/>
        <v>359399.75400000002</v>
      </c>
      <c r="N49" s="444" t="s">
        <v>44</v>
      </c>
      <c r="O49" s="445">
        <v>5462.18</v>
      </c>
      <c r="P49" s="445">
        <f t="shared" si="14"/>
        <v>1037.8142</v>
      </c>
      <c r="Q49" s="445">
        <f t="shared" si="0"/>
        <v>6499.9942000000001</v>
      </c>
      <c r="R49" s="446">
        <f t="shared" si="1"/>
        <v>327730.80000000005</v>
      </c>
      <c r="S49" s="446">
        <f t="shared" si="2"/>
        <v>389999.652</v>
      </c>
      <c r="T49" s="447" t="s">
        <v>45</v>
      </c>
      <c r="U49" s="448">
        <v>4201.68</v>
      </c>
      <c r="V49" s="448">
        <f t="shared" ref="V49" si="22">U49*19%</f>
        <v>798.31920000000002</v>
      </c>
      <c r="W49" s="448">
        <f t="shared" si="15"/>
        <v>4999.9992000000002</v>
      </c>
      <c r="X49" s="449">
        <f t="shared" si="4"/>
        <v>252100.80000000002</v>
      </c>
      <c r="Y49" s="449">
        <f t="shared" si="5"/>
        <v>299999.95199999999</v>
      </c>
      <c r="Z49" s="450">
        <f t="shared" si="6"/>
        <v>5829.9964333333337</v>
      </c>
      <c r="AA49" s="450">
        <f t="shared" si="7"/>
        <v>349799.78600000002</v>
      </c>
      <c r="AB49" s="450">
        <f t="shared" si="8"/>
        <v>45761.403379083953</v>
      </c>
      <c r="AC49" s="451">
        <f t="shared" si="9"/>
        <v>0.13082170204381985</v>
      </c>
      <c r="AD49" s="398"/>
    </row>
    <row r="50" spans="1:30" s="370" customFormat="1" ht="96" x14ac:dyDescent="0.35">
      <c r="A50" s="276">
        <v>40</v>
      </c>
      <c r="B50" s="277" t="s">
        <v>138</v>
      </c>
      <c r="C50" s="277" t="s">
        <v>46</v>
      </c>
      <c r="D50" s="396" t="s">
        <v>47</v>
      </c>
      <c r="E50" s="277" t="s">
        <v>41</v>
      </c>
      <c r="F50" s="100">
        <v>6</v>
      </c>
      <c r="G50" s="277" t="s">
        <v>42</v>
      </c>
      <c r="H50" s="441" t="s">
        <v>48</v>
      </c>
      <c r="I50" s="397">
        <v>5407.56</v>
      </c>
      <c r="J50" s="442">
        <f t="shared" si="10"/>
        <v>1027.4364</v>
      </c>
      <c r="K50" s="442">
        <f t="shared" si="11"/>
        <v>6434.9964</v>
      </c>
      <c r="L50" s="443">
        <f t="shared" si="12"/>
        <v>32445.360000000001</v>
      </c>
      <c r="M50" s="443">
        <f t="shared" si="13"/>
        <v>38609.9784</v>
      </c>
      <c r="N50" s="444" t="s">
        <v>49</v>
      </c>
      <c r="O50" s="445">
        <v>4628.57</v>
      </c>
      <c r="P50" s="445">
        <f t="shared" si="14"/>
        <v>879.42829999999992</v>
      </c>
      <c r="Q50" s="445">
        <f t="shared" si="0"/>
        <v>5507.9982999999993</v>
      </c>
      <c r="R50" s="446">
        <f t="shared" si="1"/>
        <v>27771.42</v>
      </c>
      <c r="S50" s="446">
        <f t="shared" si="2"/>
        <v>33047.989799999996</v>
      </c>
      <c r="T50" s="447" t="s">
        <v>50</v>
      </c>
      <c r="U50" s="448">
        <v>4968.91</v>
      </c>
      <c r="V50" s="448">
        <f t="shared" si="16"/>
        <v>944.09289999999999</v>
      </c>
      <c r="W50" s="448">
        <f t="shared" si="15"/>
        <v>5913.0028999999995</v>
      </c>
      <c r="X50" s="449">
        <f t="shared" si="4"/>
        <v>29813.46</v>
      </c>
      <c r="Y50" s="449">
        <f t="shared" si="5"/>
        <v>35478.017399999997</v>
      </c>
      <c r="Z50" s="450">
        <f t="shared" si="6"/>
        <v>5951.9991999999993</v>
      </c>
      <c r="AA50" s="450">
        <f t="shared" si="7"/>
        <v>35711.995199999998</v>
      </c>
      <c r="AB50" s="450">
        <f t="shared" si="8"/>
        <v>2788.3666374424529</v>
      </c>
      <c r="AC50" s="451">
        <f t="shared" si="9"/>
        <v>7.807927341574164E-2</v>
      </c>
      <c r="AD50" s="398"/>
    </row>
    <row r="51" spans="1:30" s="370" customFormat="1" ht="409.5" x14ac:dyDescent="0.35">
      <c r="A51" s="276">
        <v>41</v>
      </c>
      <c r="B51" s="277" t="s">
        <v>138</v>
      </c>
      <c r="C51" s="277" t="s">
        <v>146</v>
      </c>
      <c r="D51" s="396" t="s">
        <v>147</v>
      </c>
      <c r="E51" s="277" t="s">
        <v>148</v>
      </c>
      <c r="F51" s="100">
        <v>60</v>
      </c>
      <c r="G51" s="277" t="s">
        <v>42</v>
      </c>
      <c r="H51" s="441" t="s">
        <v>48</v>
      </c>
      <c r="I51" s="397">
        <v>40250</v>
      </c>
      <c r="J51" s="442">
        <f t="shared" si="10"/>
        <v>7647.5</v>
      </c>
      <c r="K51" s="442">
        <f t="shared" si="11"/>
        <v>47897.5</v>
      </c>
      <c r="L51" s="443">
        <f t="shared" si="12"/>
        <v>2415000</v>
      </c>
      <c r="M51" s="443">
        <f t="shared" si="13"/>
        <v>2873850</v>
      </c>
      <c r="N51" s="444" t="s">
        <v>50</v>
      </c>
      <c r="O51" s="445">
        <v>38950</v>
      </c>
      <c r="P51" s="445">
        <f t="shared" si="14"/>
        <v>7400.5</v>
      </c>
      <c r="Q51" s="445">
        <f t="shared" si="0"/>
        <v>46350.5</v>
      </c>
      <c r="R51" s="446">
        <f t="shared" si="1"/>
        <v>2337000</v>
      </c>
      <c r="S51" s="446">
        <f t="shared" si="2"/>
        <v>2781030</v>
      </c>
      <c r="T51" s="447" t="s">
        <v>53</v>
      </c>
      <c r="U51" s="448">
        <v>41000</v>
      </c>
      <c r="V51" s="448">
        <f t="shared" si="16"/>
        <v>7790</v>
      </c>
      <c r="W51" s="448">
        <f t="shared" si="15"/>
        <v>48790</v>
      </c>
      <c r="X51" s="449">
        <f t="shared" si="4"/>
        <v>2460000</v>
      </c>
      <c r="Y51" s="449">
        <f t="shared" si="5"/>
        <v>2927400</v>
      </c>
      <c r="Z51" s="450">
        <f t="shared" si="6"/>
        <v>47679.333333333336</v>
      </c>
      <c r="AA51" s="450">
        <f t="shared" si="7"/>
        <v>2860760</v>
      </c>
      <c r="AB51" s="450">
        <f t="shared" si="8"/>
        <v>74057.783520707671</v>
      </c>
      <c r="AC51" s="451">
        <f t="shared" si="9"/>
        <v>2.5887450719636624E-2</v>
      </c>
      <c r="AD51" s="398"/>
    </row>
    <row r="52" spans="1:30" s="370" customFormat="1" ht="84" x14ac:dyDescent="0.35">
      <c r="A52" s="276">
        <v>42</v>
      </c>
      <c r="B52" s="277" t="s">
        <v>138</v>
      </c>
      <c r="C52" s="277" t="s">
        <v>81</v>
      </c>
      <c r="D52" s="396" t="s">
        <v>82</v>
      </c>
      <c r="E52" s="277" t="s">
        <v>41</v>
      </c>
      <c r="F52" s="100">
        <v>60</v>
      </c>
      <c r="G52" s="277" t="s">
        <v>42</v>
      </c>
      <c r="H52" s="441" t="s">
        <v>48</v>
      </c>
      <c r="I52" s="397">
        <v>2200</v>
      </c>
      <c r="J52" s="442">
        <f t="shared" si="10"/>
        <v>418</v>
      </c>
      <c r="K52" s="442">
        <f t="shared" si="11"/>
        <v>2618</v>
      </c>
      <c r="L52" s="443">
        <f t="shared" si="12"/>
        <v>132000</v>
      </c>
      <c r="M52" s="443">
        <f t="shared" si="13"/>
        <v>157080</v>
      </c>
      <c r="N52" s="444" t="s">
        <v>83</v>
      </c>
      <c r="O52" s="445">
        <v>2689.08</v>
      </c>
      <c r="P52" s="445">
        <f t="shared" si="14"/>
        <v>510.92520000000002</v>
      </c>
      <c r="Q52" s="445">
        <f t="shared" si="0"/>
        <v>3200.0052000000001</v>
      </c>
      <c r="R52" s="446">
        <f t="shared" si="1"/>
        <v>161344.79999999999</v>
      </c>
      <c r="S52" s="446">
        <f t="shared" si="2"/>
        <v>192000.31200000001</v>
      </c>
      <c r="T52" s="447" t="s">
        <v>84</v>
      </c>
      <c r="U52" s="448">
        <v>3800</v>
      </c>
      <c r="V52" s="448"/>
      <c r="W52" s="448">
        <f t="shared" si="15"/>
        <v>3800</v>
      </c>
      <c r="X52" s="449">
        <f t="shared" si="4"/>
        <v>228000</v>
      </c>
      <c r="Y52" s="449">
        <f t="shared" si="5"/>
        <v>228000</v>
      </c>
      <c r="Z52" s="450">
        <f t="shared" si="6"/>
        <v>3206.001733333333</v>
      </c>
      <c r="AA52" s="450">
        <f t="shared" si="7"/>
        <v>192360.10399999999</v>
      </c>
      <c r="AB52" s="450">
        <f t="shared" si="8"/>
        <v>35461.368948652285</v>
      </c>
      <c r="AC52" s="451">
        <f t="shared" si="9"/>
        <v>0.18434887594286331</v>
      </c>
      <c r="AD52" s="398"/>
    </row>
    <row r="53" spans="1:30" s="370" customFormat="1" ht="63" x14ac:dyDescent="0.35">
      <c r="A53" s="276">
        <v>43</v>
      </c>
      <c r="B53" s="277" t="s">
        <v>149</v>
      </c>
      <c r="C53" s="277" t="s">
        <v>39</v>
      </c>
      <c r="D53" s="396" t="s">
        <v>40</v>
      </c>
      <c r="E53" s="277" t="s">
        <v>150</v>
      </c>
      <c r="F53" s="100">
        <v>100</v>
      </c>
      <c r="G53" s="277" t="s">
        <v>42</v>
      </c>
      <c r="H53" s="441" t="s">
        <v>43</v>
      </c>
      <c r="I53" s="397">
        <v>5033.6099999999997</v>
      </c>
      <c r="J53" s="442">
        <f t="shared" si="10"/>
        <v>956.38589999999999</v>
      </c>
      <c r="K53" s="442">
        <f t="shared" si="11"/>
        <v>5989.9958999999999</v>
      </c>
      <c r="L53" s="443">
        <f t="shared" si="12"/>
        <v>503360.99999999994</v>
      </c>
      <c r="M53" s="443">
        <f t="shared" si="13"/>
        <v>598999.59</v>
      </c>
      <c r="N53" s="444" t="s">
        <v>44</v>
      </c>
      <c r="O53" s="445">
        <v>5462.18</v>
      </c>
      <c r="P53" s="445">
        <f t="shared" si="14"/>
        <v>1037.8142</v>
      </c>
      <c r="Q53" s="445">
        <f t="shared" si="0"/>
        <v>6499.9942000000001</v>
      </c>
      <c r="R53" s="446">
        <f t="shared" si="1"/>
        <v>546218</v>
      </c>
      <c r="S53" s="446">
        <f t="shared" si="2"/>
        <v>649999.42000000004</v>
      </c>
      <c r="T53" s="447" t="s">
        <v>45</v>
      </c>
      <c r="U53" s="448">
        <v>4201.68</v>
      </c>
      <c r="V53" s="448">
        <f t="shared" ref="V53" si="23">U53*19%</f>
        <v>798.31920000000002</v>
      </c>
      <c r="W53" s="448">
        <f t="shared" si="15"/>
        <v>4999.9992000000002</v>
      </c>
      <c r="X53" s="449">
        <f t="shared" si="4"/>
        <v>420168</v>
      </c>
      <c r="Y53" s="449">
        <f t="shared" si="5"/>
        <v>499999.92000000004</v>
      </c>
      <c r="Z53" s="450">
        <f t="shared" si="6"/>
        <v>5829.9964333333337</v>
      </c>
      <c r="AA53" s="450">
        <f t="shared" si="7"/>
        <v>582999.64333333331</v>
      </c>
      <c r="AB53" s="450">
        <f t="shared" si="8"/>
        <v>76269.00563180678</v>
      </c>
      <c r="AC53" s="451">
        <f t="shared" si="9"/>
        <v>0.13082170204382021</v>
      </c>
      <c r="AD53" s="398"/>
    </row>
    <row r="54" spans="1:30" s="370" customFormat="1" ht="96" x14ac:dyDescent="0.35">
      <c r="A54" s="276">
        <v>44</v>
      </c>
      <c r="B54" s="277" t="s">
        <v>149</v>
      </c>
      <c r="C54" s="277" t="s">
        <v>46</v>
      </c>
      <c r="D54" s="396" t="s">
        <v>47</v>
      </c>
      <c r="E54" s="277" t="s">
        <v>41</v>
      </c>
      <c r="F54" s="100">
        <v>10</v>
      </c>
      <c r="G54" s="277" t="s">
        <v>42</v>
      </c>
      <c r="H54" s="441" t="s">
        <v>48</v>
      </c>
      <c r="I54" s="397">
        <v>5407.56</v>
      </c>
      <c r="J54" s="442">
        <f t="shared" si="10"/>
        <v>1027.4364</v>
      </c>
      <c r="K54" s="442">
        <f t="shared" si="11"/>
        <v>6434.9964</v>
      </c>
      <c r="L54" s="443">
        <f t="shared" si="12"/>
        <v>54075.600000000006</v>
      </c>
      <c r="M54" s="443">
        <f t="shared" si="13"/>
        <v>64349.964</v>
      </c>
      <c r="N54" s="444" t="s">
        <v>49</v>
      </c>
      <c r="O54" s="445">
        <v>4628.57</v>
      </c>
      <c r="P54" s="445">
        <f t="shared" si="14"/>
        <v>879.42829999999992</v>
      </c>
      <c r="Q54" s="445">
        <f t="shared" si="0"/>
        <v>5507.9982999999993</v>
      </c>
      <c r="R54" s="446">
        <f t="shared" si="1"/>
        <v>46285.7</v>
      </c>
      <c r="S54" s="446">
        <f t="shared" si="2"/>
        <v>55079.982999999993</v>
      </c>
      <c r="T54" s="447" t="s">
        <v>50</v>
      </c>
      <c r="U54" s="448">
        <v>4968.91</v>
      </c>
      <c r="V54" s="448">
        <f t="shared" si="16"/>
        <v>944.09289999999999</v>
      </c>
      <c r="W54" s="448">
        <f t="shared" si="15"/>
        <v>5913.0028999999995</v>
      </c>
      <c r="X54" s="449">
        <f t="shared" si="4"/>
        <v>49689.1</v>
      </c>
      <c r="Y54" s="449">
        <f t="shared" si="5"/>
        <v>59130.028999999995</v>
      </c>
      <c r="Z54" s="450">
        <f t="shared" si="6"/>
        <v>5951.9991999999993</v>
      </c>
      <c r="AA54" s="450">
        <f t="shared" si="7"/>
        <v>59519.991999999991</v>
      </c>
      <c r="AB54" s="450">
        <f t="shared" si="8"/>
        <v>4647.2777290707554</v>
      </c>
      <c r="AC54" s="451">
        <f t="shared" si="9"/>
        <v>7.8079273415741654E-2</v>
      </c>
      <c r="AD54" s="398"/>
    </row>
    <row r="55" spans="1:30" s="370" customFormat="1" ht="273" x14ac:dyDescent="0.35">
      <c r="A55" s="276">
        <v>45</v>
      </c>
      <c r="B55" s="277" t="s">
        <v>149</v>
      </c>
      <c r="C55" s="277" t="s">
        <v>151</v>
      </c>
      <c r="D55" s="396" t="s">
        <v>152</v>
      </c>
      <c r="E55" s="277" t="s">
        <v>41</v>
      </c>
      <c r="F55" s="100">
        <v>100</v>
      </c>
      <c r="G55" s="277" t="s">
        <v>42</v>
      </c>
      <c r="H55" s="441" t="s">
        <v>53</v>
      </c>
      <c r="I55" s="397">
        <v>7600</v>
      </c>
      <c r="J55" s="442">
        <f t="shared" si="10"/>
        <v>1444</v>
      </c>
      <c r="K55" s="442">
        <f t="shared" si="11"/>
        <v>9044</v>
      </c>
      <c r="L55" s="443">
        <f t="shared" si="12"/>
        <v>760000</v>
      </c>
      <c r="M55" s="443">
        <f t="shared" si="13"/>
        <v>904400</v>
      </c>
      <c r="N55" s="444" t="s">
        <v>50</v>
      </c>
      <c r="O55" s="445">
        <v>5860</v>
      </c>
      <c r="P55" s="445">
        <f t="shared" si="14"/>
        <v>1113.4000000000001</v>
      </c>
      <c r="Q55" s="445">
        <f t="shared" si="0"/>
        <v>6973.4</v>
      </c>
      <c r="R55" s="446">
        <f t="shared" si="1"/>
        <v>586000</v>
      </c>
      <c r="S55" s="446">
        <f t="shared" si="2"/>
        <v>697340</v>
      </c>
      <c r="T55" s="447" t="s">
        <v>137</v>
      </c>
      <c r="U55" s="448">
        <v>8040</v>
      </c>
      <c r="V55" s="448">
        <f t="shared" si="16"/>
        <v>1527.6</v>
      </c>
      <c r="W55" s="448">
        <f t="shared" si="15"/>
        <v>9567.6</v>
      </c>
      <c r="X55" s="449">
        <f t="shared" si="4"/>
        <v>804000</v>
      </c>
      <c r="Y55" s="449">
        <f t="shared" si="5"/>
        <v>956760</v>
      </c>
      <c r="Z55" s="450">
        <f t="shared" si="6"/>
        <v>8528.3333333333339</v>
      </c>
      <c r="AA55" s="450">
        <f t="shared" si="7"/>
        <v>852833.33333333337</v>
      </c>
      <c r="AB55" s="450">
        <f t="shared" si="8"/>
        <v>137182.45125865543</v>
      </c>
      <c r="AC55" s="451">
        <f t="shared" si="9"/>
        <v>0.1608549360078039</v>
      </c>
      <c r="AD55" s="398"/>
    </row>
    <row r="56" spans="1:30" s="370" customFormat="1" ht="84" x14ac:dyDescent="0.35">
      <c r="A56" s="276">
        <v>46</v>
      </c>
      <c r="B56" s="277" t="s">
        <v>149</v>
      </c>
      <c r="C56" s="277" t="s">
        <v>81</v>
      </c>
      <c r="D56" s="396" t="s">
        <v>82</v>
      </c>
      <c r="E56" s="277" t="s">
        <v>41</v>
      </c>
      <c r="F56" s="100">
        <v>100</v>
      </c>
      <c r="G56" s="277" t="s">
        <v>42</v>
      </c>
      <c r="H56" s="441" t="s">
        <v>48</v>
      </c>
      <c r="I56" s="397">
        <v>2200</v>
      </c>
      <c r="J56" s="442">
        <f t="shared" si="10"/>
        <v>418</v>
      </c>
      <c r="K56" s="442">
        <f t="shared" si="11"/>
        <v>2618</v>
      </c>
      <c r="L56" s="443">
        <f t="shared" si="12"/>
        <v>220000</v>
      </c>
      <c r="M56" s="443">
        <f t="shared" si="13"/>
        <v>261800</v>
      </c>
      <c r="N56" s="444" t="s">
        <v>83</v>
      </c>
      <c r="O56" s="445">
        <v>2689.08</v>
      </c>
      <c r="P56" s="445">
        <f t="shared" si="14"/>
        <v>510.92520000000002</v>
      </c>
      <c r="Q56" s="445">
        <f t="shared" si="0"/>
        <v>3200.0052000000001</v>
      </c>
      <c r="R56" s="446">
        <f t="shared" si="1"/>
        <v>268908</v>
      </c>
      <c r="S56" s="446">
        <f t="shared" si="2"/>
        <v>320000.52</v>
      </c>
      <c r="T56" s="447" t="s">
        <v>84</v>
      </c>
      <c r="U56" s="448">
        <v>3800</v>
      </c>
      <c r="V56" s="448"/>
      <c r="W56" s="448">
        <f t="shared" si="15"/>
        <v>3800</v>
      </c>
      <c r="X56" s="449">
        <f t="shared" si="4"/>
        <v>380000</v>
      </c>
      <c r="Y56" s="449">
        <f t="shared" si="5"/>
        <v>380000</v>
      </c>
      <c r="Z56" s="450">
        <f t="shared" si="6"/>
        <v>3206.001733333333</v>
      </c>
      <c r="AA56" s="450">
        <f t="shared" si="7"/>
        <v>320600.17333333328</v>
      </c>
      <c r="AB56" s="450">
        <f t="shared" si="8"/>
        <v>59102.281581087191</v>
      </c>
      <c r="AC56" s="451">
        <f t="shared" si="9"/>
        <v>0.1843488759428635</v>
      </c>
      <c r="AD56" s="398"/>
    </row>
    <row r="57" spans="1:30" s="370" customFormat="1" ht="147" x14ac:dyDescent="0.35">
      <c r="A57" s="276">
        <v>47</v>
      </c>
      <c r="B57" s="277" t="s">
        <v>149</v>
      </c>
      <c r="C57" s="277" t="s">
        <v>345</v>
      </c>
      <c r="D57" s="396" t="s">
        <v>86</v>
      </c>
      <c r="E57" s="277" t="s">
        <v>87</v>
      </c>
      <c r="F57" s="100">
        <v>144</v>
      </c>
      <c r="G57" s="277" t="s">
        <v>88</v>
      </c>
      <c r="H57" s="441" t="s">
        <v>89</v>
      </c>
      <c r="I57" s="397">
        <v>302522</v>
      </c>
      <c r="J57" s="442">
        <f t="shared" si="10"/>
        <v>57479.18</v>
      </c>
      <c r="K57" s="442">
        <f t="shared" si="11"/>
        <v>360001.18</v>
      </c>
      <c r="L57" s="443">
        <f t="shared" si="12"/>
        <v>43563168</v>
      </c>
      <c r="M57" s="443">
        <f t="shared" si="13"/>
        <v>51840169.920000002</v>
      </c>
      <c r="N57" s="444" t="s">
        <v>90</v>
      </c>
      <c r="O57" s="445">
        <v>252101</v>
      </c>
      <c r="P57" s="445">
        <f t="shared" si="14"/>
        <v>47899.19</v>
      </c>
      <c r="Q57" s="445">
        <f t="shared" si="0"/>
        <v>300000.19</v>
      </c>
      <c r="R57" s="446">
        <f t="shared" si="1"/>
        <v>36302544</v>
      </c>
      <c r="S57" s="446">
        <f t="shared" si="2"/>
        <v>43200027.359999999</v>
      </c>
      <c r="T57" s="447"/>
      <c r="U57" s="448"/>
      <c r="V57" s="448"/>
      <c r="W57" s="448"/>
      <c r="X57" s="449"/>
      <c r="Y57" s="449"/>
      <c r="Z57" s="450">
        <f t="shared" si="6"/>
        <v>330000.685</v>
      </c>
      <c r="AA57" s="450">
        <f t="shared" si="7"/>
        <v>47520098.640000001</v>
      </c>
      <c r="AB57" s="450">
        <f t="shared" si="8"/>
        <v>6109503.394594498</v>
      </c>
      <c r="AC57" s="451">
        <f t="shared" si="9"/>
        <v>0.12856672375363776</v>
      </c>
      <c r="AD57" s="398"/>
    </row>
    <row r="58" spans="1:30" s="370" customFormat="1" ht="105" x14ac:dyDescent="0.35">
      <c r="A58" s="276">
        <v>48</v>
      </c>
      <c r="B58" s="277" t="s">
        <v>149</v>
      </c>
      <c r="C58" s="277" t="s">
        <v>347</v>
      </c>
      <c r="D58" s="396" t="s">
        <v>352</v>
      </c>
      <c r="E58" s="277" t="s">
        <v>87</v>
      </c>
      <c r="F58" s="100">
        <v>5</v>
      </c>
      <c r="G58" s="277" t="s">
        <v>88</v>
      </c>
      <c r="H58" s="441" t="s">
        <v>89</v>
      </c>
      <c r="I58" s="397">
        <v>302522</v>
      </c>
      <c r="J58" s="442">
        <f t="shared" si="10"/>
        <v>57479.18</v>
      </c>
      <c r="K58" s="442">
        <f t="shared" si="11"/>
        <v>360001.18</v>
      </c>
      <c r="L58" s="443">
        <f t="shared" si="12"/>
        <v>1512610</v>
      </c>
      <c r="M58" s="443">
        <f t="shared" si="13"/>
        <v>1800005.9</v>
      </c>
      <c r="N58" s="444" t="s">
        <v>90</v>
      </c>
      <c r="O58" s="445">
        <v>252101</v>
      </c>
      <c r="P58" s="445">
        <f t="shared" si="14"/>
        <v>47899.19</v>
      </c>
      <c r="Q58" s="445">
        <f t="shared" si="0"/>
        <v>300000.19</v>
      </c>
      <c r="R58" s="446">
        <f t="shared" si="1"/>
        <v>1260505</v>
      </c>
      <c r="S58" s="446">
        <f t="shared" si="2"/>
        <v>1500000.95</v>
      </c>
      <c r="T58" s="447"/>
      <c r="U58" s="448"/>
      <c r="V58" s="448"/>
      <c r="W58" s="448"/>
      <c r="X58" s="449"/>
      <c r="Y58" s="449"/>
      <c r="Z58" s="450">
        <f t="shared" si="6"/>
        <v>330000.685</v>
      </c>
      <c r="AA58" s="450">
        <f t="shared" si="7"/>
        <v>1650003.425</v>
      </c>
      <c r="AB58" s="450">
        <f t="shared" si="8"/>
        <v>212135.53453453109</v>
      </c>
      <c r="AC58" s="451">
        <f t="shared" si="9"/>
        <v>0.1285667237536377</v>
      </c>
      <c r="AD58" s="398"/>
    </row>
    <row r="59" spans="1:30" s="370" customFormat="1" ht="409.5" x14ac:dyDescent="0.35">
      <c r="A59" s="276">
        <v>49</v>
      </c>
      <c r="B59" s="277" t="s">
        <v>149</v>
      </c>
      <c r="C59" s="277" t="s">
        <v>93</v>
      </c>
      <c r="D59" s="396" t="s">
        <v>94</v>
      </c>
      <c r="E59" s="277" t="s">
        <v>41</v>
      </c>
      <c r="F59" s="100">
        <v>900</v>
      </c>
      <c r="G59" s="277" t="s">
        <v>42</v>
      </c>
      <c r="H59" s="441" t="s">
        <v>95</v>
      </c>
      <c r="I59" s="397">
        <v>11700</v>
      </c>
      <c r="J59" s="442">
        <f>I59*8%</f>
        <v>936</v>
      </c>
      <c r="K59" s="442">
        <f t="shared" si="11"/>
        <v>12636</v>
      </c>
      <c r="L59" s="443">
        <f t="shared" si="12"/>
        <v>10530000</v>
      </c>
      <c r="M59" s="443">
        <f t="shared" si="13"/>
        <v>11372400</v>
      </c>
      <c r="N59" s="444" t="s">
        <v>50</v>
      </c>
      <c r="O59" s="445">
        <v>8570</v>
      </c>
      <c r="P59" s="445">
        <f>O59*8%</f>
        <v>685.6</v>
      </c>
      <c r="Q59" s="445">
        <f t="shared" si="0"/>
        <v>9255.6</v>
      </c>
      <c r="R59" s="446">
        <f t="shared" si="1"/>
        <v>7713000</v>
      </c>
      <c r="S59" s="446">
        <f t="shared" si="2"/>
        <v>8330040</v>
      </c>
      <c r="T59" s="447" t="s">
        <v>96</v>
      </c>
      <c r="U59" s="448">
        <v>13871</v>
      </c>
      <c r="V59" s="448"/>
      <c r="W59" s="448">
        <f t="shared" si="15"/>
        <v>13871</v>
      </c>
      <c r="X59" s="449">
        <f t="shared" si="4"/>
        <v>12483900</v>
      </c>
      <c r="Y59" s="449">
        <f t="shared" si="5"/>
        <v>12483900</v>
      </c>
      <c r="Z59" s="450">
        <f t="shared" si="6"/>
        <v>11920.866666666667</v>
      </c>
      <c r="AA59" s="450">
        <f t="shared" si="7"/>
        <v>10728780</v>
      </c>
      <c r="AB59" s="450">
        <f t="shared" si="8"/>
        <v>2150423.9705695249</v>
      </c>
      <c r="AC59" s="451">
        <f t="shared" si="9"/>
        <v>0.20043508866520937</v>
      </c>
      <c r="AD59" s="398"/>
    </row>
    <row r="60" spans="1:30" s="370" customFormat="1" ht="357" x14ac:dyDescent="0.35">
      <c r="A60" s="276">
        <v>50</v>
      </c>
      <c r="B60" s="277" t="s">
        <v>149</v>
      </c>
      <c r="C60" s="277" t="s">
        <v>97</v>
      </c>
      <c r="D60" s="396" t="s">
        <v>98</v>
      </c>
      <c r="E60" s="277" t="s">
        <v>41</v>
      </c>
      <c r="F60" s="100">
        <v>105</v>
      </c>
      <c r="G60" s="277" t="s">
        <v>42</v>
      </c>
      <c r="H60" s="441" t="s">
        <v>99</v>
      </c>
      <c r="I60" s="397">
        <v>21600</v>
      </c>
      <c r="J60" s="442">
        <f>I60*8%</f>
        <v>1728</v>
      </c>
      <c r="K60" s="442">
        <f t="shared" si="11"/>
        <v>23328</v>
      </c>
      <c r="L60" s="443">
        <f t="shared" si="12"/>
        <v>2268000</v>
      </c>
      <c r="M60" s="443">
        <f t="shared" si="13"/>
        <v>2449440</v>
      </c>
      <c r="N60" s="444" t="s">
        <v>100</v>
      </c>
      <c r="O60" s="445">
        <v>25000</v>
      </c>
      <c r="P60" s="445">
        <f>O60*8%</f>
        <v>2000</v>
      </c>
      <c r="Q60" s="445">
        <f t="shared" si="0"/>
        <v>27000</v>
      </c>
      <c r="R60" s="446">
        <f t="shared" si="1"/>
        <v>2625000</v>
      </c>
      <c r="S60" s="446">
        <f t="shared" si="2"/>
        <v>2835000</v>
      </c>
      <c r="T60" s="447" t="s">
        <v>101</v>
      </c>
      <c r="U60" s="448">
        <v>26824</v>
      </c>
      <c r="V60" s="448">
        <f>U60*8%</f>
        <v>2145.92</v>
      </c>
      <c r="W60" s="448">
        <f t="shared" si="15"/>
        <v>28969.919999999998</v>
      </c>
      <c r="X60" s="449">
        <f t="shared" si="4"/>
        <v>2816520</v>
      </c>
      <c r="Y60" s="449">
        <f t="shared" si="5"/>
        <v>3041841.5999999996</v>
      </c>
      <c r="Z60" s="450">
        <f t="shared" si="6"/>
        <v>26432.639999999999</v>
      </c>
      <c r="AA60" s="450">
        <f t="shared" si="7"/>
        <v>2775427.1999999997</v>
      </c>
      <c r="AB60" s="450">
        <f t="shared" si="8"/>
        <v>300660.27804736677</v>
      </c>
      <c r="AC60" s="451">
        <f t="shared" si="9"/>
        <v>0.10832936927596833</v>
      </c>
      <c r="AD60" s="398"/>
    </row>
    <row r="61" spans="1:30" s="370" customFormat="1" ht="63" x14ac:dyDescent="0.35">
      <c r="A61" s="276">
        <v>51</v>
      </c>
      <c r="B61" s="277" t="s">
        <v>153</v>
      </c>
      <c r="C61" s="277" t="s">
        <v>39</v>
      </c>
      <c r="D61" s="396" t="s">
        <v>40</v>
      </c>
      <c r="E61" s="277" t="s">
        <v>41</v>
      </c>
      <c r="F61" s="100">
        <v>60</v>
      </c>
      <c r="G61" s="277" t="s">
        <v>42</v>
      </c>
      <c r="H61" s="441" t="s">
        <v>43</v>
      </c>
      <c r="I61" s="397">
        <v>5033.6099999999997</v>
      </c>
      <c r="J61" s="442">
        <f t="shared" si="10"/>
        <v>956.38589999999999</v>
      </c>
      <c r="K61" s="442">
        <f t="shared" si="11"/>
        <v>5989.9958999999999</v>
      </c>
      <c r="L61" s="443">
        <f t="shared" si="12"/>
        <v>302016.59999999998</v>
      </c>
      <c r="M61" s="443">
        <f t="shared" si="13"/>
        <v>359399.75400000002</v>
      </c>
      <c r="N61" s="444" t="s">
        <v>44</v>
      </c>
      <c r="O61" s="445">
        <v>5462.18</v>
      </c>
      <c r="P61" s="445">
        <f t="shared" si="14"/>
        <v>1037.8142</v>
      </c>
      <c r="Q61" s="445">
        <f t="shared" si="0"/>
        <v>6499.9942000000001</v>
      </c>
      <c r="R61" s="446">
        <f t="shared" si="1"/>
        <v>327730.80000000005</v>
      </c>
      <c r="S61" s="446">
        <f t="shared" si="2"/>
        <v>389999.652</v>
      </c>
      <c r="T61" s="447" t="s">
        <v>45</v>
      </c>
      <c r="U61" s="448">
        <v>4201.68</v>
      </c>
      <c r="V61" s="448">
        <f t="shared" si="16"/>
        <v>798.31920000000002</v>
      </c>
      <c r="W61" s="448">
        <f t="shared" si="15"/>
        <v>4999.9992000000002</v>
      </c>
      <c r="X61" s="449">
        <f t="shared" si="4"/>
        <v>252100.80000000002</v>
      </c>
      <c r="Y61" s="449">
        <f t="shared" si="5"/>
        <v>299999.95199999999</v>
      </c>
      <c r="Z61" s="450">
        <f t="shared" si="6"/>
        <v>5829.9964333333337</v>
      </c>
      <c r="AA61" s="450">
        <f t="shared" si="7"/>
        <v>349799.78600000002</v>
      </c>
      <c r="AB61" s="450">
        <f t="shared" si="8"/>
        <v>45761.403379083953</v>
      </c>
      <c r="AC61" s="451">
        <f t="shared" si="9"/>
        <v>0.13082170204381985</v>
      </c>
      <c r="AD61" s="398"/>
    </row>
    <row r="62" spans="1:30" s="370" customFormat="1" ht="96" x14ac:dyDescent="0.35">
      <c r="A62" s="276">
        <v>52</v>
      </c>
      <c r="B62" s="277" t="s">
        <v>153</v>
      </c>
      <c r="C62" s="277" t="s">
        <v>46</v>
      </c>
      <c r="D62" s="396" t="s">
        <v>47</v>
      </c>
      <c r="E62" s="277" t="s">
        <v>41</v>
      </c>
      <c r="F62" s="100">
        <v>6</v>
      </c>
      <c r="G62" s="277" t="s">
        <v>42</v>
      </c>
      <c r="H62" s="441" t="s">
        <v>48</v>
      </c>
      <c r="I62" s="397">
        <v>5407.56</v>
      </c>
      <c r="J62" s="442">
        <f t="shared" si="10"/>
        <v>1027.4364</v>
      </c>
      <c r="K62" s="442">
        <f t="shared" si="11"/>
        <v>6434.9964</v>
      </c>
      <c r="L62" s="443">
        <f t="shared" si="12"/>
        <v>32445.360000000001</v>
      </c>
      <c r="M62" s="443">
        <f t="shared" si="13"/>
        <v>38609.9784</v>
      </c>
      <c r="N62" s="444" t="s">
        <v>49</v>
      </c>
      <c r="O62" s="445">
        <v>4628.57</v>
      </c>
      <c r="P62" s="445">
        <f t="shared" si="14"/>
        <v>879.42829999999992</v>
      </c>
      <c r="Q62" s="445">
        <f t="shared" si="0"/>
        <v>5507.9982999999993</v>
      </c>
      <c r="R62" s="446">
        <f t="shared" si="1"/>
        <v>27771.42</v>
      </c>
      <c r="S62" s="446">
        <f t="shared" si="2"/>
        <v>33047.989799999996</v>
      </c>
      <c r="T62" s="447" t="s">
        <v>50</v>
      </c>
      <c r="U62" s="448">
        <v>4968.91</v>
      </c>
      <c r="V62" s="448">
        <f t="shared" si="16"/>
        <v>944.09289999999999</v>
      </c>
      <c r="W62" s="448">
        <f t="shared" si="15"/>
        <v>5913.0028999999995</v>
      </c>
      <c r="X62" s="449">
        <f t="shared" si="4"/>
        <v>29813.46</v>
      </c>
      <c r="Y62" s="449">
        <f t="shared" si="5"/>
        <v>35478.017399999997</v>
      </c>
      <c r="Z62" s="450">
        <f t="shared" si="6"/>
        <v>5951.9991999999993</v>
      </c>
      <c r="AA62" s="450">
        <f t="shared" si="7"/>
        <v>35711.995199999998</v>
      </c>
      <c r="AB62" s="450">
        <f t="shared" si="8"/>
        <v>2788.3666374424529</v>
      </c>
      <c r="AC62" s="451">
        <f t="shared" si="9"/>
        <v>7.807927341574164E-2</v>
      </c>
      <c r="AD62" s="398"/>
    </row>
    <row r="63" spans="1:30" s="370" customFormat="1" ht="409.5" x14ac:dyDescent="0.35">
      <c r="A63" s="276">
        <v>53</v>
      </c>
      <c r="B63" s="277" t="s">
        <v>153</v>
      </c>
      <c r="C63" s="277" t="s">
        <v>154</v>
      </c>
      <c r="D63" s="396" t="s">
        <v>155</v>
      </c>
      <c r="E63" s="277" t="s">
        <v>41</v>
      </c>
      <c r="F63" s="100">
        <v>60</v>
      </c>
      <c r="G63" s="277" t="s">
        <v>42</v>
      </c>
      <c r="H63" s="441" t="s">
        <v>53</v>
      </c>
      <c r="I63" s="397">
        <v>31000</v>
      </c>
      <c r="J63" s="442">
        <f t="shared" si="10"/>
        <v>5890</v>
      </c>
      <c r="K63" s="442">
        <f t="shared" si="11"/>
        <v>36890</v>
      </c>
      <c r="L63" s="443">
        <f t="shared" si="12"/>
        <v>1860000</v>
      </c>
      <c r="M63" s="443">
        <f t="shared" si="13"/>
        <v>2213400</v>
      </c>
      <c r="N63" s="444" t="s">
        <v>110</v>
      </c>
      <c r="O63" s="445">
        <v>32820</v>
      </c>
      <c r="P63" s="445">
        <f t="shared" si="14"/>
        <v>6235.8</v>
      </c>
      <c r="Q63" s="445">
        <f t="shared" si="0"/>
        <v>39055.800000000003</v>
      </c>
      <c r="R63" s="446">
        <f t="shared" si="1"/>
        <v>1969200</v>
      </c>
      <c r="S63" s="446">
        <f t="shared" si="2"/>
        <v>2343348</v>
      </c>
      <c r="T63" s="447" t="s">
        <v>156</v>
      </c>
      <c r="U63" s="448">
        <v>34200</v>
      </c>
      <c r="V63" s="448">
        <f t="shared" si="16"/>
        <v>6498</v>
      </c>
      <c r="W63" s="448">
        <f t="shared" si="15"/>
        <v>40698</v>
      </c>
      <c r="X63" s="449">
        <f t="shared" si="4"/>
        <v>2052000</v>
      </c>
      <c r="Y63" s="449">
        <f t="shared" si="5"/>
        <v>2441880</v>
      </c>
      <c r="Z63" s="450">
        <f t="shared" si="6"/>
        <v>38881.26666666667</v>
      </c>
      <c r="AA63" s="450">
        <f t="shared" si="7"/>
        <v>2332876</v>
      </c>
      <c r="AB63" s="450">
        <f t="shared" si="8"/>
        <v>114599.4096319872</v>
      </c>
      <c r="AC63" s="451">
        <f t="shared" si="9"/>
        <v>4.9123660936966733E-2</v>
      </c>
      <c r="AD63" s="398"/>
    </row>
    <row r="64" spans="1:30" s="370" customFormat="1" ht="84" x14ac:dyDescent="0.35">
      <c r="A64" s="276">
        <v>54</v>
      </c>
      <c r="B64" s="277" t="s">
        <v>153</v>
      </c>
      <c r="C64" s="277" t="s">
        <v>81</v>
      </c>
      <c r="D64" s="396" t="s">
        <v>82</v>
      </c>
      <c r="E64" s="277" t="s">
        <v>41</v>
      </c>
      <c r="F64" s="100">
        <v>60</v>
      </c>
      <c r="G64" s="277" t="s">
        <v>42</v>
      </c>
      <c r="H64" s="441" t="s">
        <v>48</v>
      </c>
      <c r="I64" s="397">
        <v>2200</v>
      </c>
      <c r="J64" s="442">
        <f t="shared" si="10"/>
        <v>418</v>
      </c>
      <c r="K64" s="442">
        <f t="shared" si="11"/>
        <v>2618</v>
      </c>
      <c r="L64" s="443">
        <f t="shared" si="12"/>
        <v>132000</v>
      </c>
      <c r="M64" s="443">
        <f t="shared" si="13"/>
        <v>157080</v>
      </c>
      <c r="N64" s="444" t="s">
        <v>83</v>
      </c>
      <c r="O64" s="445">
        <v>2689.08</v>
      </c>
      <c r="P64" s="445">
        <f t="shared" si="14"/>
        <v>510.92520000000002</v>
      </c>
      <c r="Q64" s="445">
        <f t="shared" si="0"/>
        <v>3200.0052000000001</v>
      </c>
      <c r="R64" s="446">
        <f t="shared" si="1"/>
        <v>161344.79999999999</v>
      </c>
      <c r="S64" s="446">
        <f t="shared" si="2"/>
        <v>192000.31200000001</v>
      </c>
      <c r="T64" s="447" t="s">
        <v>84</v>
      </c>
      <c r="U64" s="448">
        <v>3800</v>
      </c>
      <c r="V64" s="448"/>
      <c r="W64" s="448">
        <f t="shared" si="15"/>
        <v>3800</v>
      </c>
      <c r="X64" s="449">
        <f t="shared" si="4"/>
        <v>228000</v>
      </c>
      <c r="Y64" s="449">
        <f t="shared" si="5"/>
        <v>228000</v>
      </c>
      <c r="Z64" s="450">
        <f t="shared" si="6"/>
        <v>3206.001733333333</v>
      </c>
      <c r="AA64" s="450">
        <f t="shared" si="7"/>
        <v>192360.10399999999</v>
      </c>
      <c r="AB64" s="450">
        <f t="shared" si="8"/>
        <v>35461.368948652285</v>
      </c>
      <c r="AC64" s="451">
        <f t="shared" si="9"/>
        <v>0.18434887594286331</v>
      </c>
      <c r="AD64" s="398"/>
    </row>
    <row r="65" spans="1:30" s="370" customFormat="1" ht="147" x14ac:dyDescent="0.35">
      <c r="A65" s="276">
        <v>55</v>
      </c>
      <c r="B65" s="277" t="s">
        <v>153</v>
      </c>
      <c r="C65" s="277" t="s">
        <v>345</v>
      </c>
      <c r="D65" s="396" t="s">
        <v>86</v>
      </c>
      <c r="E65" s="277" t="s">
        <v>87</v>
      </c>
      <c r="F65" s="100">
        <v>108</v>
      </c>
      <c r="G65" s="277" t="s">
        <v>88</v>
      </c>
      <c r="H65" s="441" t="s">
        <v>89</v>
      </c>
      <c r="I65" s="397">
        <v>302522</v>
      </c>
      <c r="J65" s="442">
        <f t="shared" si="10"/>
        <v>57479.18</v>
      </c>
      <c r="K65" s="442">
        <f t="shared" si="11"/>
        <v>360001.18</v>
      </c>
      <c r="L65" s="443">
        <f t="shared" si="12"/>
        <v>32672376</v>
      </c>
      <c r="M65" s="443">
        <f t="shared" si="13"/>
        <v>38880127.439999998</v>
      </c>
      <c r="N65" s="444" t="s">
        <v>90</v>
      </c>
      <c r="O65" s="445">
        <v>252101</v>
      </c>
      <c r="P65" s="445">
        <f t="shared" si="14"/>
        <v>47899.19</v>
      </c>
      <c r="Q65" s="445">
        <f t="shared" si="0"/>
        <v>300000.19</v>
      </c>
      <c r="R65" s="446">
        <f t="shared" si="1"/>
        <v>27226908</v>
      </c>
      <c r="S65" s="446">
        <f t="shared" si="2"/>
        <v>32400020.52</v>
      </c>
      <c r="T65" s="447"/>
      <c r="U65" s="448"/>
      <c r="V65" s="448"/>
      <c r="W65" s="448"/>
      <c r="X65" s="449"/>
      <c r="Y65" s="449"/>
      <c r="Z65" s="450">
        <f t="shared" si="6"/>
        <v>330000.685</v>
      </c>
      <c r="AA65" s="450">
        <f t="shared" si="7"/>
        <v>35640073.979999997</v>
      </c>
      <c r="AB65" s="450">
        <f t="shared" si="8"/>
        <v>4582127.5459458707</v>
      </c>
      <c r="AC65" s="451">
        <f t="shared" si="9"/>
        <v>0.1285667237536377</v>
      </c>
      <c r="AD65" s="398"/>
    </row>
    <row r="66" spans="1:30" s="370" customFormat="1" ht="105" x14ac:dyDescent="0.35">
      <c r="A66" s="276">
        <v>56</v>
      </c>
      <c r="B66" s="277" t="s">
        <v>153</v>
      </c>
      <c r="C66" s="277" t="s">
        <v>347</v>
      </c>
      <c r="D66" s="396" t="s">
        <v>352</v>
      </c>
      <c r="E66" s="277" t="s">
        <v>87</v>
      </c>
      <c r="F66" s="100">
        <v>5</v>
      </c>
      <c r="G66" s="277" t="s">
        <v>88</v>
      </c>
      <c r="H66" s="441" t="s">
        <v>89</v>
      </c>
      <c r="I66" s="397">
        <v>302522</v>
      </c>
      <c r="J66" s="442">
        <f t="shared" si="10"/>
        <v>57479.18</v>
      </c>
      <c r="K66" s="442">
        <f t="shared" si="11"/>
        <v>360001.18</v>
      </c>
      <c r="L66" s="443">
        <f t="shared" si="12"/>
        <v>1512610</v>
      </c>
      <c r="M66" s="443">
        <f t="shared" si="13"/>
        <v>1800005.9</v>
      </c>
      <c r="N66" s="444" t="s">
        <v>90</v>
      </c>
      <c r="O66" s="445">
        <v>252101</v>
      </c>
      <c r="P66" s="445">
        <f t="shared" si="14"/>
        <v>47899.19</v>
      </c>
      <c r="Q66" s="445">
        <f t="shared" si="0"/>
        <v>300000.19</v>
      </c>
      <c r="R66" s="446">
        <f t="shared" si="1"/>
        <v>1260505</v>
      </c>
      <c r="S66" s="446">
        <f t="shared" si="2"/>
        <v>1500000.95</v>
      </c>
      <c r="T66" s="447"/>
      <c r="U66" s="448"/>
      <c r="V66" s="448"/>
      <c r="W66" s="448"/>
      <c r="X66" s="449"/>
      <c r="Y66" s="449"/>
      <c r="Z66" s="450">
        <f t="shared" si="6"/>
        <v>330000.685</v>
      </c>
      <c r="AA66" s="450">
        <f t="shared" si="7"/>
        <v>1650003.425</v>
      </c>
      <c r="AB66" s="450">
        <f t="shared" si="8"/>
        <v>212135.53453453109</v>
      </c>
      <c r="AC66" s="451">
        <f t="shared" si="9"/>
        <v>0.1285667237536377</v>
      </c>
      <c r="AD66" s="398"/>
    </row>
    <row r="67" spans="1:30" s="370" customFormat="1" ht="409.5" x14ac:dyDescent="0.35">
      <c r="A67" s="276">
        <v>57</v>
      </c>
      <c r="B67" s="277" t="s">
        <v>153</v>
      </c>
      <c r="C67" s="277" t="s">
        <v>93</v>
      </c>
      <c r="D67" s="396" t="s">
        <v>94</v>
      </c>
      <c r="E67" s="277" t="s">
        <v>41</v>
      </c>
      <c r="F67" s="100">
        <v>540</v>
      </c>
      <c r="G67" s="277" t="s">
        <v>42</v>
      </c>
      <c r="H67" s="441" t="s">
        <v>95</v>
      </c>
      <c r="I67" s="397">
        <v>11700</v>
      </c>
      <c r="J67" s="442">
        <f>I67*8%</f>
        <v>936</v>
      </c>
      <c r="K67" s="442">
        <f t="shared" si="11"/>
        <v>12636</v>
      </c>
      <c r="L67" s="443">
        <f t="shared" si="12"/>
        <v>6318000</v>
      </c>
      <c r="M67" s="443">
        <f t="shared" si="13"/>
        <v>6823440</v>
      </c>
      <c r="N67" s="444" t="s">
        <v>50</v>
      </c>
      <c r="O67" s="445">
        <v>8570</v>
      </c>
      <c r="P67" s="445">
        <f>O67*8%</f>
        <v>685.6</v>
      </c>
      <c r="Q67" s="445">
        <f t="shared" si="0"/>
        <v>9255.6</v>
      </c>
      <c r="R67" s="446">
        <f t="shared" si="1"/>
        <v>4627800</v>
      </c>
      <c r="S67" s="446">
        <f t="shared" si="2"/>
        <v>4998024</v>
      </c>
      <c r="T67" s="447" t="s">
        <v>96</v>
      </c>
      <c r="U67" s="448">
        <v>13871</v>
      </c>
      <c r="V67" s="448"/>
      <c r="W67" s="448">
        <f t="shared" si="15"/>
        <v>13871</v>
      </c>
      <c r="X67" s="449">
        <f t="shared" si="4"/>
        <v>7490340</v>
      </c>
      <c r="Y67" s="449">
        <f t="shared" si="5"/>
        <v>7490340</v>
      </c>
      <c r="Z67" s="450">
        <f t="shared" si="6"/>
        <v>11920.866666666667</v>
      </c>
      <c r="AA67" s="450">
        <f t="shared" si="7"/>
        <v>6437268</v>
      </c>
      <c r="AB67" s="450">
        <f t="shared" si="8"/>
        <v>1290254.3823417148</v>
      </c>
      <c r="AC67" s="451">
        <f t="shared" si="9"/>
        <v>0.20043508866520934</v>
      </c>
      <c r="AD67" s="398"/>
    </row>
    <row r="68" spans="1:30" s="370" customFormat="1" ht="357" x14ac:dyDescent="0.35">
      <c r="A68" s="276">
        <v>58</v>
      </c>
      <c r="B68" s="277" t="s">
        <v>153</v>
      </c>
      <c r="C68" s="277" t="s">
        <v>97</v>
      </c>
      <c r="D68" s="396" t="s">
        <v>98</v>
      </c>
      <c r="E68" s="277" t="s">
        <v>41</v>
      </c>
      <c r="F68" s="100">
        <v>65</v>
      </c>
      <c r="G68" s="277" t="s">
        <v>42</v>
      </c>
      <c r="H68" s="441" t="s">
        <v>99</v>
      </c>
      <c r="I68" s="397">
        <v>21600</v>
      </c>
      <c r="J68" s="442">
        <f>I68*8%</f>
        <v>1728</v>
      </c>
      <c r="K68" s="442">
        <f t="shared" si="11"/>
        <v>23328</v>
      </c>
      <c r="L68" s="443">
        <f t="shared" si="12"/>
        <v>1404000</v>
      </c>
      <c r="M68" s="443">
        <f t="shared" si="13"/>
        <v>1516320</v>
      </c>
      <c r="N68" s="444" t="s">
        <v>100</v>
      </c>
      <c r="O68" s="445">
        <v>25000</v>
      </c>
      <c r="P68" s="445">
        <f>O68*8%</f>
        <v>2000</v>
      </c>
      <c r="Q68" s="445">
        <f t="shared" si="0"/>
        <v>27000</v>
      </c>
      <c r="R68" s="446">
        <f t="shared" si="1"/>
        <v>1625000</v>
      </c>
      <c r="S68" s="446">
        <f t="shared" si="2"/>
        <v>1755000</v>
      </c>
      <c r="T68" s="447" t="s">
        <v>101</v>
      </c>
      <c r="U68" s="448">
        <v>26824</v>
      </c>
      <c r="V68" s="448">
        <f>U68*8%</f>
        <v>2145.92</v>
      </c>
      <c r="W68" s="448">
        <f t="shared" si="15"/>
        <v>28969.919999999998</v>
      </c>
      <c r="X68" s="449">
        <f t="shared" si="4"/>
        <v>1743560</v>
      </c>
      <c r="Y68" s="449">
        <f t="shared" si="5"/>
        <v>1883044.7999999998</v>
      </c>
      <c r="Z68" s="450">
        <f t="shared" si="6"/>
        <v>26432.639999999999</v>
      </c>
      <c r="AA68" s="450">
        <f t="shared" si="7"/>
        <v>1718121.5999999999</v>
      </c>
      <c r="AB68" s="450">
        <f t="shared" si="8"/>
        <v>186123.02926741756</v>
      </c>
      <c r="AC68" s="451">
        <f t="shared" si="9"/>
        <v>0.10832936927596834</v>
      </c>
      <c r="AD68" s="398"/>
    </row>
    <row r="69" spans="1:30" s="370" customFormat="1" ht="126" x14ac:dyDescent="0.35">
      <c r="A69" s="276">
        <v>59</v>
      </c>
      <c r="B69" s="277" t="s">
        <v>157</v>
      </c>
      <c r="C69" s="277" t="s">
        <v>71</v>
      </c>
      <c r="D69" s="396" t="s">
        <v>355</v>
      </c>
      <c r="E69" s="277" t="s">
        <v>41</v>
      </c>
      <c r="F69" s="100">
        <v>410</v>
      </c>
      <c r="G69" s="277" t="s">
        <v>42</v>
      </c>
      <c r="H69" s="441" t="str">
        <f>VLOOKUP(C69,ITEMS_BolsaOperador!$D$2:$AQ$499,10,0)</f>
        <v>DICOES GRUPÓ PUBLICITARIO SAS</v>
      </c>
      <c r="I69" s="397">
        <v>38000</v>
      </c>
      <c r="J69" s="442">
        <f t="shared" ref="J69:J70" si="24">I69*19%</f>
        <v>7220</v>
      </c>
      <c r="K69" s="442">
        <f t="shared" si="11"/>
        <v>45220</v>
      </c>
      <c r="L69" s="443">
        <f t="shared" si="12"/>
        <v>15580000</v>
      </c>
      <c r="M69" s="443">
        <f t="shared" si="13"/>
        <v>18540200</v>
      </c>
      <c r="N69" s="444" t="str">
        <f>VLOOKUP(C69,ITEMS_BolsaOperador!$D$2:$AQ$499,23,0)</f>
        <v>NEXUS ESTUDIO GRÁFICOS</v>
      </c>
      <c r="O69" s="445">
        <v>38000</v>
      </c>
      <c r="P69" s="445">
        <f t="shared" ref="P69:P72" si="25">O69*19%</f>
        <v>7220</v>
      </c>
      <c r="Q69" s="445">
        <f t="shared" si="0"/>
        <v>45220</v>
      </c>
      <c r="R69" s="446">
        <f t="shared" si="1"/>
        <v>15580000</v>
      </c>
      <c r="S69" s="446">
        <f t="shared" si="2"/>
        <v>18540200</v>
      </c>
      <c r="T69" s="447" t="str">
        <f>VLOOKUP(C69,ITEMS_BolsaOperador!$D$2:$AQ$499,36,0)</f>
        <v>angie Pachon (personalizado INK)</v>
      </c>
      <c r="U69" s="448">
        <v>38000</v>
      </c>
      <c r="V69" s="448"/>
      <c r="W69" s="448">
        <f t="shared" si="15"/>
        <v>38000</v>
      </c>
      <c r="X69" s="449">
        <f t="shared" si="4"/>
        <v>15580000</v>
      </c>
      <c r="Y69" s="449">
        <f t="shared" si="5"/>
        <v>15580000</v>
      </c>
      <c r="Z69" s="450">
        <f t="shared" si="6"/>
        <v>42813.333333333336</v>
      </c>
      <c r="AA69" s="450">
        <f t="shared" si="7"/>
        <v>17553466.666666668</v>
      </c>
      <c r="AB69" s="450">
        <f t="shared" si="8"/>
        <v>1709072.2668551302</v>
      </c>
      <c r="AC69" s="451">
        <f t="shared" si="9"/>
        <v>9.7363802792333337E-2</v>
      </c>
      <c r="AD69" s="398" t="s">
        <v>356</v>
      </c>
    </row>
    <row r="70" spans="1:30" s="370" customFormat="1" ht="105" x14ac:dyDescent="0.35">
      <c r="A70" s="276">
        <v>60</v>
      </c>
      <c r="B70" s="277" t="s">
        <v>157</v>
      </c>
      <c r="C70" s="277" t="s">
        <v>358</v>
      </c>
      <c r="D70" s="396" t="s">
        <v>359</v>
      </c>
      <c r="E70" s="277" t="s">
        <v>41</v>
      </c>
      <c r="F70" s="100">
        <v>410</v>
      </c>
      <c r="G70" s="277" t="s">
        <v>42</v>
      </c>
      <c r="H70" s="441" t="s">
        <v>360</v>
      </c>
      <c r="I70" s="397">
        <v>2500</v>
      </c>
      <c r="J70" s="442">
        <f t="shared" si="24"/>
        <v>475</v>
      </c>
      <c r="K70" s="442">
        <f t="shared" si="11"/>
        <v>2975</v>
      </c>
      <c r="L70" s="443">
        <f t="shared" si="12"/>
        <v>1025000</v>
      </c>
      <c r="M70" s="443">
        <f t="shared" si="13"/>
        <v>1219750</v>
      </c>
      <c r="N70" s="444" t="s">
        <v>361</v>
      </c>
      <c r="O70" s="445">
        <v>2500</v>
      </c>
      <c r="P70" s="445">
        <f t="shared" si="25"/>
        <v>475</v>
      </c>
      <c r="Q70" s="445">
        <f t="shared" si="0"/>
        <v>2975</v>
      </c>
      <c r="R70" s="446">
        <f t="shared" si="1"/>
        <v>1025000</v>
      </c>
      <c r="S70" s="446">
        <f t="shared" si="2"/>
        <v>1219750</v>
      </c>
      <c r="T70" s="447"/>
      <c r="U70" s="448"/>
      <c r="V70" s="448"/>
      <c r="W70" s="448"/>
      <c r="X70" s="449"/>
      <c r="Y70" s="449"/>
      <c r="Z70" s="450">
        <f t="shared" si="6"/>
        <v>2975</v>
      </c>
      <c r="AA70" s="450">
        <f t="shared" si="7"/>
        <v>1219750</v>
      </c>
      <c r="AB70" s="450">
        <f t="shared" si="8"/>
        <v>0</v>
      </c>
      <c r="AC70" s="451">
        <f t="shared" si="9"/>
        <v>0</v>
      </c>
      <c r="AD70" s="398"/>
    </row>
    <row r="71" spans="1:30" s="370" customFormat="1" ht="189" x14ac:dyDescent="0.35">
      <c r="A71" s="276">
        <v>61</v>
      </c>
      <c r="B71" s="277" t="s">
        <v>157</v>
      </c>
      <c r="C71" s="277" t="s">
        <v>78</v>
      </c>
      <c r="D71" s="396" t="s">
        <v>363</v>
      </c>
      <c r="E71" s="277" t="s">
        <v>41</v>
      </c>
      <c r="F71" s="100">
        <v>410</v>
      </c>
      <c r="G71" s="277" t="s">
        <v>42</v>
      </c>
      <c r="H71" s="441" t="s">
        <v>75</v>
      </c>
      <c r="I71" s="397">
        <v>15000</v>
      </c>
      <c r="J71" s="442"/>
      <c r="K71" s="442">
        <f t="shared" si="11"/>
        <v>15000</v>
      </c>
      <c r="L71" s="443">
        <f t="shared" si="12"/>
        <v>6150000</v>
      </c>
      <c r="M71" s="443">
        <f t="shared" si="13"/>
        <v>6150000</v>
      </c>
      <c r="N71" s="444" t="s">
        <v>80</v>
      </c>
      <c r="O71" s="445">
        <v>12000</v>
      </c>
      <c r="P71" s="445">
        <f t="shared" si="25"/>
        <v>2280</v>
      </c>
      <c r="Q71" s="445">
        <f t="shared" si="0"/>
        <v>14280</v>
      </c>
      <c r="R71" s="446">
        <f t="shared" si="1"/>
        <v>4920000</v>
      </c>
      <c r="S71" s="446">
        <f t="shared" si="2"/>
        <v>5854800</v>
      </c>
      <c r="T71" s="447"/>
      <c r="U71" s="448"/>
      <c r="V71" s="448"/>
      <c r="W71" s="448"/>
      <c r="X71" s="449"/>
      <c r="Y71" s="449"/>
      <c r="Z71" s="450">
        <f t="shared" si="6"/>
        <v>14640</v>
      </c>
      <c r="AA71" s="450">
        <f t="shared" si="7"/>
        <v>6002400</v>
      </c>
      <c r="AB71" s="450">
        <f t="shared" si="8"/>
        <v>208737.92180626883</v>
      </c>
      <c r="AC71" s="451">
        <f t="shared" si="9"/>
        <v>3.4775743337043322E-2</v>
      </c>
      <c r="AD71" s="398" t="s">
        <v>356</v>
      </c>
    </row>
    <row r="72" spans="1:30" s="370" customFormat="1" ht="252" x14ac:dyDescent="0.35">
      <c r="A72" s="276">
        <v>62</v>
      </c>
      <c r="B72" s="277" t="s">
        <v>157</v>
      </c>
      <c r="C72" s="277" t="s">
        <v>364</v>
      </c>
      <c r="D72" s="396" t="s">
        <v>162</v>
      </c>
      <c r="E72" s="277" t="s">
        <v>41</v>
      </c>
      <c r="F72" s="100">
        <v>410</v>
      </c>
      <c r="G72" s="277" t="s">
        <v>42</v>
      </c>
      <c r="H72" s="441" t="s">
        <v>53</v>
      </c>
      <c r="I72" s="397">
        <v>14000</v>
      </c>
      <c r="J72" s="442">
        <f t="shared" ref="J72" si="26">I72*19%</f>
        <v>2660</v>
      </c>
      <c r="K72" s="442">
        <f t="shared" si="11"/>
        <v>16660</v>
      </c>
      <c r="L72" s="443">
        <f t="shared" si="12"/>
        <v>5740000</v>
      </c>
      <c r="M72" s="443">
        <f t="shared" si="13"/>
        <v>6830600</v>
      </c>
      <c r="N72" s="444" t="s">
        <v>50</v>
      </c>
      <c r="O72" s="445">
        <v>11890</v>
      </c>
      <c r="P72" s="445">
        <f t="shared" si="25"/>
        <v>2259.1</v>
      </c>
      <c r="Q72" s="445">
        <f t="shared" si="0"/>
        <v>14149.1</v>
      </c>
      <c r="R72" s="446">
        <f t="shared" si="1"/>
        <v>4874900</v>
      </c>
      <c r="S72" s="446">
        <f t="shared" si="2"/>
        <v>5801131</v>
      </c>
      <c r="T72" s="447" t="s">
        <v>137</v>
      </c>
      <c r="U72" s="448">
        <v>15000</v>
      </c>
      <c r="V72" s="448">
        <f t="shared" ref="V72" si="27">U72*19%</f>
        <v>2850</v>
      </c>
      <c r="W72" s="448">
        <f t="shared" si="15"/>
        <v>17850</v>
      </c>
      <c r="X72" s="449">
        <f t="shared" si="4"/>
        <v>6150000</v>
      </c>
      <c r="Y72" s="449">
        <f t="shared" si="5"/>
        <v>7318500</v>
      </c>
      <c r="Z72" s="450">
        <f t="shared" si="6"/>
        <v>16219.699999999999</v>
      </c>
      <c r="AA72" s="450">
        <f t="shared" si="7"/>
        <v>6650077</v>
      </c>
      <c r="AB72" s="450">
        <f t="shared" si="8"/>
        <v>774624.80317054142</v>
      </c>
      <c r="AC72" s="451">
        <f t="shared" si="9"/>
        <v>0.11648358405031121</v>
      </c>
      <c r="AD72" s="398"/>
    </row>
    <row r="73" spans="1:30" s="370" customFormat="1" ht="252" x14ac:dyDescent="0.35">
      <c r="A73" s="276">
        <v>63</v>
      </c>
      <c r="B73" s="277" t="s">
        <v>157</v>
      </c>
      <c r="C73" s="277" t="s">
        <v>364</v>
      </c>
      <c r="D73" s="396" t="s">
        <v>162</v>
      </c>
      <c r="E73" s="277" t="s">
        <v>41</v>
      </c>
      <c r="F73" s="100">
        <v>50</v>
      </c>
      <c r="G73" s="277" t="s">
        <v>42</v>
      </c>
      <c r="H73" s="441" t="s">
        <v>53</v>
      </c>
      <c r="I73" s="397">
        <v>14000</v>
      </c>
      <c r="J73" s="442">
        <f t="shared" si="10"/>
        <v>2660</v>
      </c>
      <c r="K73" s="442">
        <f t="shared" si="11"/>
        <v>16660</v>
      </c>
      <c r="L73" s="443">
        <f t="shared" si="12"/>
        <v>700000</v>
      </c>
      <c r="M73" s="443">
        <f t="shared" si="13"/>
        <v>833000</v>
      </c>
      <c r="N73" s="444" t="s">
        <v>50</v>
      </c>
      <c r="O73" s="445">
        <v>11890</v>
      </c>
      <c r="P73" s="445">
        <f t="shared" si="14"/>
        <v>2259.1</v>
      </c>
      <c r="Q73" s="445">
        <f t="shared" si="0"/>
        <v>14149.1</v>
      </c>
      <c r="R73" s="446">
        <f t="shared" si="1"/>
        <v>594500</v>
      </c>
      <c r="S73" s="446">
        <f t="shared" si="2"/>
        <v>707455</v>
      </c>
      <c r="T73" s="447" t="s">
        <v>137</v>
      </c>
      <c r="U73" s="448">
        <v>15000</v>
      </c>
      <c r="V73" s="448">
        <f t="shared" si="16"/>
        <v>2850</v>
      </c>
      <c r="W73" s="448">
        <f t="shared" si="15"/>
        <v>17850</v>
      </c>
      <c r="X73" s="449">
        <f t="shared" si="4"/>
        <v>750000</v>
      </c>
      <c r="Y73" s="449">
        <f t="shared" si="5"/>
        <v>892500</v>
      </c>
      <c r="Z73" s="450">
        <f t="shared" si="6"/>
        <v>16219.699999999999</v>
      </c>
      <c r="AA73" s="450">
        <f t="shared" si="7"/>
        <v>810985</v>
      </c>
      <c r="AB73" s="450">
        <f t="shared" si="8"/>
        <v>94466.439411041632</v>
      </c>
      <c r="AC73" s="451">
        <f t="shared" si="9"/>
        <v>0.1164835840503112</v>
      </c>
      <c r="AD73" s="398"/>
    </row>
    <row r="74" spans="1:30" s="370" customFormat="1" ht="360" x14ac:dyDescent="0.35">
      <c r="A74" s="276">
        <v>64</v>
      </c>
      <c r="B74" s="277" t="s">
        <v>157</v>
      </c>
      <c r="C74" s="277" t="s">
        <v>365</v>
      </c>
      <c r="D74" s="396" t="s">
        <v>164</v>
      </c>
      <c r="E74" s="277" t="s">
        <v>41</v>
      </c>
      <c r="F74" s="100">
        <v>10</v>
      </c>
      <c r="G74" s="277" t="s">
        <v>88</v>
      </c>
      <c r="H74" s="441" t="s">
        <v>165</v>
      </c>
      <c r="I74" s="397">
        <v>385870.58823529416</v>
      </c>
      <c r="J74" s="442">
        <f t="shared" si="10"/>
        <v>73315.411764705888</v>
      </c>
      <c r="K74" s="442">
        <f t="shared" si="11"/>
        <v>459186.00000000006</v>
      </c>
      <c r="L74" s="443">
        <f t="shared" si="12"/>
        <v>3858705.8823529417</v>
      </c>
      <c r="M74" s="443">
        <f t="shared" si="13"/>
        <v>4591860.0000000009</v>
      </c>
      <c r="N74" s="444" t="s">
        <v>166</v>
      </c>
      <c r="O74" s="445">
        <v>380168</v>
      </c>
      <c r="P74" s="445">
        <f t="shared" si="14"/>
        <v>72231.92</v>
      </c>
      <c r="Q74" s="445">
        <f t="shared" si="0"/>
        <v>452399.92</v>
      </c>
      <c r="R74" s="446">
        <f t="shared" si="1"/>
        <v>3801680</v>
      </c>
      <c r="S74" s="446">
        <f t="shared" si="2"/>
        <v>4523999.2</v>
      </c>
      <c r="T74" s="447"/>
      <c r="U74" s="448"/>
      <c r="V74" s="448"/>
      <c r="W74" s="448"/>
      <c r="X74" s="449"/>
      <c r="Y74" s="449"/>
      <c r="Z74" s="450">
        <f t="shared" si="6"/>
        <v>455792.96</v>
      </c>
      <c r="AA74" s="450">
        <f t="shared" si="7"/>
        <v>4557929.6000000006</v>
      </c>
      <c r="AB74" s="450">
        <f t="shared" si="8"/>
        <v>47984.831856744589</v>
      </c>
      <c r="AC74" s="451">
        <f t="shared" si="9"/>
        <v>1.0527769418980185E-2</v>
      </c>
      <c r="AD74" s="398"/>
    </row>
    <row r="75" spans="1:30" s="370" customFormat="1" ht="105" x14ac:dyDescent="0.35">
      <c r="A75" s="276">
        <v>65</v>
      </c>
      <c r="B75" s="277" t="s">
        <v>157</v>
      </c>
      <c r="C75" s="277" t="s">
        <v>366</v>
      </c>
      <c r="D75" s="396" t="s">
        <v>367</v>
      </c>
      <c r="E75" s="277" t="s">
        <v>169</v>
      </c>
      <c r="F75" s="100">
        <v>80</v>
      </c>
      <c r="G75" s="277" t="s">
        <v>88</v>
      </c>
      <c r="H75" s="441" t="s">
        <v>170</v>
      </c>
      <c r="I75" s="397">
        <v>4436.79</v>
      </c>
      <c r="J75" s="442">
        <f t="shared" si="10"/>
        <v>842.99009999999998</v>
      </c>
      <c r="K75" s="442">
        <f t="shared" si="11"/>
        <v>5279.7800999999999</v>
      </c>
      <c r="L75" s="443">
        <f t="shared" si="12"/>
        <v>354943.2</v>
      </c>
      <c r="M75" s="443">
        <f t="shared" si="13"/>
        <v>422382.408</v>
      </c>
      <c r="N75" s="444" t="s">
        <v>166</v>
      </c>
      <c r="O75" s="445">
        <v>4997</v>
      </c>
      <c r="P75" s="445">
        <v>0</v>
      </c>
      <c r="Q75" s="445">
        <f t="shared" ref="Q75:Q109" si="28">O75+P75</f>
        <v>4997</v>
      </c>
      <c r="R75" s="446">
        <f t="shared" ref="R75:R109" si="29">IF(B75="","",(O75*F75))</f>
        <v>399760</v>
      </c>
      <c r="S75" s="446">
        <f t="shared" ref="S75:S109" si="30">IF(B75="","",(Q75*F75))</f>
        <v>399760</v>
      </c>
      <c r="T75" s="447" t="s">
        <v>171</v>
      </c>
      <c r="U75" s="448">
        <v>4033.61</v>
      </c>
      <c r="V75" s="448">
        <f t="shared" si="16"/>
        <v>766.38589999999999</v>
      </c>
      <c r="W75" s="448">
        <f t="shared" si="15"/>
        <v>4799.9958999999999</v>
      </c>
      <c r="X75" s="449">
        <f t="shared" ref="X75" si="31">IF(B75="","",(U75*F75))</f>
        <v>322688.8</v>
      </c>
      <c r="Y75" s="449">
        <f t="shared" ref="Y75" si="32">IF(B75="","",(W75*F75))</f>
        <v>383999.67200000002</v>
      </c>
      <c r="Z75" s="450">
        <f t="shared" ref="Z75:Z109" si="33">IF(A75="","",AVERAGE(K75,Q75,W75))</f>
        <v>5025.5919999999996</v>
      </c>
      <c r="AA75" s="450">
        <f t="shared" ref="AA75:AA109" si="34">IF(B75="","",Z75*F75)</f>
        <v>402047.36</v>
      </c>
      <c r="AB75" s="450">
        <f t="shared" ref="AB75:AB109" si="35">IF(B75="","",STDEV(M75,S75,Y75))</f>
        <v>19293.330908337823</v>
      </c>
      <c r="AC75" s="451">
        <f t="shared" ref="AC75:AC109" si="36">IF(B75="","",(AB75/AA75))</f>
        <v>4.7987706991379879E-2</v>
      </c>
      <c r="AD75" s="398"/>
    </row>
    <row r="76" spans="1:30" s="370" customFormat="1" ht="360" x14ac:dyDescent="0.35">
      <c r="A76" s="276">
        <v>66</v>
      </c>
      <c r="B76" s="277" t="s">
        <v>157</v>
      </c>
      <c r="C76" s="277" t="s">
        <v>368</v>
      </c>
      <c r="D76" s="396" t="s">
        <v>173</v>
      </c>
      <c r="E76" s="277" t="s">
        <v>41</v>
      </c>
      <c r="F76" s="100">
        <v>20</v>
      </c>
      <c r="G76" s="277" t="s">
        <v>88</v>
      </c>
      <c r="H76" s="441" t="s">
        <v>165</v>
      </c>
      <c r="I76" s="397">
        <v>11508</v>
      </c>
      <c r="J76" s="442"/>
      <c r="K76" s="442">
        <f t="shared" ref="K76:K109" si="37">I76+J76</f>
        <v>11508</v>
      </c>
      <c r="L76" s="443">
        <f t="shared" ref="L76:L109" si="38">IF(B76="","",(I76*F76))</f>
        <v>230160</v>
      </c>
      <c r="M76" s="443">
        <f t="shared" ref="M76:M109" si="39">IF(B76="","",(K76*F76))</f>
        <v>230160</v>
      </c>
      <c r="N76" s="444" t="s">
        <v>166</v>
      </c>
      <c r="O76" s="445">
        <v>9528</v>
      </c>
      <c r="P76" s="445">
        <f t="shared" ref="P76:P94" si="40">O76*19%</f>
        <v>1810.32</v>
      </c>
      <c r="Q76" s="445">
        <f t="shared" si="28"/>
        <v>11338.32</v>
      </c>
      <c r="R76" s="446">
        <f t="shared" si="29"/>
        <v>190560</v>
      </c>
      <c r="S76" s="446">
        <f t="shared" si="30"/>
        <v>226766.4</v>
      </c>
      <c r="T76" s="447"/>
      <c r="U76" s="448"/>
      <c r="V76" s="448"/>
      <c r="W76" s="448"/>
      <c r="X76" s="449"/>
      <c r="Y76" s="449"/>
      <c r="Z76" s="450">
        <f t="shared" si="33"/>
        <v>11423.16</v>
      </c>
      <c r="AA76" s="450">
        <f t="shared" si="34"/>
        <v>228463.2</v>
      </c>
      <c r="AB76" s="450">
        <f t="shared" si="35"/>
        <v>2399.6375726346719</v>
      </c>
      <c r="AC76" s="451">
        <f t="shared" si="36"/>
        <v>1.0503387734368912E-2</v>
      </c>
      <c r="AD76" s="398"/>
    </row>
    <row r="77" spans="1:30" s="370" customFormat="1" ht="105" x14ac:dyDescent="0.35">
      <c r="A77" s="276">
        <v>67</v>
      </c>
      <c r="B77" s="277" t="s">
        <v>157</v>
      </c>
      <c r="C77" s="277" t="s">
        <v>369</v>
      </c>
      <c r="D77" s="396" t="s">
        <v>175</v>
      </c>
      <c r="E77" s="277" t="s">
        <v>176</v>
      </c>
      <c r="F77" s="100">
        <v>1</v>
      </c>
      <c r="G77" s="277" t="s">
        <v>88</v>
      </c>
      <c r="H77" s="441" t="s">
        <v>101</v>
      </c>
      <c r="I77" s="397">
        <v>1050000</v>
      </c>
      <c r="J77" s="442">
        <f t="shared" ref="J77:J109" si="41">I77*19%</f>
        <v>199500</v>
      </c>
      <c r="K77" s="442">
        <f t="shared" si="37"/>
        <v>1249500</v>
      </c>
      <c r="L77" s="443">
        <f t="shared" si="38"/>
        <v>1050000</v>
      </c>
      <c r="M77" s="443">
        <f t="shared" si="39"/>
        <v>1249500</v>
      </c>
      <c r="N77" s="444" t="s">
        <v>177</v>
      </c>
      <c r="O77" s="445">
        <v>1500000</v>
      </c>
      <c r="P77" s="445">
        <f t="shared" si="40"/>
        <v>285000</v>
      </c>
      <c r="Q77" s="445">
        <f t="shared" si="28"/>
        <v>1785000</v>
      </c>
      <c r="R77" s="446">
        <f t="shared" si="29"/>
        <v>1500000</v>
      </c>
      <c r="S77" s="446">
        <f t="shared" si="30"/>
        <v>1785000</v>
      </c>
      <c r="T77" s="447" t="s">
        <v>178</v>
      </c>
      <c r="U77" s="448">
        <v>1260504</v>
      </c>
      <c r="V77" s="448">
        <f t="shared" si="16"/>
        <v>239495.76</v>
      </c>
      <c r="W77" s="448">
        <f t="shared" ref="W77:W109" si="42">U77+V77</f>
        <v>1499999.76</v>
      </c>
      <c r="X77" s="449">
        <f t="shared" ref="X77:X109" si="43">IF(B77="","",(U77*F77))</f>
        <v>1260504</v>
      </c>
      <c r="Y77" s="449">
        <f t="shared" ref="Y77:Y109" si="44">IF(B77="","",(W77*F77))</f>
        <v>1499999.76</v>
      </c>
      <c r="Z77" s="450">
        <f t="shared" si="33"/>
        <v>1511499.92</v>
      </c>
      <c r="AA77" s="450">
        <f t="shared" si="34"/>
        <v>1511499.92</v>
      </c>
      <c r="AB77" s="450">
        <f t="shared" si="35"/>
        <v>267935.1652172957</v>
      </c>
      <c r="AC77" s="451">
        <f t="shared" si="36"/>
        <v>0.17726442566883874</v>
      </c>
      <c r="AD77" s="398"/>
    </row>
    <row r="78" spans="1:30" s="370" customFormat="1" ht="168" x14ac:dyDescent="0.35">
      <c r="A78" s="276">
        <v>68</v>
      </c>
      <c r="B78" s="277" t="s">
        <v>157</v>
      </c>
      <c r="C78" s="277" t="s">
        <v>370</v>
      </c>
      <c r="D78" s="396" t="s">
        <v>180</v>
      </c>
      <c r="E78" s="277" t="s">
        <v>41</v>
      </c>
      <c r="F78" s="100">
        <v>1</v>
      </c>
      <c r="G78" s="277" t="s">
        <v>88</v>
      </c>
      <c r="H78" s="441" t="s">
        <v>101</v>
      </c>
      <c r="I78" s="397">
        <v>1250000</v>
      </c>
      <c r="J78" s="442">
        <f t="shared" si="41"/>
        <v>237500</v>
      </c>
      <c r="K78" s="442">
        <f t="shared" si="37"/>
        <v>1487500</v>
      </c>
      <c r="L78" s="443">
        <f t="shared" si="38"/>
        <v>1250000</v>
      </c>
      <c r="M78" s="443">
        <f t="shared" si="39"/>
        <v>1487500</v>
      </c>
      <c r="N78" s="444" t="s">
        <v>178</v>
      </c>
      <c r="O78" s="445">
        <v>1008403</v>
      </c>
      <c r="P78" s="445">
        <f t="shared" si="40"/>
        <v>191596.57</v>
      </c>
      <c r="Q78" s="445">
        <f t="shared" si="28"/>
        <v>1199999.57</v>
      </c>
      <c r="R78" s="446">
        <f t="shared" si="29"/>
        <v>1008403</v>
      </c>
      <c r="S78" s="446">
        <f t="shared" si="30"/>
        <v>1199999.57</v>
      </c>
      <c r="T78" s="447" t="s">
        <v>181</v>
      </c>
      <c r="U78" s="448">
        <v>1100000</v>
      </c>
      <c r="V78" s="448">
        <f t="shared" si="16"/>
        <v>209000</v>
      </c>
      <c r="W78" s="448">
        <f t="shared" si="42"/>
        <v>1309000</v>
      </c>
      <c r="X78" s="449">
        <f t="shared" si="43"/>
        <v>1100000</v>
      </c>
      <c r="Y78" s="449">
        <f t="shared" si="44"/>
        <v>1309000</v>
      </c>
      <c r="Z78" s="450">
        <f t="shared" si="33"/>
        <v>1332166.5233333334</v>
      </c>
      <c r="AA78" s="450">
        <f t="shared" si="34"/>
        <v>1332166.5233333334</v>
      </c>
      <c r="AB78" s="450">
        <f t="shared" si="35"/>
        <v>145143.51575272533</v>
      </c>
      <c r="AC78" s="451">
        <f t="shared" si="36"/>
        <v>0.10895298238657786</v>
      </c>
      <c r="AD78" s="398"/>
    </row>
    <row r="79" spans="1:30" s="370" customFormat="1" ht="105" x14ac:dyDescent="0.35">
      <c r="A79" s="276">
        <v>69</v>
      </c>
      <c r="B79" s="277" t="s">
        <v>157</v>
      </c>
      <c r="C79" s="277" t="s">
        <v>139</v>
      </c>
      <c r="D79" s="396" t="s">
        <v>140</v>
      </c>
      <c r="E79" s="277" t="s">
        <v>182</v>
      </c>
      <c r="F79" s="100">
        <v>40</v>
      </c>
      <c r="G79" s="277" t="s">
        <v>42</v>
      </c>
      <c r="H79" s="441" t="s">
        <v>43</v>
      </c>
      <c r="I79" s="397">
        <v>13277.31</v>
      </c>
      <c r="J79" s="442">
        <f t="shared" si="41"/>
        <v>2522.6889000000001</v>
      </c>
      <c r="K79" s="442">
        <f t="shared" si="37"/>
        <v>15799.998899999999</v>
      </c>
      <c r="L79" s="443">
        <f t="shared" si="38"/>
        <v>531092.4</v>
      </c>
      <c r="M79" s="443">
        <f t="shared" si="39"/>
        <v>631999.95600000001</v>
      </c>
      <c r="N79" s="444" t="s">
        <v>142</v>
      </c>
      <c r="O79" s="445">
        <v>16369.75</v>
      </c>
      <c r="P79" s="445">
        <f t="shared" si="40"/>
        <v>3110.2525000000001</v>
      </c>
      <c r="Q79" s="445">
        <f t="shared" si="28"/>
        <v>19480.002499999999</v>
      </c>
      <c r="R79" s="446">
        <f t="shared" si="29"/>
        <v>654790</v>
      </c>
      <c r="S79" s="446">
        <f t="shared" si="30"/>
        <v>779200.1</v>
      </c>
      <c r="T79" s="447" t="s">
        <v>143</v>
      </c>
      <c r="U79" s="448">
        <v>14621.85</v>
      </c>
      <c r="V79" s="448">
        <f t="shared" si="16"/>
        <v>2778.1514999999999</v>
      </c>
      <c r="W79" s="448">
        <f t="shared" si="42"/>
        <v>17400.001499999998</v>
      </c>
      <c r="X79" s="449">
        <f t="shared" si="43"/>
        <v>584874</v>
      </c>
      <c r="Y79" s="449">
        <f t="shared" si="44"/>
        <v>696000.05999999994</v>
      </c>
      <c r="Z79" s="450">
        <f t="shared" si="33"/>
        <v>17560.000966666663</v>
      </c>
      <c r="AA79" s="450">
        <f t="shared" si="34"/>
        <v>702400.03866666649</v>
      </c>
      <c r="AB79" s="450">
        <f t="shared" si="35"/>
        <v>73808.47101522646</v>
      </c>
      <c r="AC79" s="451">
        <f t="shared" si="36"/>
        <v>0.10508039144663726</v>
      </c>
      <c r="AD79" s="398"/>
    </row>
    <row r="80" spans="1:30" s="370" customFormat="1" ht="168" x14ac:dyDescent="0.35">
      <c r="A80" s="276">
        <v>70</v>
      </c>
      <c r="B80" s="277" t="s">
        <v>157</v>
      </c>
      <c r="C80" s="277" t="s">
        <v>183</v>
      </c>
      <c r="D80" s="396" t="s">
        <v>184</v>
      </c>
      <c r="E80" s="277" t="s">
        <v>41</v>
      </c>
      <c r="F80" s="100">
        <v>410</v>
      </c>
      <c r="G80" s="277" t="s">
        <v>42</v>
      </c>
      <c r="H80" s="441" t="s">
        <v>101</v>
      </c>
      <c r="I80" s="397">
        <v>14500</v>
      </c>
      <c r="J80" s="442">
        <f>I80*8%</f>
        <v>1160</v>
      </c>
      <c r="K80" s="442">
        <f t="shared" si="37"/>
        <v>15660</v>
      </c>
      <c r="L80" s="443">
        <f t="shared" si="38"/>
        <v>5945000</v>
      </c>
      <c r="M80" s="443">
        <f t="shared" si="39"/>
        <v>6420600</v>
      </c>
      <c r="N80" s="444" t="s">
        <v>185</v>
      </c>
      <c r="O80" s="445">
        <v>16300</v>
      </c>
      <c r="P80" s="445">
        <f>O80*8%</f>
        <v>1304</v>
      </c>
      <c r="Q80" s="445">
        <f t="shared" si="28"/>
        <v>17604</v>
      </c>
      <c r="R80" s="446">
        <f t="shared" si="29"/>
        <v>6683000</v>
      </c>
      <c r="S80" s="446">
        <f t="shared" si="30"/>
        <v>7217640</v>
      </c>
      <c r="T80" s="447" t="s">
        <v>186</v>
      </c>
      <c r="U80" s="448">
        <v>15000</v>
      </c>
      <c r="V80" s="448">
        <f>U80*8%</f>
        <v>1200</v>
      </c>
      <c r="W80" s="448">
        <f t="shared" si="42"/>
        <v>16200</v>
      </c>
      <c r="X80" s="449">
        <f t="shared" si="43"/>
        <v>6150000</v>
      </c>
      <c r="Y80" s="449">
        <f t="shared" si="44"/>
        <v>6642000</v>
      </c>
      <c r="Z80" s="450">
        <f t="shared" si="33"/>
        <v>16488</v>
      </c>
      <c r="AA80" s="450">
        <f t="shared" si="34"/>
        <v>6760080</v>
      </c>
      <c r="AB80" s="450">
        <f t="shared" si="35"/>
        <v>411430.86320790276</v>
      </c>
      <c r="AC80" s="451">
        <f t="shared" si="36"/>
        <v>6.0861833470595428E-2</v>
      </c>
      <c r="AD80" s="398"/>
    </row>
    <row r="81" spans="1:30" s="370" customFormat="1" ht="409.5" x14ac:dyDescent="0.35">
      <c r="A81" s="276">
        <v>71</v>
      </c>
      <c r="B81" s="277" t="s">
        <v>157</v>
      </c>
      <c r="C81" s="277" t="s">
        <v>93</v>
      </c>
      <c r="D81" s="396" t="s">
        <v>94</v>
      </c>
      <c r="E81" s="277" t="s">
        <v>41</v>
      </c>
      <c r="F81" s="100">
        <v>50</v>
      </c>
      <c r="G81" s="277" t="s">
        <v>42</v>
      </c>
      <c r="H81" s="441" t="s">
        <v>95</v>
      </c>
      <c r="I81" s="397">
        <v>11700</v>
      </c>
      <c r="J81" s="442">
        <f>I81*8%</f>
        <v>936</v>
      </c>
      <c r="K81" s="442">
        <f t="shared" si="37"/>
        <v>12636</v>
      </c>
      <c r="L81" s="443">
        <f t="shared" si="38"/>
        <v>585000</v>
      </c>
      <c r="M81" s="443">
        <f t="shared" si="39"/>
        <v>631800</v>
      </c>
      <c r="N81" s="444" t="s">
        <v>50</v>
      </c>
      <c r="O81" s="445">
        <v>8570</v>
      </c>
      <c r="P81" s="445">
        <f>O81*8%</f>
        <v>685.6</v>
      </c>
      <c r="Q81" s="445">
        <f t="shared" si="28"/>
        <v>9255.6</v>
      </c>
      <c r="R81" s="446">
        <f t="shared" si="29"/>
        <v>428500</v>
      </c>
      <c r="S81" s="446">
        <f t="shared" si="30"/>
        <v>462780</v>
      </c>
      <c r="T81" s="447" t="s">
        <v>96</v>
      </c>
      <c r="U81" s="448">
        <v>13871</v>
      </c>
      <c r="V81" s="448"/>
      <c r="W81" s="448">
        <f t="shared" si="42"/>
        <v>13871</v>
      </c>
      <c r="X81" s="449">
        <f t="shared" si="43"/>
        <v>693550</v>
      </c>
      <c r="Y81" s="449">
        <f t="shared" si="44"/>
        <v>693550</v>
      </c>
      <c r="Z81" s="450">
        <f t="shared" si="33"/>
        <v>11920.866666666667</v>
      </c>
      <c r="AA81" s="450">
        <f t="shared" si="34"/>
        <v>596043.33333333337</v>
      </c>
      <c r="AB81" s="450">
        <f t="shared" si="35"/>
        <v>119467.99836497351</v>
      </c>
      <c r="AC81" s="451">
        <f t="shared" si="36"/>
        <v>0.20043508866520918</v>
      </c>
      <c r="AD81" s="398"/>
    </row>
    <row r="82" spans="1:30" s="370" customFormat="1" ht="105" x14ac:dyDescent="0.35">
      <c r="A82" s="276">
        <v>72</v>
      </c>
      <c r="B82" s="277" t="s">
        <v>157</v>
      </c>
      <c r="C82" s="277" t="s">
        <v>371</v>
      </c>
      <c r="D82" s="396" t="s">
        <v>372</v>
      </c>
      <c r="E82" s="277" t="s">
        <v>41</v>
      </c>
      <c r="F82" s="100">
        <v>30</v>
      </c>
      <c r="G82" s="277" t="s">
        <v>42</v>
      </c>
      <c r="H82" s="441" t="str">
        <f>VLOOKUP(C82,ITEMS_BolsaOperador!$D$2:$AQ$499,10,0)</f>
        <v>Tienda Estudiantil</v>
      </c>
      <c r="I82" s="397">
        <v>2171</v>
      </c>
      <c r="J82" s="442">
        <f t="shared" ref="J82:J90" si="45">I82*19%</f>
        <v>412.49</v>
      </c>
      <c r="K82" s="442">
        <f t="shared" si="37"/>
        <v>2583.4899999999998</v>
      </c>
      <c r="L82" s="443">
        <f t="shared" si="38"/>
        <v>65130</v>
      </c>
      <c r="M82" s="443">
        <f t="shared" si="39"/>
        <v>77504.7</v>
      </c>
      <c r="N82" s="444" t="str">
        <f>VLOOKUP(C82,ITEMS_BolsaOperador!$D$2:$AQ$499,23,0)</f>
        <v>Renovacion Libreria y Papeleria</v>
      </c>
      <c r="O82" s="445">
        <v>2185</v>
      </c>
      <c r="P82" s="445">
        <f t="shared" ref="P82:P90" si="46">O82*19%</f>
        <v>415.15</v>
      </c>
      <c r="Q82" s="445">
        <f t="shared" si="28"/>
        <v>2600.15</v>
      </c>
      <c r="R82" s="446">
        <f t="shared" si="29"/>
        <v>65550</v>
      </c>
      <c r="S82" s="446">
        <f t="shared" si="30"/>
        <v>78004.5</v>
      </c>
      <c r="T82" s="447" t="str">
        <f>VLOOKUP(C82,ITEMS_BolsaOperador!$D$2:$AQ$499,36,0)</f>
        <v>Papeleria Jonan</v>
      </c>
      <c r="U82" s="448">
        <v>2352.9411764705883</v>
      </c>
      <c r="V82" s="448">
        <f t="shared" ref="V82:V91" si="47">U82*19%</f>
        <v>447.05882352941177</v>
      </c>
      <c r="W82" s="448">
        <f t="shared" si="42"/>
        <v>2800</v>
      </c>
      <c r="X82" s="449">
        <f t="shared" si="43"/>
        <v>70588.23529411765</v>
      </c>
      <c r="Y82" s="449">
        <f t="shared" si="44"/>
        <v>84000</v>
      </c>
      <c r="Z82" s="450">
        <f t="shared" si="33"/>
        <v>2661.2133333333331</v>
      </c>
      <c r="AA82" s="450">
        <f t="shared" si="34"/>
        <v>79836.399999999994</v>
      </c>
      <c r="AB82" s="450">
        <f t="shared" si="35"/>
        <v>3614.4326982252701</v>
      </c>
      <c r="AC82" s="451">
        <f t="shared" si="36"/>
        <v>4.5272991996448617E-2</v>
      </c>
      <c r="AD82" s="398"/>
    </row>
    <row r="83" spans="1:30" s="370" customFormat="1" ht="105" x14ac:dyDescent="0.35">
      <c r="A83" s="276">
        <v>73</v>
      </c>
      <c r="B83" s="277" t="s">
        <v>157</v>
      </c>
      <c r="C83" s="277" t="s">
        <v>373</v>
      </c>
      <c r="D83" s="396" t="s">
        <v>374</v>
      </c>
      <c r="E83" s="277" t="s">
        <v>41</v>
      </c>
      <c r="F83" s="100">
        <v>6</v>
      </c>
      <c r="G83" s="277" t="s">
        <v>42</v>
      </c>
      <c r="H83" s="441" t="str">
        <f>VLOOKUP(C83,ITEMS_BolsaOperador!$D$2:$AQ$499,10,0)</f>
        <v>Papeleria  la Estacion de Suba</v>
      </c>
      <c r="I83" s="397">
        <v>1680.6722689075632</v>
      </c>
      <c r="J83" s="442">
        <f t="shared" si="45"/>
        <v>319.32773109243703</v>
      </c>
      <c r="K83" s="442">
        <f t="shared" si="37"/>
        <v>2000.0000000000002</v>
      </c>
      <c r="L83" s="443">
        <f t="shared" si="38"/>
        <v>10084.033613445379</v>
      </c>
      <c r="M83" s="443">
        <f t="shared" si="39"/>
        <v>12000.000000000002</v>
      </c>
      <c r="N83" s="444" t="str">
        <f>VLOOKUP(C83,ITEMS_BolsaOperador!$D$2:$AQ$499,23,0)</f>
        <v>Renovacion Libreria y papeleria</v>
      </c>
      <c r="O83" s="445">
        <v>1681</v>
      </c>
      <c r="P83" s="445">
        <f t="shared" si="46"/>
        <v>319.39</v>
      </c>
      <c r="Q83" s="445">
        <f t="shared" si="28"/>
        <v>2000.3899999999999</v>
      </c>
      <c r="R83" s="446">
        <f t="shared" si="29"/>
        <v>10086</v>
      </c>
      <c r="S83" s="446">
        <f t="shared" si="30"/>
        <v>12002.34</v>
      </c>
      <c r="T83" s="447" t="str">
        <f>VLOOKUP(C83,ITEMS_BolsaOperador!$D$2:$AQ$499,36,0)</f>
        <v>Tienda Estudiantil</v>
      </c>
      <c r="U83" s="448">
        <v>1694</v>
      </c>
      <c r="V83" s="448">
        <f t="shared" si="47"/>
        <v>321.86</v>
      </c>
      <c r="W83" s="448">
        <f t="shared" si="42"/>
        <v>2015.8600000000001</v>
      </c>
      <c r="X83" s="449">
        <f t="shared" si="43"/>
        <v>10164</v>
      </c>
      <c r="Y83" s="449">
        <f t="shared" si="44"/>
        <v>12095.16</v>
      </c>
      <c r="Z83" s="450">
        <f t="shared" si="33"/>
        <v>2005.4166666666667</v>
      </c>
      <c r="AA83" s="450">
        <f t="shared" si="34"/>
        <v>12032.5</v>
      </c>
      <c r="AB83" s="450">
        <f t="shared" si="35"/>
        <v>54.277763402704124</v>
      </c>
      <c r="AC83" s="451">
        <f t="shared" si="36"/>
        <v>4.510929848552182E-3</v>
      </c>
      <c r="AD83" s="398"/>
    </row>
    <row r="84" spans="1:30" s="370" customFormat="1" ht="105" x14ac:dyDescent="0.35">
      <c r="A84" s="276">
        <v>74</v>
      </c>
      <c r="B84" s="277" t="s">
        <v>157</v>
      </c>
      <c r="C84" s="277" t="s">
        <v>375</v>
      </c>
      <c r="D84" s="396" t="s">
        <v>376</v>
      </c>
      <c r="E84" s="277" t="s">
        <v>41</v>
      </c>
      <c r="F84" s="100">
        <v>12</v>
      </c>
      <c r="G84" s="277" t="s">
        <v>42</v>
      </c>
      <c r="H84" s="441" t="str">
        <f>VLOOKUP(C84,ITEMS_BolsaOperador!$D$2:$AQ$499,10,0)</f>
        <v>Ofix</v>
      </c>
      <c r="I84" s="397">
        <v>1786.5546218487395</v>
      </c>
      <c r="J84" s="442">
        <f t="shared" si="45"/>
        <v>339.44537815126051</v>
      </c>
      <c r="K84" s="442">
        <f t="shared" si="37"/>
        <v>2126</v>
      </c>
      <c r="L84" s="443">
        <f t="shared" si="38"/>
        <v>21438.655462184874</v>
      </c>
      <c r="M84" s="443">
        <f t="shared" si="39"/>
        <v>25512</v>
      </c>
      <c r="N84" s="444" t="str">
        <f>VLOOKUP(C84,ITEMS_BolsaOperador!$D$2:$AQ$499,23,0)</f>
        <v>La Garza</v>
      </c>
      <c r="O84" s="445">
        <v>2100.840336134454</v>
      </c>
      <c r="P84" s="445">
        <f t="shared" si="46"/>
        <v>399.15966386554624</v>
      </c>
      <c r="Q84" s="445">
        <f t="shared" si="28"/>
        <v>2500</v>
      </c>
      <c r="R84" s="446">
        <f t="shared" si="29"/>
        <v>25210.08403361345</v>
      </c>
      <c r="S84" s="446">
        <f t="shared" si="30"/>
        <v>30000</v>
      </c>
      <c r="T84" s="447" t="str">
        <f>VLOOKUP(C84,ITEMS_BolsaOperador!$D$2:$AQ$499,36,0)</f>
        <v>DINGLI - DETALSHOP</v>
      </c>
      <c r="U84" s="448">
        <v>1500</v>
      </c>
      <c r="V84" s="448">
        <f t="shared" si="47"/>
        <v>285</v>
      </c>
      <c r="W84" s="448">
        <f t="shared" si="42"/>
        <v>1785</v>
      </c>
      <c r="X84" s="449">
        <f t="shared" si="43"/>
        <v>18000</v>
      </c>
      <c r="Y84" s="449">
        <f t="shared" si="44"/>
        <v>21420</v>
      </c>
      <c r="Z84" s="450">
        <f t="shared" si="33"/>
        <v>2137</v>
      </c>
      <c r="AA84" s="450">
        <f t="shared" si="34"/>
        <v>25644</v>
      </c>
      <c r="AB84" s="450">
        <f t="shared" si="35"/>
        <v>4291.5228066503387</v>
      </c>
      <c r="AC84" s="451">
        <f t="shared" si="36"/>
        <v>0.16734997686204722</v>
      </c>
      <c r="AD84" s="398"/>
    </row>
    <row r="85" spans="1:30" s="370" customFormat="1" ht="105" x14ac:dyDescent="0.35">
      <c r="A85" s="276">
        <v>75</v>
      </c>
      <c r="B85" s="277" t="s">
        <v>157</v>
      </c>
      <c r="C85" s="277" t="s">
        <v>377</v>
      </c>
      <c r="D85" s="396" t="s">
        <v>378</v>
      </c>
      <c r="E85" s="277" t="s">
        <v>41</v>
      </c>
      <c r="F85" s="100">
        <v>6</v>
      </c>
      <c r="G85" s="277" t="s">
        <v>42</v>
      </c>
      <c r="H85" s="441" t="str">
        <f>VLOOKUP(C85,ITEMS_BolsaOperador!$D$2:$AQ$499,10,0)</f>
        <v>Gran Papelera</v>
      </c>
      <c r="I85" s="397">
        <v>5042.0168067226896</v>
      </c>
      <c r="J85" s="442">
        <f t="shared" si="45"/>
        <v>957.98319327731099</v>
      </c>
      <c r="K85" s="442">
        <f t="shared" si="37"/>
        <v>6000.0000000000009</v>
      </c>
      <c r="L85" s="443">
        <f t="shared" si="38"/>
        <v>30252.100840336137</v>
      </c>
      <c r="M85" s="443">
        <f t="shared" si="39"/>
        <v>36000.000000000007</v>
      </c>
      <c r="N85" s="444" t="str">
        <f>VLOOKUP(C85,ITEMS_BolsaOperador!$D$2:$AQ$499,23,0)</f>
        <v>Papeleria la Estacion de Suba</v>
      </c>
      <c r="O85" s="445">
        <v>5966.3865546218494</v>
      </c>
      <c r="P85" s="445">
        <f t="shared" si="46"/>
        <v>1133.6134453781515</v>
      </c>
      <c r="Q85" s="445">
        <f t="shared" si="28"/>
        <v>7100.0000000000009</v>
      </c>
      <c r="R85" s="446">
        <f t="shared" si="29"/>
        <v>35798.319327731093</v>
      </c>
      <c r="S85" s="446">
        <f t="shared" si="30"/>
        <v>42600.000000000007</v>
      </c>
      <c r="T85" s="447" t="str">
        <f>VLOOKUP(C85,ITEMS_BolsaOperador!$D$2:$AQ$499,36,0)</f>
        <v>Papeleria Gran Central</v>
      </c>
      <c r="U85" s="448">
        <v>5462.1848739495799</v>
      </c>
      <c r="V85" s="448">
        <f t="shared" si="47"/>
        <v>1037.8151260504203</v>
      </c>
      <c r="W85" s="448">
        <f t="shared" si="42"/>
        <v>6500</v>
      </c>
      <c r="X85" s="449">
        <f t="shared" si="43"/>
        <v>32773.10924369748</v>
      </c>
      <c r="Y85" s="449">
        <f t="shared" si="44"/>
        <v>39000</v>
      </c>
      <c r="Z85" s="450">
        <f t="shared" si="33"/>
        <v>6533.333333333333</v>
      </c>
      <c r="AA85" s="450">
        <f t="shared" si="34"/>
        <v>39200</v>
      </c>
      <c r="AB85" s="450">
        <f t="shared" si="35"/>
        <v>3304.5423283716614</v>
      </c>
      <c r="AC85" s="451">
        <f t="shared" si="36"/>
        <v>8.4299549193154633E-2</v>
      </c>
      <c r="AD85" s="398"/>
    </row>
    <row r="86" spans="1:30" s="370" customFormat="1" ht="105" x14ac:dyDescent="0.35">
      <c r="A86" s="276">
        <v>76</v>
      </c>
      <c r="B86" s="277" t="s">
        <v>157</v>
      </c>
      <c r="C86" s="277" t="s">
        <v>379</v>
      </c>
      <c r="D86" s="396" t="s">
        <v>380</v>
      </c>
      <c r="E86" s="277" t="s">
        <v>41</v>
      </c>
      <c r="F86" s="100">
        <v>1</v>
      </c>
      <c r="G86" s="277" t="s">
        <v>42</v>
      </c>
      <c r="H86" s="441" t="str">
        <f>VLOOKUP(C86,ITEMS_BolsaOperador!$D$2:$AQ$499,10,0)</f>
        <v>INVER Y DISTRIBUIDORES DIAMOND</v>
      </c>
      <c r="I86" s="397">
        <v>6620</v>
      </c>
      <c r="J86" s="442">
        <f t="shared" si="45"/>
        <v>1257.8</v>
      </c>
      <c r="K86" s="442">
        <f t="shared" si="37"/>
        <v>7877.8</v>
      </c>
      <c r="L86" s="443">
        <f t="shared" si="38"/>
        <v>6620</v>
      </c>
      <c r="M86" s="443">
        <f t="shared" si="39"/>
        <v>7877.8</v>
      </c>
      <c r="N86" s="444" t="str">
        <f>VLOOKUP(C86,ITEMS_BolsaOperador!$D$2:$AQ$499,23,0)</f>
        <v>Papeleria Paraiso</v>
      </c>
      <c r="O86" s="445">
        <v>5462.1848739495799</v>
      </c>
      <c r="P86" s="445">
        <f t="shared" si="46"/>
        <v>1037.8151260504203</v>
      </c>
      <c r="Q86" s="445">
        <f t="shared" si="28"/>
        <v>6500</v>
      </c>
      <c r="R86" s="446">
        <f t="shared" si="29"/>
        <v>5462.1848739495799</v>
      </c>
      <c r="S86" s="446">
        <f t="shared" si="30"/>
        <v>6500</v>
      </c>
      <c r="T86" s="447" t="str">
        <f>VLOOKUP(C86,ITEMS_BolsaOperador!$D$2:$AQ$499,36,0)</f>
        <v>Papeleria La Mayor</v>
      </c>
      <c r="U86" s="448">
        <v>7046.2184873949582</v>
      </c>
      <c r="V86" s="448">
        <f t="shared" si="47"/>
        <v>1338.7815126050421</v>
      </c>
      <c r="W86" s="448">
        <f t="shared" si="42"/>
        <v>8385</v>
      </c>
      <c r="X86" s="449">
        <f t="shared" si="43"/>
        <v>7046.2184873949582</v>
      </c>
      <c r="Y86" s="449">
        <f t="shared" si="44"/>
        <v>8385</v>
      </c>
      <c r="Z86" s="450">
        <f t="shared" si="33"/>
        <v>7587.5999999999995</v>
      </c>
      <c r="AA86" s="450">
        <f t="shared" si="34"/>
        <v>7587.5999999999995</v>
      </c>
      <c r="AB86" s="450">
        <f t="shared" si="35"/>
        <v>975.43235541989338</v>
      </c>
      <c r="AC86" s="451">
        <f t="shared" si="36"/>
        <v>0.12855611200114575</v>
      </c>
      <c r="AD86" s="398"/>
    </row>
    <row r="87" spans="1:30" s="370" customFormat="1" ht="105" x14ac:dyDescent="0.35">
      <c r="A87" s="276">
        <v>77</v>
      </c>
      <c r="B87" s="277" t="s">
        <v>157</v>
      </c>
      <c r="C87" s="277" t="s">
        <v>381</v>
      </c>
      <c r="D87" s="396" t="s">
        <v>382</v>
      </c>
      <c r="E87" s="277" t="s">
        <v>41</v>
      </c>
      <c r="F87" s="100">
        <v>6</v>
      </c>
      <c r="G87" s="277" t="s">
        <v>42</v>
      </c>
      <c r="H87" s="441" t="str">
        <f>VLOOKUP(C87,ITEMS_BolsaOperador!$D$2:$AQ$499,10,0)</f>
        <v>INVER Y DISTRIBUIDORES DIAMOND</v>
      </c>
      <c r="I87" s="397">
        <v>13000</v>
      </c>
      <c r="J87" s="442">
        <f t="shared" si="45"/>
        <v>2470</v>
      </c>
      <c r="K87" s="442">
        <f t="shared" si="37"/>
        <v>15470</v>
      </c>
      <c r="L87" s="443">
        <f t="shared" si="38"/>
        <v>78000</v>
      </c>
      <c r="M87" s="443">
        <f t="shared" si="39"/>
        <v>92820</v>
      </c>
      <c r="N87" s="444" t="str">
        <f>VLOOKUP(C87,ITEMS_BolsaOperador!$D$2:$AQ$499,23,0)</f>
        <v>PAPELERIA LA ESTACION DE SUBA</v>
      </c>
      <c r="O87" s="445">
        <v>13613.44537815126</v>
      </c>
      <c r="P87" s="445">
        <f t="shared" si="46"/>
        <v>2586.5546218487393</v>
      </c>
      <c r="Q87" s="445">
        <f t="shared" si="28"/>
        <v>16200</v>
      </c>
      <c r="R87" s="446">
        <f t="shared" si="29"/>
        <v>81680.672268907569</v>
      </c>
      <c r="S87" s="446">
        <f t="shared" si="30"/>
        <v>97200</v>
      </c>
      <c r="T87" s="447" t="str">
        <f>VLOOKUP(C87,ITEMS_BolsaOperador!$D$2:$AQ$499,36,0)</f>
        <v>Editorial Zapata</v>
      </c>
      <c r="U87" s="448">
        <v>14117.64705882353</v>
      </c>
      <c r="V87" s="448">
        <f t="shared" si="47"/>
        <v>2682.3529411764707</v>
      </c>
      <c r="W87" s="448">
        <f t="shared" si="42"/>
        <v>16800</v>
      </c>
      <c r="X87" s="449">
        <f t="shared" si="43"/>
        <v>84705.882352941175</v>
      </c>
      <c r="Y87" s="449">
        <f t="shared" si="44"/>
        <v>100800</v>
      </c>
      <c r="Z87" s="450">
        <f t="shared" si="33"/>
        <v>16156.666666666666</v>
      </c>
      <c r="AA87" s="450">
        <f t="shared" si="34"/>
        <v>96940</v>
      </c>
      <c r="AB87" s="450">
        <f t="shared" si="35"/>
        <v>3996.3483331661669</v>
      </c>
      <c r="AC87" s="451">
        <f t="shared" si="36"/>
        <v>4.122496733202153E-2</v>
      </c>
      <c r="AD87" s="398"/>
    </row>
    <row r="88" spans="1:30" s="370" customFormat="1" ht="105" x14ac:dyDescent="0.35">
      <c r="A88" s="276">
        <v>78</v>
      </c>
      <c r="B88" s="277" t="s">
        <v>157</v>
      </c>
      <c r="C88" s="277" t="s">
        <v>383</v>
      </c>
      <c r="D88" s="396" t="s">
        <v>384</v>
      </c>
      <c r="E88" s="277" t="s">
        <v>41</v>
      </c>
      <c r="F88" s="100">
        <v>12</v>
      </c>
      <c r="G88" s="277" t="s">
        <v>42</v>
      </c>
      <c r="H88" s="441" t="str">
        <f>VLOOKUP(C88,ITEMS_BolsaOperador!$D$2:$AQ$499,10,0)</f>
        <v>Mil Herrajes</v>
      </c>
      <c r="I88" s="397">
        <v>1260.5042016806724</v>
      </c>
      <c r="J88" s="442">
        <f t="shared" si="45"/>
        <v>239.49579831932775</v>
      </c>
      <c r="K88" s="442">
        <f t="shared" si="37"/>
        <v>1500.0000000000002</v>
      </c>
      <c r="L88" s="443">
        <f t="shared" si="38"/>
        <v>15126.050420168069</v>
      </c>
      <c r="M88" s="443">
        <f t="shared" si="39"/>
        <v>18000.000000000004</v>
      </c>
      <c r="N88" s="444" t="str">
        <f>VLOOKUP(C88,ITEMS_BolsaOperador!$D$2:$AQ$499,23,0)</f>
        <v>Exito</v>
      </c>
      <c r="O88" s="445">
        <v>1680.6722689075632</v>
      </c>
      <c r="P88" s="445">
        <f t="shared" si="46"/>
        <v>319.32773109243703</v>
      </c>
      <c r="Q88" s="445">
        <f t="shared" si="28"/>
        <v>2000.0000000000002</v>
      </c>
      <c r="R88" s="446">
        <f t="shared" si="29"/>
        <v>20168.067226890758</v>
      </c>
      <c r="S88" s="446">
        <f t="shared" si="30"/>
        <v>24000.000000000004</v>
      </c>
      <c r="T88" s="447" t="str">
        <f>VLOOKUP(C88,ITEMS_BolsaOperador!$D$2:$AQ$499,36,0)</f>
        <v>PAPELERIA LA GRAN 12</v>
      </c>
      <c r="U88" s="448">
        <v>1176.4705882352941</v>
      </c>
      <c r="V88" s="448">
        <f t="shared" si="47"/>
        <v>223.52941176470588</v>
      </c>
      <c r="W88" s="448">
        <f t="shared" si="42"/>
        <v>1400</v>
      </c>
      <c r="X88" s="449">
        <f t="shared" si="43"/>
        <v>14117.64705882353</v>
      </c>
      <c r="Y88" s="449">
        <f t="shared" si="44"/>
        <v>16800</v>
      </c>
      <c r="Z88" s="450">
        <f t="shared" si="33"/>
        <v>1633.3333333333333</v>
      </c>
      <c r="AA88" s="450">
        <f t="shared" si="34"/>
        <v>19600</v>
      </c>
      <c r="AB88" s="450">
        <f t="shared" si="35"/>
        <v>3857.460304397182</v>
      </c>
      <c r="AC88" s="451">
        <f t="shared" si="36"/>
        <v>0.19680919920393786</v>
      </c>
      <c r="AD88" s="398"/>
    </row>
    <row r="89" spans="1:30" s="370" customFormat="1" ht="105" x14ac:dyDescent="0.35">
      <c r="A89" s="276">
        <v>79</v>
      </c>
      <c r="B89" s="277" t="s">
        <v>157</v>
      </c>
      <c r="C89" s="277" t="s">
        <v>385</v>
      </c>
      <c r="D89" s="396" t="s">
        <v>386</v>
      </c>
      <c r="E89" s="277" t="s">
        <v>41</v>
      </c>
      <c r="F89" s="100">
        <v>6</v>
      </c>
      <c r="G89" s="277" t="s">
        <v>42</v>
      </c>
      <c r="H89" s="441" t="str">
        <f>VLOOKUP(C89,ITEMS_BolsaOperador!$D$2:$AQ$499,10,0)</f>
        <v>LibreriaTroya.com</v>
      </c>
      <c r="I89" s="397">
        <v>11652.100840336136</v>
      </c>
      <c r="J89" s="442">
        <f t="shared" si="45"/>
        <v>2213.8991596638657</v>
      </c>
      <c r="K89" s="442">
        <f t="shared" si="37"/>
        <v>13866.000000000002</v>
      </c>
      <c r="L89" s="443">
        <f t="shared" si="38"/>
        <v>69912.605042016818</v>
      </c>
      <c r="M89" s="443">
        <f t="shared" si="39"/>
        <v>83196.000000000015</v>
      </c>
      <c r="N89" s="444" t="str">
        <f>VLOOKUP(C89,ITEMS_BolsaOperador!$D$2:$AQ$499,23,0)</f>
        <v>INVER Y DISTRIBUIDORES DIAMOND</v>
      </c>
      <c r="O89" s="445">
        <v>14034</v>
      </c>
      <c r="P89" s="445">
        <f t="shared" si="46"/>
        <v>2666.46</v>
      </c>
      <c r="Q89" s="445">
        <f t="shared" si="28"/>
        <v>16700.46</v>
      </c>
      <c r="R89" s="446">
        <f t="shared" si="29"/>
        <v>84204</v>
      </c>
      <c r="S89" s="446">
        <f t="shared" si="30"/>
        <v>100202.76</v>
      </c>
      <c r="T89" s="447" t="str">
        <f>VLOOKUP(C89,ITEMS_BolsaOperador!$D$2:$AQ$499,36,0)</f>
        <v>Papeleria Paraiso</v>
      </c>
      <c r="U89" s="448">
        <v>12605.042016806723</v>
      </c>
      <c r="V89" s="448">
        <f t="shared" si="47"/>
        <v>2394.9579831932774</v>
      </c>
      <c r="W89" s="448">
        <f t="shared" si="42"/>
        <v>15000</v>
      </c>
      <c r="X89" s="449">
        <f t="shared" si="43"/>
        <v>75630.252100840342</v>
      </c>
      <c r="Y89" s="449">
        <f t="shared" si="44"/>
        <v>90000</v>
      </c>
      <c r="Z89" s="450">
        <f t="shared" si="33"/>
        <v>15188.82</v>
      </c>
      <c r="AA89" s="450">
        <f t="shared" si="34"/>
        <v>91132.92</v>
      </c>
      <c r="AB89" s="450">
        <f t="shared" si="35"/>
        <v>8559.7956879355388</v>
      </c>
      <c r="AC89" s="451">
        <f t="shared" si="36"/>
        <v>9.3926494267225713E-2</v>
      </c>
      <c r="AD89" s="398"/>
    </row>
    <row r="90" spans="1:30" s="370" customFormat="1" ht="105" x14ac:dyDescent="0.35">
      <c r="A90" s="276">
        <v>80</v>
      </c>
      <c r="B90" s="277" t="s">
        <v>157</v>
      </c>
      <c r="C90" s="277" t="s">
        <v>387</v>
      </c>
      <c r="D90" s="396" t="s">
        <v>388</v>
      </c>
      <c r="E90" s="277" t="s">
        <v>41</v>
      </c>
      <c r="F90" s="100">
        <v>6</v>
      </c>
      <c r="G90" s="277" t="s">
        <v>42</v>
      </c>
      <c r="H90" s="441" t="str">
        <f>VLOOKUP(C90,ITEMS_BolsaOperador!$D$2:$AQ$499,10,0)</f>
        <v>INVER Y DISTRIBUIDORES DIAMOND</v>
      </c>
      <c r="I90" s="397">
        <v>106000</v>
      </c>
      <c r="J90" s="442">
        <f t="shared" si="45"/>
        <v>20140</v>
      </c>
      <c r="K90" s="442">
        <f t="shared" si="37"/>
        <v>126140</v>
      </c>
      <c r="L90" s="443">
        <f t="shared" si="38"/>
        <v>636000</v>
      </c>
      <c r="M90" s="443">
        <f t="shared" si="39"/>
        <v>756840</v>
      </c>
      <c r="N90" s="444" t="str">
        <f>VLOOKUP(C90,ITEMS_BolsaOperador!$D$2:$AQ$499,23,0)</f>
        <v>Falabella</v>
      </c>
      <c r="O90" s="445">
        <v>110924.36974789917</v>
      </c>
      <c r="P90" s="445">
        <f t="shared" si="46"/>
        <v>21075.630252100844</v>
      </c>
      <c r="Q90" s="445">
        <f t="shared" si="28"/>
        <v>132000</v>
      </c>
      <c r="R90" s="446">
        <f t="shared" si="29"/>
        <v>665546.21848739497</v>
      </c>
      <c r="S90" s="446">
        <f t="shared" si="30"/>
        <v>792000</v>
      </c>
      <c r="T90" s="447" t="str">
        <f>VLOOKUP(C90,ITEMS_BolsaOperador!$D$2:$AQ$499,36,0)</f>
        <v>Hommecenter</v>
      </c>
      <c r="U90" s="448">
        <v>134369.74789915967</v>
      </c>
      <c r="V90" s="448">
        <f t="shared" si="47"/>
        <v>25530.252100840338</v>
      </c>
      <c r="W90" s="448">
        <f t="shared" si="42"/>
        <v>159900</v>
      </c>
      <c r="X90" s="449">
        <f t="shared" si="43"/>
        <v>806218.48739495804</v>
      </c>
      <c r="Y90" s="449">
        <f t="shared" si="44"/>
        <v>959400</v>
      </c>
      <c r="Z90" s="450">
        <f t="shared" si="33"/>
        <v>139346.66666666666</v>
      </c>
      <c r="AA90" s="450">
        <f t="shared" si="34"/>
        <v>836080</v>
      </c>
      <c r="AB90" s="450">
        <f t="shared" si="35"/>
        <v>108235.49879776043</v>
      </c>
      <c r="AC90" s="451">
        <f t="shared" si="36"/>
        <v>0.12945591187178312</v>
      </c>
      <c r="AD90" s="398"/>
    </row>
    <row r="91" spans="1:30" s="370" customFormat="1" ht="336" x14ac:dyDescent="0.35">
      <c r="A91" s="276">
        <v>81</v>
      </c>
      <c r="B91" s="277" t="s">
        <v>157</v>
      </c>
      <c r="C91" s="277" t="s">
        <v>190</v>
      </c>
      <c r="D91" s="396" t="s">
        <v>191</v>
      </c>
      <c r="E91" s="277" t="s">
        <v>176</v>
      </c>
      <c r="F91" s="100">
        <v>1</v>
      </c>
      <c r="G91" s="277" t="s">
        <v>42</v>
      </c>
      <c r="H91" s="441" t="s">
        <v>53</v>
      </c>
      <c r="I91" s="397">
        <v>4546000</v>
      </c>
      <c r="J91" s="442">
        <f t="shared" si="41"/>
        <v>863740</v>
      </c>
      <c r="K91" s="442">
        <f t="shared" si="37"/>
        <v>5409740</v>
      </c>
      <c r="L91" s="443">
        <f t="shared" si="38"/>
        <v>4546000</v>
      </c>
      <c r="M91" s="443">
        <f t="shared" si="39"/>
        <v>5409740</v>
      </c>
      <c r="N91" s="444" t="s">
        <v>99</v>
      </c>
      <c r="O91" s="445">
        <v>3850000</v>
      </c>
      <c r="P91" s="445">
        <f t="shared" si="40"/>
        <v>731500</v>
      </c>
      <c r="Q91" s="445">
        <f t="shared" si="28"/>
        <v>4581500</v>
      </c>
      <c r="R91" s="446">
        <f t="shared" si="29"/>
        <v>3850000</v>
      </c>
      <c r="S91" s="446">
        <f t="shared" si="30"/>
        <v>4581500</v>
      </c>
      <c r="T91" s="447" t="s">
        <v>192</v>
      </c>
      <c r="U91" s="448">
        <v>4100000</v>
      </c>
      <c r="V91" s="448">
        <f t="shared" si="47"/>
        <v>779000</v>
      </c>
      <c r="W91" s="448">
        <f t="shared" si="42"/>
        <v>4879000</v>
      </c>
      <c r="X91" s="449">
        <f t="shared" si="43"/>
        <v>4100000</v>
      </c>
      <c r="Y91" s="449">
        <f t="shared" si="44"/>
        <v>4879000</v>
      </c>
      <c r="Z91" s="450">
        <f t="shared" si="33"/>
        <v>4956746.666666667</v>
      </c>
      <c r="AA91" s="450">
        <f t="shared" si="34"/>
        <v>4956746.666666667</v>
      </c>
      <c r="AB91" s="450">
        <f t="shared" si="35"/>
        <v>419557.84170163394</v>
      </c>
      <c r="AC91" s="451">
        <f t="shared" si="36"/>
        <v>8.464379358402431E-2</v>
      </c>
      <c r="AD91" s="398"/>
    </row>
    <row r="92" spans="1:30" s="370" customFormat="1" ht="360" x14ac:dyDescent="0.35">
      <c r="A92" s="276">
        <v>82</v>
      </c>
      <c r="B92" s="277" t="s">
        <v>157</v>
      </c>
      <c r="C92" s="277" t="s">
        <v>389</v>
      </c>
      <c r="D92" s="396" t="s">
        <v>390</v>
      </c>
      <c r="E92" s="277" t="s">
        <v>176</v>
      </c>
      <c r="F92" s="100">
        <v>1</v>
      </c>
      <c r="G92" s="277" t="s">
        <v>195</v>
      </c>
      <c r="H92" s="441" t="s">
        <v>165</v>
      </c>
      <c r="I92" s="397">
        <v>241626.05042016809</v>
      </c>
      <c r="J92" s="442">
        <f t="shared" si="41"/>
        <v>45908.94957983194</v>
      </c>
      <c r="K92" s="442">
        <f t="shared" si="37"/>
        <v>287535</v>
      </c>
      <c r="L92" s="443">
        <f t="shared" si="38"/>
        <v>241626.05042016809</v>
      </c>
      <c r="M92" s="443">
        <f t="shared" si="39"/>
        <v>287535</v>
      </c>
      <c r="N92" s="444" t="s">
        <v>166</v>
      </c>
      <c r="O92" s="445">
        <v>234622</v>
      </c>
      <c r="P92" s="445">
        <f t="shared" si="40"/>
        <v>44578.18</v>
      </c>
      <c r="Q92" s="445">
        <f t="shared" si="28"/>
        <v>279200.18</v>
      </c>
      <c r="R92" s="446">
        <f t="shared" si="29"/>
        <v>234622</v>
      </c>
      <c r="S92" s="446">
        <f t="shared" si="30"/>
        <v>279200.18</v>
      </c>
      <c r="T92" s="447"/>
      <c r="U92" s="448"/>
      <c r="V92" s="448"/>
      <c r="W92" s="448"/>
      <c r="X92" s="449"/>
      <c r="Y92" s="449"/>
      <c r="Z92" s="450">
        <f t="shared" si="33"/>
        <v>283367.58999999997</v>
      </c>
      <c r="AA92" s="450">
        <f t="shared" si="34"/>
        <v>283367.58999999997</v>
      </c>
      <c r="AB92" s="450">
        <f t="shared" si="35"/>
        <v>5893.6077419692647</v>
      </c>
      <c r="AC92" s="451">
        <f t="shared" si="36"/>
        <v>2.0798453845654211E-2</v>
      </c>
      <c r="AD92" s="398"/>
    </row>
    <row r="93" spans="1:30" s="370" customFormat="1" ht="360" x14ac:dyDescent="0.35">
      <c r="A93" s="276">
        <v>83</v>
      </c>
      <c r="B93" s="277" t="s">
        <v>157</v>
      </c>
      <c r="C93" s="277" t="s">
        <v>392</v>
      </c>
      <c r="D93" s="396" t="s">
        <v>199</v>
      </c>
      <c r="E93" s="277" t="s">
        <v>176</v>
      </c>
      <c r="F93" s="100">
        <v>4</v>
      </c>
      <c r="G93" s="277" t="s">
        <v>88</v>
      </c>
      <c r="H93" s="441" t="s">
        <v>165</v>
      </c>
      <c r="I93" s="397">
        <v>397642.01680672274</v>
      </c>
      <c r="J93" s="442">
        <f>I93*19%</f>
        <v>75551.983193277323</v>
      </c>
      <c r="K93" s="442">
        <f t="shared" si="37"/>
        <v>473194.00000000006</v>
      </c>
      <c r="L93" s="443">
        <f t="shared" si="38"/>
        <v>1590568.0672268909</v>
      </c>
      <c r="M93" s="443">
        <f t="shared" si="39"/>
        <v>1892776.0000000002</v>
      </c>
      <c r="N93" s="444" t="s">
        <v>166</v>
      </c>
      <c r="O93" s="445">
        <v>395532</v>
      </c>
      <c r="P93" s="445">
        <f t="shared" si="40"/>
        <v>75151.08</v>
      </c>
      <c r="Q93" s="445">
        <f t="shared" si="28"/>
        <v>470683.08</v>
      </c>
      <c r="R93" s="446">
        <f t="shared" si="29"/>
        <v>1582128</v>
      </c>
      <c r="S93" s="446">
        <f t="shared" si="30"/>
        <v>1882732.32</v>
      </c>
      <c r="T93" s="447"/>
      <c r="U93" s="448"/>
      <c r="V93" s="448"/>
      <c r="W93" s="448"/>
      <c r="X93" s="449"/>
      <c r="Y93" s="449"/>
      <c r="Z93" s="450">
        <f t="shared" si="33"/>
        <v>471938.54000000004</v>
      </c>
      <c r="AA93" s="450">
        <f t="shared" si="34"/>
        <v>1887754.1600000001</v>
      </c>
      <c r="AB93" s="450">
        <f t="shared" si="35"/>
        <v>7101.9542360678215</v>
      </c>
      <c r="AC93" s="451">
        <f t="shared" si="36"/>
        <v>3.7621181754237645E-3</v>
      </c>
      <c r="AD93" s="398"/>
    </row>
    <row r="94" spans="1:30" s="370" customFormat="1" ht="360" x14ac:dyDescent="0.35">
      <c r="A94" s="276">
        <v>84</v>
      </c>
      <c r="B94" s="277" t="s">
        <v>157</v>
      </c>
      <c r="C94" s="277" t="s">
        <v>394</v>
      </c>
      <c r="D94" s="396" t="s">
        <v>395</v>
      </c>
      <c r="E94" s="277" t="s">
        <v>176</v>
      </c>
      <c r="F94" s="100">
        <v>1</v>
      </c>
      <c r="G94" s="277" t="s">
        <v>88</v>
      </c>
      <c r="H94" s="441" t="s">
        <v>165</v>
      </c>
      <c r="I94" s="397">
        <v>133251.26050420169</v>
      </c>
      <c r="J94" s="442">
        <f t="shared" si="41"/>
        <v>25317.739495798323</v>
      </c>
      <c r="K94" s="442">
        <f t="shared" si="37"/>
        <v>158569.00000000003</v>
      </c>
      <c r="L94" s="443">
        <f t="shared" si="38"/>
        <v>133251.26050420169</v>
      </c>
      <c r="M94" s="443">
        <f t="shared" si="39"/>
        <v>158569.00000000003</v>
      </c>
      <c r="N94" s="444" t="s">
        <v>166</v>
      </c>
      <c r="O94" s="445">
        <v>129389</v>
      </c>
      <c r="P94" s="445">
        <f t="shared" si="40"/>
        <v>24583.91</v>
      </c>
      <c r="Q94" s="445">
        <f t="shared" si="28"/>
        <v>153972.91</v>
      </c>
      <c r="R94" s="446">
        <f t="shared" si="29"/>
        <v>129389</v>
      </c>
      <c r="S94" s="446">
        <f t="shared" si="30"/>
        <v>153972.91</v>
      </c>
      <c r="T94" s="447"/>
      <c r="U94" s="448"/>
      <c r="V94" s="448"/>
      <c r="W94" s="448"/>
      <c r="X94" s="449"/>
      <c r="Y94" s="449"/>
      <c r="Z94" s="450">
        <f t="shared" si="33"/>
        <v>156270.95500000002</v>
      </c>
      <c r="AA94" s="450">
        <f t="shared" si="34"/>
        <v>156270.95500000002</v>
      </c>
      <c r="AB94" s="450">
        <f t="shared" si="35"/>
        <v>3249.9264059436973</v>
      </c>
      <c r="AC94" s="451">
        <f t="shared" si="36"/>
        <v>2.0796739905657433E-2</v>
      </c>
      <c r="AD94" s="398"/>
    </row>
    <row r="95" spans="1:30" s="370" customFormat="1" ht="409.5" x14ac:dyDescent="0.35">
      <c r="A95" s="276">
        <v>85</v>
      </c>
      <c r="B95" s="277" t="s">
        <v>203</v>
      </c>
      <c r="C95" s="277" t="s">
        <v>93</v>
      </c>
      <c r="D95" s="396" t="s">
        <v>94</v>
      </c>
      <c r="E95" s="277" t="s">
        <v>169</v>
      </c>
      <c r="F95" s="100">
        <v>660</v>
      </c>
      <c r="G95" s="277" t="s">
        <v>42</v>
      </c>
      <c r="H95" s="441" t="s">
        <v>95</v>
      </c>
      <c r="I95" s="397">
        <v>11700</v>
      </c>
      <c r="J95" s="442">
        <f>I95*8%</f>
        <v>936</v>
      </c>
      <c r="K95" s="442">
        <f t="shared" si="37"/>
        <v>12636</v>
      </c>
      <c r="L95" s="443">
        <f t="shared" si="38"/>
        <v>7722000</v>
      </c>
      <c r="M95" s="443">
        <f t="shared" si="39"/>
        <v>8339760</v>
      </c>
      <c r="N95" s="444" t="s">
        <v>50</v>
      </c>
      <c r="O95" s="445">
        <v>8570</v>
      </c>
      <c r="P95" s="445">
        <f>O95*8%</f>
        <v>685.6</v>
      </c>
      <c r="Q95" s="445">
        <f t="shared" si="28"/>
        <v>9255.6</v>
      </c>
      <c r="R95" s="446">
        <f t="shared" si="29"/>
        <v>5656200</v>
      </c>
      <c r="S95" s="446">
        <f t="shared" si="30"/>
        <v>6108696</v>
      </c>
      <c r="T95" s="447" t="s">
        <v>96</v>
      </c>
      <c r="U95" s="448">
        <v>13871</v>
      </c>
      <c r="V95" s="448"/>
      <c r="W95" s="448">
        <f t="shared" si="42"/>
        <v>13871</v>
      </c>
      <c r="X95" s="449">
        <f t="shared" si="43"/>
        <v>9154860</v>
      </c>
      <c r="Y95" s="449">
        <f t="shared" si="44"/>
        <v>9154860</v>
      </c>
      <c r="Z95" s="450">
        <f t="shared" si="33"/>
        <v>11920.866666666667</v>
      </c>
      <c r="AA95" s="450">
        <f t="shared" si="34"/>
        <v>7867772</v>
      </c>
      <c r="AB95" s="450">
        <f t="shared" si="35"/>
        <v>1576977.5784176514</v>
      </c>
      <c r="AC95" s="451">
        <f t="shared" si="36"/>
        <v>0.20043508866520934</v>
      </c>
      <c r="AD95" s="398"/>
    </row>
    <row r="96" spans="1:30" s="370" customFormat="1" ht="147" x14ac:dyDescent="0.35">
      <c r="A96" s="276">
        <v>86</v>
      </c>
      <c r="B96" s="277" t="s">
        <v>203</v>
      </c>
      <c r="C96" s="277" t="s">
        <v>345</v>
      </c>
      <c r="D96" s="396" t="s">
        <v>86</v>
      </c>
      <c r="E96" s="277" t="s">
        <v>204</v>
      </c>
      <c r="F96" s="100">
        <v>80</v>
      </c>
      <c r="G96" s="277" t="s">
        <v>88</v>
      </c>
      <c r="H96" s="441" t="s">
        <v>89</v>
      </c>
      <c r="I96" s="397">
        <v>302522</v>
      </c>
      <c r="J96" s="442">
        <f t="shared" si="41"/>
        <v>57479.18</v>
      </c>
      <c r="K96" s="442">
        <f t="shared" si="37"/>
        <v>360001.18</v>
      </c>
      <c r="L96" s="443">
        <f t="shared" si="38"/>
        <v>24201760</v>
      </c>
      <c r="M96" s="443">
        <f t="shared" si="39"/>
        <v>28800094.399999999</v>
      </c>
      <c r="N96" s="444" t="s">
        <v>90</v>
      </c>
      <c r="O96" s="445">
        <v>252101</v>
      </c>
      <c r="P96" s="445">
        <f t="shared" ref="P96:P109" si="48">O96*19%</f>
        <v>47899.19</v>
      </c>
      <c r="Q96" s="445">
        <f t="shared" si="28"/>
        <v>300000.19</v>
      </c>
      <c r="R96" s="446">
        <f t="shared" si="29"/>
        <v>20168080</v>
      </c>
      <c r="S96" s="446">
        <f t="shared" si="30"/>
        <v>24000015.199999999</v>
      </c>
      <c r="T96" s="447"/>
      <c r="U96" s="448"/>
      <c r="V96" s="448"/>
      <c r="W96" s="448"/>
      <c r="X96" s="449"/>
      <c r="Y96" s="449"/>
      <c r="Z96" s="450">
        <f t="shared" si="33"/>
        <v>330000.685</v>
      </c>
      <c r="AA96" s="450">
        <f t="shared" si="34"/>
        <v>26400054.800000001</v>
      </c>
      <c r="AB96" s="450">
        <f t="shared" si="35"/>
        <v>3394168.5525524975</v>
      </c>
      <c r="AC96" s="451">
        <f t="shared" si="36"/>
        <v>0.1285667237536377</v>
      </c>
      <c r="AD96" s="398"/>
    </row>
    <row r="97" spans="1:30" s="370" customFormat="1" ht="189" x14ac:dyDescent="0.35">
      <c r="A97" s="276">
        <v>87</v>
      </c>
      <c r="B97" s="277" t="s">
        <v>203</v>
      </c>
      <c r="C97" s="277" t="s">
        <v>205</v>
      </c>
      <c r="D97" s="396" t="s">
        <v>206</v>
      </c>
      <c r="E97" s="277" t="s">
        <v>41</v>
      </c>
      <c r="F97" s="100">
        <v>70</v>
      </c>
      <c r="G97" s="277" t="s">
        <v>42</v>
      </c>
      <c r="H97" s="441" t="s">
        <v>73</v>
      </c>
      <c r="I97" s="397">
        <v>28000</v>
      </c>
      <c r="J97" s="442">
        <f t="shared" si="41"/>
        <v>5320</v>
      </c>
      <c r="K97" s="442">
        <f t="shared" si="37"/>
        <v>33320</v>
      </c>
      <c r="L97" s="443">
        <f t="shared" si="38"/>
        <v>1960000</v>
      </c>
      <c r="M97" s="443">
        <f t="shared" si="39"/>
        <v>2332400</v>
      </c>
      <c r="N97" s="444" t="s">
        <v>83</v>
      </c>
      <c r="O97" s="445">
        <v>26554.62</v>
      </c>
      <c r="P97" s="445">
        <f t="shared" si="48"/>
        <v>5045.3778000000002</v>
      </c>
      <c r="Q97" s="445">
        <f t="shared" si="28"/>
        <v>31599.997799999997</v>
      </c>
      <c r="R97" s="446">
        <f t="shared" si="29"/>
        <v>1858823.4</v>
      </c>
      <c r="S97" s="446">
        <f t="shared" si="30"/>
        <v>2211999.8459999999</v>
      </c>
      <c r="T97" s="447" t="s">
        <v>129</v>
      </c>
      <c r="U97" s="448">
        <v>30000</v>
      </c>
      <c r="V97" s="448"/>
      <c r="W97" s="448">
        <f t="shared" si="42"/>
        <v>30000</v>
      </c>
      <c r="X97" s="449">
        <f t="shared" si="43"/>
        <v>2100000</v>
      </c>
      <c r="Y97" s="449">
        <f t="shared" si="44"/>
        <v>2100000</v>
      </c>
      <c r="Z97" s="450">
        <f t="shared" si="33"/>
        <v>31639.999266666666</v>
      </c>
      <c r="AA97" s="450">
        <f t="shared" si="34"/>
        <v>2214799.9486666666</v>
      </c>
      <c r="AB97" s="450">
        <f t="shared" si="35"/>
        <v>116225.30030594846</v>
      </c>
      <c r="AC97" s="451">
        <f t="shared" si="36"/>
        <v>5.2476658388906562E-2</v>
      </c>
      <c r="AD97" s="398"/>
    </row>
    <row r="98" spans="1:30" s="370" customFormat="1" ht="357" x14ac:dyDescent="0.35">
      <c r="A98" s="276">
        <v>88</v>
      </c>
      <c r="B98" s="277" t="s">
        <v>203</v>
      </c>
      <c r="C98" s="277" t="s">
        <v>97</v>
      </c>
      <c r="D98" s="396" t="s">
        <v>98</v>
      </c>
      <c r="E98" s="277" t="s">
        <v>41</v>
      </c>
      <c r="F98" s="100">
        <v>80</v>
      </c>
      <c r="G98" s="277" t="s">
        <v>42</v>
      </c>
      <c r="H98" s="441" t="s">
        <v>99</v>
      </c>
      <c r="I98" s="397">
        <v>21600</v>
      </c>
      <c r="J98" s="442">
        <f>I98*8%</f>
        <v>1728</v>
      </c>
      <c r="K98" s="442">
        <f t="shared" si="37"/>
        <v>23328</v>
      </c>
      <c r="L98" s="443">
        <f t="shared" si="38"/>
        <v>1728000</v>
      </c>
      <c r="M98" s="443">
        <f t="shared" si="39"/>
        <v>1866240</v>
      </c>
      <c r="N98" s="444" t="s">
        <v>100</v>
      </c>
      <c r="O98" s="445">
        <v>25000</v>
      </c>
      <c r="P98" s="445">
        <f>O98*8%</f>
        <v>2000</v>
      </c>
      <c r="Q98" s="445">
        <f t="shared" si="28"/>
        <v>27000</v>
      </c>
      <c r="R98" s="446">
        <f t="shared" si="29"/>
        <v>2000000</v>
      </c>
      <c r="S98" s="446">
        <f t="shared" si="30"/>
        <v>2160000</v>
      </c>
      <c r="T98" s="447" t="s">
        <v>101</v>
      </c>
      <c r="U98" s="448">
        <v>26824</v>
      </c>
      <c r="V98" s="448">
        <f>U98*8%</f>
        <v>2145.92</v>
      </c>
      <c r="W98" s="448">
        <f t="shared" si="42"/>
        <v>28969.919999999998</v>
      </c>
      <c r="X98" s="449">
        <f t="shared" si="43"/>
        <v>2145920</v>
      </c>
      <c r="Y98" s="449">
        <f t="shared" si="44"/>
        <v>2317593.5999999996</v>
      </c>
      <c r="Z98" s="450">
        <f t="shared" si="33"/>
        <v>26432.639999999999</v>
      </c>
      <c r="AA98" s="450">
        <f t="shared" si="34"/>
        <v>2114611.2000000002</v>
      </c>
      <c r="AB98" s="450">
        <f t="shared" si="35"/>
        <v>229074.49755989845</v>
      </c>
      <c r="AC98" s="451">
        <f t="shared" si="36"/>
        <v>0.10832936927596828</v>
      </c>
      <c r="AD98" s="398"/>
    </row>
    <row r="99" spans="1:30" s="370" customFormat="1" ht="126" x14ac:dyDescent="0.35">
      <c r="A99" s="276">
        <v>89</v>
      </c>
      <c r="B99" s="277" t="s">
        <v>203</v>
      </c>
      <c r="C99" s="277" t="s">
        <v>207</v>
      </c>
      <c r="D99" s="396" t="s">
        <v>208</v>
      </c>
      <c r="E99" s="277" t="s">
        <v>41</v>
      </c>
      <c r="F99" s="100">
        <v>70</v>
      </c>
      <c r="G99" s="277" t="s">
        <v>42</v>
      </c>
      <c r="H99" s="441" t="s">
        <v>209</v>
      </c>
      <c r="I99" s="397">
        <v>92500</v>
      </c>
      <c r="J99" s="442">
        <f t="shared" si="41"/>
        <v>17575</v>
      </c>
      <c r="K99" s="442">
        <f t="shared" si="37"/>
        <v>110075</v>
      </c>
      <c r="L99" s="443">
        <f t="shared" si="38"/>
        <v>6475000</v>
      </c>
      <c r="M99" s="443">
        <f t="shared" si="39"/>
        <v>7705250</v>
      </c>
      <c r="N99" s="444" t="s">
        <v>210</v>
      </c>
      <c r="O99" s="445">
        <v>93000</v>
      </c>
      <c r="P99" s="445">
        <f>O99*19%</f>
        <v>17670</v>
      </c>
      <c r="Q99" s="445">
        <f t="shared" si="28"/>
        <v>110670</v>
      </c>
      <c r="R99" s="446">
        <f t="shared" si="29"/>
        <v>6510000</v>
      </c>
      <c r="S99" s="446">
        <f t="shared" si="30"/>
        <v>7746900</v>
      </c>
      <c r="T99" s="447" t="s">
        <v>48</v>
      </c>
      <c r="U99" s="448">
        <v>117600</v>
      </c>
      <c r="V99" s="448">
        <f t="shared" ref="V99:V109" si="49">U99*19%</f>
        <v>22344</v>
      </c>
      <c r="W99" s="448">
        <f t="shared" si="42"/>
        <v>139944</v>
      </c>
      <c r="X99" s="449">
        <f t="shared" si="43"/>
        <v>8232000</v>
      </c>
      <c r="Y99" s="449">
        <f t="shared" si="44"/>
        <v>9796080</v>
      </c>
      <c r="Z99" s="450">
        <f t="shared" si="33"/>
        <v>120229.66666666667</v>
      </c>
      <c r="AA99" s="450">
        <f t="shared" si="34"/>
        <v>8416076.6666666679</v>
      </c>
      <c r="AB99" s="450">
        <f t="shared" si="35"/>
        <v>1195299.3686241652</v>
      </c>
      <c r="AC99" s="451">
        <f t="shared" si="36"/>
        <v>0.14202572243173067</v>
      </c>
      <c r="AD99" s="398"/>
    </row>
    <row r="100" spans="1:30" s="370" customFormat="1" ht="84" x14ac:dyDescent="0.35">
      <c r="A100" s="276">
        <v>90</v>
      </c>
      <c r="B100" s="277" t="s">
        <v>203</v>
      </c>
      <c r="C100" s="277" t="s">
        <v>122</v>
      </c>
      <c r="D100" s="396" t="s">
        <v>123</v>
      </c>
      <c r="E100" s="277" t="s">
        <v>41</v>
      </c>
      <c r="F100" s="100">
        <v>2</v>
      </c>
      <c r="G100" s="277" t="s">
        <v>42</v>
      </c>
      <c r="H100" s="441" t="str">
        <f>VLOOKUP(C100,ITEMS_BolsaOperador!$D$2:$AQ$499,10,0)</f>
        <v>Tienda Estudiantil</v>
      </c>
      <c r="I100" s="397">
        <v>13043</v>
      </c>
      <c r="J100" s="442">
        <f t="shared" si="41"/>
        <v>2478.17</v>
      </c>
      <c r="K100" s="442">
        <f t="shared" si="37"/>
        <v>15521.17</v>
      </c>
      <c r="L100" s="443">
        <f t="shared" si="38"/>
        <v>26086</v>
      </c>
      <c r="M100" s="443">
        <f t="shared" si="39"/>
        <v>31042.34</v>
      </c>
      <c r="N100" s="444" t="str">
        <f>VLOOKUP(C100,ITEMS_BolsaOperador!$D$2:$AQ$499,23,0)</f>
        <v>Panamericana</v>
      </c>
      <c r="O100" s="445">
        <v>14033.613445378152</v>
      </c>
      <c r="P100" s="445">
        <f t="shared" ref="P100:P106" si="50">O100*19%</f>
        <v>2666.386554621849</v>
      </c>
      <c r="Q100" s="445">
        <f t="shared" si="28"/>
        <v>16700</v>
      </c>
      <c r="R100" s="446">
        <f t="shared" si="29"/>
        <v>28067.226890756305</v>
      </c>
      <c r="S100" s="446">
        <f t="shared" si="30"/>
        <v>33400</v>
      </c>
      <c r="T100" s="447" t="str">
        <f>VLOOKUP(C100,ITEMS_BolsaOperador!$D$2:$AQ$499,36,0)</f>
        <v>Exito</v>
      </c>
      <c r="U100" s="448">
        <v>12092.436974789916</v>
      </c>
      <c r="V100" s="448">
        <f t="shared" si="49"/>
        <v>2297.5630252100841</v>
      </c>
      <c r="W100" s="448">
        <f t="shared" si="42"/>
        <v>14390</v>
      </c>
      <c r="X100" s="449">
        <f t="shared" si="43"/>
        <v>24184.873949579833</v>
      </c>
      <c r="Y100" s="449">
        <f t="shared" si="44"/>
        <v>28780</v>
      </c>
      <c r="Z100" s="450">
        <f t="shared" si="33"/>
        <v>15537.056666666665</v>
      </c>
      <c r="AA100" s="450">
        <f t="shared" si="34"/>
        <v>31074.113333333331</v>
      </c>
      <c r="AB100" s="450">
        <f t="shared" si="35"/>
        <v>2310.1638813152049</v>
      </c>
      <c r="AC100" s="451">
        <f t="shared" si="36"/>
        <v>7.4343678177844652E-2</v>
      </c>
      <c r="AD100" s="398"/>
    </row>
    <row r="101" spans="1:30" s="370" customFormat="1" ht="105" x14ac:dyDescent="0.35">
      <c r="A101" s="276">
        <v>91</v>
      </c>
      <c r="B101" s="277" t="s">
        <v>203</v>
      </c>
      <c r="C101" s="277" t="s">
        <v>396</v>
      </c>
      <c r="D101" s="396" t="s">
        <v>397</v>
      </c>
      <c r="E101" s="277" t="s">
        <v>41</v>
      </c>
      <c r="F101" s="100">
        <v>1</v>
      </c>
      <c r="G101" s="277" t="s">
        <v>42</v>
      </c>
      <c r="H101" s="441" t="str">
        <f>VLOOKUP(C101,ITEMS_BolsaOperador!$D$2:$AQ$499,10,0)</f>
        <v>Fallabella</v>
      </c>
      <c r="I101" s="397">
        <v>40252.100840336134</v>
      </c>
      <c r="J101" s="442">
        <f t="shared" si="41"/>
        <v>7647.8991596638652</v>
      </c>
      <c r="K101" s="442">
        <f t="shared" si="37"/>
        <v>47900</v>
      </c>
      <c r="L101" s="443">
        <f t="shared" si="38"/>
        <v>40252.100840336134</v>
      </c>
      <c r="M101" s="443">
        <f t="shared" si="39"/>
        <v>47900</v>
      </c>
      <c r="N101" s="444" t="str">
        <f>VLOOKUP(C101,ITEMS_BolsaOperador!$D$2:$AQ$499,23,0)</f>
        <v>Homme Center</v>
      </c>
      <c r="O101" s="445">
        <v>43613.445378151264</v>
      </c>
      <c r="P101" s="445">
        <f t="shared" si="50"/>
        <v>8286.5546218487398</v>
      </c>
      <c r="Q101" s="445">
        <f t="shared" si="28"/>
        <v>51900</v>
      </c>
      <c r="R101" s="446">
        <f t="shared" si="29"/>
        <v>43613.445378151264</v>
      </c>
      <c r="S101" s="446">
        <f t="shared" si="30"/>
        <v>51900</v>
      </c>
      <c r="T101" s="447" t="str">
        <f>VLOOKUP(C101,ITEMS_BolsaOperador!$D$2:$AQ$499,36,0)</f>
        <v>SUESCUN</v>
      </c>
      <c r="U101" s="448">
        <v>42016.806722689078</v>
      </c>
      <c r="V101" s="448">
        <f t="shared" si="49"/>
        <v>7983.1932773109247</v>
      </c>
      <c r="W101" s="448">
        <f t="shared" si="42"/>
        <v>50000</v>
      </c>
      <c r="X101" s="449">
        <f t="shared" si="43"/>
        <v>42016.806722689078</v>
      </c>
      <c r="Y101" s="449">
        <f t="shared" si="44"/>
        <v>50000</v>
      </c>
      <c r="Z101" s="450">
        <f t="shared" si="33"/>
        <v>49933.333333333336</v>
      </c>
      <c r="AA101" s="450">
        <f t="shared" si="34"/>
        <v>49933.333333333336</v>
      </c>
      <c r="AB101" s="450">
        <f t="shared" si="35"/>
        <v>2000.8331597945225</v>
      </c>
      <c r="AC101" s="451">
        <f t="shared" si="36"/>
        <v>4.0070089982533828E-2</v>
      </c>
      <c r="AD101" s="398"/>
    </row>
    <row r="102" spans="1:30" s="370" customFormat="1" ht="84" x14ac:dyDescent="0.35">
      <c r="A102" s="276">
        <v>92</v>
      </c>
      <c r="B102" s="277" t="s">
        <v>203</v>
      </c>
      <c r="C102" s="277" t="s">
        <v>375</v>
      </c>
      <c r="D102" s="396" t="s">
        <v>376</v>
      </c>
      <c r="E102" s="277" t="s">
        <v>41</v>
      </c>
      <c r="F102" s="100">
        <v>2</v>
      </c>
      <c r="G102" s="277" t="s">
        <v>42</v>
      </c>
      <c r="H102" s="441" t="str">
        <f>VLOOKUP(C102,ITEMS_BolsaOperador!$D$2:$AQ$499,10,0)</f>
        <v>Ofix</v>
      </c>
      <c r="I102" s="397">
        <v>1786.5546218487395</v>
      </c>
      <c r="J102" s="442">
        <f t="shared" si="41"/>
        <v>339.44537815126051</v>
      </c>
      <c r="K102" s="442">
        <f t="shared" si="37"/>
        <v>2126</v>
      </c>
      <c r="L102" s="443">
        <f t="shared" si="38"/>
        <v>3573.1092436974791</v>
      </c>
      <c r="M102" s="443">
        <f t="shared" si="39"/>
        <v>4252</v>
      </c>
      <c r="N102" s="444" t="str">
        <f>VLOOKUP(C102,ITEMS_BolsaOperador!$D$2:$AQ$499,23,0)</f>
        <v>La Garza</v>
      </c>
      <c r="O102" s="445">
        <v>2100.840336134454</v>
      </c>
      <c r="P102" s="445">
        <f t="shared" si="50"/>
        <v>399.15966386554624</v>
      </c>
      <c r="Q102" s="445">
        <f t="shared" si="28"/>
        <v>2500</v>
      </c>
      <c r="R102" s="446">
        <f t="shared" si="29"/>
        <v>4201.680672268908</v>
      </c>
      <c r="S102" s="446">
        <f t="shared" si="30"/>
        <v>5000</v>
      </c>
      <c r="T102" s="447" t="str">
        <f>VLOOKUP(C102,ITEMS_BolsaOperador!$D$2:$AQ$499,36,0)</f>
        <v>DINGLI - DETALSHOP</v>
      </c>
      <c r="U102" s="448">
        <v>1500</v>
      </c>
      <c r="V102" s="448">
        <f t="shared" si="49"/>
        <v>285</v>
      </c>
      <c r="W102" s="448">
        <f t="shared" si="42"/>
        <v>1785</v>
      </c>
      <c r="X102" s="449">
        <f t="shared" si="43"/>
        <v>3000</v>
      </c>
      <c r="Y102" s="449">
        <f t="shared" si="44"/>
        <v>3570</v>
      </c>
      <c r="Z102" s="450">
        <f t="shared" si="33"/>
        <v>2137</v>
      </c>
      <c r="AA102" s="450">
        <f t="shared" si="34"/>
        <v>4274</v>
      </c>
      <c r="AB102" s="450">
        <f t="shared" si="35"/>
        <v>715.25380110838978</v>
      </c>
      <c r="AC102" s="451">
        <f t="shared" si="36"/>
        <v>0.16734997686204722</v>
      </c>
      <c r="AD102" s="398"/>
    </row>
    <row r="103" spans="1:30" s="370" customFormat="1" ht="84" x14ac:dyDescent="0.35">
      <c r="A103" s="276">
        <v>93</v>
      </c>
      <c r="B103" s="277" t="s">
        <v>203</v>
      </c>
      <c r="C103" s="277" t="s">
        <v>377</v>
      </c>
      <c r="D103" s="396" t="s">
        <v>378</v>
      </c>
      <c r="E103" s="277" t="s">
        <v>41</v>
      </c>
      <c r="F103" s="100">
        <v>35</v>
      </c>
      <c r="G103" s="277" t="s">
        <v>42</v>
      </c>
      <c r="H103" s="441" t="str">
        <f>VLOOKUP(C103,ITEMS_BolsaOperador!$D$2:$AQ$499,10,0)</f>
        <v>Gran Papelera</v>
      </c>
      <c r="I103" s="397">
        <v>5042.0168067226896</v>
      </c>
      <c r="J103" s="442">
        <f t="shared" si="41"/>
        <v>957.98319327731099</v>
      </c>
      <c r="K103" s="442">
        <f t="shared" si="37"/>
        <v>6000.0000000000009</v>
      </c>
      <c r="L103" s="443">
        <f t="shared" si="38"/>
        <v>176470.58823529413</v>
      </c>
      <c r="M103" s="443">
        <f t="shared" si="39"/>
        <v>210000.00000000003</v>
      </c>
      <c r="N103" s="444" t="str">
        <f>VLOOKUP(C103,ITEMS_BolsaOperador!$D$2:$AQ$499,23,0)</f>
        <v>Papeleria la Estacion de Suba</v>
      </c>
      <c r="O103" s="445">
        <v>5966.3865546218494</v>
      </c>
      <c r="P103" s="445">
        <f t="shared" si="50"/>
        <v>1133.6134453781515</v>
      </c>
      <c r="Q103" s="445">
        <f t="shared" si="28"/>
        <v>7100.0000000000009</v>
      </c>
      <c r="R103" s="446">
        <f t="shared" si="29"/>
        <v>208823.52941176473</v>
      </c>
      <c r="S103" s="446">
        <f t="shared" si="30"/>
        <v>248500.00000000003</v>
      </c>
      <c r="T103" s="447" t="str">
        <f>VLOOKUP(C103,ITEMS_BolsaOperador!$D$2:$AQ$499,36,0)</f>
        <v>Papeleria Gran Central</v>
      </c>
      <c r="U103" s="448">
        <v>5462.1848739495799</v>
      </c>
      <c r="V103" s="448">
        <f t="shared" si="49"/>
        <v>1037.8151260504203</v>
      </c>
      <c r="W103" s="448">
        <f t="shared" si="42"/>
        <v>6500</v>
      </c>
      <c r="X103" s="449">
        <f t="shared" si="43"/>
        <v>191176.4705882353</v>
      </c>
      <c r="Y103" s="449">
        <f t="shared" si="44"/>
        <v>227500</v>
      </c>
      <c r="Z103" s="450">
        <f t="shared" si="33"/>
        <v>6533.333333333333</v>
      </c>
      <c r="AA103" s="450">
        <f t="shared" si="34"/>
        <v>228666.66666666666</v>
      </c>
      <c r="AB103" s="450">
        <f t="shared" si="35"/>
        <v>19276.496915501357</v>
      </c>
      <c r="AC103" s="451">
        <f t="shared" si="36"/>
        <v>8.4299549193154619E-2</v>
      </c>
      <c r="AD103" s="398"/>
    </row>
    <row r="104" spans="1:30" s="370" customFormat="1" ht="84" x14ac:dyDescent="0.35">
      <c r="A104" s="276">
        <v>94</v>
      </c>
      <c r="B104" s="277" t="s">
        <v>203</v>
      </c>
      <c r="C104" s="277" t="s">
        <v>398</v>
      </c>
      <c r="D104" s="396" t="s">
        <v>399</v>
      </c>
      <c r="E104" s="277" t="s">
        <v>41</v>
      </c>
      <c r="F104" s="100">
        <v>4</v>
      </c>
      <c r="G104" s="277" t="s">
        <v>42</v>
      </c>
      <c r="H104" s="441" t="str">
        <f>VLOOKUP(C104,ITEMS_BolsaOperador!$D$2:$AQ$499,10,0)</f>
        <v>Gran Papelera</v>
      </c>
      <c r="I104" s="397">
        <v>9243.6974789915967</v>
      </c>
      <c r="J104" s="442">
        <f t="shared" si="41"/>
        <v>1756.3025210084033</v>
      </c>
      <c r="K104" s="442">
        <f t="shared" si="37"/>
        <v>11000</v>
      </c>
      <c r="L104" s="443">
        <f t="shared" si="38"/>
        <v>36974.789915966387</v>
      </c>
      <c r="M104" s="443">
        <f t="shared" si="39"/>
        <v>44000</v>
      </c>
      <c r="N104" s="444" t="str">
        <f>VLOOKUP(C104,ITEMS_BolsaOperador!$D$2:$AQ$499,23,0)</f>
        <v>Cartel Arte y papeleria</v>
      </c>
      <c r="O104" s="445">
        <v>7899.1596638655465</v>
      </c>
      <c r="P104" s="445">
        <f t="shared" si="50"/>
        <v>1500.8403361344538</v>
      </c>
      <c r="Q104" s="445">
        <f t="shared" si="28"/>
        <v>9400</v>
      </c>
      <c r="R104" s="446">
        <f t="shared" si="29"/>
        <v>31596.638655462186</v>
      </c>
      <c r="S104" s="446">
        <f t="shared" si="30"/>
        <v>37600</v>
      </c>
      <c r="T104" s="447" t="str">
        <f>VLOOKUP(C104,ITEMS_BolsaOperador!$D$2:$AQ$499,36,0)</f>
        <v>Icopel</v>
      </c>
      <c r="U104" s="448">
        <v>10000</v>
      </c>
      <c r="V104" s="448">
        <f t="shared" si="49"/>
        <v>1900</v>
      </c>
      <c r="W104" s="448">
        <f t="shared" si="42"/>
        <v>11900</v>
      </c>
      <c r="X104" s="449">
        <f t="shared" si="43"/>
        <v>40000</v>
      </c>
      <c r="Y104" s="449">
        <f t="shared" si="44"/>
        <v>47600</v>
      </c>
      <c r="Z104" s="450">
        <f t="shared" si="33"/>
        <v>10766.666666666666</v>
      </c>
      <c r="AA104" s="450">
        <f t="shared" si="34"/>
        <v>43066.666666666664</v>
      </c>
      <c r="AB104" s="450">
        <f t="shared" si="35"/>
        <v>5064.9119768593546</v>
      </c>
      <c r="AC104" s="451">
        <f t="shared" si="36"/>
        <v>0.1176063152521522</v>
      </c>
      <c r="AD104" s="398"/>
    </row>
    <row r="105" spans="1:30" s="370" customFormat="1" ht="84" x14ac:dyDescent="0.35">
      <c r="A105" s="276">
        <v>95</v>
      </c>
      <c r="B105" s="277" t="s">
        <v>203</v>
      </c>
      <c r="C105" s="277" t="s">
        <v>400</v>
      </c>
      <c r="D105" s="396" t="s">
        <v>401</v>
      </c>
      <c r="E105" s="277" t="s">
        <v>41</v>
      </c>
      <c r="F105" s="100">
        <v>2</v>
      </c>
      <c r="G105" s="277" t="s">
        <v>42</v>
      </c>
      <c r="H105" s="441" t="str">
        <f>VLOOKUP(C105,ITEMS_BolsaOperador!$D$2:$AQ$499,10,0)</f>
        <v>SG DIGITAL S.A.S</v>
      </c>
      <c r="I105" s="397">
        <v>285714.28571428574</v>
      </c>
      <c r="J105" s="442">
        <f t="shared" si="41"/>
        <v>54285.71428571429</v>
      </c>
      <c r="K105" s="442">
        <f t="shared" si="37"/>
        <v>340000</v>
      </c>
      <c r="L105" s="443">
        <f t="shared" si="38"/>
        <v>571428.57142857148</v>
      </c>
      <c r="M105" s="443">
        <f t="shared" si="39"/>
        <v>680000</v>
      </c>
      <c r="N105" s="444" t="str">
        <f>VLOOKUP(C105,ITEMS_BolsaOperador!$D$2:$AQ$499,23,0)</f>
        <v>INVENTIVA</v>
      </c>
      <c r="O105" s="445">
        <v>210000</v>
      </c>
      <c r="P105" s="445">
        <f t="shared" si="50"/>
        <v>39900</v>
      </c>
      <c r="Q105" s="445">
        <f t="shared" si="28"/>
        <v>249900</v>
      </c>
      <c r="R105" s="446">
        <f t="shared" si="29"/>
        <v>420000</v>
      </c>
      <c r="S105" s="446">
        <f t="shared" si="30"/>
        <v>499800</v>
      </c>
      <c r="T105" s="447" t="str">
        <f>VLOOKUP(C105,ITEMS_BolsaOperador!$D$2:$AQ$499,36,0)</f>
        <v xml:space="preserve">NEXUS </v>
      </c>
      <c r="U105" s="448">
        <v>250000</v>
      </c>
      <c r="V105" s="448">
        <f t="shared" si="49"/>
        <v>47500</v>
      </c>
      <c r="W105" s="448">
        <f t="shared" si="42"/>
        <v>297500</v>
      </c>
      <c r="X105" s="449">
        <f t="shared" si="43"/>
        <v>500000</v>
      </c>
      <c r="Y105" s="449">
        <f t="shared" si="44"/>
        <v>595000</v>
      </c>
      <c r="Z105" s="450">
        <f t="shared" si="33"/>
        <v>295800</v>
      </c>
      <c r="AA105" s="450">
        <f t="shared" si="34"/>
        <v>591600</v>
      </c>
      <c r="AB105" s="450">
        <f t="shared" si="35"/>
        <v>90148.100368227388</v>
      </c>
      <c r="AC105" s="451">
        <f t="shared" si="36"/>
        <v>0.15238015613290634</v>
      </c>
      <c r="AD105" s="398"/>
    </row>
    <row r="106" spans="1:30" s="370" customFormat="1" ht="84" x14ac:dyDescent="0.35">
      <c r="A106" s="276">
        <v>96</v>
      </c>
      <c r="B106" s="277" t="s">
        <v>203</v>
      </c>
      <c r="C106" s="277" t="s">
        <v>402</v>
      </c>
      <c r="D106" s="396" t="s">
        <v>403</v>
      </c>
      <c r="E106" s="277" t="s">
        <v>41</v>
      </c>
      <c r="F106" s="100">
        <v>1</v>
      </c>
      <c r="G106" s="277" t="s">
        <v>42</v>
      </c>
      <c r="H106" s="441" t="str">
        <f>VLOOKUP(C106,ITEMS_BolsaOperador!$D$2:$AQ$499,10,0)</f>
        <v>JEGAR PUBLICIDAD</v>
      </c>
      <c r="I106" s="397">
        <v>411764.70588235295</v>
      </c>
      <c r="J106" s="442">
        <f t="shared" si="41"/>
        <v>78235.294117647063</v>
      </c>
      <c r="K106" s="442">
        <f t="shared" si="37"/>
        <v>490000</v>
      </c>
      <c r="L106" s="443">
        <f t="shared" si="38"/>
        <v>411764.70588235295</v>
      </c>
      <c r="M106" s="443">
        <f t="shared" si="39"/>
        <v>490000</v>
      </c>
      <c r="N106" s="444" t="str">
        <f>VLOOKUP(C106,ITEMS_BolsaOperador!$D$2:$AQ$499,23,0)</f>
        <v>SG DIGITAL</v>
      </c>
      <c r="O106" s="445">
        <v>462184.87394957984</v>
      </c>
      <c r="P106" s="445">
        <f t="shared" si="50"/>
        <v>87815.126050420164</v>
      </c>
      <c r="Q106" s="445">
        <f t="shared" si="28"/>
        <v>550000</v>
      </c>
      <c r="R106" s="446">
        <f t="shared" si="29"/>
        <v>462184.87394957984</v>
      </c>
      <c r="S106" s="446">
        <f t="shared" si="30"/>
        <v>550000</v>
      </c>
      <c r="T106" s="447" t="str">
        <f>VLOOKUP(C106,ITEMS_BolsaOperador!$D$2:$AQ$499,36,0)</f>
        <v>DICOES GRUPÓ PUBLICITARIO SAS</v>
      </c>
      <c r="U106" s="448">
        <v>585000</v>
      </c>
      <c r="V106" s="448">
        <f t="shared" si="49"/>
        <v>111150</v>
      </c>
      <c r="W106" s="448">
        <f t="shared" si="42"/>
        <v>696150</v>
      </c>
      <c r="X106" s="449">
        <f t="shared" si="43"/>
        <v>585000</v>
      </c>
      <c r="Y106" s="449">
        <f t="shared" si="44"/>
        <v>696150</v>
      </c>
      <c r="Z106" s="450">
        <f t="shared" si="33"/>
        <v>578716.66666666663</v>
      </c>
      <c r="AA106" s="450">
        <f t="shared" si="34"/>
        <v>578716.66666666663</v>
      </c>
      <c r="AB106" s="450">
        <f t="shared" si="35"/>
        <v>106032.73472533523</v>
      </c>
      <c r="AC106" s="451">
        <f t="shared" si="36"/>
        <v>0.18322046146704243</v>
      </c>
      <c r="AD106" s="398"/>
    </row>
    <row r="107" spans="1:30" s="370" customFormat="1" ht="84" x14ac:dyDescent="0.35">
      <c r="A107" s="276">
        <v>97</v>
      </c>
      <c r="B107" s="277" t="s">
        <v>203</v>
      </c>
      <c r="C107" s="277" t="s">
        <v>213</v>
      </c>
      <c r="D107" s="396" t="s">
        <v>214</v>
      </c>
      <c r="E107" s="277" t="s">
        <v>41</v>
      </c>
      <c r="F107" s="100">
        <v>70</v>
      </c>
      <c r="G107" s="277" t="s">
        <v>42</v>
      </c>
      <c r="H107" s="441" t="s">
        <v>53</v>
      </c>
      <c r="I107" s="397">
        <v>48000</v>
      </c>
      <c r="J107" s="442">
        <f t="shared" si="41"/>
        <v>9120</v>
      </c>
      <c r="K107" s="442">
        <f t="shared" si="37"/>
        <v>57120</v>
      </c>
      <c r="L107" s="443">
        <f t="shared" si="38"/>
        <v>3360000</v>
      </c>
      <c r="M107" s="443">
        <f t="shared" si="39"/>
        <v>3998400</v>
      </c>
      <c r="N107" s="444" t="s">
        <v>50</v>
      </c>
      <c r="O107" s="445">
        <v>32000</v>
      </c>
      <c r="P107" s="445">
        <f t="shared" si="48"/>
        <v>6080</v>
      </c>
      <c r="Q107" s="445">
        <f t="shared" si="28"/>
        <v>38080</v>
      </c>
      <c r="R107" s="446">
        <f t="shared" si="29"/>
        <v>2240000</v>
      </c>
      <c r="S107" s="446">
        <f t="shared" si="30"/>
        <v>2665600</v>
      </c>
      <c r="T107" s="447" t="s">
        <v>160</v>
      </c>
      <c r="U107" s="448">
        <v>49070</v>
      </c>
      <c r="V107" s="448">
        <f t="shared" si="49"/>
        <v>9323.2999999999993</v>
      </c>
      <c r="W107" s="448">
        <f t="shared" si="42"/>
        <v>58393.3</v>
      </c>
      <c r="X107" s="449">
        <f t="shared" si="43"/>
        <v>3434900</v>
      </c>
      <c r="Y107" s="449">
        <f t="shared" si="44"/>
        <v>4087531</v>
      </c>
      <c r="Z107" s="450">
        <f t="shared" si="33"/>
        <v>51197.766666666663</v>
      </c>
      <c r="AA107" s="450">
        <f t="shared" si="34"/>
        <v>3583843.6666666665</v>
      </c>
      <c r="AB107" s="450">
        <f t="shared" si="35"/>
        <v>796470.1233067892</v>
      </c>
      <c r="AC107" s="451">
        <f t="shared" si="36"/>
        <v>0.22223908110578555</v>
      </c>
      <c r="AD107" s="398"/>
    </row>
    <row r="108" spans="1:30" s="370" customFormat="1" ht="84" x14ac:dyDescent="0.35">
      <c r="A108" s="276">
        <v>98</v>
      </c>
      <c r="B108" s="277" t="s">
        <v>203</v>
      </c>
      <c r="C108" s="277" t="s">
        <v>81</v>
      </c>
      <c r="D108" s="396" t="s">
        <v>82</v>
      </c>
      <c r="E108" s="277" t="s">
        <v>41</v>
      </c>
      <c r="F108" s="100">
        <v>70</v>
      </c>
      <c r="G108" s="277" t="s">
        <v>42</v>
      </c>
      <c r="H108" s="441" t="s">
        <v>48</v>
      </c>
      <c r="I108" s="397">
        <v>2200</v>
      </c>
      <c r="J108" s="442">
        <f t="shared" si="41"/>
        <v>418</v>
      </c>
      <c r="K108" s="442">
        <f t="shared" si="37"/>
        <v>2618</v>
      </c>
      <c r="L108" s="443">
        <f t="shared" si="38"/>
        <v>154000</v>
      </c>
      <c r="M108" s="443">
        <f t="shared" si="39"/>
        <v>183260</v>
      </c>
      <c r="N108" s="444" t="s">
        <v>83</v>
      </c>
      <c r="O108" s="445">
        <v>2689.08</v>
      </c>
      <c r="P108" s="445">
        <f t="shared" si="48"/>
        <v>510.92520000000002</v>
      </c>
      <c r="Q108" s="445">
        <f t="shared" si="28"/>
        <v>3200.0052000000001</v>
      </c>
      <c r="R108" s="446">
        <f t="shared" si="29"/>
        <v>188235.6</v>
      </c>
      <c r="S108" s="446">
        <f t="shared" si="30"/>
        <v>224000.364</v>
      </c>
      <c r="T108" s="447" t="s">
        <v>84</v>
      </c>
      <c r="U108" s="448">
        <v>3800</v>
      </c>
      <c r="V108" s="448"/>
      <c r="W108" s="448">
        <f t="shared" si="42"/>
        <v>3800</v>
      </c>
      <c r="X108" s="449">
        <f t="shared" si="43"/>
        <v>266000</v>
      </c>
      <c r="Y108" s="449">
        <f t="shared" si="44"/>
        <v>266000</v>
      </c>
      <c r="Z108" s="450">
        <f t="shared" si="33"/>
        <v>3206.001733333333</v>
      </c>
      <c r="AA108" s="450">
        <f t="shared" si="34"/>
        <v>224420.12133333331</v>
      </c>
      <c r="AB108" s="450">
        <f t="shared" si="35"/>
        <v>41371.597106760986</v>
      </c>
      <c r="AC108" s="451">
        <f t="shared" si="36"/>
        <v>0.18434887594286328</v>
      </c>
      <c r="AD108" s="398"/>
    </row>
    <row r="109" spans="1:30" s="370" customFormat="1" ht="84" x14ac:dyDescent="0.35">
      <c r="A109" s="276">
        <v>99</v>
      </c>
      <c r="B109" s="277" t="s">
        <v>203</v>
      </c>
      <c r="C109" s="277" t="s">
        <v>215</v>
      </c>
      <c r="D109" s="396" t="s">
        <v>216</v>
      </c>
      <c r="E109" s="277" t="s">
        <v>217</v>
      </c>
      <c r="F109" s="100">
        <v>2</v>
      </c>
      <c r="G109" s="277" t="s">
        <v>42</v>
      </c>
      <c r="H109" s="441" t="s">
        <v>53</v>
      </c>
      <c r="I109" s="397">
        <v>705600</v>
      </c>
      <c r="J109" s="442">
        <f t="shared" si="41"/>
        <v>134064</v>
      </c>
      <c r="K109" s="442">
        <f t="shared" si="37"/>
        <v>839664</v>
      </c>
      <c r="L109" s="443">
        <f t="shared" si="38"/>
        <v>1411200</v>
      </c>
      <c r="M109" s="443">
        <f t="shared" si="39"/>
        <v>1679328</v>
      </c>
      <c r="N109" s="444" t="s">
        <v>50</v>
      </c>
      <c r="O109" s="445">
        <v>563026</v>
      </c>
      <c r="P109" s="445">
        <f t="shared" si="48"/>
        <v>106974.94</v>
      </c>
      <c r="Q109" s="445">
        <f t="shared" si="28"/>
        <v>670000.93999999994</v>
      </c>
      <c r="R109" s="446">
        <f t="shared" si="29"/>
        <v>1126052</v>
      </c>
      <c r="S109" s="446">
        <f t="shared" si="30"/>
        <v>1340001.8799999999</v>
      </c>
      <c r="T109" s="447" t="s">
        <v>160</v>
      </c>
      <c r="U109" s="448">
        <v>706500</v>
      </c>
      <c r="V109" s="448">
        <f t="shared" si="49"/>
        <v>134235</v>
      </c>
      <c r="W109" s="448">
        <f t="shared" si="42"/>
        <v>840735</v>
      </c>
      <c r="X109" s="449">
        <f t="shared" si="43"/>
        <v>1413000</v>
      </c>
      <c r="Y109" s="449">
        <f t="shared" si="44"/>
        <v>1681470</v>
      </c>
      <c r="Z109" s="450">
        <f t="shared" si="33"/>
        <v>783466.64666666661</v>
      </c>
      <c r="AA109" s="450">
        <f t="shared" si="34"/>
        <v>1566933.2933333332</v>
      </c>
      <c r="AB109" s="450">
        <f t="shared" si="35"/>
        <v>196531.28709978631</v>
      </c>
      <c r="AC109" s="451">
        <f t="shared" si="36"/>
        <v>0.12542415681378866</v>
      </c>
      <c r="AD109" s="398"/>
    </row>
    <row r="110" spans="1:30" s="370" customFormat="1" ht="84" x14ac:dyDescent="0.35">
      <c r="A110" s="276">
        <v>100</v>
      </c>
      <c r="B110" s="277" t="s">
        <v>203</v>
      </c>
      <c r="C110" s="277" t="s">
        <v>406</v>
      </c>
      <c r="D110" s="396" t="s">
        <v>219</v>
      </c>
      <c r="E110" s="277" t="s">
        <v>41</v>
      </c>
      <c r="F110" s="100">
        <v>70</v>
      </c>
      <c r="G110" s="277"/>
      <c r="H110" s="441"/>
      <c r="I110" s="397"/>
      <c r="J110" s="442"/>
      <c r="K110" s="442"/>
      <c r="L110" s="443"/>
      <c r="M110" s="443"/>
      <c r="N110" s="444"/>
      <c r="O110" s="445"/>
      <c r="P110" s="445"/>
      <c r="Q110" s="445"/>
      <c r="R110" s="446"/>
      <c r="S110" s="446"/>
      <c r="T110" s="447"/>
      <c r="U110" s="448"/>
      <c r="V110" s="448"/>
      <c r="W110" s="448"/>
      <c r="X110" s="449"/>
      <c r="Y110" s="449"/>
      <c r="Z110" s="450">
        <v>2737000</v>
      </c>
      <c r="AA110" s="450">
        <f>IF(B110="","",Z110*F110)</f>
        <v>191590000</v>
      </c>
      <c r="AB110" s="450"/>
      <c r="AC110" s="451"/>
      <c r="AD110" s="398"/>
    </row>
    <row r="111" spans="1:30" s="370" customFormat="1" ht="105" x14ac:dyDescent="0.35">
      <c r="A111" s="276">
        <v>101</v>
      </c>
      <c r="B111" s="277" t="s">
        <v>157</v>
      </c>
      <c r="C111" s="277" t="s">
        <v>407</v>
      </c>
      <c r="D111" s="396" t="s">
        <v>221</v>
      </c>
      <c r="E111" s="277" t="s">
        <v>41</v>
      </c>
      <c r="F111" s="100">
        <v>1</v>
      </c>
      <c r="G111" s="277"/>
      <c r="H111" s="441"/>
      <c r="I111" s="397"/>
      <c r="J111" s="442"/>
      <c r="K111" s="442"/>
      <c r="L111" s="443"/>
      <c r="M111" s="443"/>
      <c r="N111" s="444"/>
      <c r="O111" s="445"/>
      <c r="P111" s="445"/>
      <c r="Q111" s="445"/>
      <c r="R111" s="446"/>
      <c r="S111" s="446"/>
      <c r="T111" s="447"/>
      <c r="U111" s="448"/>
      <c r="V111" s="448"/>
      <c r="W111" s="448"/>
      <c r="X111" s="449"/>
      <c r="Y111" s="449"/>
      <c r="Z111" s="450">
        <v>7761487</v>
      </c>
      <c r="AA111" s="450">
        <v>7761487</v>
      </c>
      <c r="AB111" s="450"/>
      <c r="AC111" s="451"/>
      <c r="AD111" s="398"/>
    </row>
    <row r="112" spans="1:30" s="7" customFormat="1" ht="21" x14ac:dyDescent="0.25">
      <c r="A112" s="370"/>
      <c r="B112" s="371"/>
      <c r="C112" s="370"/>
      <c r="D112" s="370"/>
      <c r="E112" s="371"/>
      <c r="F112" s="372"/>
      <c r="G112" s="373"/>
      <c r="H112" s="374"/>
      <c r="I112" s="375"/>
      <c r="J112" s="376"/>
      <c r="K112" s="376"/>
      <c r="L112" s="377"/>
      <c r="M112" s="377"/>
      <c r="N112" s="363"/>
      <c r="O112" s="378"/>
      <c r="P112" s="378"/>
      <c r="Q112" s="378"/>
      <c r="R112" s="379"/>
      <c r="S112" s="379"/>
      <c r="T112" s="365"/>
      <c r="U112" s="380"/>
      <c r="V112" s="380"/>
      <c r="W112" s="381"/>
      <c r="X112" s="382"/>
      <c r="Y112" s="382"/>
      <c r="Z112" s="383" t="str">
        <f>IF(A112="","",AVERAGE(K112,Q112,W112))</f>
        <v/>
      </c>
      <c r="AA112" s="368"/>
      <c r="AB112" s="368"/>
      <c r="AC112" s="369"/>
    </row>
    <row r="113" spans="1:30" s="7" customFormat="1" ht="21" x14ac:dyDescent="0.25">
      <c r="A113" s="486" t="s">
        <v>222</v>
      </c>
      <c r="B113" s="486"/>
      <c r="C113" s="486"/>
      <c r="D113" s="486"/>
      <c r="E113" s="486"/>
      <c r="F113" s="487"/>
      <c r="G113" s="486"/>
      <c r="H113" s="487"/>
      <c r="I113" s="487"/>
      <c r="J113" s="487"/>
      <c r="K113" s="487"/>
      <c r="L113" s="487"/>
      <c r="M113" s="487"/>
      <c r="N113" s="487"/>
      <c r="O113" s="487"/>
      <c r="P113" s="487"/>
      <c r="Q113" s="487"/>
      <c r="R113" s="487"/>
      <c r="S113" s="487"/>
      <c r="T113" s="487"/>
      <c r="U113" s="487"/>
      <c r="V113" s="487"/>
      <c r="W113" s="487"/>
      <c r="X113" s="487"/>
      <c r="Y113" s="487"/>
      <c r="Z113" s="487"/>
      <c r="AA113" s="91">
        <f>SUM(AA11:AA112)</f>
        <v>590462282.71803367</v>
      </c>
    </row>
    <row r="114" spans="1:30" s="7" customFormat="1" x14ac:dyDescent="0.25">
      <c r="A114" s="488" t="s">
        <v>223</v>
      </c>
      <c r="B114" s="488"/>
      <c r="C114" s="488"/>
      <c r="D114" s="488"/>
      <c r="E114" s="488"/>
      <c r="F114" s="488"/>
      <c r="G114" s="488"/>
      <c r="H114" s="488"/>
      <c r="I114" s="488"/>
      <c r="J114" s="488"/>
      <c r="K114" s="488"/>
      <c r="L114" s="488"/>
      <c r="M114" s="488"/>
      <c r="N114" s="488"/>
      <c r="O114" s="488"/>
      <c r="P114" s="488"/>
      <c r="Q114" s="488"/>
      <c r="R114" s="488"/>
      <c r="S114" s="488"/>
      <c r="T114" s="488"/>
      <c r="U114" s="488"/>
      <c r="V114" s="488"/>
      <c r="W114" s="488"/>
      <c r="X114" s="488"/>
      <c r="Y114" s="488"/>
      <c r="Z114" s="488"/>
      <c r="AA114" s="488"/>
      <c r="AB114" s="488"/>
      <c r="AC114" s="488"/>
      <c r="AD114" s="488"/>
    </row>
    <row r="115" spans="1:30" s="7" customFormat="1" ht="72" x14ac:dyDescent="0.25">
      <c r="A115" s="92" t="s">
        <v>18</v>
      </c>
      <c r="B115" s="92" t="s">
        <v>19</v>
      </c>
      <c r="C115" s="92" t="s">
        <v>224</v>
      </c>
      <c r="D115" s="92" t="s">
        <v>225</v>
      </c>
      <c r="E115" s="92" t="s">
        <v>22</v>
      </c>
      <c r="F115" s="92" t="s">
        <v>23</v>
      </c>
      <c r="G115" s="92" t="s">
        <v>226</v>
      </c>
      <c r="H115" s="93" t="s">
        <v>25</v>
      </c>
      <c r="I115" s="93" t="s">
        <v>227</v>
      </c>
      <c r="J115" s="93" t="s">
        <v>228</v>
      </c>
      <c r="K115" s="93" t="s">
        <v>227</v>
      </c>
      <c r="L115" s="93" t="s">
        <v>229</v>
      </c>
      <c r="M115" s="489" t="s">
        <v>37</v>
      </c>
      <c r="N115" s="490"/>
      <c r="O115" s="490"/>
      <c r="P115" s="183"/>
      <c r="Q115" s="70"/>
      <c r="R115" s="70"/>
      <c r="S115" s="70"/>
      <c r="T115" s="70"/>
      <c r="U115" s="10"/>
      <c r="V115" s="10"/>
      <c r="W115" s="10"/>
      <c r="X115" s="10"/>
      <c r="Y115" s="10"/>
      <c r="Z115" s="10"/>
      <c r="AA115" s="10"/>
      <c r="AB115" s="10"/>
      <c r="AC115" s="10"/>
      <c r="AD115" s="10"/>
    </row>
    <row r="116" spans="1:30" s="7" customFormat="1" ht="399" x14ac:dyDescent="0.25">
      <c r="A116" s="346">
        <v>1</v>
      </c>
      <c r="B116" s="452" t="s">
        <v>230</v>
      </c>
      <c r="C116" s="399" t="s">
        <v>231</v>
      </c>
      <c r="D116" s="400" t="s">
        <v>232</v>
      </c>
      <c r="E116" s="436" t="s">
        <v>233</v>
      </c>
      <c r="F116" s="390">
        <v>1</v>
      </c>
      <c r="G116" s="178" t="s">
        <v>234</v>
      </c>
      <c r="H116" s="278" t="s">
        <v>235</v>
      </c>
      <c r="I116" s="453">
        <v>9170000</v>
      </c>
      <c r="J116" s="454">
        <f>I116*9</f>
        <v>82530000</v>
      </c>
      <c r="K116" s="455">
        <f>I116</f>
        <v>9170000</v>
      </c>
      <c r="L116" s="456">
        <f>J116</f>
        <v>82530000</v>
      </c>
      <c r="M116" s="469"/>
      <c r="N116" s="470"/>
      <c r="O116" s="470"/>
      <c r="P116" s="184"/>
      <c r="Q116" s="70"/>
      <c r="R116" s="70"/>
      <c r="S116" s="70"/>
      <c r="T116" s="70"/>
    </row>
    <row r="117" spans="1:30" s="7" customFormat="1" ht="315" x14ac:dyDescent="0.25">
      <c r="A117" s="346">
        <v>2</v>
      </c>
      <c r="B117" s="452" t="s">
        <v>238</v>
      </c>
      <c r="C117" s="400" t="s">
        <v>239</v>
      </c>
      <c r="D117" s="401" t="s">
        <v>240</v>
      </c>
      <c r="E117" s="436" t="s">
        <v>233</v>
      </c>
      <c r="F117" s="391">
        <v>2</v>
      </c>
      <c r="G117" s="178" t="s">
        <v>234</v>
      </c>
      <c r="H117" s="278" t="s">
        <v>235</v>
      </c>
      <c r="I117" s="453">
        <v>7996000</v>
      </c>
      <c r="J117" s="454">
        <f>I117*18</f>
        <v>143928000</v>
      </c>
      <c r="K117" s="455">
        <f>I117</f>
        <v>7996000</v>
      </c>
      <c r="L117" s="456">
        <f t="shared" ref="L117:L152" si="51">J117</f>
        <v>143928000</v>
      </c>
      <c r="M117" s="469"/>
      <c r="N117" s="470"/>
      <c r="O117" s="470"/>
      <c r="P117" s="184"/>
      <c r="Q117" s="70"/>
      <c r="R117" s="70"/>
      <c r="S117" s="70"/>
      <c r="T117" s="70"/>
    </row>
    <row r="118" spans="1:30" s="7" customFormat="1" ht="378" x14ac:dyDescent="0.25">
      <c r="A118" s="346">
        <v>3</v>
      </c>
      <c r="B118" s="452" t="s">
        <v>242</v>
      </c>
      <c r="C118" s="401" t="s">
        <v>243</v>
      </c>
      <c r="D118" s="401" t="s">
        <v>244</v>
      </c>
      <c r="E118" s="436" t="s">
        <v>233</v>
      </c>
      <c r="F118" s="391">
        <v>1</v>
      </c>
      <c r="G118" s="392" t="s">
        <v>234</v>
      </c>
      <c r="H118" s="278" t="s">
        <v>235</v>
      </c>
      <c r="I118" s="453">
        <v>7996000</v>
      </c>
      <c r="J118" s="454">
        <f>I118*9</f>
        <v>71964000</v>
      </c>
      <c r="K118" s="455">
        <f>I118</f>
        <v>7996000</v>
      </c>
      <c r="L118" s="456">
        <f t="shared" si="51"/>
        <v>71964000</v>
      </c>
      <c r="M118" s="469"/>
      <c r="N118" s="470"/>
      <c r="O118" s="470"/>
      <c r="P118" s="184"/>
      <c r="Q118" s="70"/>
      <c r="R118" s="70"/>
      <c r="S118" s="70"/>
      <c r="T118" s="70"/>
    </row>
    <row r="119" spans="1:30" s="7" customFormat="1" ht="357" x14ac:dyDescent="0.25">
      <c r="A119" s="346">
        <v>4</v>
      </c>
      <c r="B119" s="452" t="s">
        <v>245</v>
      </c>
      <c r="C119" s="402" t="s">
        <v>246</v>
      </c>
      <c r="D119" s="401" t="s">
        <v>247</v>
      </c>
      <c r="E119" s="436" t="s">
        <v>233</v>
      </c>
      <c r="F119" s="391">
        <v>1</v>
      </c>
      <c r="G119" s="178" t="s">
        <v>234</v>
      </c>
      <c r="H119" s="278" t="s">
        <v>235</v>
      </c>
      <c r="I119" s="453">
        <v>7996000</v>
      </c>
      <c r="J119" s="454">
        <f>I119*9</f>
        <v>71964000</v>
      </c>
      <c r="K119" s="455">
        <f>I119</f>
        <v>7996000</v>
      </c>
      <c r="L119" s="456">
        <f t="shared" si="51"/>
        <v>71964000</v>
      </c>
      <c r="M119" s="469"/>
      <c r="N119" s="470"/>
      <c r="O119" s="470"/>
      <c r="P119" s="184"/>
      <c r="Q119" s="70"/>
      <c r="R119" s="70"/>
      <c r="S119" s="70"/>
      <c r="T119" s="70"/>
    </row>
    <row r="120" spans="1:30" s="7" customFormat="1" ht="294" x14ac:dyDescent="0.25">
      <c r="A120" s="346">
        <v>5</v>
      </c>
      <c r="B120" s="452" t="s">
        <v>248</v>
      </c>
      <c r="C120" s="400" t="s">
        <v>249</v>
      </c>
      <c r="D120" s="401" t="s">
        <v>250</v>
      </c>
      <c r="E120" s="436" t="s">
        <v>233</v>
      </c>
      <c r="F120" s="391">
        <v>1</v>
      </c>
      <c r="G120" s="178" t="s">
        <v>234</v>
      </c>
      <c r="H120" s="278" t="s">
        <v>235</v>
      </c>
      <c r="I120" s="453">
        <v>7996000</v>
      </c>
      <c r="J120" s="454">
        <f>I120*9</f>
        <v>71964000</v>
      </c>
      <c r="K120" s="455">
        <f>I120</f>
        <v>7996000</v>
      </c>
      <c r="L120" s="456">
        <f t="shared" si="51"/>
        <v>71964000</v>
      </c>
      <c r="M120" s="469"/>
      <c r="N120" s="470"/>
      <c r="O120" s="470"/>
      <c r="P120" s="184"/>
      <c r="Q120" s="70"/>
      <c r="R120" s="70"/>
      <c r="S120" s="70"/>
      <c r="T120" s="70"/>
    </row>
    <row r="121" spans="1:30" s="7" customFormat="1" ht="84" x14ac:dyDescent="0.25">
      <c r="A121" s="346">
        <v>6</v>
      </c>
      <c r="B121" s="452" t="s">
        <v>251</v>
      </c>
      <c r="C121" s="402" t="s">
        <v>252</v>
      </c>
      <c r="D121" s="401" t="s">
        <v>253</v>
      </c>
      <c r="E121" s="436" t="s">
        <v>233</v>
      </c>
      <c r="F121" s="391">
        <v>1</v>
      </c>
      <c r="G121" s="178" t="s">
        <v>234</v>
      </c>
      <c r="H121" s="278" t="s">
        <v>235</v>
      </c>
      <c r="I121" s="453">
        <v>4687000</v>
      </c>
      <c r="J121" s="454">
        <f>I121*9</f>
        <v>42183000</v>
      </c>
      <c r="K121" s="455">
        <f>I121</f>
        <v>4687000</v>
      </c>
      <c r="L121" s="456">
        <f t="shared" si="51"/>
        <v>42183000</v>
      </c>
      <c r="M121" s="469"/>
      <c r="N121" s="470"/>
      <c r="O121" s="470"/>
      <c r="P121" s="184"/>
      <c r="Q121" s="70"/>
      <c r="R121" s="70"/>
      <c r="S121" s="70"/>
      <c r="T121" s="70"/>
    </row>
    <row r="122" spans="1:30" s="7" customFormat="1" ht="105" x14ac:dyDescent="0.25">
      <c r="A122" s="346">
        <v>7</v>
      </c>
      <c r="B122" s="452" t="s">
        <v>254</v>
      </c>
      <c r="C122" s="399" t="s">
        <v>255</v>
      </c>
      <c r="D122" s="401" t="s">
        <v>256</v>
      </c>
      <c r="E122" s="436" t="s">
        <v>233</v>
      </c>
      <c r="F122" s="391">
        <v>1</v>
      </c>
      <c r="G122" s="178" t="s">
        <v>234</v>
      </c>
      <c r="H122" s="278" t="s">
        <v>235</v>
      </c>
      <c r="I122" s="453">
        <v>3095000</v>
      </c>
      <c r="J122" s="454">
        <f>I122*9</f>
        <v>27855000</v>
      </c>
      <c r="K122" s="455">
        <f t="shared" ref="K122:K152" si="52">I122</f>
        <v>3095000</v>
      </c>
      <c r="L122" s="456">
        <f t="shared" si="51"/>
        <v>27855000</v>
      </c>
      <c r="M122" s="469"/>
      <c r="N122" s="470"/>
      <c r="O122" s="470"/>
      <c r="P122" s="184"/>
      <c r="Q122" s="70"/>
      <c r="R122" s="70"/>
      <c r="S122" s="70"/>
      <c r="T122" s="70"/>
    </row>
    <row r="123" spans="1:30" s="7" customFormat="1" ht="294" x14ac:dyDescent="0.25">
      <c r="A123" s="346">
        <v>8</v>
      </c>
      <c r="B123" s="452" t="s">
        <v>257</v>
      </c>
      <c r="C123" s="400" t="s">
        <v>258</v>
      </c>
      <c r="D123" s="401" t="s">
        <v>259</v>
      </c>
      <c r="E123" s="436" t="s">
        <v>233</v>
      </c>
      <c r="F123" s="391">
        <v>1</v>
      </c>
      <c r="G123" s="178" t="s">
        <v>260</v>
      </c>
      <c r="H123" s="278" t="s">
        <v>235</v>
      </c>
      <c r="I123" s="453">
        <v>2665333</v>
      </c>
      <c r="J123" s="457">
        <v>2665333</v>
      </c>
      <c r="K123" s="455">
        <f t="shared" si="52"/>
        <v>2665333</v>
      </c>
      <c r="L123" s="456">
        <f t="shared" si="51"/>
        <v>2665333</v>
      </c>
      <c r="M123" s="469" t="s">
        <v>261</v>
      </c>
      <c r="N123" s="470"/>
      <c r="O123" s="470"/>
      <c r="P123" s="184"/>
      <c r="Q123" s="70"/>
      <c r="R123" s="70"/>
      <c r="S123" s="70"/>
      <c r="T123" s="70"/>
    </row>
    <row r="124" spans="1:30" s="7" customFormat="1" ht="315" x14ac:dyDescent="0.25">
      <c r="A124" s="346">
        <v>9</v>
      </c>
      <c r="B124" s="452" t="s">
        <v>257</v>
      </c>
      <c r="C124" s="401" t="s">
        <v>262</v>
      </c>
      <c r="D124" s="401" t="s">
        <v>263</v>
      </c>
      <c r="E124" s="436" t="s">
        <v>233</v>
      </c>
      <c r="F124" s="391">
        <v>1</v>
      </c>
      <c r="G124" s="178" t="s">
        <v>260</v>
      </c>
      <c r="H124" s="278" t="s">
        <v>235</v>
      </c>
      <c r="I124" s="453">
        <v>2665333</v>
      </c>
      <c r="J124" s="457">
        <v>2665333</v>
      </c>
      <c r="K124" s="455">
        <f t="shared" si="52"/>
        <v>2665333</v>
      </c>
      <c r="L124" s="456">
        <f t="shared" si="51"/>
        <v>2665333</v>
      </c>
      <c r="M124" s="469" t="s">
        <v>261</v>
      </c>
      <c r="N124" s="470"/>
      <c r="O124" s="470"/>
      <c r="P124" s="184"/>
      <c r="Q124" s="70"/>
      <c r="R124" s="70"/>
      <c r="S124" s="70"/>
      <c r="T124" s="70"/>
    </row>
    <row r="125" spans="1:30" s="7" customFormat="1" ht="294" x14ac:dyDescent="0.25">
      <c r="A125" s="346">
        <v>10</v>
      </c>
      <c r="B125" s="452" t="s">
        <v>257</v>
      </c>
      <c r="C125" s="402" t="s">
        <v>264</v>
      </c>
      <c r="D125" s="401" t="s">
        <v>265</v>
      </c>
      <c r="E125" s="436" t="s">
        <v>233</v>
      </c>
      <c r="F125" s="391">
        <v>1</v>
      </c>
      <c r="G125" s="178" t="s">
        <v>260</v>
      </c>
      <c r="H125" s="278" t="s">
        <v>235</v>
      </c>
      <c r="I125" s="453">
        <v>2665333</v>
      </c>
      <c r="J125" s="457">
        <v>2665333</v>
      </c>
      <c r="K125" s="455">
        <f t="shared" si="52"/>
        <v>2665333</v>
      </c>
      <c r="L125" s="456">
        <f t="shared" si="51"/>
        <v>2665333</v>
      </c>
      <c r="M125" s="469" t="s">
        <v>261</v>
      </c>
      <c r="N125" s="470"/>
      <c r="O125" s="470"/>
      <c r="P125" s="184"/>
      <c r="Q125" s="70"/>
      <c r="R125" s="70"/>
      <c r="S125" s="70"/>
      <c r="T125" s="70"/>
    </row>
    <row r="126" spans="1:30" s="7" customFormat="1" ht="315" x14ac:dyDescent="0.25">
      <c r="A126" s="346">
        <v>11</v>
      </c>
      <c r="B126" s="452" t="s">
        <v>257</v>
      </c>
      <c r="C126" s="402" t="s">
        <v>266</v>
      </c>
      <c r="D126" s="401" t="s">
        <v>240</v>
      </c>
      <c r="E126" s="436" t="s">
        <v>233</v>
      </c>
      <c r="F126" s="391">
        <v>1</v>
      </c>
      <c r="G126" s="178" t="s">
        <v>260</v>
      </c>
      <c r="H126" s="278" t="s">
        <v>235</v>
      </c>
      <c r="I126" s="453">
        <v>2665333</v>
      </c>
      <c r="J126" s="457">
        <v>2665333</v>
      </c>
      <c r="K126" s="455">
        <f t="shared" si="52"/>
        <v>2665333</v>
      </c>
      <c r="L126" s="456">
        <f t="shared" si="51"/>
        <v>2665333</v>
      </c>
      <c r="M126" s="186"/>
      <c r="N126" s="187"/>
      <c r="O126" s="187"/>
      <c r="P126" s="184"/>
      <c r="Q126" s="70"/>
      <c r="R126" s="70"/>
      <c r="S126" s="70"/>
      <c r="T126" s="70"/>
    </row>
    <row r="127" spans="1:30" s="7" customFormat="1" ht="168" x14ac:dyDescent="0.25">
      <c r="A127" s="346">
        <v>12</v>
      </c>
      <c r="B127" s="452" t="s">
        <v>257</v>
      </c>
      <c r="C127" s="400" t="s">
        <v>267</v>
      </c>
      <c r="D127" s="401" t="s">
        <v>268</v>
      </c>
      <c r="E127" s="436" t="s">
        <v>233</v>
      </c>
      <c r="F127" s="391">
        <v>1</v>
      </c>
      <c r="G127" s="178" t="s">
        <v>260</v>
      </c>
      <c r="H127" s="278" t="s">
        <v>235</v>
      </c>
      <c r="I127" s="453">
        <v>1031666</v>
      </c>
      <c r="J127" s="454">
        <v>1031666</v>
      </c>
      <c r="K127" s="455">
        <f t="shared" si="52"/>
        <v>1031666</v>
      </c>
      <c r="L127" s="456">
        <f t="shared" si="51"/>
        <v>1031666</v>
      </c>
      <c r="M127" s="469" t="s">
        <v>261</v>
      </c>
      <c r="N127" s="470"/>
      <c r="O127" s="470"/>
      <c r="P127" s="184"/>
      <c r="Q127" s="70"/>
      <c r="R127" s="70"/>
      <c r="S127" s="70"/>
      <c r="T127" s="70"/>
    </row>
    <row r="128" spans="1:30" s="7" customFormat="1" ht="357" x14ac:dyDescent="0.25">
      <c r="A128" s="346">
        <v>13</v>
      </c>
      <c r="B128" s="452" t="s">
        <v>269</v>
      </c>
      <c r="C128" s="401" t="s">
        <v>270</v>
      </c>
      <c r="D128" s="401" t="s">
        <v>271</v>
      </c>
      <c r="E128" s="436" t="s">
        <v>233</v>
      </c>
      <c r="F128" s="391">
        <v>1</v>
      </c>
      <c r="G128" s="178" t="s">
        <v>272</v>
      </c>
      <c r="H128" s="278" t="s">
        <v>235</v>
      </c>
      <c r="I128" s="453">
        <v>7462933</v>
      </c>
      <c r="J128" s="454">
        <v>7462933</v>
      </c>
      <c r="K128" s="455">
        <f t="shared" si="52"/>
        <v>7462933</v>
      </c>
      <c r="L128" s="456">
        <f t="shared" si="51"/>
        <v>7462933</v>
      </c>
      <c r="M128" s="469" t="s">
        <v>273</v>
      </c>
      <c r="N128" s="470"/>
      <c r="O128" s="470"/>
      <c r="P128" s="184"/>
      <c r="Q128" s="70"/>
      <c r="R128" s="70"/>
      <c r="S128" s="70"/>
      <c r="T128" s="70"/>
    </row>
    <row r="129" spans="1:20" s="7" customFormat="1" ht="315" x14ac:dyDescent="0.25">
      <c r="A129" s="346">
        <v>14</v>
      </c>
      <c r="B129" s="452" t="s">
        <v>269</v>
      </c>
      <c r="C129" s="401" t="s">
        <v>274</v>
      </c>
      <c r="D129" s="401" t="s">
        <v>275</v>
      </c>
      <c r="E129" s="436" t="s">
        <v>233</v>
      </c>
      <c r="F129" s="391">
        <v>1</v>
      </c>
      <c r="G129" s="178" t="s">
        <v>272</v>
      </c>
      <c r="H129" s="278" t="s">
        <v>235</v>
      </c>
      <c r="I129" s="453">
        <v>4374533</v>
      </c>
      <c r="J129" s="457">
        <v>4374533</v>
      </c>
      <c r="K129" s="455">
        <f t="shared" si="52"/>
        <v>4374533</v>
      </c>
      <c r="L129" s="456">
        <f t="shared" si="51"/>
        <v>4374533</v>
      </c>
      <c r="M129" s="469" t="s">
        <v>273</v>
      </c>
      <c r="N129" s="470"/>
      <c r="O129" s="470"/>
      <c r="P129" s="184"/>
      <c r="Q129" s="70"/>
      <c r="R129" s="70"/>
      <c r="S129" s="70"/>
      <c r="T129" s="70"/>
    </row>
    <row r="130" spans="1:20" s="7" customFormat="1" ht="210" x14ac:dyDescent="0.25">
      <c r="A130" s="346">
        <v>15</v>
      </c>
      <c r="B130" s="452" t="s">
        <v>269</v>
      </c>
      <c r="C130" s="401" t="s">
        <v>276</v>
      </c>
      <c r="D130" s="401" t="s">
        <v>277</v>
      </c>
      <c r="E130" s="436" t="s">
        <v>233</v>
      </c>
      <c r="F130" s="391">
        <v>1</v>
      </c>
      <c r="G130" s="178" t="s">
        <v>260</v>
      </c>
      <c r="H130" s="278" t="s">
        <v>235</v>
      </c>
      <c r="I130" s="453">
        <v>4374533</v>
      </c>
      <c r="J130" s="457">
        <v>4374533</v>
      </c>
      <c r="K130" s="455">
        <f t="shared" si="52"/>
        <v>4374533</v>
      </c>
      <c r="L130" s="456">
        <f t="shared" si="51"/>
        <v>4374533</v>
      </c>
      <c r="M130" s="469" t="s">
        <v>261</v>
      </c>
      <c r="N130" s="470"/>
      <c r="O130" s="470"/>
      <c r="P130" s="184"/>
      <c r="Q130" s="70"/>
      <c r="R130" s="70"/>
      <c r="S130" s="70"/>
      <c r="T130" s="70"/>
    </row>
    <row r="131" spans="1:20" s="7" customFormat="1" ht="168" x14ac:dyDescent="0.25">
      <c r="A131" s="346">
        <v>16</v>
      </c>
      <c r="B131" s="452" t="s">
        <v>269</v>
      </c>
      <c r="C131" s="401" t="s">
        <v>267</v>
      </c>
      <c r="D131" s="401" t="s">
        <v>278</v>
      </c>
      <c r="E131" s="436" t="s">
        <v>233</v>
      </c>
      <c r="F131" s="391">
        <v>3</v>
      </c>
      <c r="G131" s="178" t="s">
        <v>260</v>
      </c>
      <c r="H131" s="278" t="s">
        <v>235</v>
      </c>
      <c r="I131" s="453">
        <v>1031666</v>
      </c>
      <c r="J131" s="454">
        <f>I131*3</f>
        <v>3094998</v>
      </c>
      <c r="K131" s="455">
        <f t="shared" si="52"/>
        <v>1031666</v>
      </c>
      <c r="L131" s="456">
        <f t="shared" si="51"/>
        <v>3094998</v>
      </c>
      <c r="M131" s="469" t="s">
        <v>273</v>
      </c>
      <c r="N131" s="470"/>
      <c r="O131" s="470"/>
      <c r="P131" s="184"/>
      <c r="Q131" s="70"/>
      <c r="R131" s="70"/>
      <c r="S131" s="70"/>
      <c r="T131" s="70"/>
    </row>
    <row r="132" spans="1:20" s="7" customFormat="1" ht="409.5" x14ac:dyDescent="0.25">
      <c r="A132" s="346">
        <v>17</v>
      </c>
      <c r="B132" s="452" t="s">
        <v>279</v>
      </c>
      <c r="C132" s="401" t="s">
        <v>280</v>
      </c>
      <c r="D132" s="401" t="s">
        <v>281</v>
      </c>
      <c r="E132" s="436" t="s">
        <v>233</v>
      </c>
      <c r="F132" s="391">
        <v>1</v>
      </c>
      <c r="G132" s="178" t="s">
        <v>272</v>
      </c>
      <c r="H132" s="278" t="s">
        <v>235</v>
      </c>
      <c r="I132" s="453">
        <v>7462933</v>
      </c>
      <c r="J132" s="454">
        <v>7462933</v>
      </c>
      <c r="K132" s="455">
        <f t="shared" si="52"/>
        <v>7462933</v>
      </c>
      <c r="L132" s="456">
        <f t="shared" si="51"/>
        <v>7462933</v>
      </c>
      <c r="M132" s="469" t="s">
        <v>273</v>
      </c>
      <c r="N132" s="470"/>
      <c r="O132" s="470"/>
      <c r="P132" s="184"/>
      <c r="Q132" s="70"/>
      <c r="R132" s="70"/>
      <c r="S132" s="70"/>
      <c r="T132" s="70"/>
    </row>
    <row r="133" spans="1:20" s="7" customFormat="1" ht="105" x14ac:dyDescent="0.25">
      <c r="A133" s="346">
        <v>18</v>
      </c>
      <c r="B133" s="452" t="s">
        <v>279</v>
      </c>
      <c r="C133" s="401" t="s">
        <v>282</v>
      </c>
      <c r="D133" s="401" t="s">
        <v>283</v>
      </c>
      <c r="E133" s="436" t="s">
        <v>233</v>
      </c>
      <c r="F133" s="391">
        <v>2</v>
      </c>
      <c r="G133" s="178" t="s">
        <v>272</v>
      </c>
      <c r="H133" s="278" t="s">
        <v>235</v>
      </c>
      <c r="I133" s="453">
        <v>2888666</v>
      </c>
      <c r="J133" s="454">
        <f>I133*2</f>
        <v>5777332</v>
      </c>
      <c r="K133" s="455">
        <f t="shared" si="52"/>
        <v>2888666</v>
      </c>
      <c r="L133" s="456">
        <f t="shared" si="51"/>
        <v>5777332</v>
      </c>
      <c r="M133" s="469" t="s">
        <v>273</v>
      </c>
      <c r="N133" s="470"/>
      <c r="O133" s="470"/>
      <c r="P133" s="184"/>
      <c r="Q133" s="70"/>
      <c r="R133" s="70"/>
      <c r="S133" s="70"/>
      <c r="T133" s="70"/>
    </row>
    <row r="134" spans="1:20" s="7" customFormat="1" ht="273" x14ac:dyDescent="0.25">
      <c r="A134" s="346">
        <v>19</v>
      </c>
      <c r="B134" s="452" t="s">
        <v>284</v>
      </c>
      <c r="C134" s="401" t="s">
        <v>285</v>
      </c>
      <c r="D134" s="401" t="s">
        <v>286</v>
      </c>
      <c r="E134" s="436" t="s">
        <v>233</v>
      </c>
      <c r="F134" s="391">
        <v>1</v>
      </c>
      <c r="G134" s="178" t="s">
        <v>287</v>
      </c>
      <c r="H134" s="278" t="s">
        <v>235</v>
      </c>
      <c r="I134" s="453">
        <v>9861733</v>
      </c>
      <c r="J134" s="454">
        <v>9861733</v>
      </c>
      <c r="K134" s="455">
        <f t="shared" si="52"/>
        <v>9861733</v>
      </c>
      <c r="L134" s="456">
        <f t="shared" si="51"/>
        <v>9861733</v>
      </c>
      <c r="M134" s="469" t="s">
        <v>288</v>
      </c>
      <c r="N134" s="470"/>
      <c r="O134" s="470"/>
      <c r="P134" s="184"/>
      <c r="Q134" s="70"/>
      <c r="R134" s="70"/>
      <c r="S134" s="70"/>
      <c r="T134" s="70"/>
    </row>
    <row r="135" spans="1:20" s="7" customFormat="1" ht="231" x14ac:dyDescent="0.25">
      <c r="A135" s="346">
        <v>20</v>
      </c>
      <c r="B135" s="452" t="s">
        <v>284</v>
      </c>
      <c r="C135" s="401" t="s">
        <v>289</v>
      </c>
      <c r="D135" s="401" t="s">
        <v>290</v>
      </c>
      <c r="E135" s="436" t="s">
        <v>233</v>
      </c>
      <c r="F135" s="391">
        <v>1</v>
      </c>
      <c r="G135" s="178" t="s">
        <v>287</v>
      </c>
      <c r="H135" s="278" t="s">
        <v>235</v>
      </c>
      <c r="I135" s="453">
        <v>9861733</v>
      </c>
      <c r="J135" s="454">
        <v>9861733</v>
      </c>
      <c r="K135" s="455">
        <f t="shared" si="52"/>
        <v>9861733</v>
      </c>
      <c r="L135" s="456">
        <f t="shared" si="51"/>
        <v>9861733</v>
      </c>
      <c r="M135" s="469" t="s">
        <v>288</v>
      </c>
      <c r="N135" s="470"/>
      <c r="O135" s="470"/>
      <c r="P135" s="184"/>
      <c r="Q135" s="70"/>
      <c r="R135" s="70"/>
      <c r="S135" s="70"/>
      <c r="T135" s="70"/>
    </row>
    <row r="136" spans="1:20" s="7" customFormat="1" ht="168" x14ac:dyDescent="0.25">
      <c r="A136" s="346">
        <v>21</v>
      </c>
      <c r="B136" s="452" t="s">
        <v>284</v>
      </c>
      <c r="C136" s="401" t="s">
        <v>267</v>
      </c>
      <c r="D136" s="401" t="s">
        <v>291</v>
      </c>
      <c r="E136" s="436" t="s">
        <v>233</v>
      </c>
      <c r="F136" s="391">
        <v>4</v>
      </c>
      <c r="G136" s="178" t="s">
        <v>287</v>
      </c>
      <c r="H136" s="278" t="s">
        <v>235</v>
      </c>
      <c r="I136" s="453">
        <v>3817166</v>
      </c>
      <c r="J136" s="454">
        <f>I136*4</f>
        <v>15268664</v>
      </c>
      <c r="K136" s="455">
        <f t="shared" si="52"/>
        <v>3817166</v>
      </c>
      <c r="L136" s="456">
        <f t="shared" si="51"/>
        <v>15268664</v>
      </c>
      <c r="M136" s="469" t="s">
        <v>288</v>
      </c>
      <c r="N136" s="470"/>
      <c r="O136" s="470"/>
      <c r="P136" s="184"/>
      <c r="Q136" s="70"/>
      <c r="R136" s="70"/>
      <c r="S136" s="70"/>
      <c r="T136" s="70"/>
    </row>
    <row r="137" spans="1:20" s="7" customFormat="1" ht="252" x14ac:dyDescent="0.25">
      <c r="A137" s="346">
        <v>22</v>
      </c>
      <c r="B137" s="452" t="s">
        <v>292</v>
      </c>
      <c r="C137" s="401" t="s">
        <v>293</v>
      </c>
      <c r="D137" s="401" t="s">
        <v>294</v>
      </c>
      <c r="E137" s="436" t="s">
        <v>233</v>
      </c>
      <c r="F137" s="391">
        <v>1</v>
      </c>
      <c r="G137" s="178" t="s">
        <v>272</v>
      </c>
      <c r="H137" s="278" t="s">
        <v>235</v>
      </c>
      <c r="I137" s="453">
        <v>4374533</v>
      </c>
      <c r="J137" s="454">
        <v>4374533</v>
      </c>
      <c r="K137" s="455">
        <f t="shared" si="52"/>
        <v>4374533</v>
      </c>
      <c r="L137" s="456">
        <f t="shared" si="51"/>
        <v>4374533</v>
      </c>
      <c r="M137" s="469" t="s">
        <v>295</v>
      </c>
      <c r="N137" s="470"/>
      <c r="O137" s="470"/>
      <c r="P137" s="184"/>
      <c r="Q137" s="70"/>
      <c r="R137" s="70"/>
      <c r="S137" s="70"/>
      <c r="T137" s="70"/>
    </row>
    <row r="138" spans="1:20" s="7" customFormat="1" ht="294" x14ac:dyDescent="0.25">
      <c r="A138" s="346">
        <v>23</v>
      </c>
      <c r="B138" s="452" t="s">
        <v>292</v>
      </c>
      <c r="C138" s="401" t="s">
        <v>296</v>
      </c>
      <c r="D138" s="401" t="s">
        <v>297</v>
      </c>
      <c r="E138" s="436" t="s">
        <v>233</v>
      </c>
      <c r="F138" s="391">
        <v>1</v>
      </c>
      <c r="G138" s="178" t="s">
        <v>272</v>
      </c>
      <c r="H138" s="278" t="s">
        <v>235</v>
      </c>
      <c r="I138" s="453">
        <v>7462933</v>
      </c>
      <c r="J138" s="457">
        <v>7462933</v>
      </c>
      <c r="K138" s="455">
        <f t="shared" si="52"/>
        <v>7462933</v>
      </c>
      <c r="L138" s="456">
        <f t="shared" si="51"/>
        <v>7462933</v>
      </c>
      <c r="M138" s="469" t="s">
        <v>295</v>
      </c>
      <c r="N138" s="470"/>
      <c r="O138" s="470"/>
      <c r="P138" s="184"/>
      <c r="Q138" s="70"/>
      <c r="R138" s="70"/>
      <c r="S138" s="70"/>
      <c r="T138" s="70"/>
    </row>
    <row r="139" spans="1:20" s="7" customFormat="1" ht="252" x14ac:dyDescent="0.25">
      <c r="A139" s="346">
        <v>24</v>
      </c>
      <c r="B139" s="452" t="s">
        <v>292</v>
      </c>
      <c r="C139" s="402" t="s">
        <v>298</v>
      </c>
      <c r="D139" s="401" t="s">
        <v>299</v>
      </c>
      <c r="E139" s="436" t="s">
        <v>233</v>
      </c>
      <c r="F139" s="391">
        <v>1</v>
      </c>
      <c r="G139" s="178" t="s">
        <v>300</v>
      </c>
      <c r="H139" s="278" t="s">
        <v>235</v>
      </c>
      <c r="I139" s="453">
        <v>2398800</v>
      </c>
      <c r="J139" s="457">
        <v>2398800</v>
      </c>
      <c r="K139" s="455">
        <f t="shared" si="52"/>
        <v>2398800</v>
      </c>
      <c r="L139" s="456">
        <f t="shared" si="51"/>
        <v>2398800</v>
      </c>
      <c r="M139" s="469" t="s">
        <v>301</v>
      </c>
      <c r="N139" s="470"/>
      <c r="O139" s="470"/>
      <c r="P139" s="184"/>
      <c r="Q139" s="70"/>
      <c r="R139" s="70"/>
      <c r="S139" s="70"/>
      <c r="T139" s="70"/>
    </row>
    <row r="140" spans="1:20" s="7" customFormat="1" ht="315" x14ac:dyDescent="0.25">
      <c r="A140" s="346">
        <v>25</v>
      </c>
      <c r="B140" s="452" t="s">
        <v>292</v>
      </c>
      <c r="C140" s="402" t="s">
        <v>266</v>
      </c>
      <c r="D140" s="401" t="s">
        <v>240</v>
      </c>
      <c r="E140" s="436" t="s">
        <v>233</v>
      </c>
      <c r="F140" s="391">
        <v>1</v>
      </c>
      <c r="G140" s="178" t="s">
        <v>272</v>
      </c>
      <c r="H140" s="278" t="s">
        <v>235</v>
      </c>
      <c r="I140" s="453">
        <v>7462933</v>
      </c>
      <c r="J140" s="457">
        <v>7462933</v>
      </c>
      <c r="K140" s="455">
        <f t="shared" si="52"/>
        <v>7462933</v>
      </c>
      <c r="L140" s="456">
        <f t="shared" si="51"/>
        <v>7462933</v>
      </c>
      <c r="M140" s="186"/>
      <c r="N140" s="187"/>
      <c r="O140" s="187"/>
      <c r="P140" s="184"/>
      <c r="Q140" s="70"/>
      <c r="R140" s="70"/>
      <c r="S140" s="70"/>
      <c r="T140" s="70"/>
    </row>
    <row r="141" spans="1:20" s="7" customFormat="1" ht="168" x14ac:dyDescent="0.25">
      <c r="A141" s="346">
        <v>26</v>
      </c>
      <c r="B141" s="452" t="s">
        <v>292</v>
      </c>
      <c r="C141" s="400" t="s">
        <v>282</v>
      </c>
      <c r="D141" s="401" t="s">
        <v>302</v>
      </c>
      <c r="E141" s="436" t="s">
        <v>233</v>
      </c>
      <c r="F141" s="391">
        <v>3</v>
      </c>
      <c r="G141" s="178" t="s">
        <v>260</v>
      </c>
      <c r="H141" s="278" t="s">
        <v>235</v>
      </c>
      <c r="I141" s="453">
        <v>1031666</v>
      </c>
      <c r="J141" s="454">
        <f>I141*3</f>
        <v>3094998</v>
      </c>
      <c r="K141" s="455">
        <f t="shared" si="52"/>
        <v>1031666</v>
      </c>
      <c r="L141" s="456">
        <f t="shared" si="51"/>
        <v>3094998</v>
      </c>
      <c r="M141" s="469" t="s">
        <v>303</v>
      </c>
      <c r="N141" s="470"/>
      <c r="O141" s="470"/>
      <c r="P141" s="184"/>
      <c r="Q141" s="70"/>
      <c r="R141" s="70"/>
      <c r="S141" s="70"/>
      <c r="T141" s="70"/>
    </row>
    <row r="142" spans="1:20" s="7" customFormat="1" ht="231" x14ac:dyDescent="0.25">
      <c r="A142" s="346">
        <v>27</v>
      </c>
      <c r="B142" s="452" t="s">
        <v>304</v>
      </c>
      <c r="C142" s="402" t="s">
        <v>305</v>
      </c>
      <c r="D142" s="401" t="s">
        <v>306</v>
      </c>
      <c r="E142" s="436" t="s">
        <v>233</v>
      </c>
      <c r="F142" s="391">
        <v>1</v>
      </c>
      <c r="G142" s="178" t="s">
        <v>307</v>
      </c>
      <c r="H142" s="278" t="s">
        <v>235</v>
      </c>
      <c r="I142" s="453">
        <v>7996001</v>
      </c>
      <c r="J142" s="454">
        <f>I142*2</f>
        <v>15992002</v>
      </c>
      <c r="K142" s="455">
        <f t="shared" si="52"/>
        <v>7996001</v>
      </c>
      <c r="L142" s="456">
        <f t="shared" si="51"/>
        <v>15992002</v>
      </c>
      <c r="M142" s="469"/>
      <c r="N142" s="470"/>
      <c r="O142" s="470"/>
      <c r="P142" s="184"/>
      <c r="Q142" s="70"/>
      <c r="R142" s="70"/>
      <c r="S142" s="70"/>
      <c r="T142" s="70"/>
    </row>
    <row r="143" spans="1:20" s="7" customFormat="1" ht="252" x14ac:dyDescent="0.25">
      <c r="A143" s="346">
        <v>28</v>
      </c>
      <c r="B143" s="452" t="s">
        <v>304</v>
      </c>
      <c r="C143" s="400" t="s">
        <v>308</v>
      </c>
      <c r="D143" s="401" t="s">
        <v>309</v>
      </c>
      <c r="E143" s="436" t="s">
        <v>233</v>
      </c>
      <c r="F143" s="391">
        <v>5</v>
      </c>
      <c r="G143" s="178" t="s">
        <v>310</v>
      </c>
      <c r="H143" s="278" t="s">
        <v>235</v>
      </c>
      <c r="I143" s="453">
        <v>7996001</v>
      </c>
      <c r="J143" s="454">
        <f>I143*5</f>
        <v>39980005</v>
      </c>
      <c r="K143" s="455">
        <f t="shared" si="52"/>
        <v>7996001</v>
      </c>
      <c r="L143" s="456">
        <f t="shared" si="51"/>
        <v>39980005</v>
      </c>
      <c r="M143" s="469"/>
      <c r="N143" s="470"/>
      <c r="O143" s="470"/>
      <c r="P143" s="184"/>
      <c r="Q143" s="70"/>
      <c r="R143" s="70"/>
      <c r="S143" s="70"/>
      <c r="T143" s="70"/>
    </row>
    <row r="144" spans="1:20" s="7" customFormat="1" ht="315" x14ac:dyDescent="0.25">
      <c r="A144" s="346">
        <v>29</v>
      </c>
      <c r="B144" s="452" t="s">
        <v>304</v>
      </c>
      <c r="C144" s="401" t="s">
        <v>266</v>
      </c>
      <c r="D144" s="401" t="s">
        <v>240</v>
      </c>
      <c r="E144" s="436" t="s">
        <v>233</v>
      </c>
      <c r="F144" s="391">
        <v>1</v>
      </c>
      <c r="G144" s="178" t="s">
        <v>310</v>
      </c>
      <c r="H144" s="278" t="s">
        <v>235</v>
      </c>
      <c r="I144" s="453">
        <v>7996001</v>
      </c>
      <c r="J144" s="454">
        <f>I144*1</f>
        <v>7996001</v>
      </c>
      <c r="K144" s="455">
        <f t="shared" si="52"/>
        <v>7996001</v>
      </c>
      <c r="L144" s="456">
        <f t="shared" si="51"/>
        <v>7996001</v>
      </c>
      <c r="M144" s="186"/>
      <c r="N144" s="187"/>
      <c r="O144" s="187"/>
      <c r="P144" s="184"/>
      <c r="Q144" s="70"/>
      <c r="R144" s="70"/>
      <c r="S144" s="70"/>
      <c r="T144" s="70"/>
    </row>
    <row r="145" spans="1:27" s="7" customFormat="1" ht="210" x14ac:dyDescent="0.25">
      <c r="A145" s="346">
        <v>30</v>
      </c>
      <c r="B145" s="452" t="s">
        <v>304</v>
      </c>
      <c r="C145" s="401" t="s">
        <v>311</v>
      </c>
      <c r="D145" s="401" t="s">
        <v>312</v>
      </c>
      <c r="E145" s="436" t="s">
        <v>233</v>
      </c>
      <c r="F145" s="391">
        <v>1</v>
      </c>
      <c r="G145" s="178" t="s">
        <v>310</v>
      </c>
      <c r="H145" s="278" t="s">
        <v>235</v>
      </c>
      <c r="I145" s="453">
        <v>5860000</v>
      </c>
      <c r="J145" s="454">
        <f>I145*1</f>
        <v>5860000</v>
      </c>
      <c r="K145" s="455">
        <f t="shared" si="52"/>
        <v>5860000</v>
      </c>
      <c r="L145" s="456">
        <f t="shared" si="51"/>
        <v>5860000</v>
      </c>
      <c r="M145" s="469"/>
      <c r="N145" s="470"/>
      <c r="O145" s="470"/>
      <c r="P145" s="184"/>
      <c r="Q145" s="70"/>
      <c r="R145" s="70"/>
      <c r="S145" s="70"/>
      <c r="T145" s="70"/>
    </row>
    <row r="146" spans="1:27" s="7" customFormat="1" ht="147" x14ac:dyDescent="0.25">
      <c r="A146" s="346">
        <v>31</v>
      </c>
      <c r="B146" s="452" t="s">
        <v>304</v>
      </c>
      <c r="C146" s="401" t="s">
        <v>313</v>
      </c>
      <c r="D146" s="401" t="s">
        <v>314</v>
      </c>
      <c r="E146" s="436" t="s">
        <v>233</v>
      </c>
      <c r="F146" s="391">
        <v>2</v>
      </c>
      <c r="G146" s="178" t="s">
        <v>307</v>
      </c>
      <c r="H146" s="278" t="s">
        <v>235</v>
      </c>
      <c r="I146" s="453">
        <v>3095000</v>
      </c>
      <c r="J146" s="454">
        <f>I146*4</f>
        <v>12380000</v>
      </c>
      <c r="K146" s="455">
        <f t="shared" si="52"/>
        <v>3095000</v>
      </c>
      <c r="L146" s="456">
        <f t="shared" si="51"/>
        <v>12380000</v>
      </c>
      <c r="M146" s="469"/>
      <c r="N146" s="470"/>
      <c r="O146" s="470"/>
      <c r="P146" s="184"/>
      <c r="Q146" s="70"/>
      <c r="R146" s="70"/>
      <c r="S146" s="70"/>
      <c r="T146" s="70"/>
    </row>
    <row r="147" spans="1:27" s="7" customFormat="1" ht="126" x14ac:dyDescent="0.25">
      <c r="A147" s="346">
        <v>32</v>
      </c>
      <c r="B147" s="452" t="s">
        <v>304</v>
      </c>
      <c r="C147" s="401" t="s">
        <v>315</v>
      </c>
      <c r="D147" s="401" t="s">
        <v>316</v>
      </c>
      <c r="E147" s="436" t="s">
        <v>233</v>
      </c>
      <c r="F147" s="391">
        <v>30</v>
      </c>
      <c r="G147" s="178" t="s">
        <v>310</v>
      </c>
      <c r="H147" s="278" t="s">
        <v>235</v>
      </c>
      <c r="I147" s="453">
        <v>3095000</v>
      </c>
      <c r="J147" s="454">
        <f>I147*30</f>
        <v>92850000</v>
      </c>
      <c r="K147" s="455">
        <f t="shared" si="52"/>
        <v>3095000</v>
      </c>
      <c r="L147" s="456">
        <f t="shared" si="51"/>
        <v>92850000</v>
      </c>
      <c r="M147" s="469"/>
      <c r="N147" s="470"/>
      <c r="O147" s="470"/>
      <c r="P147" s="184"/>
      <c r="Q147" s="70"/>
      <c r="R147" s="70"/>
      <c r="S147" s="70"/>
      <c r="T147" s="70"/>
    </row>
    <row r="148" spans="1:27" s="7" customFormat="1" ht="273" x14ac:dyDescent="0.25">
      <c r="A148" s="346">
        <v>33</v>
      </c>
      <c r="B148" s="452" t="s">
        <v>317</v>
      </c>
      <c r="C148" s="401" t="s">
        <v>318</v>
      </c>
      <c r="D148" s="401" t="s">
        <v>319</v>
      </c>
      <c r="E148" s="436" t="s">
        <v>233</v>
      </c>
      <c r="F148" s="391">
        <v>1</v>
      </c>
      <c r="G148" s="178" t="s">
        <v>320</v>
      </c>
      <c r="H148" s="278" t="s">
        <v>235</v>
      </c>
      <c r="I148" s="453">
        <v>7996000</v>
      </c>
      <c r="J148" s="454">
        <f>I148*4</f>
        <v>31984000</v>
      </c>
      <c r="K148" s="455">
        <f t="shared" si="52"/>
        <v>7996000</v>
      </c>
      <c r="L148" s="456">
        <f t="shared" si="51"/>
        <v>31984000</v>
      </c>
      <c r="M148" s="469"/>
      <c r="N148" s="470"/>
      <c r="O148" s="470"/>
      <c r="P148" s="184"/>
      <c r="Q148" s="70"/>
      <c r="R148" s="70"/>
      <c r="S148" s="70"/>
      <c r="T148" s="70"/>
    </row>
    <row r="149" spans="1:27" s="7" customFormat="1" ht="231" x14ac:dyDescent="0.25">
      <c r="A149" s="346">
        <v>34</v>
      </c>
      <c r="B149" s="452" t="s">
        <v>317</v>
      </c>
      <c r="C149" s="401" t="s">
        <v>321</v>
      </c>
      <c r="D149" s="401" t="s">
        <v>322</v>
      </c>
      <c r="E149" s="436" t="s">
        <v>233</v>
      </c>
      <c r="F149" s="391">
        <v>1</v>
      </c>
      <c r="G149" s="178" t="s">
        <v>320</v>
      </c>
      <c r="H149" s="278" t="s">
        <v>235</v>
      </c>
      <c r="I149" s="453">
        <v>7996000</v>
      </c>
      <c r="J149" s="454">
        <f>I149*4</f>
        <v>31984000</v>
      </c>
      <c r="K149" s="455">
        <f t="shared" si="52"/>
        <v>7996000</v>
      </c>
      <c r="L149" s="456">
        <f t="shared" si="51"/>
        <v>31984000</v>
      </c>
      <c r="M149" s="469"/>
      <c r="N149" s="470"/>
      <c r="O149" s="470"/>
      <c r="P149" s="184"/>
      <c r="Q149" s="70"/>
      <c r="R149" s="70"/>
      <c r="S149" s="70"/>
      <c r="T149" s="70"/>
    </row>
    <row r="150" spans="1:27" s="7" customFormat="1" ht="231" x14ac:dyDescent="0.25">
      <c r="A150" s="346">
        <v>35</v>
      </c>
      <c r="B150" s="452" t="s">
        <v>317</v>
      </c>
      <c r="C150" s="401" t="s">
        <v>323</v>
      </c>
      <c r="D150" s="401" t="s">
        <v>324</v>
      </c>
      <c r="E150" s="436" t="s">
        <v>233</v>
      </c>
      <c r="F150" s="391">
        <v>1</v>
      </c>
      <c r="G150" s="178" t="s">
        <v>325</v>
      </c>
      <c r="H150" s="278" t="s">
        <v>235</v>
      </c>
      <c r="I150" s="453">
        <v>7996000</v>
      </c>
      <c r="J150" s="454">
        <f>I150*3</f>
        <v>23988000</v>
      </c>
      <c r="K150" s="455">
        <f t="shared" si="52"/>
        <v>7996000</v>
      </c>
      <c r="L150" s="456">
        <f t="shared" si="51"/>
        <v>23988000</v>
      </c>
      <c r="M150" s="469"/>
      <c r="N150" s="470"/>
      <c r="O150" s="470"/>
      <c r="P150" s="184"/>
      <c r="Q150" s="70"/>
      <c r="R150" s="70"/>
      <c r="S150" s="70"/>
      <c r="T150" s="70"/>
    </row>
    <row r="151" spans="1:27" s="7" customFormat="1" ht="147" x14ac:dyDescent="0.25">
      <c r="A151" s="346">
        <v>36</v>
      </c>
      <c r="B151" s="452" t="s">
        <v>317</v>
      </c>
      <c r="C151" s="401" t="s">
        <v>313</v>
      </c>
      <c r="D151" s="401" t="s">
        <v>314</v>
      </c>
      <c r="E151" s="436" t="s">
        <v>233</v>
      </c>
      <c r="F151" s="391">
        <v>2</v>
      </c>
      <c r="G151" s="178" t="s">
        <v>320</v>
      </c>
      <c r="H151" s="278" t="s">
        <v>235</v>
      </c>
      <c r="I151" s="453">
        <v>3640000</v>
      </c>
      <c r="J151" s="454">
        <f>I151*8</f>
        <v>29120000</v>
      </c>
      <c r="K151" s="455">
        <f t="shared" si="52"/>
        <v>3640000</v>
      </c>
      <c r="L151" s="456">
        <f t="shared" si="51"/>
        <v>29120000</v>
      </c>
      <c r="M151" s="469"/>
      <c r="N151" s="470"/>
      <c r="O151" s="470"/>
      <c r="P151" s="184"/>
      <c r="Q151" s="70"/>
      <c r="R151" s="70"/>
      <c r="S151" s="70"/>
      <c r="T151" s="70"/>
    </row>
    <row r="152" spans="1:27" s="7" customFormat="1" ht="126" x14ac:dyDescent="0.25">
      <c r="A152" s="346">
        <v>37</v>
      </c>
      <c r="B152" s="452" t="s">
        <v>317</v>
      </c>
      <c r="C152" s="401" t="s">
        <v>326</v>
      </c>
      <c r="D152" s="401" t="s">
        <v>316</v>
      </c>
      <c r="E152" s="436" t="s">
        <v>233</v>
      </c>
      <c r="F152" s="391">
        <v>2</v>
      </c>
      <c r="G152" s="178" t="s">
        <v>325</v>
      </c>
      <c r="H152" s="278" t="s">
        <v>235</v>
      </c>
      <c r="I152" s="453">
        <v>3095000</v>
      </c>
      <c r="J152" s="454">
        <f>I152*6</f>
        <v>18570000</v>
      </c>
      <c r="K152" s="455">
        <f t="shared" si="52"/>
        <v>3095000</v>
      </c>
      <c r="L152" s="456">
        <f t="shared" si="51"/>
        <v>18570000</v>
      </c>
      <c r="M152" s="469"/>
      <c r="N152" s="470"/>
      <c r="O152" s="470"/>
      <c r="P152" s="184"/>
      <c r="Q152" s="70"/>
      <c r="R152" s="70"/>
      <c r="S152" s="70"/>
      <c r="T152" s="471" t="s">
        <v>236</v>
      </c>
      <c r="U152" s="472"/>
      <c r="V152" s="472"/>
      <c r="W152" s="472"/>
      <c r="X152" s="472"/>
      <c r="Y152" s="473"/>
      <c r="Z152" s="474" t="s">
        <v>237</v>
      </c>
      <c r="AA152" s="475">
        <f>SUM(AA113,L153)</f>
        <v>1517580877.7180338</v>
      </c>
    </row>
    <row r="153" spans="1:27" s="7" customFormat="1" ht="30.6" customHeight="1" x14ac:dyDescent="0.25">
      <c r="A153" s="467" t="s">
        <v>235</v>
      </c>
      <c r="B153" s="467"/>
      <c r="C153" s="467"/>
      <c r="D153" s="467"/>
      <c r="E153" s="467"/>
      <c r="F153" s="467"/>
      <c r="G153" s="467"/>
      <c r="H153" s="467"/>
      <c r="I153" s="467"/>
      <c r="J153" s="370"/>
      <c r="K153" s="370"/>
      <c r="L153" s="403">
        <f>SUM(L116:L152)</f>
        <v>927118595</v>
      </c>
      <c r="P153" s="70"/>
      <c r="Q153" s="70"/>
      <c r="R153" s="70"/>
      <c r="S153" s="70"/>
      <c r="T153" s="468" t="s">
        <v>241</v>
      </c>
      <c r="U153" s="468"/>
      <c r="V153" s="468"/>
      <c r="W153" s="468"/>
      <c r="X153" s="468"/>
      <c r="Y153" s="468"/>
      <c r="Z153" s="474"/>
      <c r="AA153" s="475"/>
    </row>
    <row r="154" spans="1:27" s="7" customFormat="1" ht="14.45" customHeight="1" x14ac:dyDescent="0.25">
      <c r="A154" s="3"/>
      <c r="B154" s="3"/>
      <c r="C154" s="3"/>
      <c r="D154" s="3"/>
      <c r="E154" s="3"/>
      <c r="F154" s="3"/>
      <c r="G154" s="3"/>
      <c r="H154" s="3"/>
      <c r="I154" s="3"/>
      <c r="J154" s="3"/>
      <c r="K154" s="3"/>
      <c r="L154" s="3"/>
      <c r="M154" s="3"/>
      <c r="N154" s="3"/>
      <c r="O154" s="3"/>
      <c r="P154" s="70"/>
      <c r="Q154" s="70"/>
      <c r="R154" s="70"/>
      <c r="S154" s="70"/>
      <c r="T154" s="468"/>
      <c r="U154" s="468"/>
      <c r="V154" s="468"/>
      <c r="W154" s="468"/>
      <c r="X154" s="468"/>
      <c r="Y154" s="468"/>
      <c r="Z154" s="474"/>
      <c r="AA154" s="475"/>
    </row>
    <row r="155" spans="1:27" s="7" customFormat="1" ht="14.45" customHeight="1" x14ac:dyDescent="0.25">
      <c r="A155" s="3"/>
      <c r="B155" s="3"/>
      <c r="C155" s="3"/>
      <c r="D155" s="3"/>
      <c r="E155" s="3"/>
      <c r="F155" s="3"/>
      <c r="G155" s="3"/>
      <c r="H155" s="3"/>
      <c r="I155" s="3"/>
      <c r="J155" s="3"/>
      <c r="K155" s="3"/>
      <c r="L155" s="3"/>
      <c r="M155" s="3"/>
      <c r="N155" s="3"/>
      <c r="O155" s="3"/>
      <c r="P155" s="70"/>
      <c r="Q155" s="70"/>
      <c r="R155" s="70"/>
      <c r="S155" s="70"/>
      <c r="T155" s="468"/>
      <c r="U155" s="468"/>
      <c r="V155" s="468"/>
      <c r="W155" s="468"/>
      <c r="X155" s="468"/>
      <c r="Y155" s="468"/>
      <c r="Z155" s="474"/>
      <c r="AA155" s="475"/>
    </row>
    <row r="156" spans="1:27" s="7" customFormat="1" ht="14.45" customHeight="1" x14ac:dyDescent="0.25">
      <c r="A156" s="3"/>
      <c r="B156" s="3"/>
      <c r="C156" s="3"/>
      <c r="D156" s="3"/>
      <c r="E156" s="3"/>
      <c r="F156" s="3"/>
      <c r="G156" s="3"/>
      <c r="H156" s="3"/>
      <c r="I156" s="3"/>
      <c r="J156" s="3"/>
      <c r="K156" s="3"/>
      <c r="L156" s="3"/>
      <c r="M156" s="3"/>
      <c r="N156" s="3"/>
      <c r="O156" s="3"/>
      <c r="P156" s="70"/>
      <c r="Q156" s="70"/>
      <c r="R156" s="70"/>
      <c r="S156" s="70"/>
      <c r="T156" s="468"/>
      <c r="U156" s="468"/>
      <c r="V156" s="468"/>
      <c r="W156" s="468"/>
      <c r="X156" s="468"/>
      <c r="Y156" s="468"/>
      <c r="Z156" s="474"/>
      <c r="AA156" s="475"/>
    </row>
    <row r="157" spans="1:27" s="7" customFormat="1" ht="14.45" customHeight="1" x14ac:dyDescent="0.25">
      <c r="A157" s="3"/>
      <c r="B157" s="3"/>
      <c r="C157" s="3"/>
      <c r="D157" s="3"/>
      <c r="E157" s="3"/>
      <c r="F157" s="3"/>
      <c r="G157" s="3"/>
      <c r="H157" s="3"/>
      <c r="I157" s="3"/>
      <c r="J157" s="3"/>
      <c r="K157" s="3"/>
      <c r="L157" s="3"/>
      <c r="M157" s="3"/>
      <c r="N157" s="3"/>
      <c r="O157" s="3"/>
      <c r="P157" s="70"/>
      <c r="Q157" s="70"/>
      <c r="R157" s="70"/>
      <c r="S157" s="70"/>
      <c r="T157" s="468"/>
      <c r="U157" s="468"/>
      <c r="V157" s="468"/>
      <c r="W157" s="468"/>
      <c r="X157" s="468"/>
      <c r="Y157" s="468"/>
      <c r="Z157" s="474"/>
      <c r="AA157" s="475"/>
    </row>
    <row r="158" spans="1:27" s="7" customFormat="1" x14ac:dyDescent="0.25">
      <c r="A158" s="3"/>
      <c r="B158" s="3"/>
      <c r="C158" s="3"/>
      <c r="D158" s="3"/>
      <c r="E158" s="3"/>
      <c r="F158" s="3"/>
      <c r="G158" s="3"/>
      <c r="H158" s="3"/>
      <c r="I158" s="3"/>
      <c r="J158" s="3"/>
      <c r="K158" s="3"/>
      <c r="L158" s="3"/>
      <c r="M158" s="3"/>
      <c r="N158" s="3"/>
      <c r="O158" s="3"/>
      <c r="P158" s="70"/>
      <c r="Q158" s="70"/>
      <c r="R158" s="70"/>
      <c r="S158" s="70"/>
      <c r="T158" s="468"/>
      <c r="U158" s="468"/>
      <c r="V158" s="468"/>
      <c r="W158" s="468"/>
      <c r="X158" s="468"/>
      <c r="Y158" s="468"/>
      <c r="Z158" s="474"/>
      <c r="AA158" s="475"/>
    </row>
    <row r="159" spans="1:27" s="7" customFormat="1" x14ac:dyDescent="0.25">
      <c r="A159" s="3"/>
      <c r="B159" s="3"/>
      <c r="C159" s="3"/>
      <c r="D159" s="3"/>
      <c r="E159" s="3"/>
      <c r="F159" s="3"/>
      <c r="G159" s="3"/>
      <c r="H159" s="3"/>
      <c r="I159" s="3"/>
      <c r="J159" s="3"/>
      <c r="K159" s="3"/>
      <c r="L159" s="3"/>
      <c r="M159" s="3"/>
      <c r="N159" s="3"/>
      <c r="O159" s="3"/>
      <c r="P159" s="70"/>
      <c r="Q159" s="70"/>
      <c r="R159" s="70"/>
      <c r="S159" s="70"/>
      <c r="T159" s="468"/>
      <c r="U159" s="468"/>
      <c r="V159" s="468"/>
      <c r="W159" s="468"/>
      <c r="X159" s="468"/>
      <c r="Y159" s="468"/>
      <c r="Z159" s="474"/>
      <c r="AA159" s="475"/>
    </row>
    <row r="160" spans="1:27" s="7" customFormat="1" x14ac:dyDescent="0.25">
      <c r="A160" s="3"/>
      <c r="B160" s="3"/>
      <c r="C160" s="3"/>
      <c r="D160" s="3"/>
      <c r="E160" s="3"/>
      <c r="F160" s="3"/>
      <c r="G160" s="3"/>
      <c r="H160" s="3"/>
      <c r="I160" s="3"/>
      <c r="J160" s="3"/>
      <c r="K160" s="3"/>
      <c r="L160" s="3"/>
      <c r="M160" s="3"/>
      <c r="N160" s="3"/>
      <c r="O160" s="3"/>
      <c r="P160" s="70"/>
      <c r="Q160" s="70"/>
      <c r="R160" s="70"/>
      <c r="S160" s="70"/>
      <c r="T160" s="468"/>
      <c r="U160" s="468"/>
      <c r="V160" s="468"/>
      <c r="W160" s="468"/>
      <c r="X160" s="468"/>
      <c r="Y160" s="468"/>
      <c r="Z160" s="474"/>
      <c r="AA160" s="475"/>
    </row>
    <row r="161" spans="1:27" s="7" customFormat="1" x14ac:dyDescent="0.25">
      <c r="A161" s="3"/>
      <c r="B161" s="3"/>
      <c r="C161" s="3"/>
      <c r="D161" s="3"/>
      <c r="E161" s="3"/>
      <c r="F161" s="3"/>
      <c r="G161" s="3"/>
      <c r="H161" s="3"/>
      <c r="I161" s="3"/>
      <c r="J161" s="3"/>
      <c r="K161" s="3"/>
      <c r="L161" s="3"/>
      <c r="M161" s="3"/>
      <c r="N161" s="3"/>
      <c r="O161" s="3"/>
      <c r="P161" s="70"/>
      <c r="Q161" s="70"/>
      <c r="R161" s="70"/>
      <c r="S161" s="70"/>
      <c r="T161" s="468"/>
      <c r="U161" s="468"/>
      <c r="V161" s="468"/>
      <c r="W161" s="468"/>
      <c r="X161" s="468"/>
      <c r="Y161" s="468"/>
      <c r="Z161" s="474"/>
      <c r="AA161" s="475"/>
    </row>
    <row r="162" spans="1:27" s="7" customFormat="1" x14ac:dyDescent="0.25">
      <c r="A162" s="3"/>
      <c r="B162" s="3"/>
      <c r="C162" s="3"/>
      <c r="D162" s="3"/>
      <c r="E162" s="3"/>
      <c r="F162" s="3"/>
      <c r="G162" s="3"/>
      <c r="H162" s="3"/>
      <c r="I162" s="3"/>
      <c r="J162" s="3"/>
      <c r="K162" s="3"/>
      <c r="L162" s="3"/>
      <c r="M162" s="3"/>
      <c r="N162" s="3"/>
      <c r="O162" s="3"/>
      <c r="P162" s="70"/>
      <c r="Q162" s="70"/>
      <c r="R162" s="70"/>
      <c r="S162" s="70"/>
      <c r="T162" s="468"/>
      <c r="U162" s="468"/>
      <c r="V162" s="468"/>
      <c r="W162" s="468"/>
      <c r="X162" s="468"/>
      <c r="Y162" s="468"/>
      <c r="Z162" s="474"/>
      <c r="AA162" s="475"/>
    </row>
    <row r="163" spans="1:27" s="7" customFormat="1" x14ac:dyDescent="0.25">
      <c r="A163" s="3"/>
      <c r="B163" s="3"/>
      <c r="C163" s="3"/>
      <c r="D163" s="3"/>
      <c r="E163" s="3"/>
      <c r="F163" s="3"/>
      <c r="G163" s="3"/>
      <c r="H163" s="3"/>
      <c r="I163" s="3"/>
      <c r="J163" s="3"/>
      <c r="K163" s="3"/>
      <c r="L163" s="3"/>
      <c r="M163" s="3"/>
      <c r="N163" s="3"/>
      <c r="O163" s="3"/>
      <c r="P163" s="70"/>
      <c r="Q163" s="70"/>
      <c r="R163" s="70"/>
      <c r="S163" s="70"/>
      <c r="T163" s="468"/>
      <c r="U163" s="468"/>
      <c r="V163" s="468"/>
      <c r="W163" s="468"/>
      <c r="X163" s="468"/>
      <c r="Y163" s="468"/>
      <c r="Z163" s="474"/>
      <c r="AA163" s="475"/>
    </row>
    <row r="164" spans="1:27" s="7" customFormat="1" x14ac:dyDescent="0.25">
      <c r="A164" s="3"/>
      <c r="B164" s="3"/>
      <c r="C164" s="3"/>
      <c r="D164" s="3"/>
      <c r="E164" s="3"/>
      <c r="F164" s="3"/>
      <c r="G164" s="3"/>
      <c r="H164" s="3"/>
      <c r="I164" s="3"/>
      <c r="J164" s="3"/>
      <c r="K164" s="3"/>
      <c r="L164" s="3"/>
      <c r="M164" s="3"/>
      <c r="N164" s="3"/>
      <c r="O164" s="3"/>
      <c r="P164" s="70"/>
      <c r="Q164" s="70"/>
      <c r="R164" s="70"/>
      <c r="S164" s="70"/>
      <c r="T164" s="468"/>
      <c r="U164" s="468"/>
      <c r="V164" s="468"/>
      <c r="W164" s="468"/>
      <c r="X164" s="468"/>
      <c r="Y164" s="468"/>
      <c r="Z164" s="474"/>
      <c r="AA164" s="475"/>
    </row>
    <row r="165" spans="1:27" s="7" customFormat="1" x14ac:dyDescent="0.25">
      <c r="A165" s="3"/>
      <c r="B165" s="3"/>
      <c r="C165" s="3"/>
      <c r="D165" s="3"/>
      <c r="E165" s="3"/>
      <c r="F165" s="3"/>
      <c r="G165" s="3"/>
      <c r="H165" s="3"/>
      <c r="I165" s="3"/>
      <c r="J165" s="3"/>
      <c r="K165" s="3"/>
      <c r="L165" s="3"/>
      <c r="M165" s="3"/>
      <c r="N165" s="3"/>
      <c r="O165" s="3"/>
      <c r="P165" s="70"/>
      <c r="Q165" s="70"/>
      <c r="R165" s="70"/>
      <c r="S165" s="70"/>
      <c r="T165" s="468"/>
      <c r="U165" s="468"/>
      <c r="V165" s="468"/>
      <c r="W165" s="468"/>
      <c r="X165" s="468"/>
      <c r="Y165" s="468"/>
      <c r="Z165" s="474"/>
      <c r="AA165" s="475"/>
    </row>
    <row r="166" spans="1:27" s="7" customFormat="1" ht="24" x14ac:dyDescent="0.25">
      <c r="A166" s="3"/>
      <c r="B166" s="3"/>
      <c r="C166" s="3"/>
      <c r="D166" s="3"/>
      <c r="E166" s="3"/>
      <c r="F166" s="3"/>
      <c r="G166" s="3"/>
      <c r="H166" s="3"/>
      <c r="I166" s="3"/>
      <c r="J166" s="3"/>
      <c r="K166" s="3"/>
      <c r="L166" s="3"/>
      <c r="M166" s="3"/>
      <c r="N166" s="3"/>
      <c r="O166" s="3"/>
      <c r="P166" s="70"/>
      <c r="Q166" s="70"/>
      <c r="R166" s="70"/>
      <c r="S166" s="70"/>
      <c r="T166" s="175"/>
      <c r="U166" s="175"/>
      <c r="V166" s="175"/>
      <c r="W166" s="175"/>
      <c r="X166" s="175"/>
      <c r="Y166" s="175"/>
      <c r="Z166" s="176"/>
      <c r="AA166" s="177"/>
    </row>
    <row r="167" spans="1:27" s="7" customFormat="1" ht="24" x14ac:dyDescent="0.25">
      <c r="A167" s="3"/>
      <c r="B167" s="3"/>
      <c r="C167" s="3"/>
      <c r="D167" s="3"/>
      <c r="E167" s="3"/>
      <c r="F167" s="3"/>
      <c r="G167" s="3"/>
      <c r="H167" s="3"/>
      <c r="I167" s="3"/>
      <c r="J167" s="3"/>
      <c r="K167" s="3"/>
      <c r="L167" s="3"/>
      <c r="M167" s="3"/>
      <c r="N167" s="3"/>
      <c r="O167" s="3"/>
      <c r="P167" s="70"/>
      <c r="Q167" s="70"/>
      <c r="R167" s="70"/>
      <c r="S167" s="70"/>
      <c r="T167" s="175"/>
      <c r="U167" s="175"/>
      <c r="V167" s="175"/>
      <c r="W167" s="175"/>
      <c r="X167" s="175"/>
      <c r="Y167" s="175"/>
      <c r="Z167" s="176"/>
      <c r="AA167" s="177"/>
    </row>
    <row r="168" spans="1:27" s="7" customFormat="1" ht="24" x14ac:dyDescent="0.25">
      <c r="A168" s="3"/>
      <c r="B168" s="3"/>
      <c r="C168" s="3"/>
      <c r="D168" s="3"/>
      <c r="E168" s="3"/>
      <c r="F168" s="3"/>
      <c r="G168" s="3"/>
      <c r="H168" s="3"/>
      <c r="I168" s="3"/>
      <c r="J168" s="3"/>
      <c r="K168" s="3"/>
      <c r="L168" s="3"/>
      <c r="M168" s="3"/>
      <c r="N168" s="3"/>
      <c r="O168" s="3"/>
      <c r="P168" s="70"/>
      <c r="Q168" s="70"/>
      <c r="R168" s="70"/>
      <c r="S168" s="70"/>
      <c r="T168" s="175"/>
      <c r="U168" s="175"/>
      <c r="V168" s="175"/>
      <c r="W168" s="175"/>
      <c r="X168" s="175"/>
      <c r="Y168" s="175"/>
      <c r="Z168" s="176"/>
      <c r="AA168" s="177"/>
    </row>
    <row r="169" spans="1:27" s="7" customFormat="1" ht="24" x14ac:dyDescent="0.25">
      <c r="A169" s="3"/>
      <c r="B169" s="3"/>
      <c r="C169" s="3"/>
      <c r="D169" s="3"/>
      <c r="E169" s="3"/>
      <c r="F169" s="3"/>
      <c r="G169" s="3"/>
      <c r="H169" s="3"/>
      <c r="I169" s="3"/>
      <c r="J169" s="3"/>
      <c r="K169" s="3"/>
      <c r="L169" s="3"/>
      <c r="M169" s="3"/>
      <c r="N169" s="3"/>
      <c r="O169" s="3"/>
      <c r="P169" s="70"/>
      <c r="Q169" s="70"/>
      <c r="R169" s="70"/>
      <c r="S169" s="70"/>
      <c r="T169" s="175"/>
      <c r="U169" s="175"/>
      <c r="V169" s="175"/>
      <c r="W169" s="175"/>
      <c r="X169" s="175"/>
      <c r="Y169" s="175"/>
      <c r="Z169" s="176"/>
      <c r="AA169" s="177"/>
    </row>
    <row r="170" spans="1:27" s="7" customFormat="1" ht="24" x14ac:dyDescent="0.25">
      <c r="A170" s="3"/>
      <c r="B170" s="3"/>
      <c r="C170" s="3"/>
      <c r="D170" s="3"/>
      <c r="E170" s="3"/>
      <c r="F170" s="3"/>
      <c r="G170" s="3"/>
      <c r="H170" s="3"/>
      <c r="I170" s="3"/>
      <c r="J170" s="3"/>
      <c r="K170" s="3"/>
      <c r="L170" s="3"/>
      <c r="M170" s="3"/>
      <c r="N170" s="3"/>
      <c r="O170" s="3"/>
      <c r="P170" s="70"/>
      <c r="Q170" s="70"/>
      <c r="R170" s="70"/>
      <c r="S170" s="70"/>
      <c r="T170" s="175"/>
      <c r="U170" s="175"/>
      <c r="V170" s="175"/>
      <c r="W170" s="175"/>
      <c r="X170" s="175"/>
      <c r="Y170" s="175"/>
      <c r="Z170" s="176"/>
      <c r="AA170" s="177"/>
    </row>
    <row r="171" spans="1:27" s="7" customFormat="1" ht="24" x14ac:dyDescent="0.25">
      <c r="A171" s="3"/>
      <c r="B171" s="3"/>
      <c r="C171" s="3"/>
      <c r="D171" s="3"/>
      <c r="E171" s="3"/>
      <c r="F171" s="3"/>
      <c r="G171" s="3"/>
      <c r="H171" s="3"/>
      <c r="I171" s="3"/>
      <c r="J171" s="3"/>
      <c r="K171" s="3"/>
      <c r="L171" s="3"/>
      <c r="M171" s="3"/>
      <c r="N171" s="3"/>
      <c r="O171" s="3"/>
      <c r="P171" s="70"/>
      <c r="Q171" s="70"/>
      <c r="R171" s="70"/>
      <c r="S171" s="70"/>
      <c r="T171" s="175"/>
      <c r="U171" s="175"/>
      <c r="V171" s="175"/>
      <c r="W171" s="175"/>
      <c r="X171" s="175"/>
      <c r="Y171" s="175"/>
      <c r="Z171" s="176"/>
      <c r="AA171" s="177"/>
    </row>
    <row r="172" spans="1:27" s="7" customFormat="1" ht="24" x14ac:dyDescent="0.25">
      <c r="A172" s="3"/>
      <c r="B172" s="3"/>
      <c r="C172" s="3"/>
      <c r="D172" s="3"/>
      <c r="E172" s="3"/>
      <c r="F172" s="3"/>
      <c r="G172" s="3"/>
      <c r="H172" s="3"/>
      <c r="I172" s="3"/>
      <c r="J172" s="3"/>
      <c r="K172" s="3"/>
      <c r="L172" s="3"/>
      <c r="M172" s="3"/>
      <c r="N172" s="3"/>
      <c r="O172" s="3"/>
      <c r="P172" s="70"/>
      <c r="Q172" s="70"/>
      <c r="R172" s="70"/>
      <c r="S172" s="70"/>
      <c r="T172" s="175"/>
      <c r="U172" s="175"/>
      <c r="V172" s="175"/>
      <c r="W172" s="175"/>
      <c r="X172" s="175"/>
      <c r="Y172" s="175"/>
      <c r="Z172" s="176"/>
      <c r="AA172" s="177"/>
    </row>
    <row r="173" spans="1:27" s="7" customFormat="1" ht="24" x14ac:dyDescent="0.25">
      <c r="A173" s="3"/>
      <c r="B173" s="3"/>
      <c r="C173" s="3"/>
      <c r="D173" s="3"/>
      <c r="E173" s="3"/>
      <c r="F173" s="3"/>
      <c r="G173" s="3"/>
      <c r="H173" s="3"/>
      <c r="I173" s="3"/>
      <c r="J173" s="3"/>
      <c r="K173" s="3"/>
      <c r="L173" s="3"/>
      <c r="M173" s="3"/>
      <c r="N173" s="3"/>
      <c r="O173" s="3"/>
      <c r="P173" s="70"/>
      <c r="Q173" s="70"/>
      <c r="R173" s="70"/>
      <c r="S173" s="70"/>
      <c r="T173" s="175"/>
      <c r="U173" s="175"/>
      <c r="V173" s="175"/>
      <c r="W173" s="175"/>
      <c r="X173" s="175"/>
      <c r="Y173" s="175"/>
      <c r="Z173" s="176"/>
      <c r="AA173" s="177"/>
    </row>
    <row r="174" spans="1:27" s="7" customFormat="1" ht="24" x14ac:dyDescent="0.25">
      <c r="A174" s="3"/>
      <c r="B174" s="3"/>
      <c r="C174" s="3"/>
      <c r="D174" s="3"/>
      <c r="E174" s="3"/>
      <c r="F174" s="3"/>
      <c r="G174" s="3"/>
      <c r="H174" s="3"/>
      <c r="I174" s="3"/>
      <c r="J174" s="3"/>
      <c r="K174" s="3"/>
      <c r="L174" s="3"/>
      <c r="M174" s="3"/>
      <c r="N174" s="3"/>
      <c r="O174" s="3"/>
      <c r="P174" s="70"/>
      <c r="Q174" s="70"/>
      <c r="R174" s="70"/>
      <c r="S174" s="70"/>
      <c r="T174" s="175"/>
      <c r="U174" s="175"/>
      <c r="V174" s="175"/>
      <c r="W174" s="175"/>
      <c r="X174" s="175"/>
      <c r="Y174" s="175"/>
      <c r="Z174" s="176"/>
      <c r="AA174" s="177"/>
    </row>
    <row r="175" spans="1:27" s="7" customFormat="1" ht="24" x14ac:dyDescent="0.25">
      <c r="A175" s="3"/>
      <c r="B175" s="3"/>
      <c r="C175" s="3"/>
      <c r="D175" s="3"/>
      <c r="E175" s="3"/>
      <c r="F175" s="3"/>
      <c r="G175" s="3"/>
      <c r="H175" s="3"/>
      <c r="I175" s="3"/>
      <c r="J175" s="3"/>
      <c r="K175" s="3"/>
      <c r="L175" s="3"/>
      <c r="M175" s="3"/>
      <c r="N175" s="3"/>
      <c r="O175" s="3"/>
      <c r="P175" s="70"/>
      <c r="Q175" s="70"/>
      <c r="R175" s="70"/>
      <c r="S175" s="70"/>
      <c r="T175" s="175"/>
      <c r="U175" s="175"/>
      <c r="V175" s="175"/>
      <c r="W175" s="175"/>
      <c r="X175" s="175"/>
      <c r="Y175" s="175"/>
      <c r="Z175" s="176"/>
      <c r="AA175" s="177"/>
    </row>
    <row r="176" spans="1:27" s="7" customFormat="1" ht="24" x14ac:dyDescent="0.25">
      <c r="A176" s="3"/>
      <c r="B176" s="3"/>
      <c r="C176" s="3"/>
      <c r="D176" s="3"/>
      <c r="E176" s="3"/>
      <c r="F176" s="3"/>
      <c r="G176" s="3"/>
      <c r="H176" s="3"/>
      <c r="I176" s="3"/>
      <c r="J176" s="3"/>
      <c r="K176" s="3"/>
      <c r="L176" s="3"/>
      <c r="M176" s="3"/>
      <c r="N176" s="3"/>
      <c r="O176" s="3"/>
      <c r="P176" s="70"/>
      <c r="Q176" s="70"/>
      <c r="R176" s="70"/>
      <c r="S176" s="70"/>
      <c r="T176" s="175"/>
      <c r="U176" s="175"/>
      <c r="V176" s="175"/>
      <c r="W176" s="175"/>
      <c r="X176" s="175"/>
      <c r="Y176" s="175"/>
      <c r="Z176" s="176"/>
      <c r="AA176" s="177"/>
    </row>
    <row r="177" spans="1:30" s="7" customFormat="1" ht="24" x14ac:dyDescent="0.25">
      <c r="A177" s="3"/>
      <c r="B177" s="3"/>
      <c r="C177" s="3"/>
      <c r="D177" s="3"/>
      <c r="E177" s="3"/>
      <c r="F177" s="3"/>
      <c r="G177" s="3"/>
      <c r="H177" s="3"/>
      <c r="I177" s="3"/>
      <c r="J177" s="3"/>
      <c r="K177" s="3"/>
      <c r="L177" s="3"/>
      <c r="M177" s="3"/>
      <c r="N177" s="3"/>
      <c r="O177" s="3"/>
      <c r="P177" s="70"/>
      <c r="Q177" s="70"/>
      <c r="R177" s="70"/>
      <c r="S177" s="70"/>
      <c r="T177" s="175"/>
      <c r="U177" s="175"/>
      <c r="V177" s="175"/>
      <c r="W177" s="175"/>
      <c r="X177" s="175"/>
      <c r="Y177" s="175"/>
      <c r="Z177" s="176"/>
      <c r="AA177" s="177"/>
    </row>
    <row r="178" spans="1:30" s="7" customFormat="1" ht="24" x14ac:dyDescent="0.25">
      <c r="A178" s="3"/>
      <c r="B178" s="3"/>
      <c r="C178" s="3"/>
      <c r="D178" s="3"/>
      <c r="E178" s="3"/>
      <c r="F178" s="3"/>
      <c r="G178" s="3"/>
      <c r="H178" s="3"/>
      <c r="I178" s="3"/>
      <c r="J178" s="3"/>
      <c r="K178" s="3"/>
      <c r="L178" s="3"/>
      <c r="M178" s="3"/>
      <c r="N178" s="3"/>
      <c r="O178" s="3"/>
      <c r="P178" s="70"/>
      <c r="Q178" s="70"/>
      <c r="R178" s="70"/>
      <c r="S178" s="70"/>
      <c r="T178" s="175"/>
      <c r="U178" s="175"/>
      <c r="V178" s="175"/>
      <c r="W178" s="175"/>
      <c r="X178" s="175"/>
      <c r="Y178" s="175"/>
      <c r="Z178" s="176"/>
      <c r="AA178" s="177"/>
    </row>
    <row r="179" spans="1:30" s="7" customFormat="1" ht="24" x14ac:dyDescent="0.25">
      <c r="A179" s="3"/>
      <c r="B179" s="3"/>
      <c r="C179" s="3"/>
      <c r="D179" s="3"/>
      <c r="E179" s="3"/>
      <c r="F179" s="3"/>
      <c r="G179" s="3"/>
      <c r="H179" s="3"/>
      <c r="I179" s="3"/>
      <c r="J179" s="3"/>
      <c r="K179" s="3"/>
      <c r="L179" s="3"/>
      <c r="M179" s="3"/>
      <c r="N179" s="3"/>
      <c r="O179" s="3"/>
      <c r="P179" s="70"/>
      <c r="Q179" s="70"/>
      <c r="R179" s="70"/>
      <c r="S179" s="70"/>
      <c r="T179" s="175"/>
      <c r="U179" s="175"/>
      <c r="V179" s="175"/>
      <c r="W179" s="175"/>
      <c r="X179" s="175"/>
      <c r="Y179" s="175"/>
      <c r="Z179" s="176"/>
      <c r="AA179" s="177"/>
    </row>
    <row r="180" spans="1:30" s="7" customFormat="1" x14ac:dyDescent="0.25">
      <c r="A180" s="3"/>
      <c r="B180" s="3"/>
      <c r="C180" s="3"/>
      <c r="D180" s="3"/>
      <c r="E180" s="3"/>
      <c r="F180" s="3"/>
      <c r="G180" s="3"/>
      <c r="H180" s="3"/>
      <c r="I180" s="3"/>
      <c r="J180" s="3"/>
      <c r="K180" s="3"/>
      <c r="L180" s="3"/>
      <c r="M180" s="3"/>
      <c r="N180" s="3"/>
      <c r="O180" s="3"/>
      <c r="P180" s="70"/>
      <c r="Q180" s="70"/>
      <c r="R180" s="70"/>
      <c r="S180" s="70"/>
      <c r="T180" s="70"/>
    </row>
    <row r="181" spans="1:30" s="7" customFormat="1" x14ac:dyDescent="0.25">
      <c r="A181" s="3"/>
      <c r="B181" s="3"/>
      <c r="C181" s="3"/>
      <c r="D181" s="3"/>
      <c r="E181" s="3"/>
      <c r="F181" s="3"/>
      <c r="G181" s="3"/>
      <c r="H181" s="3"/>
      <c r="I181" s="3"/>
      <c r="J181" s="3"/>
      <c r="K181" s="3"/>
      <c r="L181" s="3"/>
      <c r="M181" s="3"/>
      <c r="N181" s="3"/>
      <c r="O181" s="3"/>
      <c r="P181" s="70"/>
      <c r="Q181" s="70"/>
      <c r="R181" s="70"/>
      <c r="S181" s="70"/>
      <c r="T181" s="70"/>
    </row>
    <row r="182" spans="1:30" s="7" customFormat="1" x14ac:dyDescent="0.25">
      <c r="A182" s="3"/>
      <c r="B182" s="3"/>
      <c r="C182" s="3"/>
      <c r="D182" s="3"/>
      <c r="E182" s="3"/>
      <c r="F182" s="3"/>
      <c r="G182" s="3"/>
      <c r="H182" s="3"/>
      <c r="I182" s="3"/>
      <c r="J182" s="3"/>
      <c r="K182" s="3"/>
      <c r="L182" s="3"/>
      <c r="M182" s="3"/>
      <c r="N182" s="3"/>
      <c r="O182" s="3"/>
      <c r="P182" s="70"/>
      <c r="Q182" s="70"/>
      <c r="R182" s="70"/>
      <c r="S182" s="70"/>
      <c r="T182" s="70"/>
    </row>
    <row r="183" spans="1:30" s="7" customFormat="1" x14ac:dyDescent="0.25">
      <c r="A183" s="3"/>
      <c r="B183" s="3"/>
      <c r="C183" s="3"/>
      <c r="D183" s="3"/>
      <c r="E183" s="3"/>
      <c r="F183" s="3"/>
      <c r="G183" s="3"/>
      <c r="H183" s="3"/>
      <c r="I183" s="3"/>
      <c r="J183" s="3"/>
      <c r="K183" s="3"/>
      <c r="L183" s="3"/>
      <c r="M183" s="3"/>
      <c r="N183" s="3"/>
      <c r="O183" s="3"/>
      <c r="P183" s="70"/>
      <c r="Q183" s="70"/>
      <c r="R183" s="70"/>
      <c r="S183" s="70"/>
      <c r="T183" s="70"/>
    </row>
    <row r="184" spans="1:30" s="7" customFormat="1" x14ac:dyDescent="0.25">
      <c r="A184" s="3"/>
      <c r="B184" s="3"/>
      <c r="C184" s="3"/>
      <c r="D184" s="3"/>
      <c r="E184" s="3"/>
      <c r="F184" s="3"/>
      <c r="G184" s="3"/>
      <c r="H184" s="3"/>
      <c r="I184" s="3"/>
      <c r="J184" s="3"/>
      <c r="K184" s="3"/>
      <c r="L184" s="3"/>
      <c r="M184" s="3"/>
      <c r="N184" s="3"/>
      <c r="O184" s="3"/>
      <c r="P184" s="70"/>
      <c r="Q184" s="70"/>
      <c r="R184" s="70"/>
      <c r="S184" s="70"/>
      <c r="T184" s="70"/>
    </row>
    <row r="185" spans="1:30" s="7" customFormat="1" x14ac:dyDescent="0.25">
      <c r="A185" s="3"/>
      <c r="B185" s="3"/>
      <c r="C185" s="3"/>
      <c r="D185" s="3"/>
      <c r="E185" s="3"/>
      <c r="F185" s="3"/>
      <c r="G185" s="3"/>
      <c r="H185" s="3"/>
      <c r="I185" s="3"/>
      <c r="J185" s="3"/>
      <c r="K185" s="3"/>
      <c r="L185" s="3"/>
      <c r="M185" s="3"/>
      <c r="N185" s="3"/>
      <c r="O185" s="3"/>
      <c r="P185" s="70"/>
      <c r="Q185" s="70"/>
      <c r="R185" s="70"/>
      <c r="S185" s="70"/>
      <c r="T185" s="70"/>
    </row>
    <row r="186" spans="1:30" s="7" customFormat="1" x14ac:dyDescent="0.25">
      <c r="A186" s="3"/>
      <c r="B186" s="3"/>
      <c r="C186" s="3"/>
      <c r="D186" s="3"/>
      <c r="E186" s="3"/>
      <c r="F186" s="3"/>
      <c r="G186" s="3"/>
      <c r="H186" s="3"/>
      <c r="I186" s="3"/>
      <c r="J186" s="3"/>
      <c r="K186" s="3"/>
      <c r="L186" s="3"/>
      <c r="M186" s="3"/>
      <c r="N186" s="3"/>
      <c r="O186" s="3"/>
      <c r="P186" s="70"/>
      <c r="Q186" s="70"/>
      <c r="R186" s="70"/>
      <c r="S186" s="70"/>
      <c r="T186" s="70"/>
    </row>
    <row r="187" spans="1:30" s="7" customFormat="1" x14ac:dyDescent="0.25">
      <c r="A187" s="3"/>
      <c r="B187" s="3"/>
      <c r="C187" s="3"/>
      <c r="D187" s="3"/>
      <c r="E187" s="3"/>
      <c r="F187" s="3"/>
      <c r="G187" s="3"/>
      <c r="H187" s="3"/>
      <c r="I187" s="3"/>
      <c r="J187" s="3"/>
      <c r="K187" s="3"/>
      <c r="L187" s="3"/>
      <c r="M187" s="3"/>
      <c r="N187" s="3"/>
      <c r="O187" s="3"/>
      <c r="P187" s="70"/>
      <c r="Q187" s="70"/>
      <c r="R187" s="70"/>
      <c r="S187" s="70"/>
      <c r="T187" s="70"/>
    </row>
    <row r="188" spans="1:30" s="7" customFormat="1" x14ac:dyDescent="0.25">
      <c r="A188" s="3"/>
      <c r="B188" s="3"/>
      <c r="C188" s="3"/>
      <c r="D188" s="3"/>
      <c r="E188" s="3"/>
      <c r="F188" s="3"/>
      <c r="G188" s="3"/>
      <c r="H188" s="3"/>
      <c r="I188" s="3"/>
      <c r="J188" s="3"/>
      <c r="K188" s="3"/>
      <c r="L188" s="3"/>
      <c r="M188" s="3"/>
      <c r="N188" s="3"/>
      <c r="O188" s="3"/>
      <c r="P188" s="70"/>
      <c r="Q188" s="70"/>
      <c r="R188" s="70"/>
      <c r="S188" s="70"/>
      <c r="T188" s="70"/>
    </row>
    <row r="189" spans="1:30" s="7" customFormat="1" x14ac:dyDescent="0.25">
      <c r="A189" s="3"/>
      <c r="B189" s="3"/>
      <c r="C189" s="3"/>
      <c r="D189" s="3"/>
      <c r="E189" s="3"/>
      <c r="F189" s="3"/>
      <c r="G189" s="3"/>
      <c r="H189" s="3"/>
      <c r="I189" s="3"/>
      <c r="J189" s="3"/>
      <c r="K189" s="3"/>
      <c r="L189" s="3"/>
      <c r="M189" s="3"/>
      <c r="N189" s="3"/>
      <c r="O189" s="3"/>
      <c r="P189" s="70"/>
      <c r="Q189" s="70"/>
      <c r="R189" s="70"/>
      <c r="S189" s="70"/>
      <c r="T189" s="70"/>
    </row>
    <row r="190" spans="1:30" s="7" customFormat="1" x14ac:dyDescent="0.25">
      <c r="A190" s="3"/>
      <c r="B190" s="3"/>
      <c r="C190" s="3"/>
      <c r="D190" s="3"/>
      <c r="E190" s="3"/>
      <c r="F190" s="3"/>
      <c r="G190" s="3"/>
      <c r="H190" s="3"/>
      <c r="I190" s="3"/>
      <c r="J190" s="3"/>
      <c r="K190" s="3"/>
      <c r="L190" s="3"/>
      <c r="M190" s="3"/>
      <c r="N190" s="3"/>
      <c r="O190" s="3"/>
    </row>
    <row r="191" spans="1:30" s="7" customFormat="1" x14ac:dyDescent="0.25">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row>
    <row r="192" spans="1:30" s="7" customFormat="1" x14ac:dyDescent="0.25">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row>
    <row r="193" spans="1:30" s="7" customFormat="1" x14ac:dyDescent="0.25">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row>
    <row r="194" spans="1:30" s="7" customFormat="1" x14ac:dyDescent="0.25">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row>
    <row r="195" spans="1:30" s="7" customFormat="1" x14ac:dyDescent="0.25">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row>
    <row r="196" spans="1:30" s="7" customFormat="1" x14ac:dyDescent="0.25">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row>
    <row r="197" spans="1:30" s="7" customFormat="1" x14ac:dyDescent="0.25">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row>
    <row r="198" spans="1:30" s="7" customFormat="1" x14ac:dyDescent="0.25">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row>
    <row r="199" spans="1:30" s="7" customFormat="1" x14ac:dyDescent="0.25">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row>
    <row r="200" spans="1:30" s="7" customFormat="1" x14ac:dyDescent="0.25">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row>
    <row r="201" spans="1:30" s="7" customFormat="1" x14ac:dyDescent="0.25">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c r="AA201" s="3"/>
      <c r="AB201" s="3"/>
      <c r="AC201" s="3"/>
      <c r="AD201" s="3"/>
    </row>
    <row r="202" spans="1:30" s="7" customFormat="1" x14ac:dyDescent="0.25">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c r="AA202" s="3"/>
      <c r="AB202" s="3"/>
      <c r="AC202" s="3"/>
      <c r="AD202" s="3"/>
    </row>
    <row r="203" spans="1:30" s="7" customFormat="1" x14ac:dyDescent="0.25">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c r="AA203" s="3"/>
      <c r="AB203" s="3"/>
      <c r="AC203" s="3"/>
      <c r="AD203" s="3"/>
    </row>
    <row r="204" spans="1:30" s="7" customFormat="1" x14ac:dyDescent="0.25">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c r="AA204" s="3"/>
      <c r="AB204" s="3"/>
      <c r="AC204" s="3"/>
      <c r="AD204" s="3"/>
    </row>
    <row r="205" spans="1:30" s="7" customFormat="1" x14ac:dyDescent="0.25">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c r="AA205" s="3"/>
      <c r="AB205" s="3"/>
      <c r="AC205" s="3"/>
      <c r="AD205" s="3"/>
    </row>
    <row r="206" spans="1:30" s="7" customFormat="1" x14ac:dyDescent="0.25">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c r="AA206" s="3"/>
      <c r="AB206" s="3"/>
      <c r="AC206" s="3"/>
      <c r="AD206" s="3"/>
    </row>
    <row r="207" spans="1:30" s="7" customFormat="1" x14ac:dyDescent="0.25">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c r="AA207" s="3"/>
      <c r="AB207" s="3"/>
      <c r="AC207" s="3"/>
      <c r="AD207" s="3"/>
    </row>
    <row r="208" spans="1:30" s="7" customFormat="1" x14ac:dyDescent="0.25">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c r="AA208" s="3"/>
      <c r="AB208" s="3"/>
      <c r="AC208" s="3"/>
      <c r="AD208" s="3"/>
    </row>
    <row r="209" spans="1:30" s="7" customFormat="1" x14ac:dyDescent="0.25">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c r="AA209" s="3"/>
      <c r="AB209" s="3"/>
      <c r="AC209" s="3"/>
      <c r="AD209" s="3"/>
    </row>
    <row r="210" spans="1:30" s="7" customFormat="1" x14ac:dyDescent="0.25">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c r="AA210" s="3"/>
      <c r="AB210" s="3"/>
      <c r="AC210" s="3"/>
      <c r="AD210" s="3"/>
    </row>
    <row r="211" spans="1:30" s="7" customFormat="1" x14ac:dyDescent="0.25">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c r="AA211" s="3"/>
      <c r="AB211" s="3"/>
      <c r="AC211" s="3"/>
      <c r="AD211" s="3"/>
    </row>
    <row r="212" spans="1:30" s="7" customFormat="1" x14ac:dyDescent="0.25">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c r="AA212" s="3"/>
      <c r="AB212" s="3"/>
      <c r="AC212" s="3"/>
      <c r="AD212" s="3"/>
    </row>
    <row r="213" spans="1:30" s="7" customFormat="1" x14ac:dyDescent="0.25">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c r="AA213" s="3"/>
      <c r="AB213" s="3"/>
      <c r="AC213" s="3"/>
      <c r="AD213" s="3"/>
    </row>
    <row r="214" spans="1:30" s="7" customFormat="1" x14ac:dyDescent="0.25">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c r="AA214" s="3"/>
      <c r="AB214" s="3"/>
      <c r="AC214" s="3"/>
      <c r="AD214" s="3"/>
    </row>
    <row r="215" spans="1:30" s="7" customFormat="1" x14ac:dyDescent="0.25">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c r="AA215" s="3"/>
      <c r="AB215" s="3"/>
      <c r="AC215" s="3"/>
      <c r="AD215" s="3"/>
    </row>
    <row r="216" spans="1:30" s="7" customFormat="1" x14ac:dyDescent="0.25">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c r="AA216" s="3"/>
      <c r="AB216" s="3"/>
      <c r="AC216" s="3"/>
      <c r="AD216" s="3"/>
    </row>
    <row r="217" spans="1:30" s="7" customFormat="1" x14ac:dyDescent="0.25">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c r="AA217" s="3"/>
      <c r="AB217" s="3"/>
      <c r="AC217" s="3"/>
      <c r="AD217" s="3"/>
    </row>
    <row r="218" spans="1:30" s="7" customFormat="1" x14ac:dyDescent="0.25">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c r="AA218" s="3"/>
      <c r="AB218" s="3"/>
      <c r="AC218" s="3"/>
      <c r="AD218" s="3"/>
    </row>
    <row r="219" spans="1:30" s="7" customFormat="1" x14ac:dyDescent="0.25">
      <c r="A219" s="3"/>
      <c r="B219" s="3"/>
      <c r="C219" s="3"/>
      <c r="D219" s="3"/>
      <c r="E219" s="3"/>
      <c r="F219" s="3"/>
      <c r="G219" s="3"/>
      <c r="H219" s="3"/>
      <c r="I219" s="3"/>
      <c r="J219" s="3"/>
      <c r="K219" s="3"/>
      <c r="L219" s="3"/>
      <c r="M219" s="3"/>
      <c r="N219" s="3"/>
      <c r="O219" s="3"/>
      <c r="P219" s="3"/>
      <c r="Q219" s="3"/>
      <c r="R219" s="3"/>
      <c r="S219" s="3"/>
      <c r="T219" s="3"/>
      <c r="U219" s="3"/>
      <c r="V219" s="3"/>
      <c r="W219" s="3"/>
      <c r="X219" s="3"/>
      <c r="Y219" s="3"/>
      <c r="Z219" s="3"/>
      <c r="AA219" s="3"/>
      <c r="AB219" s="3"/>
      <c r="AC219" s="3"/>
      <c r="AD219" s="3"/>
    </row>
    <row r="220" spans="1:30" s="7" customFormat="1" x14ac:dyDescent="0.25">
      <c r="A220" s="3"/>
      <c r="B220" s="3"/>
      <c r="C220" s="3"/>
      <c r="D220" s="3"/>
      <c r="E220" s="3"/>
      <c r="F220" s="3"/>
      <c r="G220" s="3"/>
      <c r="H220" s="3"/>
      <c r="I220" s="3"/>
      <c r="J220" s="3"/>
      <c r="K220" s="3"/>
      <c r="L220" s="3"/>
      <c r="M220" s="3"/>
      <c r="N220" s="3"/>
      <c r="O220" s="3"/>
      <c r="P220" s="3"/>
      <c r="Q220" s="3"/>
      <c r="R220" s="3"/>
      <c r="S220" s="3"/>
      <c r="T220" s="3"/>
      <c r="U220" s="3"/>
      <c r="V220" s="3"/>
      <c r="W220" s="3"/>
      <c r="X220" s="3"/>
      <c r="Y220" s="3"/>
      <c r="Z220" s="3"/>
      <c r="AA220" s="3"/>
      <c r="AB220" s="3"/>
      <c r="AC220" s="3"/>
      <c r="AD220" s="3"/>
    </row>
    <row r="221" spans="1:30" s="7" customFormat="1" x14ac:dyDescent="0.25">
      <c r="A221" s="3"/>
      <c r="B221" s="3"/>
      <c r="C221" s="3"/>
      <c r="D221" s="3"/>
      <c r="E221" s="3"/>
      <c r="F221" s="3"/>
      <c r="G221" s="3"/>
      <c r="H221" s="3"/>
      <c r="I221" s="3"/>
      <c r="J221" s="3"/>
      <c r="K221" s="3"/>
      <c r="L221" s="3"/>
      <c r="M221" s="3"/>
      <c r="N221" s="3"/>
      <c r="O221" s="3"/>
      <c r="P221" s="3"/>
      <c r="Q221" s="3"/>
      <c r="R221" s="3"/>
      <c r="S221" s="3"/>
      <c r="T221" s="3"/>
      <c r="U221" s="3"/>
      <c r="V221" s="3"/>
      <c r="W221" s="3"/>
      <c r="X221" s="3"/>
      <c r="Y221" s="3"/>
      <c r="Z221" s="3"/>
      <c r="AA221" s="3"/>
      <c r="AB221" s="3"/>
      <c r="AC221" s="3"/>
      <c r="AD221" s="3"/>
    </row>
    <row r="222" spans="1:30" s="7" customFormat="1" x14ac:dyDescent="0.25">
      <c r="A222" s="3"/>
      <c r="B222" s="3"/>
      <c r="C222" s="3"/>
      <c r="D222" s="3"/>
      <c r="E222" s="3"/>
      <c r="F222" s="3"/>
      <c r="G222" s="3"/>
      <c r="H222" s="3"/>
      <c r="I222" s="3"/>
      <c r="J222" s="3"/>
      <c r="K222" s="3"/>
      <c r="L222" s="3"/>
      <c r="M222" s="3"/>
      <c r="N222" s="3"/>
      <c r="O222" s="3"/>
      <c r="P222" s="3"/>
      <c r="Q222" s="3"/>
      <c r="R222" s="3"/>
      <c r="S222" s="3"/>
      <c r="T222" s="3"/>
      <c r="U222" s="3"/>
      <c r="V222" s="3"/>
      <c r="W222" s="3"/>
      <c r="X222" s="3"/>
      <c r="Y222" s="3"/>
      <c r="Z222" s="3"/>
      <c r="AA222" s="3"/>
      <c r="AB222" s="3"/>
      <c r="AC222" s="3"/>
      <c r="AD222" s="3"/>
    </row>
    <row r="223" spans="1:30" s="7" customFormat="1" x14ac:dyDescent="0.25">
      <c r="A223" s="3"/>
      <c r="B223" s="3"/>
      <c r="C223" s="3"/>
      <c r="D223" s="3"/>
      <c r="E223" s="3"/>
      <c r="F223" s="3"/>
      <c r="G223" s="3"/>
      <c r="H223" s="3"/>
      <c r="I223" s="3"/>
      <c r="J223" s="3"/>
      <c r="K223" s="3"/>
      <c r="L223" s="3"/>
      <c r="M223" s="3"/>
      <c r="N223" s="3"/>
      <c r="O223" s="3"/>
      <c r="P223" s="3"/>
      <c r="Q223" s="3"/>
      <c r="R223" s="3"/>
      <c r="S223" s="3"/>
      <c r="T223" s="3"/>
      <c r="U223" s="3"/>
      <c r="V223" s="3"/>
      <c r="W223" s="3"/>
      <c r="X223" s="3"/>
      <c r="Y223" s="3"/>
      <c r="Z223" s="3"/>
      <c r="AA223" s="3"/>
      <c r="AB223" s="3"/>
      <c r="AC223" s="3"/>
      <c r="AD223" s="3"/>
    </row>
    <row r="224" spans="1:30" s="7" customFormat="1" x14ac:dyDescent="0.25">
      <c r="A224" s="3"/>
      <c r="B224" s="3"/>
      <c r="C224" s="3"/>
      <c r="D224" s="3"/>
      <c r="E224" s="3"/>
      <c r="F224" s="3"/>
      <c r="G224" s="3"/>
      <c r="H224" s="3"/>
      <c r="I224" s="3"/>
      <c r="J224" s="3"/>
      <c r="K224" s="3"/>
      <c r="L224" s="3"/>
      <c r="M224" s="3"/>
      <c r="N224" s="3"/>
      <c r="O224" s="3"/>
      <c r="P224" s="3"/>
      <c r="Q224" s="3"/>
      <c r="R224" s="3"/>
      <c r="S224" s="3"/>
      <c r="T224" s="3"/>
      <c r="U224" s="3"/>
      <c r="V224" s="3"/>
      <c r="W224" s="3"/>
      <c r="X224" s="3"/>
      <c r="Y224" s="3"/>
      <c r="Z224" s="3"/>
      <c r="AA224" s="3"/>
      <c r="AB224" s="3"/>
      <c r="AC224" s="3"/>
      <c r="AD224" s="3"/>
    </row>
    <row r="225" spans="1:30" s="7" customFormat="1" x14ac:dyDescent="0.25">
      <c r="A225" s="3"/>
      <c r="B225" s="3"/>
      <c r="C225" s="3"/>
      <c r="D225" s="3"/>
      <c r="E225" s="3"/>
      <c r="F225" s="3"/>
      <c r="G225" s="3"/>
      <c r="H225" s="3"/>
      <c r="I225" s="3"/>
      <c r="J225" s="3"/>
      <c r="K225" s="3"/>
      <c r="L225" s="3"/>
      <c r="M225" s="3"/>
      <c r="N225" s="3"/>
      <c r="O225" s="3"/>
      <c r="P225" s="3"/>
      <c r="Q225" s="3"/>
      <c r="R225" s="3"/>
      <c r="S225" s="3"/>
      <c r="T225" s="3"/>
      <c r="U225" s="3"/>
      <c r="V225" s="3"/>
      <c r="W225" s="3"/>
      <c r="X225" s="3"/>
      <c r="Y225" s="3"/>
      <c r="Z225" s="3"/>
      <c r="AA225" s="3"/>
      <c r="AB225" s="3"/>
      <c r="AC225" s="3"/>
      <c r="AD225" s="3"/>
    </row>
    <row r="226" spans="1:30" s="7" customFormat="1" x14ac:dyDescent="0.25">
      <c r="A226" s="3"/>
      <c r="B226" s="3"/>
      <c r="C226" s="3"/>
      <c r="D226" s="3"/>
      <c r="E226" s="3"/>
      <c r="F226" s="3"/>
      <c r="G226" s="3"/>
      <c r="H226" s="3"/>
      <c r="I226" s="3"/>
      <c r="J226" s="3"/>
      <c r="K226" s="3"/>
      <c r="L226" s="3"/>
      <c r="M226" s="3"/>
      <c r="N226" s="3"/>
      <c r="O226" s="3"/>
      <c r="P226" s="3"/>
      <c r="Q226" s="3"/>
      <c r="R226" s="3"/>
      <c r="S226" s="3"/>
      <c r="T226" s="3"/>
      <c r="U226" s="3"/>
      <c r="V226" s="3"/>
      <c r="W226" s="3"/>
      <c r="X226" s="3"/>
      <c r="Y226" s="3"/>
      <c r="Z226" s="3"/>
      <c r="AA226" s="3"/>
      <c r="AB226" s="3"/>
      <c r="AC226" s="3"/>
      <c r="AD226" s="3"/>
    </row>
    <row r="227" spans="1:30" s="7" customFormat="1" x14ac:dyDescent="0.25">
      <c r="A227" s="3"/>
      <c r="B227" s="3"/>
      <c r="C227" s="3"/>
      <c r="D227" s="3"/>
      <c r="E227" s="3"/>
      <c r="F227" s="3"/>
      <c r="G227" s="3"/>
      <c r="H227" s="3"/>
      <c r="I227" s="3"/>
      <c r="J227" s="3"/>
      <c r="K227" s="3"/>
      <c r="L227" s="3"/>
      <c r="M227" s="3"/>
      <c r="N227" s="3"/>
      <c r="O227" s="3"/>
      <c r="P227" s="3"/>
      <c r="Q227" s="3"/>
      <c r="R227" s="3"/>
      <c r="S227" s="3"/>
      <c r="T227" s="3"/>
      <c r="U227" s="3"/>
      <c r="V227" s="3"/>
      <c r="W227" s="3"/>
      <c r="X227" s="3"/>
      <c r="Y227" s="3"/>
      <c r="Z227" s="3"/>
      <c r="AA227" s="3"/>
      <c r="AB227" s="3"/>
      <c r="AC227" s="3"/>
      <c r="AD227" s="3"/>
    </row>
    <row r="228" spans="1:30" s="7" customFormat="1" x14ac:dyDescent="0.25">
      <c r="A228" s="3"/>
      <c r="B228" s="3"/>
      <c r="C228" s="3"/>
      <c r="D228" s="3"/>
      <c r="E228" s="3"/>
      <c r="F228" s="3"/>
      <c r="G228" s="3"/>
      <c r="H228" s="3"/>
      <c r="I228" s="3"/>
      <c r="J228" s="3"/>
      <c r="K228" s="3"/>
      <c r="L228" s="3"/>
      <c r="M228" s="3"/>
      <c r="N228" s="3"/>
      <c r="O228" s="3"/>
      <c r="P228" s="3"/>
      <c r="Q228" s="3"/>
      <c r="R228" s="3"/>
      <c r="S228" s="3"/>
      <c r="T228" s="3"/>
      <c r="U228" s="3"/>
      <c r="V228" s="3"/>
      <c r="W228" s="3"/>
      <c r="X228" s="3"/>
      <c r="Y228" s="3"/>
      <c r="Z228" s="3"/>
      <c r="AA228" s="3"/>
      <c r="AB228" s="3"/>
      <c r="AC228" s="3"/>
      <c r="AD228" s="3"/>
    </row>
    <row r="229" spans="1:30" s="7" customFormat="1" x14ac:dyDescent="0.25">
      <c r="A229" s="3"/>
      <c r="B229" s="3"/>
      <c r="C229" s="3"/>
      <c r="D229" s="3"/>
      <c r="E229" s="3"/>
      <c r="F229" s="3"/>
      <c r="G229" s="3"/>
      <c r="H229" s="3"/>
      <c r="I229" s="3"/>
      <c r="J229" s="3"/>
      <c r="K229" s="3"/>
      <c r="L229" s="3"/>
      <c r="M229" s="3"/>
      <c r="N229" s="3"/>
      <c r="O229" s="3"/>
      <c r="P229" s="3"/>
      <c r="Q229" s="3"/>
      <c r="R229" s="3"/>
      <c r="S229" s="3"/>
      <c r="T229" s="3"/>
      <c r="U229" s="3"/>
      <c r="V229" s="3"/>
      <c r="W229" s="3"/>
      <c r="X229" s="3"/>
      <c r="Y229" s="3"/>
      <c r="Z229" s="3"/>
      <c r="AA229" s="3"/>
      <c r="AB229" s="3"/>
      <c r="AC229" s="3"/>
      <c r="AD229" s="3"/>
    </row>
    <row r="230" spans="1:30" s="7" customFormat="1" x14ac:dyDescent="0.25">
      <c r="A230" s="3"/>
      <c r="B230" s="3"/>
      <c r="C230" s="3"/>
      <c r="D230" s="3"/>
      <c r="E230" s="3"/>
      <c r="F230" s="3"/>
      <c r="G230" s="3"/>
      <c r="H230" s="3"/>
      <c r="I230" s="3"/>
      <c r="J230" s="3"/>
      <c r="K230" s="3"/>
      <c r="L230" s="3"/>
      <c r="M230" s="3"/>
      <c r="N230" s="3"/>
      <c r="O230" s="3"/>
      <c r="P230" s="3"/>
      <c r="Q230" s="3"/>
      <c r="R230" s="3"/>
      <c r="S230" s="3"/>
      <c r="T230" s="3"/>
      <c r="U230" s="3"/>
      <c r="V230" s="3"/>
      <c r="W230" s="3"/>
      <c r="X230" s="3"/>
      <c r="Y230" s="3"/>
      <c r="Z230" s="3"/>
      <c r="AA230" s="3"/>
      <c r="AB230" s="3"/>
      <c r="AC230" s="3"/>
      <c r="AD230" s="3"/>
    </row>
    <row r="231" spans="1:30" s="7" customFormat="1" x14ac:dyDescent="0.25">
      <c r="A231" s="3"/>
      <c r="B231" s="3"/>
      <c r="C231" s="3"/>
      <c r="D231" s="3"/>
      <c r="E231" s="3"/>
      <c r="F231" s="3"/>
      <c r="G231" s="3"/>
      <c r="H231" s="3"/>
      <c r="I231" s="3"/>
      <c r="J231" s="3"/>
      <c r="K231" s="3"/>
      <c r="L231" s="3"/>
      <c r="M231" s="3"/>
      <c r="N231" s="3"/>
      <c r="O231" s="3"/>
      <c r="P231" s="3"/>
      <c r="Q231" s="3"/>
      <c r="R231" s="3"/>
      <c r="S231" s="3"/>
      <c r="T231" s="3"/>
      <c r="U231" s="3"/>
      <c r="V231" s="3"/>
      <c r="W231" s="3"/>
      <c r="X231" s="3"/>
      <c r="Y231" s="3"/>
      <c r="Z231" s="3"/>
      <c r="AA231" s="3"/>
      <c r="AB231" s="3"/>
      <c r="AC231" s="3"/>
      <c r="AD231" s="3"/>
    </row>
    <row r="232" spans="1:30" s="7" customFormat="1" x14ac:dyDescent="0.25">
      <c r="A232" s="3"/>
      <c r="B232" s="3"/>
      <c r="C232" s="3"/>
      <c r="D232" s="3"/>
      <c r="E232" s="3"/>
      <c r="F232" s="3"/>
      <c r="G232" s="3"/>
      <c r="H232" s="3"/>
      <c r="I232" s="3"/>
      <c r="J232" s="3"/>
      <c r="K232" s="3"/>
      <c r="L232" s="3"/>
      <c r="M232" s="3"/>
      <c r="N232" s="3"/>
      <c r="O232" s="3"/>
      <c r="P232" s="3"/>
      <c r="Q232" s="3"/>
      <c r="R232" s="3"/>
      <c r="S232" s="3"/>
      <c r="T232" s="3"/>
      <c r="U232" s="3"/>
      <c r="V232" s="3"/>
      <c r="W232" s="3"/>
      <c r="X232" s="3"/>
      <c r="Y232" s="3"/>
      <c r="Z232" s="3"/>
      <c r="AA232" s="3"/>
      <c r="AB232" s="3"/>
      <c r="AC232" s="3"/>
      <c r="AD232" s="3"/>
    </row>
    <row r="233" spans="1:30" s="7" customFormat="1" x14ac:dyDescent="0.25">
      <c r="A233" s="3"/>
      <c r="B233" s="3"/>
      <c r="C233" s="3"/>
      <c r="D233" s="3"/>
      <c r="E233" s="3"/>
      <c r="F233" s="3"/>
      <c r="G233" s="3"/>
      <c r="H233" s="3"/>
      <c r="I233" s="3"/>
      <c r="J233" s="3"/>
      <c r="K233" s="3"/>
      <c r="L233" s="3"/>
      <c r="M233" s="3"/>
      <c r="N233" s="3"/>
      <c r="O233" s="3"/>
      <c r="P233" s="3"/>
      <c r="Q233" s="3"/>
      <c r="R233" s="3"/>
      <c r="S233" s="3"/>
      <c r="T233" s="3"/>
      <c r="U233" s="3"/>
      <c r="V233" s="3"/>
      <c r="W233" s="3"/>
      <c r="X233" s="3"/>
      <c r="Y233" s="3"/>
      <c r="Z233" s="3"/>
      <c r="AA233" s="3"/>
      <c r="AB233" s="3"/>
      <c r="AC233" s="3"/>
      <c r="AD233" s="3"/>
    </row>
    <row r="234" spans="1:30" s="7" customFormat="1" x14ac:dyDescent="0.25">
      <c r="A234" s="3"/>
      <c r="B234" s="3"/>
      <c r="C234" s="3"/>
      <c r="D234" s="3"/>
      <c r="E234" s="3"/>
      <c r="F234" s="3"/>
      <c r="G234" s="3"/>
      <c r="H234" s="3"/>
      <c r="I234" s="3"/>
      <c r="J234" s="3"/>
      <c r="K234" s="3"/>
      <c r="L234" s="3"/>
      <c r="M234" s="3"/>
      <c r="N234" s="3"/>
      <c r="O234" s="3"/>
      <c r="P234" s="3"/>
      <c r="Q234" s="3"/>
      <c r="R234" s="3"/>
      <c r="S234" s="3"/>
      <c r="T234" s="3"/>
      <c r="U234" s="3"/>
      <c r="V234" s="3"/>
      <c r="W234" s="3"/>
      <c r="X234" s="3"/>
      <c r="Y234" s="3"/>
      <c r="Z234" s="3"/>
      <c r="AA234" s="3"/>
      <c r="AB234" s="3"/>
      <c r="AC234" s="3"/>
      <c r="AD234" s="3"/>
    </row>
    <row r="235" spans="1:30" s="7" customFormat="1" x14ac:dyDescent="0.25">
      <c r="A235" s="3"/>
      <c r="B235" s="3"/>
      <c r="C235" s="3"/>
      <c r="D235" s="3"/>
      <c r="E235" s="3"/>
      <c r="F235" s="3"/>
      <c r="G235" s="3"/>
      <c r="H235" s="3"/>
      <c r="I235" s="3"/>
      <c r="J235" s="3"/>
      <c r="K235" s="3"/>
      <c r="L235" s="3"/>
      <c r="M235" s="3"/>
      <c r="N235" s="3"/>
      <c r="O235" s="3"/>
      <c r="P235" s="3"/>
      <c r="Q235" s="3"/>
      <c r="R235" s="3"/>
      <c r="S235" s="3"/>
      <c r="T235" s="3"/>
      <c r="U235" s="3"/>
      <c r="V235" s="3"/>
      <c r="W235" s="3"/>
      <c r="X235" s="3"/>
      <c r="Y235" s="3"/>
      <c r="Z235" s="3"/>
      <c r="AA235" s="3"/>
      <c r="AB235" s="3"/>
      <c r="AC235" s="3"/>
      <c r="AD235" s="3"/>
    </row>
    <row r="236" spans="1:30" s="7" customFormat="1" x14ac:dyDescent="0.25">
      <c r="A236" s="3"/>
      <c r="B236" s="3"/>
      <c r="C236" s="3"/>
      <c r="D236" s="3"/>
      <c r="E236" s="3"/>
      <c r="F236" s="3"/>
      <c r="G236" s="3"/>
      <c r="H236" s="3"/>
      <c r="I236" s="3"/>
      <c r="J236" s="3"/>
      <c r="K236" s="3"/>
      <c r="L236" s="3"/>
      <c r="M236" s="3"/>
      <c r="N236" s="3"/>
      <c r="O236" s="3"/>
      <c r="P236" s="3"/>
      <c r="Q236" s="3"/>
      <c r="R236" s="3"/>
      <c r="S236" s="3"/>
      <c r="T236" s="3"/>
      <c r="U236" s="3"/>
      <c r="V236" s="3"/>
      <c r="W236" s="3"/>
      <c r="X236" s="3"/>
      <c r="Y236" s="3"/>
      <c r="Z236" s="3"/>
      <c r="AA236" s="3"/>
      <c r="AB236" s="3"/>
      <c r="AC236" s="3"/>
      <c r="AD236" s="3"/>
    </row>
    <row r="237" spans="1:30" s="7" customFormat="1" x14ac:dyDescent="0.25">
      <c r="A237" s="3"/>
      <c r="B237" s="3"/>
      <c r="C237" s="3"/>
      <c r="D237" s="3"/>
      <c r="E237" s="3"/>
      <c r="F237" s="3"/>
      <c r="G237" s="3"/>
      <c r="H237" s="3"/>
      <c r="I237" s="3"/>
      <c r="J237" s="3"/>
      <c r="K237" s="3"/>
      <c r="L237" s="3"/>
      <c r="M237" s="3"/>
      <c r="N237" s="3"/>
      <c r="O237" s="3"/>
      <c r="P237" s="3"/>
      <c r="Q237" s="3"/>
      <c r="R237" s="3"/>
      <c r="S237" s="3"/>
      <c r="T237" s="3"/>
      <c r="U237" s="3"/>
      <c r="V237" s="3"/>
      <c r="W237" s="3"/>
      <c r="X237" s="3"/>
      <c r="Y237" s="3"/>
      <c r="Z237" s="3"/>
      <c r="AA237" s="3"/>
      <c r="AB237" s="3"/>
      <c r="AC237" s="3"/>
      <c r="AD237" s="3"/>
    </row>
    <row r="238" spans="1:30" s="7" customFormat="1" x14ac:dyDescent="0.25">
      <c r="A238" s="3"/>
      <c r="B238" s="3"/>
      <c r="C238" s="3"/>
      <c r="D238" s="3"/>
      <c r="E238" s="3"/>
      <c r="F238" s="3"/>
      <c r="G238" s="3"/>
      <c r="H238" s="3"/>
      <c r="I238" s="3"/>
      <c r="J238" s="3"/>
      <c r="K238" s="3"/>
      <c r="L238" s="3"/>
      <c r="M238" s="3"/>
      <c r="N238" s="3"/>
      <c r="O238" s="3"/>
      <c r="P238" s="3"/>
      <c r="Q238" s="3"/>
      <c r="R238" s="3"/>
      <c r="S238" s="3"/>
      <c r="T238" s="3"/>
      <c r="U238" s="3"/>
      <c r="V238" s="3"/>
      <c r="W238" s="3"/>
      <c r="X238" s="3"/>
      <c r="Y238" s="3"/>
      <c r="Z238" s="3"/>
      <c r="AA238" s="3"/>
      <c r="AB238" s="3"/>
      <c r="AC238" s="3"/>
      <c r="AD238" s="3"/>
    </row>
    <row r="239" spans="1:30" s="7" customFormat="1" x14ac:dyDescent="0.25">
      <c r="A239" s="3"/>
      <c r="B239" s="3"/>
      <c r="C239" s="3"/>
      <c r="D239" s="3"/>
      <c r="E239" s="3"/>
      <c r="F239" s="3"/>
      <c r="G239" s="3"/>
      <c r="H239" s="3"/>
      <c r="I239" s="3"/>
      <c r="J239" s="3"/>
      <c r="K239" s="3"/>
      <c r="L239" s="3"/>
      <c r="M239" s="3"/>
      <c r="N239" s="3"/>
      <c r="O239" s="3"/>
      <c r="P239" s="3"/>
      <c r="Q239" s="3"/>
      <c r="R239" s="3"/>
      <c r="S239" s="3"/>
      <c r="T239" s="3"/>
      <c r="U239" s="3"/>
      <c r="V239" s="3"/>
      <c r="W239" s="3"/>
      <c r="X239" s="3"/>
      <c r="Y239" s="3"/>
      <c r="Z239" s="3"/>
      <c r="AA239" s="3"/>
      <c r="AB239" s="3"/>
      <c r="AC239" s="3"/>
      <c r="AD239" s="3"/>
    </row>
    <row r="240" spans="1:30" s="7" customFormat="1" x14ac:dyDescent="0.25">
      <c r="A240" s="3"/>
      <c r="B240" s="3"/>
      <c r="C240" s="3"/>
      <c r="D240" s="3"/>
      <c r="E240" s="3"/>
      <c r="F240" s="3"/>
      <c r="G240" s="3"/>
      <c r="H240" s="3"/>
      <c r="I240" s="3"/>
      <c r="J240" s="3"/>
      <c r="K240" s="3"/>
      <c r="L240" s="3"/>
      <c r="M240" s="3"/>
      <c r="N240" s="3"/>
      <c r="O240" s="3"/>
      <c r="P240" s="3"/>
      <c r="Q240" s="3"/>
      <c r="R240" s="3"/>
      <c r="S240" s="3"/>
      <c r="T240" s="3"/>
      <c r="U240" s="3"/>
      <c r="V240" s="3"/>
      <c r="W240" s="3"/>
      <c r="X240" s="3"/>
      <c r="Y240" s="3"/>
      <c r="Z240" s="3"/>
      <c r="AA240" s="3"/>
      <c r="AB240" s="3"/>
      <c r="AC240" s="3"/>
      <c r="AD240" s="3"/>
    </row>
    <row r="241" spans="1:30" s="7" customFormat="1" x14ac:dyDescent="0.25">
      <c r="A241" s="3"/>
      <c r="B241" s="3"/>
      <c r="C241" s="3"/>
      <c r="D241" s="3"/>
      <c r="E241" s="3"/>
      <c r="F241" s="3"/>
      <c r="G241" s="3"/>
      <c r="H241" s="3"/>
      <c r="I241" s="3"/>
      <c r="J241" s="3"/>
      <c r="K241" s="3"/>
      <c r="L241" s="3"/>
      <c r="M241" s="3"/>
      <c r="N241" s="3"/>
      <c r="O241" s="3"/>
      <c r="P241" s="3"/>
      <c r="Q241" s="3"/>
      <c r="R241" s="3"/>
      <c r="S241" s="3"/>
      <c r="T241" s="3"/>
      <c r="U241" s="3"/>
      <c r="V241" s="3"/>
      <c r="W241" s="3"/>
      <c r="X241" s="3"/>
      <c r="Y241" s="3"/>
      <c r="Z241" s="3"/>
      <c r="AA241" s="3"/>
      <c r="AB241" s="3"/>
      <c r="AC241" s="3"/>
      <c r="AD241" s="3"/>
    </row>
    <row r="242" spans="1:30" s="7" customFormat="1" x14ac:dyDescent="0.25">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c r="AA242" s="3"/>
      <c r="AB242" s="3"/>
      <c r="AC242" s="3"/>
      <c r="AD242" s="3"/>
    </row>
    <row r="243" spans="1:30" s="7" customFormat="1" x14ac:dyDescent="0.25">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c r="AA243" s="3"/>
      <c r="AB243" s="3"/>
      <c r="AC243" s="3"/>
      <c r="AD243" s="3"/>
    </row>
    <row r="244" spans="1:30" s="7" customFormat="1" x14ac:dyDescent="0.25">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c r="AA244" s="3"/>
      <c r="AB244" s="3"/>
      <c r="AC244" s="3"/>
      <c r="AD244" s="3"/>
    </row>
    <row r="245" spans="1:30" s="7" customFormat="1" x14ac:dyDescent="0.25">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c r="AA245" s="3"/>
      <c r="AB245" s="3"/>
      <c r="AC245" s="3"/>
      <c r="AD245" s="3"/>
    </row>
    <row r="246" spans="1:30" s="7" customFormat="1" x14ac:dyDescent="0.25">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c r="AA246" s="3"/>
      <c r="AB246" s="3"/>
      <c r="AC246" s="3"/>
      <c r="AD246" s="3"/>
    </row>
    <row r="247" spans="1:30" s="7" customFormat="1" x14ac:dyDescent="0.25">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c r="AA247" s="3"/>
      <c r="AB247" s="3"/>
      <c r="AC247" s="3"/>
      <c r="AD247" s="3"/>
    </row>
    <row r="248" spans="1:30" s="7" customFormat="1" x14ac:dyDescent="0.25">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c r="AA248" s="3"/>
      <c r="AB248" s="3"/>
      <c r="AC248" s="3"/>
      <c r="AD248" s="3"/>
    </row>
    <row r="249" spans="1:30" s="7" customFormat="1" x14ac:dyDescent="0.25">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c r="AA249" s="3"/>
      <c r="AB249" s="3"/>
      <c r="AC249" s="3"/>
      <c r="AD249" s="3"/>
    </row>
    <row r="250" spans="1:30" s="7" customFormat="1" x14ac:dyDescent="0.25">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c r="AA250" s="3"/>
      <c r="AB250" s="3"/>
      <c r="AC250" s="3"/>
      <c r="AD250" s="3"/>
    </row>
    <row r="251" spans="1:30" s="7" customFormat="1" x14ac:dyDescent="0.25">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c r="AA251" s="3"/>
      <c r="AB251" s="3"/>
      <c r="AC251" s="3"/>
      <c r="AD251" s="3"/>
    </row>
    <row r="252" spans="1:30" s="7" customFormat="1" x14ac:dyDescent="0.25">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c r="AA252" s="3"/>
      <c r="AB252" s="3"/>
      <c r="AC252" s="3"/>
      <c r="AD252" s="3"/>
    </row>
    <row r="253" spans="1:30" s="7" customFormat="1" x14ac:dyDescent="0.25">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c r="AA253" s="3"/>
      <c r="AB253" s="3"/>
      <c r="AC253" s="3"/>
      <c r="AD253" s="3"/>
    </row>
    <row r="254" spans="1:30" s="7" customFormat="1" x14ac:dyDescent="0.25">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c r="AA254" s="3"/>
      <c r="AB254" s="3"/>
      <c r="AC254" s="3"/>
      <c r="AD254" s="3"/>
    </row>
    <row r="255" spans="1:30" s="7" customFormat="1" x14ac:dyDescent="0.25">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c r="AA255" s="3"/>
      <c r="AB255" s="3"/>
      <c r="AC255" s="3"/>
      <c r="AD255" s="3"/>
    </row>
    <row r="256" spans="1:30" s="7" customFormat="1" x14ac:dyDescent="0.25">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c r="AA256" s="3"/>
      <c r="AB256" s="3"/>
      <c r="AC256" s="3"/>
      <c r="AD256" s="3"/>
    </row>
    <row r="257" spans="1:30" s="7" customFormat="1" x14ac:dyDescent="0.25">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c r="AA257" s="3"/>
      <c r="AB257" s="3"/>
      <c r="AC257" s="3"/>
      <c r="AD257" s="3"/>
    </row>
    <row r="258" spans="1:30" s="7" customFormat="1" x14ac:dyDescent="0.25">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c r="AA258" s="3"/>
      <c r="AB258" s="3"/>
      <c r="AC258" s="3"/>
      <c r="AD258" s="3"/>
    </row>
    <row r="259" spans="1:30" s="7" customFormat="1" x14ac:dyDescent="0.25">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c r="AA259" s="3"/>
      <c r="AB259" s="3"/>
      <c r="AC259" s="3"/>
      <c r="AD259" s="3"/>
    </row>
    <row r="260" spans="1:30" s="7" customFormat="1" x14ac:dyDescent="0.25">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c r="AA260" s="3"/>
      <c r="AB260" s="3"/>
      <c r="AC260" s="3"/>
      <c r="AD260" s="3"/>
    </row>
    <row r="261" spans="1:30" s="7" customFormat="1" x14ac:dyDescent="0.25">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c r="AA261" s="3"/>
      <c r="AB261" s="3"/>
      <c r="AC261" s="3"/>
      <c r="AD261" s="3"/>
    </row>
    <row r="262" spans="1:30" s="7" customFormat="1" x14ac:dyDescent="0.25">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c r="AA262" s="3"/>
      <c r="AB262" s="3"/>
      <c r="AC262" s="3"/>
      <c r="AD262" s="3"/>
    </row>
    <row r="263" spans="1:30" s="7" customFormat="1" x14ac:dyDescent="0.25">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c r="AA263" s="3"/>
      <c r="AB263" s="3"/>
      <c r="AC263" s="3"/>
      <c r="AD263" s="3"/>
    </row>
    <row r="264" spans="1:30" s="7" customFormat="1" x14ac:dyDescent="0.25">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c r="AA264" s="3"/>
      <c r="AB264" s="3"/>
      <c r="AC264" s="3"/>
      <c r="AD264" s="3"/>
    </row>
    <row r="265" spans="1:30" s="7" customFormat="1" x14ac:dyDescent="0.25">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c r="AA265" s="3"/>
      <c r="AB265" s="3"/>
      <c r="AC265" s="3"/>
      <c r="AD265" s="3"/>
    </row>
    <row r="266" spans="1:30" s="7" customFormat="1" x14ac:dyDescent="0.25">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c r="AA266" s="3"/>
      <c r="AB266" s="3"/>
      <c r="AC266" s="3"/>
      <c r="AD266" s="3"/>
    </row>
    <row r="267" spans="1:30" s="7" customFormat="1" x14ac:dyDescent="0.25">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c r="AA267" s="3"/>
      <c r="AB267" s="3"/>
      <c r="AC267" s="3"/>
      <c r="AD267" s="3"/>
    </row>
    <row r="268" spans="1:30" s="7" customFormat="1" x14ac:dyDescent="0.25">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c r="AA268" s="3"/>
      <c r="AB268" s="3"/>
      <c r="AC268" s="3"/>
      <c r="AD268" s="3"/>
    </row>
    <row r="269" spans="1:30" s="7" customFormat="1" x14ac:dyDescent="0.25">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c r="AA269" s="3"/>
      <c r="AB269" s="3"/>
      <c r="AC269" s="3"/>
      <c r="AD269" s="3"/>
    </row>
    <row r="270" spans="1:30" s="7" customFormat="1" x14ac:dyDescent="0.25">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c r="AA270" s="3"/>
      <c r="AB270" s="3"/>
      <c r="AC270" s="3"/>
      <c r="AD270" s="3"/>
    </row>
    <row r="271" spans="1:30" s="7" customFormat="1" x14ac:dyDescent="0.25">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c r="AA271" s="3"/>
      <c r="AB271" s="3"/>
      <c r="AC271" s="3"/>
      <c r="AD271" s="3"/>
    </row>
    <row r="272" spans="1:30" s="7" customFormat="1" x14ac:dyDescent="0.25">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c r="AA272" s="3"/>
      <c r="AB272" s="3"/>
      <c r="AC272" s="3"/>
      <c r="AD272" s="3"/>
    </row>
    <row r="273" spans="1:30" s="7" customFormat="1" x14ac:dyDescent="0.25">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c r="AA273" s="3"/>
      <c r="AB273" s="3"/>
      <c r="AC273" s="3"/>
      <c r="AD273" s="3"/>
    </row>
    <row r="274" spans="1:30" s="7" customFormat="1" x14ac:dyDescent="0.25">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c r="AA274" s="3"/>
      <c r="AB274" s="3"/>
      <c r="AC274" s="3"/>
      <c r="AD274" s="3"/>
    </row>
    <row r="275" spans="1:30" s="7" customFormat="1" x14ac:dyDescent="0.25">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c r="AA275" s="3"/>
      <c r="AB275" s="3"/>
      <c r="AC275" s="3"/>
      <c r="AD275" s="3"/>
    </row>
    <row r="276" spans="1:30" s="7" customFormat="1" x14ac:dyDescent="0.25">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c r="AA276" s="3"/>
      <c r="AB276" s="3"/>
      <c r="AC276" s="3"/>
      <c r="AD276" s="3"/>
    </row>
    <row r="277" spans="1:30" s="7" customFormat="1" x14ac:dyDescent="0.25">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c r="AA277" s="3"/>
      <c r="AB277" s="3"/>
      <c r="AC277" s="3"/>
      <c r="AD277" s="3"/>
    </row>
    <row r="278" spans="1:30" s="7" customFormat="1" x14ac:dyDescent="0.25">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c r="AA278" s="3"/>
      <c r="AB278" s="3"/>
      <c r="AC278" s="3"/>
      <c r="AD278" s="3"/>
    </row>
    <row r="279" spans="1:30" s="7" customFormat="1" x14ac:dyDescent="0.25">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c r="AA279" s="3"/>
      <c r="AB279" s="3"/>
      <c r="AC279" s="3"/>
      <c r="AD279" s="3"/>
    </row>
    <row r="280" spans="1:30" s="7" customFormat="1" x14ac:dyDescent="0.25">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c r="AA280" s="3"/>
      <c r="AB280" s="3"/>
      <c r="AC280" s="3"/>
      <c r="AD280" s="3"/>
    </row>
    <row r="281" spans="1:30" s="7" customFormat="1" x14ac:dyDescent="0.25">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c r="AA281" s="3"/>
      <c r="AB281" s="3"/>
      <c r="AC281" s="3"/>
      <c r="AD281" s="3"/>
    </row>
    <row r="282" spans="1:30" s="7" customFormat="1" x14ac:dyDescent="0.25">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c r="AA282" s="3"/>
      <c r="AB282" s="3"/>
      <c r="AC282" s="3"/>
      <c r="AD282" s="3"/>
    </row>
    <row r="283" spans="1:30" s="7" customFormat="1" x14ac:dyDescent="0.25">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c r="AA283" s="3"/>
      <c r="AB283" s="3"/>
      <c r="AC283" s="3"/>
      <c r="AD283" s="3"/>
    </row>
    <row r="284" spans="1:30" s="7" customFormat="1" x14ac:dyDescent="0.25">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c r="AA284" s="3"/>
      <c r="AB284" s="3"/>
      <c r="AC284" s="3"/>
      <c r="AD284" s="3"/>
    </row>
    <row r="285" spans="1:30" s="7" customFormat="1" x14ac:dyDescent="0.25">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c r="AA285" s="3"/>
      <c r="AB285" s="3"/>
      <c r="AC285" s="3"/>
      <c r="AD285" s="3"/>
    </row>
    <row r="286" spans="1:30" s="7" customFormat="1" x14ac:dyDescent="0.25">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c r="AA286" s="3"/>
      <c r="AB286" s="3"/>
      <c r="AC286" s="3"/>
      <c r="AD286" s="3"/>
    </row>
    <row r="287" spans="1:30" s="7" customFormat="1" ht="14.45" customHeight="1" x14ac:dyDescent="0.25">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c r="AA287" s="3"/>
      <c r="AB287" s="3"/>
      <c r="AC287" s="3"/>
      <c r="AD287" s="3"/>
    </row>
    <row r="288" spans="1:30" s="7" customFormat="1" x14ac:dyDescent="0.25">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c r="AA288" s="3"/>
      <c r="AB288" s="3"/>
      <c r="AC288" s="3"/>
      <c r="AD288" s="3"/>
    </row>
    <row r="289" spans="1:30" s="7" customFormat="1" x14ac:dyDescent="0.25">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c r="AA289" s="3"/>
      <c r="AB289" s="3"/>
      <c r="AC289" s="3"/>
      <c r="AD289" s="3"/>
    </row>
    <row r="290" spans="1:30" s="7" customFormat="1" x14ac:dyDescent="0.25">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c r="AA290" s="3"/>
      <c r="AB290" s="3"/>
      <c r="AC290" s="3"/>
      <c r="AD290" s="3"/>
    </row>
    <row r="291" spans="1:30" s="7" customFormat="1" x14ac:dyDescent="0.25">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c r="AA291" s="3"/>
      <c r="AB291" s="3"/>
      <c r="AC291" s="3"/>
      <c r="AD291" s="3"/>
    </row>
    <row r="292" spans="1:30" s="7" customFormat="1" x14ac:dyDescent="0.25">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c r="AA292" s="3"/>
      <c r="AB292" s="3"/>
      <c r="AC292" s="3"/>
      <c r="AD292" s="3"/>
    </row>
    <row r="293" spans="1:30" s="7" customFormat="1" x14ac:dyDescent="0.25">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c r="AA293" s="3"/>
      <c r="AB293" s="3"/>
      <c r="AC293" s="3"/>
      <c r="AD293" s="3"/>
    </row>
    <row r="294" spans="1:30" s="7" customFormat="1" x14ac:dyDescent="0.25">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c r="AA294" s="3"/>
      <c r="AB294" s="3"/>
      <c r="AC294" s="3"/>
      <c r="AD294" s="3"/>
    </row>
    <row r="295" spans="1:30" s="7" customFormat="1" x14ac:dyDescent="0.25">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c r="AA295" s="3"/>
      <c r="AB295" s="3"/>
      <c r="AC295" s="3"/>
      <c r="AD295" s="3"/>
    </row>
    <row r="296" spans="1:30" s="7" customFormat="1" x14ac:dyDescent="0.25">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c r="AA296" s="3"/>
      <c r="AB296" s="3"/>
      <c r="AC296" s="3"/>
      <c r="AD296" s="3"/>
    </row>
    <row r="297" spans="1:30" s="7" customFormat="1" x14ac:dyDescent="0.25">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c r="AA297" s="3"/>
      <c r="AB297" s="3"/>
      <c r="AC297" s="3"/>
      <c r="AD297" s="3"/>
    </row>
    <row r="298" spans="1:30" s="7" customFormat="1" x14ac:dyDescent="0.25">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c r="AA298" s="3"/>
      <c r="AB298" s="3"/>
      <c r="AC298" s="3"/>
      <c r="AD298" s="3"/>
    </row>
    <row r="299" spans="1:30" s="7" customFormat="1" x14ac:dyDescent="0.25">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c r="AA299" s="3"/>
      <c r="AB299" s="3"/>
      <c r="AC299" s="3"/>
      <c r="AD299" s="3"/>
    </row>
    <row r="300" spans="1:30" s="7" customFormat="1" x14ac:dyDescent="0.25">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c r="AA300" s="3"/>
      <c r="AB300" s="3"/>
      <c r="AC300" s="3"/>
      <c r="AD300" s="3"/>
    </row>
    <row r="301" spans="1:30" s="7" customFormat="1" x14ac:dyDescent="0.25">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c r="AA301" s="3"/>
      <c r="AB301" s="3"/>
      <c r="AC301" s="3"/>
      <c r="AD301" s="3"/>
    </row>
    <row r="302" spans="1:30" s="7" customFormat="1" x14ac:dyDescent="0.25">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c r="AA302" s="3"/>
      <c r="AB302" s="3"/>
      <c r="AC302" s="3"/>
      <c r="AD302" s="3"/>
    </row>
    <row r="303" spans="1:30" s="7" customFormat="1" x14ac:dyDescent="0.25">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c r="AA303" s="3"/>
      <c r="AB303" s="3"/>
      <c r="AC303" s="3"/>
      <c r="AD303" s="3"/>
    </row>
    <row r="304" spans="1:30" s="7" customFormat="1" x14ac:dyDescent="0.25">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c r="AA304" s="3"/>
      <c r="AB304" s="3"/>
      <c r="AC304" s="3"/>
      <c r="AD304" s="3"/>
    </row>
    <row r="305" spans="1:30" s="7" customFormat="1" x14ac:dyDescent="0.25">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c r="AA305" s="3"/>
      <c r="AB305" s="3"/>
      <c r="AC305" s="3"/>
      <c r="AD305" s="3"/>
    </row>
    <row r="306" spans="1:30" s="7" customFormat="1" x14ac:dyDescent="0.25">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c r="AA306" s="3"/>
      <c r="AB306" s="3"/>
      <c r="AC306" s="3"/>
      <c r="AD306" s="3"/>
    </row>
    <row r="307" spans="1:30" s="7" customFormat="1" x14ac:dyDescent="0.25">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c r="AA307" s="3"/>
      <c r="AB307" s="3"/>
      <c r="AC307" s="3"/>
      <c r="AD307" s="3"/>
    </row>
    <row r="308" spans="1:30" s="7" customFormat="1" x14ac:dyDescent="0.25">
      <c r="A308" s="3"/>
      <c r="B308" s="3"/>
      <c r="C308" s="3"/>
      <c r="D308" s="3"/>
      <c r="E308" s="3"/>
      <c r="F308" s="3"/>
      <c r="G308" s="3"/>
      <c r="H308" s="3"/>
      <c r="I308" s="3"/>
      <c r="J308" s="3"/>
      <c r="K308" s="3"/>
      <c r="L308" s="3"/>
      <c r="M308" s="3"/>
      <c r="N308" s="3"/>
      <c r="O308" s="3"/>
      <c r="P308" s="3"/>
      <c r="Q308" s="3"/>
      <c r="R308" s="3"/>
      <c r="S308" s="3"/>
      <c r="T308" s="3"/>
      <c r="U308" s="3"/>
      <c r="V308" s="3"/>
      <c r="W308" s="3"/>
      <c r="X308" s="3"/>
      <c r="Y308" s="3"/>
      <c r="Z308" s="3"/>
      <c r="AA308" s="3"/>
      <c r="AB308" s="3"/>
      <c r="AC308" s="3"/>
      <c r="AD308" s="3"/>
    </row>
    <row r="309" spans="1:30" s="7" customFormat="1" x14ac:dyDescent="0.25">
      <c r="A309" s="3"/>
      <c r="B309" s="3"/>
      <c r="C309" s="3"/>
      <c r="D309" s="3"/>
      <c r="E309" s="3"/>
      <c r="F309" s="3"/>
      <c r="G309" s="3"/>
      <c r="H309" s="3"/>
      <c r="I309" s="3"/>
      <c r="J309" s="3"/>
      <c r="K309" s="3"/>
      <c r="L309" s="3"/>
      <c r="M309" s="3"/>
      <c r="N309" s="3"/>
      <c r="O309" s="3"/>
      <c r="P309" s="3"/>
      <c r="Q309" s="3"/>
      <c r="R309" s="3"/>
      <c r="S309" s="3"/>
      <c r="T309" s="3"/>
      <c r="U309" s="3"/>
      <c r="V309" s="3"/>
      <c r="W309" s="3"/>
      <c r="X309" s="3"/>
      <c r="Y309" s="3"/>
      <c r="Z309" s="3"/>
      <c r="AA309" s="3"/>
      <c r="AB309" s="3"/>
      <c r="AC309" s="3"/>
      <c r="AD309" s="3"/>
    </row>
    <row r="310" spans="1:30" s="7" customFormat="1" x14ac:dyDescent="0.25">
      <c r="A310" s="3"/>
      <c r="B310" s="3"/>
      <c r="C310" s="3"/>
      <c r="D310" s="3"/>
      <c r="E310" s="3"/>
      <c r="F310" s="3"/>
      <c r="G310" s="3"/>
      <c r="H310" s="3"/>
      <c r="I310" s="3"/>
      <c r="J310" s="3"/>
      <c r="K310" s="3"/>
      <c r="L310" s="3"/>
      <c r="M310" s="3"/>
      <c r="N310" s="3"/>
      <c r="O310" s="3"/>
      <c r="P310" s="3"/>
      <c r="Q310" s="3"/>
      <c r="R310" s="3"/>
      <c r="S310" s="3"/>
      <c r="T310" s="3"/>
      <c r="U310" s="3"/>
      <c r="V310" s="3"/>
      <c r="W310" s="3"/>
      <c r="X310" s="3"/>
      <c r="Y310" s="3"/>
      <c r="Z310" s="3"/>
      <c r="AA310" s="3"/>
      <c r="AB310" s="3"/>
      <c r="AC310" s="3"/>
      <c r="AD310" s="3"/>
    </row>
    <row r="311" spans="1:30" s="7" customFormat="1" x14ac:dyDescent="0.25">
      <c r="A311" s="3"/>
      <c r="B311" s="3"/>
      <c r="C311" s="3"/>
      <c r="D311" s="3"/>
      <c r="E311" s="3"/>
      <c r="F311" s="3"/>
      <c r="G311" s="3"/>
      <c r="H311" s="3"/>
      <c r="I311" s="3"/>
      <c r="J311" s="3"/>
      <c r="K311" s="3"/>
      <c r="L311" s="3"/>
      <c r="M311" s="3"/>
      <c r="N311" s="3"/>
      <c r="O311" s="3"/>
      <c r="P311" s="3"/>
      <c r="Q311" s="3"/>
      <c r="R311" s="3"/>
      <c r="S311" s="3"/>
      <c r="T311" s="3"/>
      <c r="U311" s="3"/>
      <c r="V311" s="3"/>
      <c r="W311" s="3"/>
      <c r="X311" s="3"/>
      <c r="Y311" s="3"/>
      <c r="Z311" s="3"/>
      <c r="AA311" s="3"/>
      <c r="AB311" s="3"/>
      <c r="AC311" s="3"/>
      <c r="AD311" s="3"/>
    </row>
    <row r="312" spans="1:30" s="7" customFormat="1" x14ac:dyDescent="0.25">
      <c r="A312" s="3"/>
      <c r="B312" s="3"/>
      <c r="C312" s="3"/>
      <c r="D312" s="3"/>
      <c r="E312" s="3"/>
      <c r="F312" s="3"/>
      <c r="G312" s="3"/>
      <c r="H312" s="3"/>
      <c r="I312" s="3"/>
      <c r="J312" s="3"/>
      <c r="K312" s="3"/>
      <c r="L312" s="3"/>
      <c r="M312" s="3"/>
      <c r="N312" s="3"/>
      <c r="O312" s="3"/>
      <c r="P312" s="3"/>
      <c r="Q312" s="3"/>
      <c r="R312" s="3"/>
      <c r="S312" s="3"/>
      <c r="T312" s="3"/>
      <c r="U312" s="3"/>
      <c r="V312" s="3"/>
      <c r="W312" s="3"/>
      <c r="X312" s="3"/>
      <c r="Y312" s="3"/>
      <c r="Z312" s="3"/>
      <c r="AA312" s="3"/>
      <c r="AB312" s="3"/>
      <c r="AC312" s="3"/>
      <c r="AD312" s="3"/>
    </row>
    <row r="313" spans="1:30" s="7" customFormat="1" x14ac:dyDescent="0.25">
      <c r="A313" s="3"/>
      <c r="B313" s="3"/>
      <c r="C313" s="3"/>
      <c r="D313" s="3"/>
      <c r="E313" s="3"/>
      <c r="F313" s="3"/>
      <c r="G313" s="3"/>
      <c r="H313" s="3"/>
      <c r="I313" s="3"/>
      <c r="J313" s="3"/>
      <c r="K313" s="3"/>
      <c r="L313" s="3"/>
      <c r="M313" s="3"/>
      <c r="N313" s="3"/>
      <c r="O313" s="3"/>
      <c r="P313" s="3"/>
      <c r="Q313" s="3"/>
      <c r="R313" s="3"/>
      <c r="S313" s="3"/>
      <c r="T313" s="3"/>
      <c r="U313" s="3"/>
      <c r="V313" s="3"/>
      <c r="W313" s="3"/>
      <c r="X313" s="3"/>
      <c r="Y313" s="3"/>
      <c r="Z313" s="3"/>
      <c r="AA313" s="3"/>
      <c r="AB313" s="3"/>
      <c r="AC313" s="3"/>
      <c r="AD313" s="3"/>
    </row>
    <row r="314" spans="1:30" s="7" customFormat="1" x14ac:dyDescent="0.25">
      <c r="A314" s="3"/>
      <c r="B314" s="3"/>
      <c r="C314" s="3"/>
      <c r="D314" s="3"/>
      <c r="E314" s="3"/>
      <c r="F314" s="3"/>
      <c r="G314" s="3"/>
      <c r="H314" s="3"/>
      <c r="I314" s="3"/>
      <c r="J314" s="3"/>
      <c r="K314" s="3"/>
      <c r="L314" s="3"/>
      <c r="M314" s="3"/>
      <c r="N314" s="3"/>
      <c r="O314" s="3"/>
      <c r="P314" s="3"/>
      <c r="Q314" s="3"/>
      <c r="R314" s="3"/>
      <c r="S314" s="3"/>
      <c r="T314" s="3"/>
      <c r="U314" s="3"/>
      <c r="V314" s="3"/>
      <c r="W314" s="3"/>
      <c r="X314" s="3"/>
      <c r="Y314" s="3"/>
      <c r="Z314" s="3"/>
      <c r="AA314" s="3"/>
      <c r="AB314" s="3"/>
      <c r="AC314" s="3"/>
      <c r="AD314" s="3"/>
    </row>
    <row r="315" spans="1:30" s="7" customFormat="1" x14ac:dyDescent="0.25">
      <c r="A315" s="3"/>
      <c r="B315" s="3"/>
      <c r="C315" s="3"/>
      <c r="D315" s="3"/>
      <c r="E315" s="3"/>
      <c r="F315" s="3"/>
      <c r="G315" s="3"/>
      <c r="H315" s="3"/>
      <c r="I315" s="3"/>
      <c r="J315" s="3"/>
      <c r="K315" s="3"/>
      <c r="L315" s="3"/>
      <c r="M315" s="3"/>
      <c r="N315" s="3"/>
      <c r="O315" s="3"/>
      <c r="P315" s="3"/>
      <c r="Q315" s="3"/>
      <c r="R315" s="3"/>
      <c r="S315" s="3"/>
      <c r="T315" s="3"/>
      <c r="U315" s="3"/>
      <c r="V315" s="3"/>
      <c r="W315" s="3"/>
      <c r="X315" s="3"/>
      <c r="Y315" s="3"/>
      <c r="Z315" s="3"/>
      <c r="AA315" s="3"/>
      <c r="AB315" s="3"/>
      <c r="AC315" s="3"/>
      <c r="AD315" s="3"/>
    </row>
    <row r="316" spans="1:30" s="7" customFormat="1" x14ac:dyDescent="0.25">
      <c r="A316" s="3"/>
      <c r="B316" s="3"/>
      <c r="C316" s="3"/>
      <c r="D316" s="3"/>
      <c r="E316" s="3"/>
      <c r="F316" s="3"/>
      <c r="G316" s="3"/>
      <c r="H316" s="3"/>
      <c r="I316" s="3"/>
      <c r="J316" s="3"/>
      <c r="K316" s="3"/>
      <c r="L316" s="3"/>
      <c r="M316" s="3"/>
      <c r="N316" s="3"/>
      <c r="O316" s="3"/>
      <c r="P316" s="3"/>
      <c r="Q316" s="3"/>
      <c r="R316" s="3"/>
      <c r="S316" s="3"/>
      <c r="T316" s="3"/>
      <c r="U316" s="3"/>
      <c r="V316" s="3"/>
      <c r="W316" s="3"/>
      <c r="X316" s="3"/>
      <c r="Y316" s="3"/>
      <c r="Z316" s="3"/>
      <c r="AA316" s="3"/>
      <c r="AB316" s="3"/>
      <c r="AC316" s="3"/>
      <c r="AD316" s="3"/>
    </row>
    <row r="317" spans="1:30" s="7" customFormat="1" x14ac:dyDescent="0.25">
      <c r="A317" s="3"/>
      <c r="B317" s="3"/>
      <c r="C317" s="3"/>
      <c r="D317" s="3"/>
      <c r="E317" s="3"/>
      <c r="F317" s="3"/>
      <c r="G317" s="3"/>
      <c r="H317" s="3"/>
      <c r="I317" s="3"/>
      <c r="J317" s="3"/>
      <c r="K317" s="3"/>
      <c r="L317" s="3"/>
      <c r="M317" s="3"/>
      <c r="N317" s="3"/>
      <c r="O317" s="3"/>
      <c r="P317" s="3"/>
      <c r="Q317" s="3"/>
      <c r="R317" s="3"/>
      <c r="S317" s="3"/>
      <c r="T317" s="3"/>
      <c r="U317" s="3"/>
      <c r="V317" s="3"/>
      <c r="W317" s="3"/>
      <c r="X317" s="3"/>
      <c r="Y317" s="3"/>
      <c r="Z317" s="3"/>
      <c r="AA317" s="3"/>
      <c r="AB317" s="3"/>
      <c r="AC317" s="3"/>
      <c r="AD317" s="3"/>
    </row>
    <row r="318" spans="1:30" s="7" customFormat="1" x14ac:dyDescent="0.25">
      <c r="A318" s="3"/>
      <c r="B318" s="3"/>
      <c r="C318" s="3"/>
      <c r="D318" s="3"/>
      <c r="E318" s="3"/>
      <c r="F318" s="3"/>
      <c r="G318" s="3"/>
      <c r="H318" s="3"/>
      <c r="I318" s="3"/>
      <c r="J318" s="3"/>
      <c r="K318" s="3"/>
      <c r="L318" s="3"/>
      <c r="M318" s="3"/>
      <c r="N318" s="3"/>
      <c r="O318" s="3"/>
      <c r="P318" s="3"/>
      <c r="Q318" s="3"/>
      <c r="R318" s="3"/>
      <c r="S318" s="3"/>
      <c r="T318" s="3"/>
      <c r="U318" s="3"/>
      <c r="V318" s="3"/>
      <c r="W318" s="3"/>
      <c r="X318" s="3"/>
      <c r="Y318" s="3"/>
      <c r="Z318" s="3"/>
      <c r="AA318" s="3"/>
      <c r="AB318" s="3"/>
      <c r="AC318" s="3"/>
      <c r="AD318" s="3"/>
    </row>
    <row r="319" spans="1:30" s="7" customFormat="1" x14ac:dyDescent="0.25">
      <c r="A319" s="3"/>
      <c r="B319" s="3"/>
      <c r="C319" s="3"/>
      <c r="D319" s="3"/>
      <c r="E319" s="3"/>
      <c r="F319" s="3"/>
      <c r="G319" s="3"/>
      <c r="H319" s="3"/>
      <c r="I319" s="3"/>
      <c r="J319" s="3"/>
      <c r="K319" s="3"/>
      <c r="L319" s="3"/>
      <c r="M319" s="3"/>
      <c r="N319" s="3"/>
      <c r="O319" s="3"/>
      <c r="P319" s="3"/>
      <c r="Q319" s="3"/>
      <c r="R319" s="3"/>
      <c r="S319" s="3"/>
      <c r="T319" s="3"/>
      <c r="U319" s="3"/>
      <c r="V319" s="3"/>
      <c r="W319" s="3"/>
      <c r="X319" s="3"/>
      <c r="Y319" s="3"/>
      <c r="Z319" s="3"/>
      <c r="AA319" s="3"/>
      <c r="AB319" s="3"/>
      <c r="AC319" s="3"/>
      <c r="AD319" s="3"/>
    </row>
    <row r="320" spans="1:30" s="7" customFormat="1" x14ac:dyDescent="0.25">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c r="AA320" s="3"/>
      <c r="AB320" s="3"/>
      <c r="AC320" s="3"/>
      <c r="AD320" s="3"/>
    </row>
    <row r="321" spans="1:30" s="7" customFormat="1" x14ac:dyDescent="0.25">
      <c r="A321" s="3"/>
      <c r="B321" s="3"/>
      <c r="C321" s="3"/>
      <c r="D321" s="3"/>
      <c r="E321" s="3"/>
      <c r="F321" s="3"/>
      <c r="G321" s="3"/>
      <c r="H321" s="3"/>
      <c r="I321" s="3"/>
      <c r="J321" s="3"/>
      <c r="K321" s="3"/>
      <c r="L321" s="3"/>
      <c r="M321" s="3"/>
      <c r="N321" s="3"/>
      <c r="O321" s="3"/>
      <c r="P321" s="3"/>
      <c r="Q321" s="3"/>
      <c r="R321" s="3"/>
      <c r="S321" s="3"/>
      <c r="T321" s="3"/>
      <c r="U321" s="3"/>
      <c r="V321" s="3"/>
      <c r="W321" s="3"/>
      <c r="X321" s="3"/>
      <c r="Y321" s="3"/>
      <c r="Z321" s="3"/>
      <c r="AA321" s="3"/>
      <c r="AB321" s="3"/>
      <c r="AC321" s="3"/>
      <c r="AD321" s="3"/>
    </row>
    <row r="322" spans="1:30" s="7" customFormat="1" x14ac:dyDescent="0.25">
      <c r="A322" s="3"/>
      <c r="B322" s="3"/>
      <c r="C322" s="3"/>
      <c r="D322" s="3"/>
      <c r="E322" s="3"/>
      <c r="F322" s="3"/>
      <c r="G322" s="3"/>
      <c r="H322" s="3"/>
      <c r="I322" s="3"/>
      <c r="J322" s="3"/>
      <c r="K322" s="3"/>
      <c r="L322" s="3"/>
      <c r="M322" s="3"/>
      <c r="N322" s="3"/>
      <c r="O322" s="3"/>
      <c r="P322" s="3"/>
      <c r="Q322" s="3"/>
      <c r="R322" s="3"/>
      <c r="S322" s="3"/>
      <c r="T322" s="3"/>
      <c r="U322" s="3"/>
      <c r="V322" s="3"/>
      <c r="W322" s="3"/>
      <c r="X322" s="3"/>
      <c r="Y322" s="3"/>
      <c r="Z322" s="3"/>
      <c r="AA322" s="3"/>
      <c r="AB322" s="3"/>
      <c r="AC322" s="3"/>
      <c r="AD322" s="3"/>
    </row>
    <row r="323" spans="1:30" s="7" customFormat="1" x14ac:dyDescent="0.25">
      <c r="A323" s="3"/>
      <c r="B323" s="3"/>
      <c r="C323" s="3"/>
      <c r="D323" s="3"/>
      <c r="E323" s="3"/>
      <c r="F323" s="3"/>
      <c r="G323" s="3"/>
      <c r="H323" s="3"/>
      <c r="I323" s="3"/>
      <c r="J323" s="3"/>
      <c r="K323" s="3"/>
      <c r="L323" s="3"/>
      <c r="M323" s="3"/>
      <c r="N323" s="3"/>
      <c r="O323" s="3"/>
      <c r="P323" s="3"/>
      <c r="Q323" s="3"/>
      <c r="R323" s="3"/>
      <c r="S323" s="3"/>
      <c r="T323" s="3"/>
      <c r="U323" s="3"/>
      <c r="V323" s="3"/>
      <c r="W323" s="3"/>
      <c r="X323" s="3"/>
      <c r="Y323" s="3"/>
      <c r="Z323" s="3"/>
      <c r="AA323" s="3"/>
      <c r="AB323" s="3"/>
      <c r="AC323" s="3"/>
      <c r="AD323" s="3"/>
    </row>
    <row r="324" spans="1:30" s="7" customFormat="1" x14ac:dyDescent="0.25">
      <c r="A324" s="3"/>
      <c r="B324" s="3"/>
      <c r="C324" s="3"/>
      <c r="D324" s="3"/>
      <c r="E324" s="3"/>
      <c r="F324" s="3"/>
      <c r="G324" s="3"/>
      <c r="H324" s="3"/>
      <c r="I324" s="3"/>
      <c r="J324" s="3"/>
      <c r="K324" s="3"/>
      <c r="L324" s="3"/>
      <c r="M324" s="3"/>
      <c r="N324" s="3"/>
      <c r="O324" s="3"/>
      <c r="P324" s="3"/>
      <c r="Q324" s="3"/>
      <c r="R324" s="3"/>
      <c r="S324" s="3"/>
      <c r="T324" s="3"/>
      <c r="U324" s="3"/>
      <c r="V324" s="3"/>
      <c r="W324" s="3"/>
      <c r="X324" s="3"/>
      <c r="Y324" s="3"/>
      <c r="Z324" s="3"/>
      <c r="AA324" s="3"/>
      <c r="AB324" s="3"/>
      <c r="AC324" s="3"/>
      <c r="AD324" s="3"/>
    </row>
    <row r="325" spans="1:30" s="7" customFormat="1" x14ac:dyDescent="0.25">
      <c r="A325" s="3"/>
      <c r="B325" s="3"/>
      <c r="C325" s="3"/>
      <c r="D325" s="3"/>
      <c r="E325" s="3"/>
      <c r="F325" s="3"/>
      <c r="G325" s="3"/>
      <c r="H325" s="3"/>
      <c r="I325" s="3"/>
      <c r="J325" s="3"/>
      <c r="K325" s="3"/>
      <c r="L325" s="3"/>
      <c r="M325" s="3"/>
      <c r="N325" s="3"/>
      <c r="O325" s="3"/>
      <c r="P325" s="3"/>
      <c r="Q325" s="3"/>
      <c r="R325" s="3"/>
      <c r="S325" s="3"/>
      <c r="T325" s="3"/>
      <c r="U325" s="3"/>
      <c r="V325" s="3"/>
      <c r="W325" s="3"/>
      <c r="X325" s="3"/>
      <c r="Y325" s="3"/>
      <c r="Z325" s="3"/>
      <c r="AA325" s="3"/>
      <c r="AB325" s="3"/>
      <c r="AC325" s="3"/>
      <c r="AD325" s="3"/>
    </row>
    <row r="326" spans="1:30" s="7" customFormat="1" x14ac:dyDescent="0.25">
      <c r="A326" s="3"/>
      <c r="B326" s="3"/>
      <c r="C326" s="3"/>
      <c r="D326" s="3"/>
      <c r="E326" s="3"/>
      <c r="F326" s="3"/>
      <c r="G326" s="3"/>
      <c r="H326" s="3"/>
      <c r="I326" s="3"/>
      <c r="J326" s="3"/>
      <c r="K326" s="3"/>
      <c r="L326" s="3"/>
      <c r="M326" s="3"/>
      <c r="N326" s="3"/>
      <c r="O326" s="3"/>
      <c r="P326" s="3"/>
      <c r="Q326" s="3"/>
      <c r="R326" s="3"/>
      <c r="S326" s="3"/>
      <c r="T326" s="3"/>
      <c r="U326" s="3"/>
      <c r="V326" s="3"/>
      <c r="W326" s="3"/>
      <c r="X326" s="3"/>
      <c r="Y326" s="3"/>
      <c r="Z326" s="3"/>
      <c r="AA326" s="3"/>
      <c r="AB326" s="3"/>
      <c r="AC326" s="3"/>
      <c r="AD326" s="3"/>
    </row>
    <row r="327" spans="1:30" s="7" customFormat="1" x14ac:dyDescent="0.25">
      <c r="A327" s="3"/>
      <c r="B327" s="3"/>
      <c r="C327" s="3"/>
      <c r="D327" s="3"/>
      <c r="E327" s="3"/>
      <c r="F327" s="3"/>
      <c r="G327" s="3"/>
      <c r="H327" s="3"/>
      <c r="I327" s="3"/>
      <c r="J327" s="3"/>
      <c r="K327" s="3"/>
      <c r="L327" s="3"/>
      <c r="M327" s="3"/>
      <c r="N327" s="3"/>
      <c r="O327" s="3"/>
      <c r="P327" s="3"/>
      <c r="Q327" s="3"/>
      <c r="R327" s="3"/>
      <c r="S327" s="3"/>
      <c r="T327" s="3"/>
      <c r="U327" s="3"/>
      <c r="V327" s="3"/>
      <c r="W327" s="3"/>
      <c r="X327" s="3"/>
      <c r="Y327" s="3"/>
      <c r="Z327" s="3"/>
      <c r="AA327" s="3"/>
      <c r="AB327" s="3"/>
      <c r="AC327" s="3"/>
      <c r="AD327" s="3"/>
    </row>
    <row r="328" spans="1:30" s="7" customFormat="1" x14ac:dyDescent="0.25">
      <c r="A328" s="3"/>
      <c r="B328" s="3"/>
      <c r="C328" s="3"/>
      <c r="D328" s="3"/>
      <c r="E328" s="3"/>
      <c r="F328" s="3"/>
      <c r="G328" s="3"/>
      <c r="H328" s="3"/>
      <c r="I328" s="3"/>
      <c r="J328" s="3"/>
      <c r="K328" s="3"/>
      <c r="L328" s="3"/>
      <c r="M328" s="3"/>
      <c r="N328" s="3"/>
      <c r="O328" s="3"/>
      <c r="P328" s="3"/>
      <c r="Q328" s="3"/>
      <c r="R328" s="3"/>
      <c r="S328" s="3"/>
      <c r="T328" s="3"/>
      <c r="U328" s="3"/>
      <c r="V328" s="3"/>
      <c r="W328" s="3"/>
      <c r="X328" s="3"/>
      <c r="Y328" s="3"/>
      <c r="Z328" s="3"/>
      <c r="AA328" s="3"/>
      <c r="AB328" s="3"/>
      <c r="AC328" s="3"/>
      <c r="AD328" s="3"/>
    </row>
    <row r="329" spans="1:30" s="7" customFormat="1" x14ac:dyDescent="0.25">
      <c r="A329" s="3"/>
      <c r="B329" s="3"/>
      <c r="C329" s="3"/>
      <c r="D329" s="3"/>
      <c r="E329" s="3"/>
      <c r="F329" s="3"/>
      <c r="G329" s="3"/>
      <c r="H329" s="3"/>
      <c r="I329" s="3"/>
      <c r="J329" s="3"/>
      <c r="K329" s="3"/>
      <c r="L329" s="3"/>
      <c r="M329" s="3"/>
      <c r="N329" s="3"/>
      <c r="O329" s="3"/>
      <c r="P329" s="3"/>
      <c r="Q329" s="3"/>
      <c r="R329" s="3"/>
      <c r="S329" s="3"/>
      <c r="T329" s="3"/>
      <c r="U329" s="3"/>
      <c r="V329" s="3"/>
      <c r="W329" s="3"/>
      <c r="X329" s="3"/>
      <c r="Y329" s="3"/>
      <c r="Z329" s="3"/>
      <c r="AA329" s="3"/>
      <c r="AB329" s="3"/>
      <c r="AC329" s="3"/>
      <c r="AD329" s="3"/>
    </row>
    <row r="330" spans="1:30" s="7" customFormat="1" x14ac:dyDescent="0.25">
      <c r="A330" s="3"/>
      <c r="B330" s="3"/>
      <c r="C330" s="3"/>
      <c r="D330" s="3"/>
      <c r="E330" s="3"/>
      <c r="F330" s="3"/>
      <c r="G330" s="3"/>
      <c r="H330" s="3"/>
      <c r="I330" s="3"/>
      <c r="J330" s="3"/>
      <c r="K330" s="3"/>
      <c r="L330" s="3"/>
      <c r="M330" s="3"/>
      <c r="N330" s="3"/>
      <c r="O330" s="3"/>
      <c r="P330" s="3"/>
      <c r="Q330" s="3"/>
      <c r="R330" s="3"/>
      <c r="S330" s="3"/>
      <c r="T330" s="3"/>
      <c r="U330" s="3"/>
      <c r="V330" s="3"/>
      <c r="W330" s="3"/>
      <c r="X330" s="3"/>
      <c r="Y330" s="3"/>
      <c r="Z330" s="3"/>
      <c r="AA330" s="3"/>
      <c r="AB330" s="3"/>
      <c r="AC330" s="3"/>
      <c r="AD330" s="3"/>
    </row>
    <row r="331" spans="1:30" s="7" customFormat="1" x14ac:dyDescent="0.25">
      <c r="A331" s="3"/>
      <c r="B331" s="3"/>
      <c r="C331" s="3"/>
      <c r="D331" s="3"/>
      <c r="E331" s="3"/>
      <c r="F331" s="3"/>
      <c r="G331" s="3"/>
      <c r="H331" s="3"/>
      <c r="I331" s="3"/>
      <c r="J331" s="3"/>
      <c r="K331" s="3"/>
      <c r="L331" s="3"/>
      <c r="M331" s="3"/>
      <c r="N331" s="3"/>
      <c r="O331" s="3"/>
      <c r="P331" s="3"/>
      <c r="Q331" s="3"/>
      <c r="R331" s="3"/>
      <c r="S331" s="3"/>
      <c r="T331" s="3"/>
      <c r="U331" s="3"/>
      <c r="V331" s="3"/>
      <c r="W331" s="3"/>
      <c r="X331" s="3"/>
      <c r="Y331" s="3"/>
      <c r="Z331" s="3"/>
      <c r="AA331" s="3"/>
      <c r="AB331" s="3"/>
      <c r="AC331" s="3"/>
      <c r="AD331" s="3"/>
    </row>
    <row r="332" spans="1:30" s="7" customFormat="1" x14ac:dyDescent="0.25">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c r="AA332" s="3"/>
      <c r="AB332" s="3"/>
      <c r="AC332" s="3"/>
      <c r="AD332" s="3"/>
    </row>
    <row r="333" spans="1:30" s="7" customFormat="1" x14ac:dyDescent="0.25">
      <c r="A333" s="3"/>
      <c r="B333" s="3"/>
      <c r="C333" s="3"/>
      <c r="D333" s="3"/>
      <c r="E333" s="3"/>
      <c r="F333" s="3"/>
      <c r="G333" s="3"/>
      <c r="H333" s="3"/>
      <c r="I333" s="3"/>
      <c r="J333" s="3"/>
      <c r="K333" s="3"/>
      <c r="L333" s="3"/>
      <c r="M333" s="3"/>
      <c r="N333" s="3"/>
      <c r="O333" s="3"/>
      <c r="P333" s="3"/>
      <c r="Q333" s="3"/>
      <c r="R333" s="3"/>
      <c r="S333" s="3"/>
      <c r="T333" s="3"/>
      <c r="U333" s="3"/>
      <c r="V333" s="3"/>
      <c r="W333" s="3"/>
      <c r="X333" s="3"/>
      <c r="Y333" s="3"/>
      <c r="Z333" s="3"/>
      <c r="AA333" s="3"/>
      <c r="AB333" s="3"/>
      <c r="AC333" s="3"/>
      <c r="AD333" s="3"/>
    </row>
    <row r="334" spans="1:30" s="7" customFormat="1" x14ac:dyDescent="0.25">
      <c r="A334" s="3"/>
      <c r="B334" s="3"/>
      <c r="C334" s="3"/>
      <c r="D334" s="3"/>
      <c r="E334" s="3"/>
      <c r="F334" s="3"/>
      <c r="G334" s="3"/>
      <c r="H334" s="3"/>
      <c r="I334" s="3"/>
      <c r="J334" s="3"/>
      <c r="K334" s="3"/>
      <c r="L334" s="3"/>
      <c r="M334" s="3"/>
      <c r="N334" s="3"/>
      <c r="O334" s="3"/>
      <c r="P334" s="3"/>
      <c r="Q334" s="3"/>
      <c r="R334" s="3"/>
      <c r="S334" s="3"/>
      <c r="T334" s="3"/>
      <c r="U334" s="3"/>
      <c r="V334" s="3"/>
      <c r="W334" s="3"/>
      <c r="X334" s="3"/>
      <c r="Y334" s="3"/>
      <c r="Z334" s="3"/>
      <c r="AA334" s="3"/>
      <c r="AB334" s="3"/>
      <c r="AC334" s="3"/>
      <c r="AD334" s="3"/>
    </row>
    <row r="335" spans="1:30" s="7" customFormat="1" x14ac:dyDescent="0.25">
      <c r="A335" s="3"/>
      <c r="B335" s="3"/>
      <c r="C335" s="3"/>
      <c r="D335" s="3"/>
      <c r="E335" s="3"/>
      <c r="F335" s="3"/>
      <c r="G335" s="3"/>
      <c r="H335" s="3"/>
      <c r="I335" s="3"/>
      <c r="J335" s="3"/>
      <c r="K335" s="3"/>
      <c r="L335" s="3"/>
      <c r="M335" s="3"/>
      <c r="N335" s="3"/>
      <c r="O335" s="3"/>
      <c r="P335" s="3"/>
      <c r="Q335" s="3"/>
      <c r="R335" s="3"/>
      <c r="S335" s="3"/>
      <c r="T335" s="3"/>
      <c r="U335" s="3"/>
      <c r="V335" s="3"/>
      <c r="W335" s="3"/>
      <c r="X335" s="3"/>
      <c r="Y335" s="3"/>
      <c r="Z335" s="3"/>
      <c r="AA335" s="3"/>
      <c r="AB335" s="3"/>
      <c r="AC335" s="3"/>
      <c r="AD335" s="3"/>
    </row>
    <row r="336" spans="1:30" s="7" customFormat="1" x14ac:dyDescent="0.25">
      <c r="A336" s="3"/>
      <c r="B336" s="3"/>
      <c r="C336" s="3"/>
      <c r="D336" s="3"/>
      <c r="E336" s="3"/>
      <c r="F336" s="3"/>
      <c r="G336" s="3"/>
      <c r="H336" s="3"/>
      <c r="I336" s="3"/>
      <c r="J336" s="3"/>
      <c r="K336" s="3"/>
      <c r="L336" s="3"/>
      <c r="M336" s="3"/>
      <c r="N336" s="3"/>
      <c r="O336" s="3"/>
      <c r="P336" s="3"/>
      <c r="Q336" s="3"/>
      <c r="R336" s="3"/>
      <c r="S336" s="3"/>
      <c r="T336" s="3"/>
      <c r="U336" s="3"/>
      <c r="V336" s="3"/>
      <c r="W336" s="3"/>
      <c r="X336" s="3"/>
      <c r="Y336" s="3"/>
      <c r="Z336" s="3"/>
      <c r="AA336" s="3"/>
      <c r="AB336" s="3"/>
      <c r="AC336" s="3"/>
      <c r="AD336" s="3"/>
    </row>
    <row r="337" spans="1:30" s="7" customFormat="1" x14ac:dyDescent="0.25">
      <c r="A337" s="3"/>
      <c r="B337" s="3"/>
      <c r="C337" s="3"/>
      <c r="D337" s="3"/>
      <c r="E337" s="3"/>
      <c r="F337" s="3"/>
      <c r="G337" s="3"/>
      <c r="H337" s="3"/>
      <c r="I337" s="3"/>
      <c r="J337" s="3"/>
      <c r="K337" s="3"/>
      <c r="L337" s="3"/>
      <c r="M337" s="3"/>
      <c r="N337" s="3"/>
      <c r="O337" s="3"/>
      <c r="P337" s="3"/>
      <c r="Q337" s="3"/>
      <c r="R337" s="3"/>
      <c r="S337" s="3"/>
      <c r="T337" s="3"/>
      <c r="U337" s="3"/>
      <c r="V337" s="3"/>
      <c r="W337" s="3"/>
      <c r="X337" s="3"/>
      <c r="Y337" s="3"/>
      <c r="Z337" s="3"/>
      <c r="AA337" s="3"/>
      <c r="AB337" s="3"/>
      <c r="AC337" s="3"/>
      <c r="AD337" s="3"/>
    </row>
    <row r="338" spans="1:30" s="7" customFormat="1" x14ac:dyDescent="0.25">
      <c r="A338" s="3"/>
      <c r="B338" s="3"/>
      <c r="C338" s="3"/>
      <c r="D338" s="3"/>
      <c r="E338" s="3"/>
      <c r="F338" s="3"/>
      <c r="G338" s="3"/>
      <c r="H338" s="3"/>
      <c r="I338" s="3"/>
      <c r="J338" s="3"/>
      <c r="K338" s="3"/>
      <c r="L338" s="3"/>
      <c r="M338" s="3"/>
      <c r="N338" s="3"/>
      <c r="O338" s="3"/>
      <c r="P338" s="3"/>
      <c r="Q338" s="3"/>
      <c r="R338" s="3"/>
      <c r="S338" s="3"/>
      <c r="T338" s="3"/>
      <c r="U338" s="3"/>
      <c r="V338" s="3"/>
      <c r="W338" s="3"/>
      <c r="X338" s="3"/>
      <c r="Y338" s="3"/>
      <c r="Z338" s="3"/>
      <c r="AA338" s="3"/>
      <c r="AB338" s="3"/>
      <c r="AC338" s="3"/>
      <c r="AD338" s="3"/>
    </row>
    <row r="339" spans="1:30" s="7" customFormat="1" x14ac:dyDescent="0.25">
      <c r="A339" s="3"/>
      <c r="B339" s="3"/>
      <c r="C339" s="3"/>
      <c r="D339" s="3"/>
      <c r="E339" s="3"/>
      <c r="F339" s="3"/>
      <c r="G339" s="3"/>
      <c r="H339" s="3"/>
      <c r="I339" s="3"/>
      <c r="J339" s="3"/>
      <c r="K339" s="3"/>
      <c r="L339" s="3"/>
      <c r="M339" s="3"/>
      <c r="N339" s="3"/>
      <c r="O339" s="3"/>
      <c r="P339" s="3"/>
      <c r="Q339" s="3"/>
      <c r="R339" s="3"/>
      <c r="S339" s="3"/>
      <c r="T339" s="3"/>
      <c r="U339" s="3"/>
      <c r="V339" s="3"/>
      <c r="W339" s="3"/>
      <c r="X339" s="3"/>
      <c r="Y339" s="3"/>
      <c r="Z339" s="3"/>
      <c r="AA339" s="3"/>
      <c r="AB339" s="3"/>
      <c r="AC339" s="3"/>
      <c r="AD339" s="3"/>
    </row>
    <row r="340" spans="1:30" s="7" customFormat="1" x14ac:dyDescent="0.25">
      <c r="A340" s="3"/>
      <c r="B340" s="3"/>
      <c r="C340" s="3"/>
      <c r="D340" s="3"/>
      <c r="E340" s="3"/>
      <c r="F340" s="3"/>
      <c r="G340" s="3"/>
      <c r="H340" s="3"/>
      <c r="I340" s="3"/>
      <c r="J340" s="3"/>
      <c r="K340" s="3"/>
      <c r="L340" s="3"/>
      <c r="M340" s="3"/>
      <c r="N340" s="3"/>
      <c r="O340" s="3"/>
      <c r="P340" s="3"/>
      <c r="Q340" s="3"/>
      <c r="R340" s="3"/>
      <c r="S340" s="3"/>
      <c r="T340" s="3"/>
      <c r="U340" s="3"/>
      <c r="V340" s="3"/>
      <c r="W340" s="3"/>
      <c r="X340" s="3"/>
      <c r="Y340" s="3"/>
      <c r="Z340" s="3"/>
      <c r="AA340" s="3"/>
      <c r="AB340" s="3"/>
      <c r="AC340" s="3"/>
      <c r="AD340" s="3"/>
    </row>
    <row r="341" spans="1:30" s="7" customFormat="1" x14ac:dyDescent="0.25">
      <c r="A341" s="3"/>
      <c r="B341" s="3"/>
      <c r="C341" s="3"/>
      <c r="D341" s="3"/>
      <c r="E341" s="3"/>
      <c r="F341" s="3"/>
      <c r="G341" s="3"/>
      <c r="H341" s="3"/>
      <c r="I341" s="3"/>
      <c r="J341" s="3"/>
      <c r="K341" s="3"/>
      <c r="L341" s="3"/>
      <c r="M341" s="3"/>
      <c r="N341" s="3"/>
      <c r="O341" s="3"/>
      <c r="P341" s="3"/>
      <c r="Q341" s="3"/>
      <c r="R341" s="3"/>
      <c r="S341" s="3"/>
      <c r="T341" s="3"/>
      <c r="U341" s="3"/>
      <c r="V341" s="3"/>
      <c r="W341" s="3"/>
      <c r="X341" s="3"/>
      <c r="Y341" s="3"/>
      <c r="Z341" s="3"/>
      <c r="AA341" s="3"/>
      <c r="AB341" s="3"/>
      <c r="AC341" s="3"/>
      <c r="AD341" s="3"/>
    </row>
    <row r="342" spans="1:30" s="7" customFormat="1" x14ac:dyDescent="0.25">
      <c r="A342" s="3"/>
      <c r="B342" s="3"/>
      <c r="C342" s="3"/>
      <c r="D342" s="3"/>
      <c r="E342" s="3"/>
      <c r="F342" s="3"/>
      <c r="G342" s="3"/>
      <c r="H342" s="3"/>
      <c r="I342" s="3"/>
      <c r="J342" s="3"/>
      <c r="K342" s="3"/>
      <c r="L342" s="3"/>
      <c r="M342" s="3"/>
      <c r="N342" s="3"/>
      <c r="O342" s="3"/>
      <c r="P342" s="3"/>
      <c r="Q342" s="3"/>
      <c r="R342" s="3"/>
      <c r="S342" s="3"/>
      <c r="T342" s="3"/>
      <c r="U342" s="3"/>
      <c r="V342" s="3"/>
      <c r="W342" s="3"/>
      <c r="X342" s="3"/>
      <c r="Y342" s="3"/>
      <c r="Z342" s="3"/>
      <c r="AA342" s="3"/>
      <c r="AB342" s="3"/>
      <c r="AC342" s="3"/>
      <c r="AD342" s="3"/>
    </row>
    <row r="343" spans="1:30" s="7" customFormat="1" x14ac:dyDescent="0.25">
      <c r="A343" s="3"/>
      <c r="B343" s="3"/>
      <c r="C343" s="3"/>
      <c r="D343" s="3"/>
      <c r="E343" s="3"/>
      <c r="F343" s="3"/>
      <c r="G343" s="3"/>
      <c r="H343" s="3"/>
      <c r="I343" s="3"/>
      <c r="J343" s="3"/>
      <c r="K343" s="3"/>
      <c r="L343" s="3"/>
      <c r="M343" s="3"/>
      <c r="N343" s="3"/>
      <c r="O343" s="3"/>
      <c r="P343" s="3"/>
      <c r="Q343" s="3"/>
      <c r="R343" s="3"/>
      <c r="S343" s="3"/>
      <c r="T343" s="3"/>
      <c r="U343" s="3"/>
      <c r="V343" s="3"/>
      <c r="W343" s="3"/>
      <c r="X343" s="3"/>
      <c r="Y343" s="3"/>
      <c r="Z343" s="3"/>
      <c r="AA343" s="3"/>
      <c r="AB343" s="3"/>
      <c r="AC343" s="3"/>
      <c r="AD343" s="3"/>
    </row>
    <row r="344" spans="1:30" s="7" customFormat="1" x14ac:dyDescent="0.25">
      <c r="A344" s="3"/>
      <c r="B344" s="3"/>
      <c r="C344" s="3"/>
      <c r="D344" s="3"/>
      <c r="E344" s="3"/>
      <c r="F344" s="3"/>
      <c r="G344" s="3"/>
      <c r="H344" s="3"/>
      <c r="I344" s="3"/>
      <c r="J344" s="3"/>
      <c r="K344" s="3"/>
      <c r="L344" s="3"/>
      <c r="M344" s="3"/>
      <c r="N344" s="3"/>
      <c r="O344" s="3"/>
      <c r="P344" s="3"/>
      <c r="Q344" s="3"/>
      <c r="R344" s="3"/>
      <c r="S344" s="3"/>
      <c r="T344" s="3"/>
      <c r="U344" s="3"/>
      <c r="V344" s="3"/>
      <c r="W344" s="3"/>
      <c r="X344" s="3"/>
      <c r="Y344" s="3"/>
      <c r="Z344" s="3"/>
      <c r="AA344" s="3"/>
      <c r="AB344" s="3"/>
      <c r="AC344" s="3"/>
      <c r="AD344" s="3"/>
    </row>
    <row r="345" spans="1:30" s="7" customFormat="1" x14ac:dyDescent="0.25">
      <c r="A345" s="3"/>
      <c r="B345" s="3"/>
      <c r="C345" s="3"/>
      <c r="D345" s="3"/>
      <c r="E345" s="3"/>
      <c r="F345" s="3"/>
      <c r="G345" s="3"/>
      <c r="H345" s="3"/>
      <c r="I345" s="3"/>
      <c r="J345" s="3"/>
      <c r="K345" s="3"/>
      <c r="L345" s="3"/>
      <c r="M345" s="3"/>
      <c r="N345" s="3"/>
      <c r="O345" s="3"/>
      <c r="P345" s="3"/>
      <c r="Q345" s="3"/>
      <c r="R345" s="3"/>
      <c r="S345" s="3"/>
      <c r="T345" s="3"/>
      <c r="U345" s="3"/>
      <c r="V345" s="3"/>
      <c r="W345" s="3"/>
      <c r="X345" s="3"/>
      <c r="Y345" s="3"/>
      <c r="Z345" s="3"/>
      <c r="AA345" s="3"/>
      <c r="AB345" s="3"/>
      <c r="AC345" s="3"/>
      <c r="AD345" s="3"/>
    </row>
    <row r="346" spans="1:30" s="7" customFormat="1" x14ac:dyDescent="0.25">
      <c r="A346" s="3"/>
      <c r="B346" s="3"/>
      <c r="C346" s="3"/>
      <c r="D346" s="3"/>
      <c r="E346" s="3"/>
      <c r="F346" s="3"/>
      <c r="G346" s="3"/>
      <c r="H346" s="3"/>
      <c r="I346" s="3"/>
      <c r="J346" s="3"/>
      <c r="K346" s="3"/>
      <c r="L346" s="3"/>
      <c r="M346" s="3"/>
      <c r="N346" s="3"/>
      <c r="O346" s="3"/>
      <c r="P346" s="3"/>
      <c r="Q346" s="3"/>
      <c r="R346" s="3"/>
      <c r="S346" s="3"/>
      <c r="T346" s="3"/>
      <c r="U346" s="3"/>
      <c r="V346" s="3"/>
      <c r="W346" s="3"/>
      <c r="X346" s="3"/>
      <c r="Y346" s="3"/>
      <c r="Z346" s="3"/>
      <c r="AA346" s="3"/>
      <c r="AB346" s="3"/>
      <c r="AC346" s="3"/>
      <c r="AD346" s="3"/>
    </row>
    <row r="347" spans="1:30" s="7" customFormat="1" x14ac:dyDescent="0.25">
      <c r="A347" s="3"/>
      <c r="B347" s="3"/>
      <c r="C347" s="3"/>
      <c r="D347" s="3"/>
      <c r="E347" s="3"/>
      <c r="F347" s="3"/>
      <c r="G347" s="3"/>
      <c r="H347" s="3"/>
      <c r="I347" s="3"/>
      <c r="J347" s="3"/>
      <c r="K347" s="3"/>
      <c r="L347" s="3"/>
      <c r="M347" s="3"/>
      <c r="N347" s="3"/>
      <c r="O347" s="3"/>
      <c r="P347" s="3"/>
      <c r="Q347" s="3"/>
      <c r="R347" s="3"/>
      <c r="S347" s="3"/>
      <c r="T347" s="3"/>
      <c r="U347" s="3"/>
      <c r="V347" s="3"/>
      <c r="W347" s="3"/>
      <c r="X347" s="3"/>
      <c r="Y347" s="3"/>
      <c r="Z347" s="3"/>
      <c r="AA347" s="3"/>
      <c r="AB347" s="3"/>
      <c r="AC347" s="3"/>
      <c r="AD347" s="3"/>
    </row>
    <row r="348" spans="1:30" s="7" customFormat="1" x14ac:dyDescent="0.25">
      <c r="A348" s="3"/>
      <c r="B348" s="3"/>
      <c r="C348" s="3"/>
      <c r="D348" s="3"/>
      <c r="E348" s="3"/>
      <c r="F348" s="3"/>
      <c r="G348" s="3"/>
      <c r="H348" s="3"/>
      <c r="I348" s="3"/>
      <c r="J348" s="3"/>
      <c r="K348" s="3"/>
      <c r="L348" s="3"/>
      <c r="M348" s="3"/>
      <c r="N348" s="3"/>
      <c r="O348" s="3"/>
      <c r="P348" s="3"/>
      <c r="Q348" s="3"/>
      <c r="R348" s="3"/>
      <c r="S348" s="3"/>
      <c r="T348" s="3"/>
      <c r="U348" s="3"/>
      <c r="V348" s="3"/>
      <c r="W348" s="3"/>
      <c r="X348" s="3"/>
      <c r="Y348" s="3"/>
      <c r="Z348" s="3"/>
      <c r="AA348" s="3"/>
      <c r="AB348" s="3"/>
      <c r="AC348" s="3"/>
      <c r="AD348" s="3"/>
    </row>
    <row r="349" spans="1:30" s="7" customFormat="1" x14ac:dyDescent="0.25">
      <c r="A349" s="3"/>
      <c r="B349" s="3"/>
      <c r="C349" s="3"/>
      <c r="D349" s="3"/>
      <c r="E349" s="3"/>
      <c r="F349" s="3"/>
      <c r="G349" s="3"/>
      <c r="H349" s="3"/>
      <c r="I349" s="3"/>
      <c r="J349" s="3"/>
      <c r="K349" s="3"/>
      <c r="L349" s="3"/>
      <c r="M349" s="3"/>
      <c r="N349" s="3"/>
      <c r="O349" s="3"/>
      <c r="P349" s="3"/>
      <c r="Q349" s="3"/>
      <c r="R349" s="3"/>
      <c r="S349" s="3"/>
      <c r="T349" s="3"/>
      <c r="U349" s="3"/>
      <c r="V349" s="3"/>
      <c r="W349" s="3"/>
      <c r="X349" s="3"/>
      <c r="Y349" s="3"/>
      <c r="Z349" s="3"/>
      <c r="AA349" s="3"/>
      <c r="AB349" s="3"/>
      <c r="AC349" s="3"/>
      <c r="AD349" s="3"/>
    </row>
    <row r="350" spans="1:30" s="7" customFormat="1" x14ac:dyDescent="0.25">
      <c r="A350" s="3"/>
      <c r="B350" s="3"/>
      <c r="C350" s="3"/>
      <c r="D350" s="3"/>
      <c r="E350" s="3"/>
      <c r="F350" s="3"/>
      <c r="G350" s="3"/>
      <c r="H350" s="3"/>
      <c r="I350" s="3"/>
      <c r="J350" s="3"/>
      <c r="K350" s="3"/>
      <c r="L350" s="3"/>
      <c r="M350" s="3"/>
      <c r="N350" s="3"/>
      <c r="O350" s="3"/>
      <c r="P350" s="3"/>
      <c r="Q350" s="3"/>
      <c r="R350" s="3"/>
      <c r="S350" s="3"/>
      <c r="T350" s="3"/>
      <c r="U350" s="3"/>
      <c r="V350" s="3"/>
      <c r="W350" s="3"/>
      <c r="X350" s="3"/>
      <c r="Y350" s="3"/>
      <c r="Z350" s="3"/>
      <c r="AA350" s="3"/>
      <c r="AB350" s="3"/>
      <c r="AC350" s="3"/>
      <c r="AD350" s="3"/>
    </row>
    <row r="351" spans="1:30" s="7" customFormat="1" x14ac:dyDescent="0.25">
      <c r="A351" s="3"/>
      <c r="B351" s="3"/>
      <c r="C351" s="3"/>
      <c r="D351" s="3"/>
      <c r="E351" s="3"/>
      <c r="F351" s="3"/>
      <c r="G351" s="3"/>
      <c r="H351" s="3"/>
      <c r="I351" s="3"/>
      <c r="J351" s="3"/>
      <c r="K351" s="3"/>
      <c r="L351" s="3"/>
      <c r="M351" s="3"/>
      <c r="N351" s="3"/>
      <c r="O351" s="3"/>
      <c r="P351" s="3"/>
      <c r="Q351" s="3"/>
      <c r="R351" s="3"/>
      <c r="S351" s="3"/>
      <c r="T351" s="3"/>
      <c r="U351" s="3"/>
      <c r="V351" s="3"/>
      <c r="W351" s="3"/>
      <c r="X351" s="3"/>
      <c r="Y351" s="3"/>
      <c r="Z351" s="3"/>
      <c r="AA351" s="3"/>
      <c r="AB351" s="3"/>
      <c r="AC351" s="3"/>
      <c r="AD351" s="3"/>
    </row>
    <row r="352" spans="1:30" s="7" customFormat="1" x14ac:dyDescent="0.25">
      <c r="A352" s="3"/>
      <c r="B352" s="3"/>
      <c r="C352" s="3"/>
      <c r="D352" s="3"/>
      <c r="E352" s="3"/>
      <c r="F352" s="3"/>
      <c r="G352" s="3"/>
      <c r="H352" s="3"/>
      <c r="I352" s="3"/>
      <c r="J352" s="3"/>
      <c r="K352" s="3"/>
      <c r="L352" s="3"/>
      <c r="M352" s="3"/>
      <c r="N352" s="3"/>
      <c r="O352" s="3"/>
      <c r="P352" s="3"/>
      <c r="Q352" s="3"/>
      <c r="R352" s="3"/>
      <c r="S352" s="3"/>
      <c r="T352" s="3"/>
      <c r="U352" s="3"/>
      <c r="V352" s="3"/>
      <c r="W352" s="3"/>
      <c r="X352" s="3"/>
      <c r="Y352" s="3"/>
      <c r="Z352" s="3"/>
      <c r="AA352" s="3"/>
      <c r="AB352" s="3"/>
      <c r="AC352" s="3"/>
      <c r="AD352" s="3"/>
    </row>
    <row r="353" spans="1:30" s="7" customFormat="1" x14ac:dyDescent="0.25">
      <c r="A353" s="3"/>
      <c r="B353" s="3"/>
      <c r="C353" s="3"/>
      <c r="D353" s="3"/>
      <c r="E353" s="3"/>
      <c r="F353" s="3"/>
      <c r="G353" s="3"/>
      <c r="H353" s="3"/>
      <c r="I353" s="3"/>
      <c r="J353" s="3"/>
      <c r="K353" s="3"/>
      <c r="L353" s="3"/>
      <c r="M353" s="3"/>
      <c r="N353" s="3"/>
      <c r="O353" s="3"/>
      <c r="P353" s="3"/>
      <c r="Q353" s="3"/>
      <c r="R353" s="3"/>
      <c r="S353" s="3"/>
      <c r="T353" s="3"/>
      <c r="U353" s="3"/>
      <c r="V353" s="3"/>
      <c r="W353" s="3"/>
      <c r="X353" s="3"/>
      <c r="Y353" s="3"/>
      <c r="Z353" s="3"/>
      <c r="AA353" s="3"/>
      <c r="AB353" s="3"/>
      <c r="AC353" s="3"/>
      <c r="AD353" s="3"/>
    </row>
    <row r="354" spans="1:30" s="7" customFormat="1" x14ac:dyDescent="0.25">
      <c r="A354" s="3"/>
      <c r="B354" s="3"/>
      <c r="C354" s="3"/>
      <c r="D354" s="3"/>
      <c r="E354" s="3"/>
      <c r="F354" s="3"/>
      <c r="G354" s="3"/>
      <c r="H354" s="3"/>
      <c r="I354" s="3"/>
      <c r="J354" s="3"/>
      <c r="K354" s="3"/>
      <c r="L354" s="3"/>
      <c r="M354" s="3"/>
      <c r="N354" s="3"/>
      <c r="O354" s="3"/>
      <c r="P354" s="3"/>
      <c r="Q354" s="3"/>
      <c r="R354" s="3"/>
      <c r="S354" s="3"/>
      <c r="T354" s="3"/>
      <c r="U354" s="3"/>
      <c r="V354" s="3"/>
      <c r="W354" s="3"/>
      <c r="X354" s="3"/>
      <c r="Y354" s="3"/>
      <c r="Z354" s="3"/>
      <c r="AA354" s="3"/>
      <c r="AB354" s="3"/>
      <c r="AC354" s="3"/>
      <c r="AD354" s="3"/>
    </row>
    <row r="355" spans="1:30" s="7" customFormat="1" x14ac:dyDescent="0.25">
      <c r="A355" s="3"/>
      <c r="B355" s="3"/>
      <c r="C355" s="3"/>
      <c r="D355" s="3"/>
      <c r="E355" s="3"/>
      <c r="F355" s="3"/>
      <c r="G355" s="3"/>
      <c r="H355" s="3"/>
      <c r="I355" s="3"/>
      <c r="J355" s="3"/>
      <c r="K355" s="3"/>
      <c r="L355" s="3"/>
      <c r="M355" s="3"/>
      <c r="N355" s="3"/>
      <c r="O355" s="3"/>
      <c r="P355" s="3"/>
      <c r="Q355" s="3"/>
      <c r="R355" s="3"/>
      <c r="S355" s="3"/>
      <c r="T355" s="3"/>
      <c r="U355" s="3"/>
      <c r="V355" s="3"/>
      <c r="W355" s="3"/>
      <c r="X355" s="3"/>
      <c r="Y355" s="3"/>
      <c r="Z355" s="3"/>
      <c r="AA355" s="3"/>
      <c r="AB355" s="3"/>
      <c r="AC355" s="3"/>
      <c r="AD355" s="3"/>
    </row>
    <row r="356" spans="1:30" s="7" customFormat="1" x14ac:dyDescent="0.25">
      <c r="A356" s="3"/>
      <c r="B356" s="3"/>
      <c r="C356" s="3"/>
      <c r="D356" s="3"/>
      <c r="E356" s="3"/>
      <c r="F356" s="3"/>
      <c r="G356" s="3"/>
      <c r="H356" s="3"/>
      <c r="I356" s="3"/>
      <c r="J356" s="3"/>
      <c r="K356" s="3"/>
      <c r="L356" s="3"/>
      <c r="M356" s="3"/>
      <c r="N356" s="3"/>
      <c r="O356" s="3"/>
      <c r="P356" s="3"/>
      <c r="Q356" s="3"/>
      <c r="R356" s="3"/>
      <c r="S356" s="3"/>
      <c r="T356" s="3"/>
      <c r="U356" s="3"/>
      <c r="V356" s="3"/>
      <c r="W356" s="3"/>
      <c r="X356" s="3"/>
      <c r="Y356" s="3"/>
      <c r="Z356" s="3"/>
      <c r="AA356" s="3"/>
      <c r="AB356" s="3"/>
      <c r="AC356" s="3"/>
      <c r="AD356" s="3"/>
    </row>
    <row r="357" spans="1:30" s="7" customFormat="1" x14ac:dyDescent="0.25">
      <c r="A357" s="3"/>
      <c r="B357" s="3"/>
      <c r="C357" s="3"/>
      <c r="D357" s="3"/>
      <c r="E357" s="3"/>
      <c r="F357" s="3"/>
      <c r="G357" s="3"/>
      <c r="H357" s="3"/>
      <c r="I357" s="3"/>
      <c r="J357" s="3"/>
      <c r="K357" s="3"/>
      <c r="L357" s="3"/>
      <c r="M357" s="3"/>
      <c r="N357" s="3"/>
      <c r="O357" s="3"/>
      <c r="P357" s="3"/>
      <c r="Q357" s="3"/>
      <c r="R357" s="3"/>
      <c r="S357" s="3"/>
      <c r="T357" s="3"/>
      <c r="U357" s="3"/>
      <c r="V357" s="3"/>
      <c r="W357" s="3"/>
      <c r="X357" s="3"/>
      <c r="Y357" s="3"/>
      <c r="Z357" s="3"/>
      <c r="AA357" s="3"/>
      <c r="AB357" s="3"/>
      <c r="AC357" s="3"/>
      <c r="AD357" s="3"/>
    </row>
    <row r="358" spans="1:30" s="7" customFormat="1" x14ac:dyDescent="0.25">
      <c r="A358" s="3"/>
      <c r="B358" s="3"/>
      <c r="C358" s="3"/>
      <c r="D358" s="3"/>
      <c r="E358" s="3"/>
      <c r="F358" s="3"/>
      <c r="G358" s="3"/>
      <c r="H358" s="3"/>
      <c r="I358" s="3"/>
      <c r="J358" s="3"/>
      <c r="K358" s="3"/>
      <c r="L358" s="3"/>
      <c r="M358" s="3"/>
      <c r="N358" s="3"/>
      <c r="O358" s="3"/>
      <c r="P358" s="3"/>
      <c r="Q358" s="3"/>
      <c r="R358" s="3"/>
      <c r="S358" s="3"/>
      <c r="T358" s="3"/>
      <c r="U358" s="3"/>
      <c r="V358" s="3"/>
      <c r="W358" s="3"/>
      <c r="X358" s="3"/>
      <c r="Y358" s="3"/>
      <c r="Z358" s="3"/>
      <c r="AA358" s="3"/>
      <c r="AB358" s="3"/>
      <c r="AC358" s="3"/>
      <c r="AD358" s="3"/>
    </row>
    <row r="359" spans="1:30" s="7" customFormat="1" x14ac:dyDescent="0.25">
      <c r="A359" s="3"/>
      <c r="B359" s="3"/>
      <c r="C359" s="3"/>
      <c r="D359" s="3"/>
      <c r="E359" s="3"/>
      <c r="F359" s="3"/>
      <c r="G359" s="3"/>
      <c r="H359" s="3"/>
      <c r="I359" s="3"/>
      <c r="J359" s="3"/>
      <c r="K359" s="3"/>
      <c r="L359" s="3"/>
      <c r="M359" s="3"/>
      <c r="N359" s="3"/>
      <c r="O359" s="3"/>
      <c r="P359" s="3"/>
      <c r="Q359" s="3"/>
      <c r="R359" s="3"/>
      <c r="S359" s="3"/>
      <c r="T359" s="3"/>
      <c r="U359" s="3"/>
      <c r="V359" s="3"/>
      <c r="W359" s="3"/>
      <c r="X359" s="3"/>
      <c r="Y359" s="3"/>
      <c r="Z359" s="3"/>
      <c r="AA359" s="3"/>
      <c r="AB359" s="3"/>
      <c r="AC359" s="3"/>
      <c r="AD359" s="3"/>
    </row>
    <row r="360" spans="1:30" s="7" customFormat="1" x14ac:dyDescent="0.25">
      <c r="A360" s="3"/>
      <c r="B360" s="3"/>
      <c r="C360" s="3"/>
      <c r="D360" s="3"/>
      <c r="E360" s="3"/>
      <c r="F360" s="3"/>
      <c r="G360" s="3"/>
      <c r="H360" s="3"/>
      <c r="I360" s="3"/>
      <c r="J360" s="3"/>
      <c r="K360" s="3"/>
      <c r="L360" s="3"/>
      <c r="M360" s="3"/>
      <c r="N360" s="3"/>
      <c r="O360" s="3"/>
      <c r="P360" s="3"/>
      <c r="Q360" s="3"/>
      <c r="R360" s="3"/>
      <c r="S360" s="3"/>
      <c r="T360" s="3"/>
      <c r="U360" s="3"/>
      <c r="V360" s="3"/>
      <c r="W360" s="3"/>
      <c r="X360" s="3"/>
      <c r="Y360" s="3"/>
      <c r="Z360" s="3"/>
      <c r="AA360" s="3"/>
      <c r="AB360" s="3"/>
      <c r="AC360" s="3"/>
      <c r="AD360" s="3"/>
    </row>
    <row r="361" spans="1:30" s="7" customFormat="1" x14ac:dyDescent="0.25">
      <c r="A361" s="3"/>
      <c r="B361" s="3"/>
      <c r="C361" s="3"/>
      <c r="D361" s="3"/>
      <c r="E361" s="3"/>
      <c r="F361" s="3"/>
      <c r="G361" s="3"/>
      <c r="H361" s="3"/>
      <c r="I361" s="3"/>
      <c r="J361" s="3"/>
      <c r="K361" s="3"/>
      <c r="L361" s="3"/>
      <c r="M361" s="3"/>
      <c r="N361" s="3"/>
      <c r="O361" s="3"/>
      <c r="P361" s="3"/>
      <c r="Q361" s="3"/>
      <c r="R361" s="3"/>
      <c r="S361" s="3"/>
      <c r="T361" s="3"/>
      <c r="U361" s="3"/>
      <c r="V361" s="3"/>
      <c r="W361" s="3"/>
      <c r="X361" s="3"/>
      <c r="Y361" s="3"/>
      <c r="Z361" s="3"/>
      <c r="AA361" s="3"/>
      <c r="AB361" s="3"/>
      <c r="AC361" s="3"/>
      <c r="AD361" s="3"/>
    </row>
    <row r="362" spans="1:30" s="7" customFormat="1" x14ac:dyDescent="0.25">
      <c r="A362" s="3"/>
      <c r="B362" s="3"/>
      <c r="C362" s="3"/>
      <c r="D362" s="3"/>
      <c r="E362" s="3"/>
      <c r="F362" s="3"/>
      <c r="G362" s="3"/>
      <c r="H362" s="3"/>
      <c r="I362" s="3"/>
      <c r="J362" s="3"/>
      <c r="K362" s="3"/>
      <c r="L362" s="3"/>
      <c r="M362" s="3"/>
      <c r="N362" s="3"/>
      <c r="O362" s="3"/>
      <c r="P362" s="3"/>
      <c r="Q362" s="3"/>
      <c r="R362" s="3"/>
      <c r="S362" s="3"/>
      <c r="T362" s="3"/>
      <c r="U362" s="3"/>
      <c r="V362" s="3"/>
      <c r="W362" s="3"/>
      <c r="X362" s="3"/>
      <c r="Y362" s="3"/>
      <c r="Z362" s="3"/>
      <c r="AA362" s="3"/>
      <c r="AB362" s="3"/>
      <c r="AC362" s="3"/>
      <c r="AD362" s="3"/>
    </row>
    <row r="363" spans="1:30" s="7" customFormat="1" x14ac:dyDescent="0.25">
      <c r="A363" s="3"/>
      <c r="B363" s="3"/>
      <c r="C363" s="3"/>
      <c r="D363" s="3"/>
      <c r="E363" s="3"/>
      <c r="F363" s="3"/>
      <c r="G363" s="3"/>
      <c r="H363" s="3"/>
      <c r="I363" s="3"/>
      <c r="J363" s="3"/>
      <c r="K363" s="3"/>
      <c r="L363" s="3"/>
      <c r="M363" s="3"/>
      <c r="N363" s="3"/>
      <c r="O363" s="3"/>
      <c r="P363" s="3"/>
      <c r="Q363" s="3"/>
      <c r="R363" s="3"/>
      <c r="S363" s="3"/>
      <c r="T363" s="3"/>
      <c r="U363" s="3"/>
      <c r="V363" s="3"/>
      <c r="W363" s="3"/>
      <c r="X363" s="3"/>
      <c r="Y363" s="3"/>
      <c r="Z363" s="3"/>
      <c r="AA363" s="3"/>
      <c r="AB363" s="3"/>
      <c r="AC363" s="3"/>
      <c r="AD363" s="3"/>
    </row>
    <row r="364" spans="1:30" s="7" customFormat="1" x14ac:dyDescent="0.25">
      <c r="A364" s="3"/>
      <c r="B364" s="3"/>
      <c r="C364" s="3"/>
      <c r="D364" s="3"/>
      <c r="E364" s="3"/>
      <c r="F364" s="3"/>
      <c r="G364" s="3"/>
      <c r="H364" s="3"/>
      <c r="I364" s="3"/>
      <c r="J364" s="3"/>
      <c r="K364" s="3"/>
      <c r="L364" s="3"/>
      <c r="M364" s="3"/>
      <c r="N364" s="3"/>
      <c r="O364" s="3"/>
      <c r="P364" s="3"/>
      <c r="Q364" s="3"/>
      <c r="R364" s="3"/>
      <c r="S364" s="3"/>
      <c r="T364" s="3"/>
      <c r="U364" s="3"/>
      <c r="V364" s="3"/>
      <c r="W364" s="3"/>
      <c r="X364" s="3"/>
      <c r="Y364" s="3"/>
      <c r="Z364" s="3"/>
      <c r="AA364" s="3"/>
      <c r="AB364" s="3"/>
      <c r="AC364" s="3"/>
      <c r="AD364" s="3"/>
    </row>
    <row r="365" spans="1:30" s="7" customFormat="1" x14ac:dyDescent="0.25">
      <c r="A365" s="3"/>
      <c r="B365" s="3"/>
      <c r="C365" s="3"/>
      <c r="D365" s="3"/>
      <c r="E365" s="3"/>
      <c r="F365" s="3"/>
      <c r="G365" s="3"/>
      <c r="H365" s="3"/>
      <c r="I365" s="3"/>
      <c r="J365" s="3"/>
      <c r="K365" s="3"/>
      <c r="L365" s="3"/>
      <c r="M365" s="3"/>
      <c r="N365" s="3"/>
      <c r="O365" s="3"/>
      <c r="P365" s="3"/>
      <c r="Q365" s="3"/>
      <c r="R365" s="3"/>
      <c r="S365" s="3"/>
      <c r="T365" s="3"/>
      <c r="U365" s="3"/>
      <c r="V365" s="3"/>
      <c r="W365" s="3"/>
      <c r="X365" s="3"/>
      <c r="Y365" s="3"/>
      <c r="Z365" s="3"/>
      <c r="AA365" s="3"/>
      <c r="AB365" s="3"/>
      <c r="AC365" s="3"/>
      <c r="AD365" s="3"/>
    </row>
    <row r="366" spans="1:30" s="7" customFormat="1" x14ac:dyDescent="0.25">
      <c r="A366" s="3"/>
      <c r="B366" s="3"/>
      <c r="C366" s="3"/>
      <c r="D366" s="3"/>
      <c r="E366" s="3"/>
      <c r="F366" s="3"/>
      <c r="G366" s="3"/>
      <c r="H366" s="3"/>
      <c r="I366" s="3"/>
      <c r="J366" s="3"/>
      <c r="K366" s="3"/>
      <c r="L366" s="3"/>
      <c r="M366" s="3"/>
      <c r="N366" s="3"/>
      <c r="O366" s="3"/>
      <c r="P366" s="3"/>
      <c r="Q366" s="3"/>
      <c r="R366" s="3"/>
      <c r="S366" s="3"/>
      <c r="T366" s="3"/>
      <c r="U366" s="3"/>
      <c r="V366" s="3"/>
      <c r="W366" s="3"/>
      <c r="X366" s="3"/>
      <c r="Y366" s="3"/>
      <c r="Z366" s="3"/>
      <c r="AA366" s="3"/>
      <c r="AB366" s="3"/>
      <c r="AC366" s="3"/>
      <c r="AD366" s="3"/>
    </row>
    <row r="367" spans="1:30" s="7" customFormat="1" x14ac:dyDescent="0.25">
      <c r="A367" s="3"/>
      <c r="B367" s="3"/>
      <c r="C367" s="3"/>
      <c r="D367" s="3"/>
      <c r="E367" s="3"/>
      <c r="F367" s="3"/>
      <c r="G367" s="3"/>
      <c r="H367" s="3"/>
      <c r="I367" s="3"/>
      <c r="J367" s="3"/>
      <c r="K367" s="3"/>
      <c r="L367" s="3"/>
      <c r="M367" s="3"/>
      <c r="N367" s="3"/>
      <c r="O367" s="3"/>
      <c r="P367" s="3"/>
      <c r="Q367" s="3"/>
      <c r="R367" s="3"/>
      <c r="S367" s="3"/>
      <c r="T367" s="3"/>
      <c r="U367" s="3"/>
      <c r="V367" s="3"/>
      <c r="W367" s="3"/>
      <c r="X367" s="3"/>
      <c r="Y367" s="3"/>
      <c r="Z367" s="3"/>
      <c r="AA367" s="3"/>
      <c r="AB367" s="3"/>
      <c r="AC367" s="3"/>
      <c r="AD367" s="3"/>
    </row>
    <row r="368" spans="1:30" s="7" customFormat="1" x14ac:dyDescent="0.25">
      <c r="A368" s="3"/>
      <c r="B368" s="3"/>
      <c r="C368" s="3"/>
      <c r="D368" s="3"/>
      <c r="E368" s="3"/>
      <c r="F368" s="3"/>
      <c r="G368" s="3"/>
      <c r="H368" s="3"/>
      <c r="I368" s="3"/>
      <c r="J368" s="3"/>
      <c r="K368" s="3"/>
      <c r="L368" s="3"/>
      <c r="M368" s="3"/>
      <c r="N368" s="3"/>
      <c r="O368" s="3"/>
      <c r="P368" s="3"/>
      <c r="Q368" s="3"/>
      <c r="R368" s="3"/>
      <c r="S368" s="3"/>
      <c r="T368" s="3"/>
      <c r="U368" s="3"/>
      <c r="V368" s="3"/>
      <c r="W368" s="3"/>
      <c r="X368" s="3"/>
      <c r="Y368" s="3"/>
      <c r="Z368" s="3"/>
      <c r="AA368" s="3"/>
      <c r="AB368" s="3"/>
      <c r="AC368" s="3"/>
      <c r="AD368" s="3"/>
    </row>
    <row r="369" spans="1:30" s="7" customFormat="1" x14ac:dyDescent="0.25">
      <c r="A369" s="3"/>
      <c r="B369" s="3"/>
      <c r="C369" s="3"/>
      <c r="D369" s="3"/>
      <c r="E369" s="3"/>
      <c r="F369" s="3"/>
      <c r="G369" s="3"/>
      <c r="H369" s="3"/>
      <c r="I369" s="3"/>
      <c r="J369" s="3"/>
      <c r="K369" s="3"/>
      <c r="L369" s="3"/>
      <c r="M369" s="3"/>
      <c r="N369" s="3"/>
      <c r="O369" s="3"/>
      <c r="P369" s="3"/>
      <c r="Q369" s="3"/>
      <c r="R369" s="3"/>
      <c r="S369" s="3"/>
      <c r="T369" s="3"/>
      <c r="U369" s="3"/>
      <c r="V369" s="3"/>
      <c r="W369" s="3"/>
      <c r="X369" s="3"/>
      <c r="Y369" s="3"/>
      <c r="Z369" s="3"/>
      <c r="AA369" s="3"/>
      <c r="AB369" s="3"/>
      <c r="AC369" s="3"/>
      <c r="AD369" s="3"/>
    </row>
    <row r="370" spans="1:30" s="7" customFormat="1" x14ac:dyDescent="0.25">
      <c r="A370" s="3"/>
      <c r="B370" s="3"/>
      <c r="C370" s="3"/>
      <c r="D370" s="3"/>
      <c r="E370" s="3"/>
      <c r="F370" s="3"/>
      <c r="G370" s="3"/>
      <c r="H370" s="3"/>
      <c r="I370" s="3"/>
      <c r="J370" s="3"/>
      <c r="K370" s="3"/>
      <c r="L370" s="3"/>
      <c r="M370" s="3"/>
      <c r="N370" s="3"/>
      <c r="O370" s="3"/>
      <c r="P370" s="3"/>
      <c r="Q370" s="3"/>
      <c r="R370" s="3"/>
      <c r="S370" s="3"/>
      <c r="T370" s="3"/>
      <c r="U370" s="3"/>
      <c r="V370" s="3"/>
      <c r="W370" s="3"/>
      <c r="X370" s="3"/>
      <c r="Y370" s="3"/>
      <c r="Z370" s="3"/>
      <c r="AA370" s="3"/>
      <c r="AB370" s="3"/>
      <c r="AC370" s="3"/>
      <c r="AD370" s="3"/>
    </row>
    <row r="371" spans="1:30" s="7" customFormat="1" x14ac:dyDescent="0.25">
      <c r="A371" s="3"/>
      <c r="B371" s="3"/>
      <c r="C371" s="3"/>
      <c r="D371" s="3"/>
      <c r="E371" s="3"/>
      <c r="F371" s="3"/>
      <c r="G371" s="3"/>
      <c r="H371" s="3"/>
      <c r="I371" s="3"/>
      <c r="J371" s="3"/>
      <c r="K371" s="3"/>
      <c r="L371" s="3"/>
      <c r="M371" s="3"/>
      <c r="N371" s="3"/>
      <c r="O371" s="3"/>
      <c r="P371" s="3"/>
      <c r="Q371" s="3"/>
      <c r="R371" s="3"/>
      <c r="S371" s="3"/>
      <c r="T371" s="3"/>
      <c r="U371" s="3"/>
      <c r="V371" s="3"/>
      <c r="W371" s="3"/>
      <c r="X371" s="3"/>
      <c r="Y371" s="3"/>
      <c r="Z371" s="3"/>
      <c r="AA371" s="3"/>
      <c r="AB371" s="3"/>
      <c r="AC371" s="3"/>
      <c r="AD371" s="3"/>
    </row>
    <row r="372" spans="1:30" s="7" customFormat="1" x14ac:dyDescent="0.25">
      <c r="A372" s="3"/>
      <c r="B372" s="3"/>
      <c r="C372" s="3"/>
      <c r="D372" s="3"/>
      <c r="E372" s="3"/>
      <c r="F372" s="3"/>
      <c r="G372" s="3"/>
      <c r="H372" s="3"/>
      <c r="I372" s="3"/>
      <c r="J372" s="3"/>
      <c r="K372" s="3"/>
      <c r="L372" s="3"/>
      <c r="M372" s="3"/>
      <c r="N372" s="3"/>
      <c r="O372" s="3"/>
      <c r="P372" s="3"/>
      <c r="Q372" s="3"/>
      <c r="R372" s="3"/>
      <c r="S372" s="3"/>
      <c r="T372" s="3"/>
      <c r="U372" s="3"/>
      <c r="V372" s="3"/>
      <c r="W372" s="3"/>
      <c r="X372" s="3"/>
      <c r="Y372" s="3"/>
      <c r="Z372" s="3"/>
      <c r="AA372" s="3"/>
      <c r="AB372" s="3"/>
      <c r="AC372" s="3"/>
      <c r="AD372" s="3"/>
    </row>
    <row r="373" spans="1:30" s="7" customFormat="1" x14ac:dyDescent="0.25">
      <c r="A373" s="3"/>
      <c r="B373" s="3"/>
      <c r="C373" s="3"/>
      <c r="D373" s="3"/>
      <c r="E373" s="3"/>
      <c r="F373" s="3"/>
      <c r="G373" s="3"/>
      <c r="H373" s="3"/>
      <c r="I373" s="3"/>
      <c r="J373" s="3"/>
      <c r="K373" s="3"/>
      <c r="L373" s="3"/>
      <c r="M373" s="3"/>
      <c r="N373" s="3"/>
      <c r="O373" s="3"/>
      <c r="P373" s="3"/>
      <c r="Q373" s="3"/>
      <c r="R373" s="3"/>
      <c r="S373" s="3"/>
      <c r="T373" s="3"/>
      <c r="U373" s="3"/>
      <c r="V373" s="3"/>
      <c r="W373" s="3"/>
      <c r="X373" s="3"/>
      <c r="Y373" s="3"/>
      <c r="Z373" s="3"/>
      <c r="AA373" s="3"/>
      <c r="AB373" s="3"/>
      <c r="AC373" s="3"/>
      <c r="AD373" s="3"/>
    </row>
    <row r="374" spans="1:30" s="7" customFormat="1" x14ac:dyDescent="0.25">
      <c r="A374" s="3"/>
      <c r="B374" s="3"/>
      <c r="C374" s="3"/>
      <c r="D374" s="3"/>
      <c r="E374" s="3"/>
      <c r="F374" s="3"/>
      <c r="G374" s="3"/>
      <c r="H374" s="3"/>
      <c r="I374" s="3"/>
      <c r="J374" s="3"/>
      <c r="K374" s="3"/>
      <c r="L374" s="3"/>
      <c r="M374" s="3"/>
      <c r="N374" s="3"/>
      <c r="O374" s="3"/>
      <c r="P374" s="3"/>
      <c r="Q374" s="3"/>
      <c r="R374" s="3"/>
      <c r="S374" s="3"/>
      <c r="T374" s="3"/>
      <c r="U374" s="3"/>
      <c r="V374" s="3"/>
      <c r="W374" s="3"/>
      <c r="X374" s="3"/>
      <c r="Y374" s="3"/>
      <c r="Z374" s="3"/>
      <c r="AA374" s="3"/>
      <c r="AB374" s="3"/>
      <c r="AC374" s="3"/>
      <c r="AD374" s="3"/>
    </row>
    <row r="375" spans="1:30" s="7" customFormat="1" x14ac:dyDescent="0.25">
      <c r="A375" s="3"/>
      <c r="B375" s="3"/>
      <c r="C375" s="3"/>
      <c r="D375" s="3"/>
      <c r="E375" s="3"/>
      <c r="F375" s="3"/>
      <c r="G375" s="3"/>
      <c r="H375" s="3"/>
      <c r="I375" s="3"/>
      <c r="J375" s="3"/>
      <c r="K375" s="3"/>
      <c r="L375" s="3"/>
      <c r="M375" s="3"/>
      <c r="N375" s="3"/>
      <c r="O375" s="3"/>
      <c r="P375" s="3"/>
      <c r="Q375" s="3"/>
      <c r="R375" s="3"/>
      <c r="S375" s="3"/>
      <c r="T375" s="3"/>
      <c r="U375" s="3"/>
      <c r="V375" s="3"/>
      <c r="W375" s="3"/>
      <c r="X375" s="3"/>
      <c r="Y375" s="3"/>
      <c r="Z375" s="3"/>
      <c r="AA375" s="3"/>
      <c r="AB375" s="3"/>
      <c r="AC375" s="3"/>
      <c r="AD375" s="3"/>
    </row>
    <row r="376" spans="1:30" s="7" customFormat="1" x14ac:dyDescent="0.25">
      <c r="A376" s="3"/>
      <c r="B376" s="3"/>
      <c r="C376" s="3"/>
      <c r="D376" s="3"/>
      <c r="E376" s="3"/>
      <c r="F376" s="3"/>
      <c r="G376" s="3"/>
      <c r="H376" s="3"/>
      <c r="I376" s="3"/>
      <c r="J376" s="3"/>
      <c r="K376" s="3"/>
      <c r="L376" s="3"/>
      <c r="M376" s="3"/>
      <c r="N376" s="3"/>
      <c r="O376" s="3"/>
      <c r="P376" s="3"/>
      <c r="Q376" s="3"/>
      <c r="R376" s="3"/>
      <c r="S376" s="3"/>
      <c r="T376" s="3"/>
      <c r="U376" s="3"/>
      <c r="V376" s="3"/>
      <c r="W376" s="3"/>
      <c r="X376" s="3"/>
      <c r="Y376" s="3"/>
      <c r="Z376" s="3"/>
      <c r="AA376" s="3"/>
      <c r="AB376" s="3"/>
      <c r="AC376" s="3"/>
      <c r="AD376" s="3"/>
    </row>
    <row r="377" spans="1:30" s="7" customFormat="1" x14ac:dyDescent="0.25">
      <c r="A377" s="3"/>
      <c r="B377" s="3"/>
      <c r="C377" s="3"/>
      <c r="D377" s="3"/>
      <c r="E377" s="3"/>
      <c r="F377" s="3"/>
      <c r="G377" s="3"/>
      <c r="H377" s="3"/>
      <c r="I377" s="3"/>
      <c r="J377" s="3"/>
      <c r="K377" s="3"/>
      <c r="L377" s="3"/>
      <c r="M377" s="3"/>
      <c r="N377" s="3"/>
      <c r="O377" s="3"/>
      <c r="P377" s="3"/>
      <c r="Q377" s="3"/>
      <c r="R377" s="3"/>
      <c r="S377" s="3"/>
      <c r="T377" s="3"/>
      <c r="U377" s="3"/>
      <c r="V377" s="3"/>
      <c r="W377" s="3"/>
      <c r="X377" s="3"/>
      <c r="Y377" s="3"/>
      <c r="Z377" s="3"/>
      <c r="AA377" s="3"/>
      <c r="AB377" s="3"/>
      <c r="AC377" s="3"/>
      <c r="AD377" s="3"/>
    </row>
    <row r="378" spans="1:30" s="7" customFormat="1" x14ac:dyDescent="0.25">
      <c r="A378" s="3"/>
      <c r="B378" s="3"/>
      <c r="C378" s="3"/>
      <c r="D378" s="3"/>
      <c r="E378" s="3"/>
      <c r="F378" s="3"/>
      <c r="G378" s="3"/>
      <c r="H378" s="3"/>
      <c r="I378" s="3"/>
      <c r="J378" s="3"/>
      <c r="K378" s="3"/>
      <c r="L378" s="3"/>
      <c r="M378" s="3"/>
      <c r="N378" s="3"/>
      <c r="O378" s="3"/>
      <c r="P378" s="3"/>
      <c r="Q378" s="3"/>
      <c r="R378" s="3"/>
      <c r="S378" s="3"/>
      <c r="T378" s="3"/>
      <c r="U378" s="3"/>
      <c r="V378" s="3"/>
      <c r="W378" s="3"/>
      <c r="X378" s="3"/>
      <c r="Y378" s="3"/>
      <c r="Z378" s="3"/>
      <c r="AA378" s="3"/>
      <c r="AB378" s="3"/>
      <c r="AC378" s="3"/>
      <c r="AD378" s="3"/>
    </row>
    <row r="379" spans="1:30" s="7" customFormat="1" x14ac:dyDescent="0.25">
      <c r="A379" s="3"/>
      <c r="B379" s="3"/>
      <c r="C379" s="3"/>
      <c r="D379" s="3"/>
      <c r="E379" s="3"/>
      <c r="F379" s="3"/>
      <c r="G379" s="3"/>
      <c r="H379" s="3"/>
      <c r="I379" s="3"/>
      <c r="J379" s="3"/>
      <c r="K379" s="3"/>
      <c r="L379" s="3"/>
      <c r="M379" s="3"/>
      <c r="N379" s="3"/>
      <c r="O379" s="3"/>
      <c r="P379" s="3"/>
      <c r="Q379" s="3"/>
      <c r="R379" s="3"/>
      <c r="S379" s="3"/>
      <c r="T379" s="3"/>
      <c r="U379" s="3"/>
      <c r="V379" s="3"/>
      <c r="W379" s="3"/>
      <c r="X379" s="3"/>
      <c r="Y379" s="3"/>
      <c r="Z379" s="3"/>
      <c r="AA379" s="3"/>
      <c r="AB379" s="3"/>
      <c r="AC379" s="3"/>
      <c r="AD379" s="3"/>
    </row>
    <row r="380" spans="1:30" s="7" customFormat="1" x14ac:dyDescent="0.25">
      <c r="A380" s="3"/>
      <c r="B380" s="3"/>
      <c r="C380" s="3"/>
      <c r="D380" s="3"/>
      <c r="E380" s="3"/>
      <c r="F380" s="3"/>
      <c r="G380" s="3"/>
      <c r="H380" s="3"/>
      <c r="I380" s="3"/>
      <c r="J380" s="3"/>
      <c r="K380" s="3"/>
      <c r="L380" s="3"/>
      <c r="M380" s="3"/>
      <c r="N380" s="3"/>
      <c r="O380" s="3"/>
      <c r="P380" s="3"/>
      <c r="Q380" s="3"/>
      <c r="R380" s="3"/>
      <c r="S380" s="3"/>
      <c r="T380" s="3"/>
      <c r="U380" s="3"/>
      <c r="V380" s="3"/>
      <c r="W380" s="3"/>
      <c r="X380" s="3"/>
      <c r="Y380" s="3"/>
      <c r="Z380" s="3"/>
      <c r="AA380" s="3"/>
      <c r="AB380" s="3"/>
      <c r="AC380" s="3"/>
      <c r="AD380" s="3"/>
    </row>
    <row r="381" spans="1:30" s="7" customFormat="1" x14ac:dyDescent="0.25">
      <c r="A381" s="3"/>
      <c r="B381" s="3"/>
      <c r="C381" s="3"/>
      <c r="D381" s="3"/>
      <c r="E381" s="3"/>
      <c r="F381" s="3"/>
      <c r="G381" s="3"/>
      <c r="H381" s="3"/>
      <c r="I381" s="3"/>
      <c r="J381" s="3"/>
      <c r="K381" s="3"/>
      <c r="L381" s="3"/>
      <c r="M381" s="3"/>
      <c r="N381" s="3"/>
      <c r="O381" s="3"/>
      <c r="P381" s="3"/>
      <c r="Q381" s="3"/>
      <c r="R381" s="3"/>
      <c r="S381" s="3"/>
      <c r="T381" s="3"/>
      <c r="U381" s="3"/>
      <c r="V381" s="3"/>
      <c r="W381" s="3"/>
      <c r="X381" s="3"/>
      <c r="Y381" s="3"/>
      <c r="Z381" s="3"/>
      <c r="AA381" s="3"/>
      <c r="AB381" s="3"/>
      <c r="AC381" s="3"/>
      <c r="AD381" s="3"/>
    </row>
    <row r="382" spans="1:30" s="7" customFormat="1" x14ac:dyDescent="0.25">
      <c r="A382" s="3"/>
      <c r="B382" s="3"/>
      <c r="C382" s="3"/>
      <c r="D382" s="3"/>
      <c r="E382" s="3"/>
      <c r="F382" s="3"/>
      <c r="G382" s="3"/>
      <c r="H382" s="3"/>
      <c r="I382" s="3"/>
      <c r="J382" s="3"/>
      <c r="K382" s="3"/>
      <c r="L382" s="3"/>
      <c r="M382" s="3"/>
      <c r="N382" s="3"/>
      <c r="O382" s="3"/>
      <c r="P382" s="3"/>
      <c r="Q382" s="3"/>
      <c r="R382" s="3"/>
      <c r="S382" s="3"/>
      <c r="T382" s="3"/>
      <c r="U382" s="3"/>
      <c r="V382" s="3"/>
      <c r="W382" s="3"/>
      <c r="X382" s="3"/>
      <c r="Y382" s="3"/>
      <c r="Z382" s="3"/>
      <c r="AA382" s="3"/>
      <c r="AB382" s="3"/>
      <c r="AC382" s="3"/>
      <c r="AD382" s="3"/>
    </row>
    <row r="383" spans="1:30" s="7" customFormat="1" x14ac:dyDescent="0.25">
      <c r="A383" s="3"/>
      <c r="B383" s="3"/>
      <c r="C383" s="3"/>
      <c r="D383" s="3"/>
      <c r="E383" s="3"/>
      <c r="F383" s="3"/>
      <c r="G383" s="3"/>
      <c r="H383" s="3"/>
      <c r="I383" s="3"/>
      <c r="J383" s="3"/>
      <c r="K383" s="3"/>
      <c r="L383" s="3"/>
      <c r="M383" s="3"/>
      <c r="N383" s="3"/>
      <c r="O383" s="3"/>
      <c r="P383" s="3"/>
      <c r="Q383" s="3"/>
      <c r="R383" s="3"/>
      <c r="S383" s="3"/>
      <c r="T383" s="3"/>
      <c r="U383" s="3"/>
      <c r="V383" s="3"/>
      <c r="W383" s="3"/>
      <c r="X383" s="3"/>
      <c r="Y383" s="3"/>
      <c r="Z383" s="3"/>
      <c r="AA383" s="3"/>
      <c r="AB383" s="3"/>
      <c r="AC383" s="3"/>
      <c r="AD383" s="3"/>
    </row>
    <row r="384" spans="1:30" s="7" customFormat="1" x14ac:dyDescent="0.25">
      <c r="A384" s="3"/>
      <c r="B384" s="3"/>
      <c r="C384" s="3"/>
      <c r="D384" s="3"/>
      <c r="E384" s="3"/>
      <c r="F384" s="3"/>
      <c r="G384" s="3"/>
      <c r="H384" s="3"/>
      <c r="I384" s="3"/>
      <c r="J384" s="3"/>
      <c r="K384" s="3"/>
      <c r="L384" s="3"/>
      <c r="M384" s="3"/>
      <c r="N384" s="3"/>
      <c r="O384" s="3"/>
      <c r="P384" s="3"/>
      <c r="Q384" s="3"/>
      <c r="R384" s="3"/>
      <c r="S384" s="3"/>
      <c r="T384" s="3"/>
      <c r="U384" s="3"/>
      <c r="V384" s="3"/>
      <c r="W384" s="3"/>
      <c r="X384" s="3"/>
      <c r="Y384" s="3"/>
      <c r="Z384" s="3"/>
      <c r="AA384" s="3"/>
      <c r="AB384" s="3"/>
      <c r="AC384" s="3"/>
      <c r="AD384" s="3"/>
    </row>
    <row r="385" spans="1:30" s="7" customFormat="1" x14ac:dyDescent="0.25">
      <c r="A385" s="3"/>
      <c r="B385" s="3"/>
      <c r="C385" s="3"/>
      <c r="D385" s="3"/>
      <c r="E385" s="3"/>
      <c r="F385" s="3"/>
      <c r="G385" s="3"/>
      <c r="H385" s="3"/>
      <c r="I385" s="3"/>
      <c r="J385" s="3"/>
      <c r="K385" s="3"/>
      <c r="L385" s="3"/>
      <c r="M385" s="3"/>
      <c r="N385" s="3"/>
      <c r="O385" s="3"/>
      <c r="P385" s="3"/>
      <c r="Q385" s="3"/>
      <c r="R385" s="3"/>
      <c r="S385" s="3"/>
      <c r="T385" s="3"/>
      <c r="U385" s="3"/>
      <c r="V385" s="3"/>
      <c r="W385" s="3"/>
      <c r="X385" s="3"/>
      <c r="Y385" s="3"/>
      <c r="Z385" s="3"/>
      <c r="AA385" s="3"/>
      <c r="AB385" s="3"/>
      <c r="AC385" s="3"/>
      <c r="AD385" s="3"/>
    </row>
    <row r="386" spans="1:30" s="7" customFormat="1" x14ac:dyDescent="0.25">
      <c r="A386" s="3"/>
      <c r="B386" s="3"/>
      <c r="C386" s="3"/>
      <c r="D386" s="3"/>
      <c r="E386" s="3"/>
      <c r="F386" s="3"/>
      <c r="G386" s="3"/>
      <c r="H386" s="3"/>
      <c r="I386" s="3"/>
      <c r="J386" s="3"/>
      <c r="K386" s="3"/>
      <c r="L386" s="3"/>
      <c r="M386" s="3"/>
      <c r="N386" s="3"/>
      <c r="O386" s="3"/>
      <c r="P386" s="3"/>
      <c r="Q386" s="3"/>
      <c r="R386" s="3"/>
      <c r="S386" s="3"/>
      <c r="T386" s="3"/>
      <c r="U386" s="3"/>
      <c r="V386" s="3"/>
      <c r="W386" s="3"/>
      <c r="X386" s="3"/>
      <c r="Y386" s="3"/>
      <c r="Z386" s="3"/>
      <c r="AA386" s="3"/>
      <c r="AB386" s="3"/>
      <c r="AC386" s="3"/>
      <c r="AD386" s="3"/>
    </row>
    <row r="387" spans="1:30" s="7" customFormat="1" x14ac:dyDescent="0.25">
      <c r="A387" s="3"/>
      <c r="B387" s="3"/>
      <c r="C387" s="3"/>
      <c r="D387" s="3"/>
      <c r="E387" s="3"/>
      <c r="F387" s="3"/>
      <c r="G387" s="3"/>
      <c r="H387" s="3"/>
      <c r="I387" s="3"/>
      <c r="J387" s="3"/>
      <c r="K387" s="3"/>
      <c r="L387" s="3"/>
      <c r="M387" s="3"/>
      <c r="N387" s="3"/>
      <c r="O387" s="3"/>
      <c r="P387" s="3"/>
      <c r="Q387" s="3"/>
      <c r="R387" s="3"/>
      <c r="S387" s="3"/>
      <c r="T387" s="3"/>
      <c r="U387" s="3"/>
      <c r="V387" s="3"/>
      <c r="W387" s="3"/>
      <c r="X387" s="3"/>
      <c r="Y387" s="3"/>
      <c r="Z387" s="3"/>
      <c r="AA387" s="3"/>
      <c r="AB387" s="3"/>
      <c r="AC387" s="3"/>
      <c r="AD387" s="3"/>
    </row>
    <row r="388" spans="1:30" s="7" customFormat="1" x14ac:dyDescent="0.25">
      <c r="A388" s="3"/>
      <c r="B388" s="3"/>
      <c r="C388" s="3"/>
      <c r="D388" s="3"/>
      <c r="E388" s="3"/>
      <c r="F388" s="3"/>
      <c r="G388" s="3"/>
      <c r="H388" s="3"/>
      <c r="I388" s="3"/>
      <c r="J388" s="3"/>
      <c r="K388" s="3"/>
      <c r="L388" s="3"/>
      <c r="M388" s="3"/>
      <c r="N388" s="3"/>
      <c r="O388" s="3"/>
      <c r="P388" s="3"/>
      <c r="Q388" s="3"/>
      <c r="R388" s="3"/>
      <c r="S388" s="3"/>
      <c r="T388" s="3"/>
      <c r="U388" s="3"/>
      <c r="V388" s="3"/>
      <c r="W388" s="3"/>
      <c r="X388" s="3"/>
      <c r="Y388" s="3"/>
      <c r="Z388" s="3"/>
      <c r="AA388" s="3"/>
      <c r="AB388" s="3"/>
      <c r="AC388" s="3"/>
      <c r="AD388" s="3"/>
    </row>
    <row r="389" spans="1:30" s="7" customFormat="1" x14ac:dyDescent="0.25">
      <c r="A389" s="3"/>
      <c r="B389" s="3"/>
      <c r="C389" s="3"/>
      <c r="D389" s="3"/>
      <c r="E389" s="3"/>
      <c r="F389" s="3"/>
      <c r="G389" s="3"/>
      <c r="H389" s="3"/>
      <c r="I389" s="3"/>
      <c r="J389" s="3"/>
      <c r="K389" s="3"/>
      <c r="L389" s="3"/>
      <c r="M389" s="3"/>
      <c r="N389" s="3"/>
      <c r="O389" s="3"/>
      <c r="P389" s="3"/>
      <c r="Q389" s="3"/>
      <c r="R389" s="3"/>
      <c r="S389" s="3"/>
      <c r="T389" s="3"/>
      <c r="U389" s="3"/>
      <c r="V389" s="3"/>
      <c r="W389" s="3"/>
      <c r="X389" s="3"/>
      <c r="Y389" s="3"/>
      <c r="Z389" s="3"/>
      <c r="AA389" s="3"/>
      <c r="AB389" s="3"/>
      <c r="AC389" s="3"/>
      <c r="AD389" s="3"/>
    </row>
    <row r="390" spans="1:30" s="7" customFormat="1" x14ac:dyDescent="0.25">
      <c r="A390" s="3"/>
      <c r="B390" s="3"/>
      <c r="C390" s="3"/>
      <c r="D390" s="3"/>
      <c r="E390" s="3"/>
      <c r="F390" s="3"/>
      <c r="G390" s="3"/>
      <c r="H390" s="3"/>
      <c r="I390" s="3"/>
      <c r="J390" s="3"/>
      <c r="K390" s="3"/>
      <c r="L390" s="3"/>
      <c r="M390" s="3"/>
      <c r="N390" s="3"/>
      <c r="O390" s="3"/>
      <c r="P390" s="3"/>
      <c r="Q390" s="3"/>
      <c r="R390" s="3"/>
      <c r="S390" s="3"/>
      <c r="T390" s="3"/>
      <c r="U390" s="3"/>
      <c r="V390" s="3"/>
      <c r="W390" s="3"/>
      <c r="X390" s="3"/>
      <c r="Y390" s="3"/>
      <c r="Z390" s="3"/>
      <c r="AA390" s="3"/>
      <c r="AB390" s="3"/>
      <c r="AC390" s="3"/>
      <c r="AD390" s="3"/>
    </row>
    <row r="391" spans="1:30" s="7" customFormat="1" x14ac:dyDescent="0.25">
      <c r="A391" s="3"/>
      <c r="B391" s="3"/>
      <c r="C391" s="3"/>
      <c r="D391" s="3"/>
      <c r="E391" s="3"/>
      <c r="F391" s="3"/>
      <c r="G391" s="3"/>
      <c r="H391" s="3"/>
      <c r="I391" s="3"/>
      <c r="J391" s="3"/>
      <c r="K391" s="3"/>
      <c r="L391" s="3"/>
      <c r="M391" s="3"/>
      <c r="N391" s="3"/>
      <c r="O391" s="3"/>
      <c r="P391" s="3"/>
      <c r="Q391" s="3"/>
      <c r="R391" s="3"/>
      <c r="S391" s="3"/>
      <c r="T391" s="3"/>
      <c r="U391" s="3"/>
      <c r="V391" s="3"/>
      <c r="W391" s="3"/>
      <c r="X391" s="3"/>
      <c r="Y391" s="3"/>
      <c r="Z391" s="3"/>
      <c r="AA391" s="3"/>
      <c r="AB391" s="3"/>
      <c r="AC391" s="3"/>
      <c r="AD391" s="3"/>
    </row>
    <row r="392" spans="1:30" s="7" customFormat="1" x14ac:dyDescent="0.25">
      <c r="A392" s="3"/>
      <c r="B392" s="3"/>
      <c r="C392" s="3"/>
      <c r="D392" s="3"/>
      <c r="E392" s="3"/>
      <c r="F392" s="3"/>
      <c r="G392" s="3"/>
      <c r="H392" s="3"/>
      <c r="I392" s="3"/>
      <c r="J392" s="3"/>
      <c r="K392" s="3"/>
      <c r="L392" s="3"/>
      <c r="M392" s="3"/>
      <c r="N392" s="3"/>
      <c r="O392" s="3"/>
      <c r="P392" s="3"/>
      <c r="Q392" s="3"/>
      <c r="R392" s="3"/>
      <c r="S392" s="3"/>
      <c r="T392" s="3"/>
      <c r="U392" s="3"/>
      <c r="V392" s="3"/>
      <c r="W392" s="3"/>
      <c r="X392" s="3"/>
      <c r="Y392" s="3"/>
      <c r="Z392" s="3"/>
      <c r="AA392" s="3"/>
      <c r="AB392" s="3"/>
      <c r="AC392" s="3"/>
      <c r="AD392" s="3"/>
    </row>
    <row r="393" spans="1:30" s="7" customFormat="1" x14ac:dyDescent="0.25">
      <c r="A393" s="3"/>
      <c r="B393" s="3"/>
      <c r="C393" s="3"/>
      <c r="D393" s="3"/>
      <c r="E393" s="3"/>
      <c r="F393" s="3"/>
      <c r="G393" s="3"/>
      <c r="H393" s="3"/>
      <c r="I393" s="3"/>
      <c r="J393" s="3"/>
      <c r="K393" s="3"/>
      <c r="L393" s="3"/>
      <c r="M393" s="3"/>
      <c r="N393" s="3"/>
      <c r="O393" s="3"/>
      <c r="P393" s="3"/>
      <c r="Q393" s="3"/>
      <c r="R393" s="3"/>
      <c r="S393" s="3"/>
      <c r="T393" s="3"/>
      <c r="U393" s="3"/>
      <c r="V393" s="3"/>
      <c r="W393" s="3"/>
      <c r="X393" s="3"/>
      <c r="Y393" s="3"/>
      <c r="Z393" s="3"/>
      <c r="AA393" s="3"/>
      <c r="AB393" s="3"/>
      <c r="AC393" s="3"/>
      <c r="AD393" s="3"/>
    </row>
    <row r="394" spans="1:30" s="7" customFormat="1" x14ac:dyDescent="0.25">
      <c r="A394" s="3"/>
      <c r="B394" s="3"/>
      <c r="C394" s="3"/>
      <c r="D394" s="3"/>
      <c r="E394" s="3"/>
      <c r="F394" s="3"/>
      <c r="G394" s="3"/>
      <c r="H394" s="3"/>
      <c r="I394" s="3"/>
      <c r="J394" s="3"/>
      <c r="K394" s="3"/>
      <c r="L394" s="3"/>
      <c r="M394" s="3"/>
      <c r="N394" s="3"/>
      <c r="O394" s="3"/>
      <c r="P394" s="3"/>
      <c r="Q394" s="3"/>
      <c r="R394" s="3"/>
      <c r="S394" s="3"/>
      <c r="T394" s="3"/>
      <c r="U394" s="3"/>
      <c r="V394" s="3"/>
      <c r="W394" s="3"/>
      <c r="X394" s="3"/>
      <c r="Y394" s="3"/>
      <c r="Z394" s="3"/>
      <c r="AA394" s="3"/>
      <c r="AB394" s="3"/>
      <c r="AC394" s="3"/>
      <c r="AD394" s="3"/>
    </row>
    <row r="395" spans="1:30" s="7" customFormat="1" x14ac:dyDescent="0.25">
      <c r="A395" s="3"/>
      <c r="B395" s="3"/>
      <c r="C395" s="3"/>
      <c r="D395" s="3"/>
      <c r="E395" s="3"/>
      <c r="F395" s="3"/>
      <c r="G395" s="3"/>
      <c r="H395" s="3"/>
      <c r="I395" s="3"/>
      <c r="J395" s="3"/>
      <c r="K395" s="3"/>
      <c r="L395" s="3"/>
      <c r="M395" s="3"/>
      <c r="N395" s="3"/>
      <c r="O395" s="3"/>
      <c r="P395" s="3"/>
      <c r="Q395" s="3"/>
      <c r="R395" s="3"/>
      <c r="S395" s="3"/>
      <c r="T395" s="3"/>
      <c r="U395" s="3"/>
      <c r="V395" s="3"/>
      <c r="W395" s="3"/>
      <c r="X395" s="3"/>
      <c r="Y395" s="3"/>
      <c r="Z395" s="3"/>
      <c r="AA395" s="3"/>
      <c r="AB395" s="3"/>
      <c r="AC395" s="3"/>
      <c r="AD395" s="3"/>
    </row>
    <row r="396" spans="1:30" s="7" customFormat="1" x14ac:dyDescent="0.25">
      <c r="A396" s="3"/>
      <c r="B396" s="3"/>
      <c r="C396" s="3"/>
      <c r="D396" s="3"/>
      <c r="E396" s="3"/>
      <c r="F396" s="3"/>
      <c r="G396" s="3"/>
      <c r="H396" s="3"/>
      <c r="I396" s="3"/>
      <c r="J396" s="3"/>
      <c r="K396" s="3"/>
      <c r="L396" s="3"/>
      <c r="M396" s="3"/>
      <c r="N396" s="3"/>
      <c r="O396" s="3"/>
      <c r="P396" s="3"/>
      <c r="Q396" s="3"/>
      <c r="R396" s="3"/>
      <c r="S396" s="3"/>
      <c r="T396" s="3"/>
      <c r="U396" s="3"/>
      <c r="V396" s="3"/>
      <c r="W396" s="3"/>
      <c r="X396" s="3"/>
      <c r="Y396" s="3"/>
      <c r="Z396" s="3"/>
      <c r="AA396" s="3"/>
      <c r="AB396" s="3"/>
      <c r="AC396" s="3"/>
      <c r="AD396" s="3"/>
    </row>
    <row r="397" spans="1:30" s="7" customFormat="1" x14ac:dyDescent="0.25">
      <c r="A397" s="3"/>
      <c r="B397" s="3"/>
      <c r="C397" s="3"/>
      <c r="D397" s="3"/>
      <c r="E397" s="3"/>
      <c r="F397" s="3"/>
      <c r="G397" s="3"/>
      <c r="H397" s="3"/>
      <c r="I397" s="3"/>
      <c r="J397" s="3"/>
      <c r="K397" s="3"/>
      <c r="L397" s="3"/>
      <c r="M397" s="3"/>
      <c r="N397" s="3"/>
      <c r="O397" s="3"/>
      <c r="P397" s="3"/>
      <c r="Q397" s="3"/>
      <c r="R397" s="3"/>
      <c r="S397" s="3"/>
      <c r="T397" s="3"/>
      <c r="U397" s="3"/>
      <c r="V397" s="3"/>
      <c r="W397" s="3"/>
      <c r="X397" s="3"/>
      <c r="Y397" s="3"/>
      <c r="Z397" s="3"/>
      <c r="AA397" s="3"/>
      <c r="AB397" s="3"/>
      <c r="AC397" s="3"/>
      <c r="AD397" s="3"/>
    </row>
    <row r="398" spans="1:30" s="7" customFormat="1" x14ac:dyDescent="0.25">
      <c r="A398" s="3"/>
      <c r="B398" s="3"/>
      <c r="C398" s="3"/>
      <c r="D398" s="3"/>
      <c r="E398" s="3"/>
      <c r="F398" s="3"/>
      <c r="G398" s="3"/>
      <c r="H398" s="3"/>
      <c r="I398" s="3"/>
      <c r="J398" s="3"/>
      <c r="K398" s="3"/>
      <c r="L398" s="3"/>
      <c r="M398" s="3"/>
      <c r="N398" s="3"/>
      <c r="O398" s="3"/>
      <c r="P398" s="3"/>
      <c r="Q398" s="3"/>
      <c r="R398" s="3"/>
      <c r="S398" s="3"/>
      <c r="T398" s="3"/>
      <c r="U398" s="3"/>
      <c r="V398" s="3"/>
      <c r="W398" s="3"/>
      <c r="X398" s="3"/>
      <c r="Y398" s="3"/>
      <c r="Z398" s="3"/>
      <c r="AA398" s="3"/>
      <c r="AB398" s="3"/>
      <c r="AC398" s="3"/>
      <c r="AD398" s="3"/>
    </row>
    <row r="399" spans="1:30" s="7" customFormat="1" x14ac:dyDescent="0.25">
      <c r="A399" s="3"/>
      <c r="B399" s="3"/>
      <c r="C399" s="3"/>
      <c r="D399" s="3"/>
      <c r="E399" s="3"/>
      <c r="F399" s="3"/>
      <c r="G399" s="3"/>
      <c r="H399" s="3"/>
      <c r="I399" s="3"/>
      <c r="J399" s="3"/>
      <c r="K399" s="3"/>
      <c r="L399" s="3"/>
      <c r="M399" s="3"/>
      <c r="N399" s="3"/>
      <c r="O399" s="3"/>
      <c r="P399" s="3"/>
      <c r="Q399" s="3"/>
      <c r="R399" s="3"/>
      <c r="S399" s="3"/>
      <c r="T399" s="3"/>
      <c r="U399" s="3"/>
      <c r="V399" s="3"/>
      <c r="W399" s="3"/>
      <c r="X399" s="3"/>
      <c r="Y399" s="3"/>
      <c r="Z399" s="3"/>
      <c r="AA399" s="3"/>
      <c r="AB399" s="3"/>
      <c r="AC399" s="3"/>
      <c r="AD399" s="3"/>
    </row>
    <row r="400" spans="1:30" s="7" customFormat="1" x14ac:dyDescent="0.25">
      <c r="A400" s="3"/>
      <c r="B400" s="3"/>
      <c r="C400" s="3"/>
      <c r="D400" s="3"/>
      <c r="E400" s="3"/>
      <c r="F400" s="3"/>
      <c r="G400" s="3"/>
      <c r="H400" s="3"/>
      <c r="I400" s="3"/>
      <c r="J400" s="3"/>
      <c r="K400" s="3"/>
      <c r="L400" s="3"/>
      <c r="M400" s="3"/>
      <c r="N400" s="3"/>
      <c r="O400" s="3"/>
      <c r="P400" s="3"/>
      <c r="Q400" s="3"/>
      <c r="R400" s="3"/>
      <c r="S400" s="3"/>
      <c r="T400" s="3"/>
      <c r="U400" s="3"/>
      <c r="V400" s="3"/>
      <c r="W400" s="3"/>
      <c r="X400" s="3"/>
      <c r="Y400" s="3"/>
      <c r="Z400" s="3"/>
      <c r="AA400" s="3"/>
      <c r="AB400" s="3"/>
      <c r="AC400" s="3"/>
      <c r="AD400" s="3"/>
    </row>
    <row r="401" spans="1:30" s="7" customFormat="1" x14ac:dyDescent="0.25">
      <c r="A401" s="3"/>
      <c r="B401" s="3"/>
      <c r="C401" s="3"/>
      <c r="D401" s="3"/>
      <c r="E401" s="3"/>
      <c r="F401" s="3"/>
      <c r="G401" s="3"/>
      <c r="H401" s="3"/>
      <c r="I401" s="3"/>
      <c r="J401" s="3"/>
      <c r="K401" s="3"/>
      <c r="L401" s="3"/>
      <c r="M401" s="3"/>
      <c r="N401" s="3"/>
      <c r="O401" s="3"/>
      <c r="P401" s="3"/>
      <c r="Q401" s="3"/>
      <c r="R401" s="3"/>
      <c r="S401" s="3"/>
      <c r="T401" s="3"/>
      <c r="U401" s="3"/>
      <c r="V401" s="3"/>
      <c r="W401" s="3"/>
      <c r="X401" s="3"/>
      <c r="Y401" s="3"/>
      <c r="Z401" s="3"/>
      <c r="AA401" s="3"/>
      <c r="AB401" s="3"/>
      <c r="AC401" s="3"/>
      <c r="AD401" s="3"/>
    </row>
    <row r="402" spans="1:30" s="7" customFormat="1" x14ac:dyDescent="0.25">
      <c r="A402" s="3"/>
      <c r="B402" s="3"/>
      <c r="C402" s="3"/>
      <c r="D402" s="3"/>
      <c r="E402" s="3"/>
      <c r="F402" s="3"/>
      <c r="G402" s="3"/>
      <c r="H402" s="3"/>
      <c r="I402" s="3"/>
      <c r="J402" s="3"/>
      <c r="K402" s="3"/>
      <c r="L402" s="3"/>
      <c r="M402" s="3"/>
      <c r="N402" s="3"/>
      <c r="O402" s="3"/>
      <c r="P402" s="3"/>
      <c r="Q402" s="3"/>
      <c r="R402" s="3"/>
      <c r="S402" s="3"/>
      <c r="T402" s="3"/>
      <c r="U402" s="3"/>
      <c r="V402" s="3"/>
      <c r="W402" s="3"/>
      <c r="X402" s="3"/>
      <c r="Y402" s="3"/>
      <c r="Z402" s="3"/>
      <c r="AA402" s="3"/>
      <c r="AB402" s="3"/>
      <c r="AC402" s="3"/>
      <c r="AD402" s="3"/>
    </row>
    <row r="403" spans="1:30" s="7" customFormat="1" x14ac:dyDescent="0.25">
      <c r="A403" s="3"/>
      <c r="B403" s="3"/>
      <c r="C403" s="3"/>
      <c r="D403" s="3"/>
      <c r="E403" s="3"/>
      <c r="F403" s="3"/>
      <c r="G403" s="3"/>
      <c r="H403" s="3"/>
      <c r="I403" s="3"/>
      <c r="J403" s="3"/>
      <c r="K403" s="3"/>
      <c r="L403" s="3"/>
      <c r="M403" s="3"/>
      <c r="N403" s="3"/>
      <c r="O403" s="3"/>
      <c r="P403" s="3"/>
      <c r="Q403" s="3"/>
      <c r="R403" s="3"/>
      <c r="S403" s="3"/>
      <c r="T403" s="3"/>
      <c r="U403" s="3"/>
      <c r="V403" s="3"/>
      <c r="W403" s="3"/>
      <c r="X403" s="3"/>
      <c r="Y403" s="3"/>
      <c r="Z403" s="3"/>
      <c r="AA403" s="3"/>
      <c r="AB403" s="3"/>
      <c r="AC403" s="3"/>
      <c r="AD403" s="3"/>
    </row>
    <row r="404" spans="1:30" s="7" customFormat="1" x14ac:dyDescent="0.25">
      <c r="A404" s="3"/>
      <c r="B404" s="3"/>
      <c r="C404" s="3"/>
      <c r="D404" s="3"/>
      <c r="E404" s="3"/>
      <c r="F404" s="3"/>
      <c r="G404" s="3"/>
      <c r="H404" s="3"/>
      <c r="I404" s="3"/>
      <c r="J404" s="3"/>
      <c r="K404" s="3"/>
      <c r="L404" s="3"/>
      <c r="M404" s="3"/>
      <c r="N404" s="3"/>
      <c r="O404" s="3"/>
      <c r="P404" s="3"/>
      <c r="Q404" s="3"/>
      <c r="R404" s="3"/>
      <c r="S404" s="3"/>
      <c r="T404" s="3"/>
      <c r="U404" s="3"/>
      <c r="V404" s="3"/>
      <c r="W404" s="3"/>
      <c r="X404" s="3"/>
      <c r="Y404" s="3"/>
      <c r="Z404" s="3"/>
      <c r="AA404" s="3"/>
      <c r="AB404" s="3"/>
      <c r="AC404" s="3"/>
      <c r="AD404" s="3"/>
    </row>
    <row r="405" spans="1:30" s="7" customFormat="1" x14ac:dyDescent="0.25">
      <c r="A405" s="3"/>
      <c r="B405" s="3"/>
      <c r="C405" s="3"/>
      <c r="D405" s="3"/>
      <c r="E405" s="3"/>
      <c r="F405" s="3"/>
      <c r="G405" s="3"/>
      <c r="H405" s="3"/>
      <c r="I405" s="3"/>
      <c r="J405" s="3"/>
      <c r="K405" s="3"/>
      <c r="L405" s="3"/>
      <c r="M405" s="3"/>
      <c r="N405" s="3"/>
      <c r="O405" s="3"/>
      <c r="P405" s="3"/>
      <c r="Q405" s="3"/>
      <c r="R405" s="3"/>
      <c r="S405" s="3"/>
      <c r="T405" s="3"/>
      <c r="U405" s="3"/>
      <c r="V405" s="3"/>
      <c r="W405" s="3"/>
      <c r="X405" s="3"/>
      <c r="Y405" s="3"/>
      <c r="Z405" s="3"/>
      <c r="AA405" s="3"/>
      <c r="AB405" s="3"/>
      <c r="AC405" s="3"/>
      <c r="AD405" s="3"/>
    </row>
    <row r="406" spans="1:30" s="7" customFormat="1" x14ac:dyDescent="0.25">
      <c r="A406" s="3"/>
      <c r="B406" s="3"/>
      <c r="C406" s="3"/>
      <c r="D406" s="3"/>
      <c r="E406" s="3"/>
      <c r="F406" s="3"/>
      <c r="G406" s="3"/>
      <c r="H406" s="3"/>
      <c r="I406" s="3"/>
      <c r="J406" s="3"/>
      <c r="K406" s="3"/>
      <c r="L406" s="3"/>
      <c r="M406" s="3"/>
      <c r="N406" s="3"/>
      <c r="O406" s="3"/>
      <c r="P406" s="3"/>
      <c r="Q406" s="3"/>
      <c r="R406" s="3"/>
      <c r="S406" s="3"/>
      <c r="T406" s="3"/>
      <c r="U406" s="3"/>
      <c r="V406" s="3"/>
      <c r="W406" s="3"/>
      <c r="X406" s="3"/>
      <c r="Y406" s="3"/>
      <c r="Z406" s="3"/>
      <c r="AA406" s="3"/>
      <c r="AB406" s="3"/>
      <c r="AC406" s="3"/>
      <c r="AD406" s="3"/>
    </row>
    <row r="407" spans="1:30" s="7" customFormat="1" x14ac:dyDescent="0.25">
      <c r="A407" s="3"/>
      <c r="B407" s="3"/>
      <c r="C407" s="3"/>
      <c r="D407" s="3"/>
      <c r="E407" s="3"/>
      <c r="F407" s="3"/>
      <c r="G407" s="3"/>
      <c r="H407" s="3"/>
      <c r="I407" s="3"/>
      <c r="J407" s="3"/>
      <c r="K407" s="3"/>
      <c r="L407" s="3"/>
      <c r="M407" s="3"/>
      <c r="N407" s="3"/>
      <c r="O407" s="3"/>
      <c r="P407" s="3"/>
      <c r="Q407" s="3"/>
      <c r="R407" s="3"/>
      <c r="S407" s="3"/>
      <c r="T407" s="3"/>
      <c r="U407" s="3"/>
      <c r="V407" s="3"/>
      <c r="W407" s="3"/>
      <c r="X407" s="3"/>
      <c r="Y407" s="3"/>
      <c r="Z407" s="3"/>
      <c r="AA407" s="3"/>
      <c r="AB407" s="3"/>
      <c r="AC407" s="3"/>
      <c r="AD407" s="3"/>
    </row>
    <row r="408" spans="1:30" s="7" customFormat="1" x14ac:dyDescent="0.25">
      <c r="A408" s="3"/>
      <c r="B408" s="3"/>
      <c r="C408" s="3"/>
      <c r="D408" s="3"/>
      <c r="E408" s="3"/>
      <c r="F408" s="3"/>
      <c r="G408" s="3"/>
      <c r="H408" s="3"/>
      <c r="I408" s="3"/>
      <c r="J408" s="3"/>
      <c r="K408" s="3"/>
      <c r="L408" s="3"/>
      <c r="M408" s="3"/>
      <c r="N408" s="3"/>
      <c r="O408" s="3"/>
      <c r="P408" s="3"/>
      <c r="Q408" s="3"/>
      <c r="R408" s="3"/>
      <c r="S408" s="3"/>
      <c r="T408" s="3"/>
      <c r="U408" s="3"/>
      <c r="V408" s="3"/>
      <c r="W408" s="3"/>
      <c r="X408" s="3"/>
      <c r="Y408" s="3"/>
      <c r="Z408" s="3"/>
      <c r="AA408" s="3"/>
      <c r="AB408" s="3"/>
      <c r="AC408" s="3"/>
      <c r="AD408" s="3"/>
    </row>
    <row r="409" spans="1:30" s="7" customFormat="1" x14ac:dyDescent="0.25">
      <c r="A409" s="3"/>
      <c r="B409" s="3"/>
      <c r="C409" s="3"/>
      <c r="D409" s="3"/>
      <c r="E409" s="3"/>
      <c r="F409" s="3"/>
      <c r="G409" s="3"/>
      <c r="H409" s="3"/>
      <c r="I409" s="3"/>
      <c r="J409" s="3"/>
      <c r="K409" s="3"/>
      <c r="L409" s="3"/>
      <c r="M409" s="3"/>
      <c r="N409" s="3"/>
      <c r="O409" s="3"/>
      <c r="P409" s="3"/>
      <c r="Q409" s="3"/>
      <c r="R409" s="3"/>
      <c r="S409" s="3"/>
      <c r="T409" s="3"/>
      <c r="U409" s="3"/>
      <c r="V409" s="3"/>
      <c r="W409" s="3"/>
      <c r="X409" s="3"/>
      <c r="Y409" s="3"/>
      <c r="Z409" s="3"/>
      <c r="AA409" s="3"/>
      <c r="AB409" s="3"/>
      <c r="AC409" s="3"/>
      <c r="AD409" s="3"/>
    </row>
    <row r="410" spans="1:30" s="7" customFormat="1" x14ac:dyDescent="0.25">
      <c r="A410" s="3"/>
      <c r="B410" s="3"/>
      <c r="C410" s="3"/>
      <c r="D410" s="3"/>
      <c r="E410" s="3"/>
      <c r="F410" s="3"/>
      <c r="G410" s="3"/>
      <c r="H410" s="3"/>
      <c r="I410" s="3"/>
      <c r="J410" s="3"/>
      <c r="K410" s="3"/>
      <c r="L410" s="3"/>
      <c r="M410" s="3"/>
      <c r="N410" s="3"/>
      <c r="O410" s="3"/>
      <c r="P410" s="3"/>
      <c r="Q410" s="3"/>
      <c r="R410" s="3"/>
      <c r="S410" s="3"/>
      <c r="T410" s="3"/>
      <c r="U410" s="3"/>
      <c r="V410" s="3"/>
      <c r="W410" s="3"/>
      <c r="X410" s="3"/>
      <c r="Y410" s="3"/>
      <c r="Z410" s="3"/>
      <c r="AA410" s="3"/>
      <c r="AB410" s="3"/>
      <c r="AC410" s="3"/>
      <c r="AD410" s="3"/>
    </row>
    <row r="411" spans="1:30" s="7" customFormat="1" x14ac:dyDescent="0.25">
      <c r="A411" s="3"/>
      <c r="B411" s="3"/>
      <c r="C411" s="3"/>
      <c r="D411" s="3"/>
      <c r="E411" s="3"/>
      <c r="F411" s="3"/>
      <c r="G411" s="3"/>
      <c r="H411" s="3"/>
      <c r="I411" s="3"/>
      <c r="J411" s="3"/>
      <c r="K411" s="3"/>
      <c r="L411" s="3"/>
      <c r="M411" s="3"/>
      <c r="N411" s="3"/>
      <c r="O411" s="3"/>
      <c r="P411" s="3"/>
      <c r="Q411" s="3"/>
      <c r="R411" s="3"/>
      <c r="S411" s="3"/>
      <c r="T411" s="3"/>
      <c r="U411" s="3"/>
      <c r="V411" s="3"/>
      <c r="W411" s="3"/>
      <c r="X411" s="3"/>
      <c r="Y411" s="3"/>
      <c r="Z411" s="3"/>
      <c r="AA411" s="3"/>
      <c r="AB411" s="3"/>
      <c r="AC411" s="3"/>
      <c r="AD411" s="3"/>
    </row>
    <row r="412" spans="1:30" s="7" customFormat="1" x14ac:dyDescent="0.25">
      <c r="A412" s="3"/>
      <c r="B412" s="3"/>
      <c r="C412" s="3"/>
      <c r="D412" s="3"/>
      <c r="E412" s="3"/>
      <c r="F412" s="3"/>
      <c r="G412" s="3"/>
      <c r="H412" s="3"/>
      <c r="I412" s="3"/>
      <c r="J412" s="3"/>
      <c r="K412" s="3"/>
      <c r="L412" s="3"/>
      <c r="M412" s="3"/>
      <c r="N412" s="3"/>
      <c r="O412" s="3"/>
      <c r="P412" s="3"/>
      <c r="Q412" s="3"/>
      <c r="R412" s="3"/>
      <c r="S412" s="3"/>
      <c r="T412" s="3"/>
      <c r="U412" s="3"/>
      <c r="V412" s="3"/>
      <c r="W412" s="3"/>
      <c r="X412" s="3"/>
      <c r="Y412" s="3"/>
      <c r="Z412" s="3"/>
      <c r="AA412" s="3"/>
      <c r="AB412" s="3"/>
      <c r="AC412" s="3"/>
      <c r="AD412" s="3"/>
    </row>
    <row r="413" spans="1:30" s="7" customFormat="1" x14ac:dyDescent="0.25">
      <c r="A413" s="3"/>
      <c r="B413" s="3"/>
      <c r="C413" s="3"/>
      <c r="D413" s="3"/>
      <c r="E413" s="3"/>
      <c r="F413" s="3"/>
      <c r="G413" s="3"/>
      <c r="H413" s="3"/>
      <c r="I413" s="3"/>
      <c r="J413" s="3"/>
      <c r="K413" s="3"/>
      <c r="L413" s="3"/>
      <c r="M413" s="3"/>
      <c r="N413" s="3"/>
      <c r="O413" s="3"/>
      <c r="P413" s="3"/>
      <c r="Q413" s="3"/>
      <c r="R413" s="3"/>
      <c r="S413" s="3"/>
      <c r="T413" s="3"/>
      <c r="U413" s="3"/>
      <c r="V413" s="3"/>
      <c r="W413" s="3"/>
      <c r="X413" s="3"/>
      <c r="Y413" s="3"/>
      <c r="Z413" s="3"/>
      <c r="AA413" s="3"/>
      <c r="AB413" s="3"/>
      <c r="AC413" s="3"/>
      <c r="AD413" s="3"/>
    </row>
    <row r="414" spans="1:30" s="7" customFormat="1" x14ac:dyDescent="0.25">
      <c r="A414" s="3"/>
      <c r="B414" s="3"/>
      <c r="C414" s="3"/>
      <c r="D414" s="3"/>
      <c r="E414" s="3"/>
      <c r="F414" s="3"/>
      <c r="G414" s="3"/>
      <c r="H414" s="3"/>
      <c r="I414" s="3"/>
      <c r="J414" s="3"/>
      <c r="K414" s="3"/>
      <c r="L414" s="3"/>
      <c r="M414" s="3"/>
      <c r="N414" s="3"/>
      <c r="O414" s="3"/>
      <c r="P414" s="3"/>
      <c r="Q414" s="3"/>
      <c r="R414" s="3"/>
      <c r="S414" s="3"/>
      <c r="T414" s="3"/>
      <c r="U414" s="3"/>
      <c r="V414" s="3"/>
      <c r="W414" s="3"/>
      <c r="X414" s="3"/>
      <c r="Y414" s="3"/>
      <c r="Z414" s="3"/>
      <c r="AA414" s="3"/>
      <c r="AB414" s="3"/>
      <c r="AC414" s="3"/>
      <c r="AD414" s="3"/>
    </row>
    <row r="415" spans="1:30" s="7" customFormat="1" x14ac:dyDescent="0.25">
      <c r="A415" s="3"/>
      <c r="B415" s="3"/>
      <c r="C415" s="3"/>
      <c r="D415" s="3"/>
      <c r="E415" s="3"/>
      <c r="F415" s="3"/>
      <c r="G415" s="3"/>
      <c r="H415" s="3"/>
      <c r="I415" s="3"/>
      <c r="J415" s="3"/>
      <c r="K415" s="3"/>
      <c r="L415" s="3"/>
      <c r="M415" s="3"/>
      <c r="N415" s="3"/>
      <c r="O415" s="3"/>
      <c r="P415" s="3"/>
      <c r="Q415" s="3"/>
      <c r="R415" s="3"/>
      <c r="S415" s="3"/>
      <c r="T415" s="3"/>
      <c r="U415" s="3"/>
      <c r="V415" s="3"/>
      <c r="W415" s="3"/>
      <c r="X415" s="3"/>
      <c r="Y415" s="3"/>
      <c r="Z415" s="3"/>
      <c r="AA415" s="3"/>
      <c r="AB415" s="3"/>
      <c r="AC415" s="3"/>
      <c r="AD415" s="3"/>
    </row>
    <row r="416" spans="1:30" s="7" customFormat="1" x14ac:dyDescent="0.25">
      <c r="A416" s="3"/>
      <c r="B416" s="3"/>
      <c r="C416" s="3"/>
      <c r="D416" s="3"/>
      <c r="E416" s="3"/>
      <c r="F416" s="3"/>
      <c r="G416" s="3"/>
      <c r="H416" s="3"/>
      <c r="I416" s="3"/>
      <c r="J416" s="3"/>
      <c r="K416" s="3"/>
      <c r="L416" s="3"/>
      <c r="M416" s="3"/>
      <c r="N416" s="3"/>
      <c r="O416" s="3"/>
      <c r="P416" s="3"/>
      <c r="Q416" s="3"/>
      <c r="R416" s="3"/>
      <c r="S416" s="3"/>
      <c r="T416" s="3"/>
      <c r="U416" s="3"/>
      <c r="V416" s="3"/>
      <c r="W416" s="3"/>
      <c r="X416" s="3"/>
      <c r="Y416" s="3"/>
      <c r="Z416" s="3"/>
      <c r="AA416" s="3"/>
      <c r="AB416" s="3"/>
      <c r="AC416" s="3"/>
      <c r="AD416" s="3"/>
    </row>
    <row r="417" spans="1:30" s="7" customFormat="1" x14ac:dyDescent="0.25">
      <c r="A417" s="3"/>
      <c r="B417" s="3"/>
      <c r="C417" s="3"/>
      <c r="D417" s="3"/>
      <c r="E417" s="3"/>
      <c r="F417" s="3"/>
      <c r="G417" s="3"/>
      <c r="H417" s="3"/>
      <c r="I417" s="3"/>
      <c r="J417" s="3"/>
      <c r="K417" s="3"/>
      <c r="L417" s="3"/>
      <c r="M417" s="3"/>
      <c r="N417" s="3"/>
      <c r="O417" s="3"/>
      <c r="P417" s="3"/>
      <c r="Q417" s="3"/>
      <c r="R417" s="3"/>
      <c r="S417" s="3"/>
      <c r="T417" s="3"/>
      <c r="U417" s="3"/>
      <c r="V417" s="3"/>
      <c r="W417" s="3"/>
      <c r="X417" s="3"/>
      <c r="Y417" s="3"/>
      <c r="Z417" s="3"/>
      <c r="AA417" s="3"/>
      <c r="AB417" s="3"/>
      <c r="AC417" s="3"/>
      <c r="AD417" s="3"/>
    </row>
    <row r="418" spans="1:30" s="7" customFormat="1" x14ac:dyDescent="0.25">
      <c r="A418" s="3"/>
      <c r="B418" s="3"/>
      <c r="C418" s="3"/>
      <c r="D418" s="3"/>
      <c r="E418" s="3"/>
      <c r="F418" s="3"/>
      <c r="G418" s="3"/>
      <c r="H418" s="3"/>
      <c r="I418" s="3"/>
      <c r="J418" s="3"/>
      <c r="K418" s="3"/>
      <c r="L418" s="3"/>
      <c r="M418" s="3"/>
      <c r="N418" s="3"/>
      <c r="O418" s="3"/>
      <c r="P418" s="3"/>
      <c r="Q418" s="3"/>
      <c r="R418" s="3"/>
      <c r="S418" s="3"/>
      <c r="T418" s="3"/>
      <c r="U418" s="3"/>
      <c r="V418" s="3"/>
      <c r="W418" s="3"/>
      <c r="X418" s="3"/>
      <c r="Y418" s="3"/>
      <c r="Z418" s="3"/>
      <c r="AA418" s="3"/>
      <c r="AB418" s="3"/>
      <c r="AC418" s="3"/>
      <c r="AD418" s="3"/>
    </row>
    <row r="419" spans="1:30" s="7" customFormat="1" x14ac:dyDescent="0.25">
      <c r="A419" s="3"/>
      <c r="B419" s="3"/>
      <c r="C419" s="3"/>
      <c r="D419" s="3"/>
      <c r="E419" s="3"/>
      <c r="F419" s="3"/>
      <c r="G419" s="3"/>
      <c r="H419" s="3"/>
      <c r="I419" s="3"/>
      <c r="J419" s="3"/>
      <c r="K419" s="3"/>
      <c r="L419" s="3"/>
      <c r="M419" s="3"/>
      <c r="N419" s="3"/>
      <c r="O419" s="3"/>
      <c r="P419" s="3"/>
      <c r="Q419" s="3"/>
      <c r="R419" s="3"/>
      <c r="S419" s="3"/>
      <c r="T419" s="3"/>
      <c r="U419" s="3"/>
      <c r="V419" s="3"/>
      <c r="W419" s="3"/>
      <c r="X419" s="3"/>
      <c r="Y419" s="3"/>
      <c r="Z419" s="3"/>
      <c r="AA419" s="3"/>
      <c r="AB419" s="3"/>
      <c r="AC419" s="3"/>
      <c r="AD419" s="3"/>
    </row>
    <row r="420" spans="1:30" s="7" customFormat="1" x14ac:dyDescent="0.25">
      <c r="A420" s="3"/>
      <c r="B420" s="3"/>
      <c r="C420" s="3"/>
      <c r="D420" s="3"/>
      <c r="E420" s="3"/>
      <c r="F420" s="3"/>
      <c r="G420" s="3"/>
      <c r="H420" s="3"/>
      <c r="I420" s="3"/>
      <c r="J420" s="3"/>
      <c r="K420" s="3"/>
      <c r="L420" s="3"/>
      <c r="M420" s="3"/>
      <c r="N420" s="3"/>
      <c r="O420" s="3"/>
      <c r="P420" s="3"/>
      <c r="Q420" s="3"/>
      <c r="R420" s="3"/>
      <c r="S420" s="3"/>
      <c r="T420" s="3"/>
      <c r="U420" s="3"/>
      <c r="V420" s="3"/>
      <c r="W420" s="3"/>
      <c r="X420" s="3"/>
      <c r="Y420" s="3"/>
      <c r="Z420" s="3"/>
      <c r="AA420" s="3"/>
      <c r="AB420" s="3"/>
      <c r="AC420" s="3"/>
      <c r="AD420" s="3"/>
    </row>
    <row r="421" spans="1:30" s="7" customFormat="1" x14ac:dyDescent="0.25">
      <c r="A421" s="3"/>
      <c r="B421" s="3"/>
      <c r="C421" s="3"/>
      <c r="D421" s="3"/>
      <c r="E421" s="3"/>
      <c r="F421" s="3"/>
      <c r="G421" s="3"/>
      <c r="H421" s="3"/>
      <c r="I421" s="3"/>
      <c r="J421" s="3"/>
      <c r="K421" s="3"/>
      <c r="L421" s="3"/>
      <c r="M421" s="3"/>
      <c r="N421" s="3"/>
      <c r="O421" s="3"/>
      <c r="P421" s="3"/>
      <c r="Q421" s="3"/>
      <c r="R421" s="3"/>
      <c r="S421" s="3"/>
      <c r="T421" s="3"/>
      <c r="U421" s="3"/>
      <c r="V421" s="3"/>
      <c r="W421" s="3"/>
      <c r="X421" s="3"/>
      <c r="Y421" s="3"/>
      <c r="Z421" s="3"/>
      <c r="AA421" s="3"/>
      <c r="AB421" s="3"/>
      <c r="AC421" s="3"/>
      <c r="AD421" s="3"/>
    </row>
    <row r="422" spans="1:30" s="7" customFormat="1" x14ac:dyDescent="0.25">
      <c r="A422" s="3"/>
      <c r="B422" s="3"/>
      <c r="C422" s="3"/>
      <c r="D422" s="3"/>
      <c r="E422" s="3"/>
      <c r="F422" s="3"/>
      <c r="G422" s="3"/>
      <c r="H422" s="3"/>
      <c r="I422" s="3"/>
      <c r="J422" s="3"/>
      <c r="K422" s="3"/>
      <c r="L422" s="3"/>
      <c r="M422" s="3"/>
      <c r="N422" s="3"/>
      <c r="O422" s="3"/>
      <c r="P422" s="3"/>
      <c r="Q422" s="3"/>
      <c r="R422" s="3"/>
      <c r="S422" s="3"/>
      <c r="T422" s="3"/>
      <c r="U422" s="3"/>
      <c r="V422" s="3"/>
      <c r="W422" s="3"/>
      <c r="X422" s="3"/>
      <c r="Y422" s="3"/>
      <c r="Z422" s="3"/>
      <c r="AA422" s="3"/>
      <c r="AB422" s="3"/>
      <c r="AC422" s="3"/>
      <c r="AD422" s="3"/>
    </row>
    <row r="423" spans="1:30" s="7" customFormat="1" x14ac:dyDescent="0.25">
      <c r="A423" s="3"/>
      <c r="B423" s="3"/>
      <c r="C423" s="3"/>
      <c r="D423" s="3"/>
      <c r="E423" s="3"/>
      <c r="F423" s="3"/>
      <c r="G423" s="3"/>
      <c r="H423" s="3"/>
      <c r="I423" s="3"/>
      <c r="J423" s="3"/>
      <c r="K423" s="3"/>
      <c r="L423" s="3"/>
      <c r="M423" s="3"/>
      <c r="N423" s="3"/>
      <c r="O423" s="3"/>
      <c r="P423" s="3"/>
      <c r="Q423" s="3"/>
      <c r="R423" s="3"/>
      <c r="S423" s="3"/>
      <c r="T423" s="3"/>
      <c r="U423" s="3"/>
      <c r="V423" s="3"/>
      <c r="W423" s="3"/>
      <c r="X423" s="3"/>
      <c r="Y423" s="3"/>
      <c r="Z423" s="3"/>
      <c r="AA423" s="3"/>
      <c r="AB423" s="3"/>
      <c r="AC423" s="3"/>
      <c r="AD423" s="3"/>
    </row>
    <row r="424" spans="1:30" s="7" customFormat="1" x14ac:dyDescent="0.25">
      <c r="A424" s="3"/>
      <c r="B424" s="3"/>
      <c r="C424" s="3"/>
      <c r="D424" s="3"/>
      <c r="E424" s="3"/>
      <c r="F424" s="3"/>
      <c r="G424" s="3"/>
      <c r="H424" s="3"/>
      <c r="I424" s="3"/>
      <c r="J424" s="3"/>
      <c r="K424" s="3"/>
      <c r="L424" s="3"/>
      <c r="M424" s="3"/>
      <c r="N424" s="3"/>
      <c r="O424" s="3"/>
      <c r="P424" s="3"/>
      <c r="Q424" s="3"/>
      <c r="R424" s="3"/>
      <c r="S424" s="3"/>
      <c r="T424" s="3"/>
      <c r="U424" s="3"/>
      <c r="V424" s="3"/>
      <c r="W424" s="3"/>
      <c r="X424" s="3"/>
      <c r="Y424" s="3"/>
      <c r="Z424" s="3"/>
      <c r="AA424" s="3"/>
      <c r="AB424" s="3"/>
      <c r="AC424" s="3"/>
      <c r="AD424" s="3"/>
    </row>
    <row r="425" spans="1:30" s="7" customFormat="1" x14ac:dyDescent="0.25">
      <c r="A425" s="3"/>
      <c r="B425" s="3"/>
      <c r="C425" s="3"/>
      <c r="D425" s="3"/>
      <c r="E425" s="3"/>
      <c r="F425" s="3"/>
      <c r="G425" s="3"/>
      <c r="H425" s="3"/>
      <c r="I425" s="3"/>
      <c r="J425" s="3"/>
      <c r="K425" s="3"/>
      <c r="L425" s="3"/>
      <c r="M425" s="3"/>
      <c r="N425" s="3"/>
      <c r="O425" s="3"/>
      <c r="P425" s="3"/>
      <c r="Q425" s="3"/>
      <c r="R425" s="3"/>
      <c r="S425" s="3"/>
      <c r="T425" s="3"/>
      <c r="U425" s="3"/>
      <c r="V425" s="3"/>
      <c r="W425" s="3"/>
      <c r="X425" s="3"/>
      <c r="Y425" s="3"/>
      <c r="Z425" s="3"/>
      <c r="AA425" s="3"/>
      <c r="AB425" s="3"/>
      <c r="AC425" s="3"/>
      <c r="AD425" s="3"/>
    </row>
    <row r="426" spans="1:30" s="7" customFormat="1" x14ac:dyDescent="0.25">
      <c r="A426" s="3"/>
      <c r="B426" s="3"/>
      <c r="C426" s="3"/>
      <c r="D426" s="3"/>
      <c r="E426" s="3"/>
      <c r="F426" s="3"/>
      <c r="G426" s="3"/>
      <c r="H426" s="3"/>
      <c r="I426" s="3"/>
      <c r="J426" s="3"/>
      <c r="K426" s="3"/>
      <c r="L426" s="3"/>
      <c r="M426" s="3"/>
      <c r="N426" s="3"/>
      <c r="O426" s="3"/>
      <c r="P426" s="3"/>
      <c r="Q426" s="3"/>
      <c r="R426" s="3"/>
      <c r="S426" s="3"/>
      <c r="T426" s="3"/>
      <c r="U426" s="3"/>
      <c r="V426" s="3"/>
      <c r="W426" s="3"/>
      <c r="X426" s="3"/>
      <c r="Y426" s="3"/>
      <c r="Z426" s="3"/>
      <c r="AA426" s="3"/>
      <c r="AB426" s="3"/>
      <c r="AC426" s="3"/>
      <c r="AD426" s="3"/>
    </row>
    <row r="427" spans="1:30" s="7" customFormat="1" x14ac:dyDescent="0.25">
      <c r="A427" s="3"/>
      <c r="B427" s="3"/>
      <c r="C427" s="3"/>
      <c r="D427" s="3"/>
      <c r="E427" s="3"/>
      <c r="F427" s="3"/>
      <c r="G427" s="3"/>
      <c r="H427" s="3"/>
      <c r="I427" s="3"/>
      <c r="J427" s="3"/>
      <c r="K427" s="3"/>
      <c r="L427" s="3"/>
      <c r="M427" s="3"/>
      <c r="N427" s="3"/>
      <c r="O427" s="3"/>
      <c r="P427" s="3"/>
      <c r="Q427" s="3"/>
      <c r="R427" s="3"/>
      <c r="S427" s="3"/>
      <c r="T427" s="3"/>
      <c r="U427" s="3"/>
      <c r="V427" s="3"/>
      <c r="W427" s="3"/>
      <c r="X427" s="3"/>
      <c r="Y427" s="3"/>
      <c r="Z427" s="3"/>
      <c r="AA427" s="3"/>
      <c r="AB427" s="3"/>
      <c r="AC427" s="3"/>
      <c r="AD427" s="3"/>
    </row>
    <row r="428" spans="1:30" s="7" customFormat="1" x14ac:dyDescent="0.25">
      <c r="A428" s="3"/>
      <c r="B428" s="3"/>
      <c r="C428" s="3"/>
      <c r="D428" s="3"/>
      <c r="E428" s="3"/>
      <c r="F428" s="3"/>
      <c r="G428" s="3"/>
      <c r="H428" s="3"/>
      <c r="I428" s="3"/>
      <c r="J428" s="3"/>
      <c r="K428" s="3"/>
      <c r="L428" s="3"/>
      <c r="M428" s="3"/>
      <c r="N428" s="3"/>
      <c r="O428" s="3"/>
      <c r="P428" s="3"/>
      <c r="Q428" s="3"/>
      <c r="R428" s="3"/>
      <c r="S428" s="3"/>
      <c r="T428" s="3"/>
      <c r="U428" s="3"/>
      <c r="V428" s="3"/>
      <c r="W428" s="3"/>
      <c r="X428" s="3"/>
      <c r="Y428" s="3"/>
      <c r="Z428" s="3"/>
      <c r="AA428" s="3"/>
      <c r="AB428" s="3"/>
      <c r="AC428" s="3"/>
      <c r="AD428" s="3"/>
    </row>
    <row r="429" spans="1:30" s="7" customFormat="1" x14ac:dyDescent="0.25">
      <c r="A429" s="3"/>
      <c r="B429" s="3"/>
      <c r="C429" s="3"/>
      <c r="D429" s="3"/>
      <c r="E429" s="3"/>
      <c r="F429" s="3"/>
      <c r="G429" s="3"/>
      <c r="H429" s="3"/>
      <c r="I429" s="3"/>
      <c r="J429" s="3"/>
      <c r="K429" s="3"/>
      <c r="L429" s="3"/>
      <c r="M429" s="3"/>
      <c r="N429" s="3"/>
      <c r="O429" s="3"/>
      <c r="P429" s="3"/>
      <c r="Q429" s="3"/>
      <c r="R429" s="3"/>
      <c r="S429" s="3"/>
      <c r="T429" s="3"/>
      <c r="U429" s="3"/>
      <c r="V429" s="3"/>
      <c r="W429" s="3"/>
      <c r="X429" s="3"/>
      <c r="Y429" s="3"/>
      <c r="Z429" s="3"/>
      <c r="AA429" s="3"/>
      <c r="AB429" s="3"/>
      <c r="AC429" s="3"/>
      <c r="AD429" s="3"/>
    </row>
    <row r="430" spans="1:30" s="7" customFormat="1" x14ac:dyDescent="0.25">
      <c r="A430" s="3"/>
      <c r="B430" s="3"/>
      <c r="C430" s="3"/>
      <c r="D430" s="3"/>
      <c r="E430" s="3"/>
      <c r="F430" s="3"/>
      <c r="G430" s="3"/>
      <c r="H430" s="3"/>
      <c r="I430" s="3"/>
      <c r="J430" s="3"/>
      <c r="K430" s="3"/>
      <c r="L430" s="3"/>
      <c r="M430" s="3"/>
      <c r="N430" s="3"/>
      <c r="O430" s="3"/>
      <c r="P430" s="3"/>
      <c r="Q430" s="3"/>
      <c r="R430" s="3"/>
      <c r="S430" s="3"/>
      <c r="T430" s="3"/>
      <c r="U430" s="3"/>
      <c r="V430" s="3"/>
      <c r="W430" s="3"/>
      <c r="X430" s="3"/>
      <c r="Y430" s="3"/>
      <c r="Z430" s="3"/>
      <c r="AA430" s="3"/>
      <c r="AB430" s="3"/>
      <c r="AC430" s="3"/>
      <c r="AD430" s="3"/>
    </row>
    <row r="431" spans="1:30" s="7" customFormat="1" x14ac:dyDescent="0.25">
      <c r="A431" s="3"/>
      <c r="B431" s="3"/>
      <c r="C431" s="3"/>
      <c r="D431" s="3"/>
      <c r="E431" s="3"/>
      <c r="F431" s="3"/>
      <c r="G431" s="3"/>
      <c r="H431" s="3"/>
      <c r="I431" s="3"/>
      <c r="J431" s="3"/>
      <c r="K431" s="3"/>
      <c r="L431" s="3"/>
      <c r="M431" s="3"/>
      <c r="N431" s="3"/>
      <c r="O431" s="3"/>
      <c r="P431" s="3"/>
      <c r="Q431" s="3"/>
      <c r="R431" s="3"/>
      <c r="S431" s="3"/>
      <c r="T431" s="3"/>
      <c r="U431" s="3"/>
      <c r="V431" s="3"/>
      <c r="W431" s="3"/>
      <c r="X431" s="3"/>
      <c r="Y431" s="3"/>
      <c r="Z431" s="3"/>
      <c r="AA431" s="3"/>
      <c r="AB431" s="3"/>
      <c r="AC431" s="3"/>
      <c r="AD431" s="3"/>
    </row>
    <row r="432" spans="1:30" s="7" customFormat="1" x14ac:dyDescent="0.25">
      <c r="A432" s="3"/>
      <c r="B432" s="3"/>
      <c r="C432" s="3"/>
      <c r="D432" s="3"/>
      <c r="E432" s="3"/>
      <c r="F432" s="3"/>
      <c r="G432" s="3"/>
      <c r="H432" s="3"/>
      <c r="I432" s="3"/>
      <c r="J432" s="3"/>
      <c r="K432" s="3"/>
      <c r="L432" s="3"/>
      <c r="M432" s="3"/>
      <c r="N432" s="3"/>
      <c r="O432" s="3"/>
      <c r="P432" s="3"/>
      <c r="Q432" s="3"/>
      <c r="R432" s="3"/>
      <c r="S432" s="3"/>
      <c r="T432" s="3"/>
      <c r="U432" s="3"/>
      <c r="V432" s="3"/>
      <c r="W432" s="3"/>
      <c r="X432" s="3"/>
      <c r="Y432" s="3"/>
      <c r="Z432" s="3"/>
      <c r="AA432" s="3"/>
      <c r="AB432" s="3"/>
      <c r="AC432" s="3"/>
      <c r="AD432" s="3"/>
    </row>
    <row r="433" spans="1:30" s="7" customFormat="1" x14ac:dyDescent="0.25">
      <c r="A433" s="3"/>
      <c r="B433" s="3"/>
      <c r="C433" s="3"/>
      <c r="D433" s="3"/>
      <c r="E433" s="3"/>
      <c r="F433" s="3"/>
      <c r="G433" s="3"/>
      <c r="H433" s="3"/>
      <c r="I433" s="3"/>
      <c r="J433" s="3"/>
      <c r="K433" s="3"/>
      <c r="L433" s="3"/>
      <c r="M433" s="3"/>
      <c r="N433" s="3"/>
      <c r="O433" s="3"/>
      <c r="P433" s="3"/>
      <c r="Q433" s="3"/>
      <c r="R433" s="3"/>
      <c r="S433" s="3"/>
      <c r="T433" s="3"/>
      <c r="U433" s="3"/>
      <c r="V433" s="3"/>
      <c r="W433" s="3"/>
      <c r="X433" s="3"/>
      <c r="Y433" s="3"/>
      <c r="Z433" s="3"/>
      <c r="AA433" s="3"/>
      <c r="AB433" s="3"/>
      <c r="AC433" s="3"/>
      <c r="AD433" s="3"/>
    </row>
    <row r="434" spans="1:30" s="7" customFormat="1" x14ac:dyDescent="0.25">
      <c r="A434" s="3"/>
      <c r="B434" s="3"/>
      <c r="C434" s="3"/>
      <c r="D434" s="3"/>
      <c r="E434" s="3"/>
      <c r="F434" s="3"/>
      <c r="G434" s="3"/>
      <c r="H434" s="3"/>
      <c r="I434" s="3"/>
      <c r="J434" s="3"/>
      <c r="K434" s="3"/>
      <c r="L434" s="3"/>
      <c r="M434" s="3"/>
      <c r="N434" s="3"/>
      <c r="O434" s="3"/>
      <c r="P434" s="3"/>
      <c r="Q434" s="3"/>
      <c r="R434" s="3"/>
      <c r="S434" s="3"/>
      <c r="T434" s="3"/>
      <c r="U434" s="3"/>
      <c r="V434" s="3"/>
      <c r="W434" s="3"/>
      <c r="X434" s="3"/>
      <c r="Y434" s="3"/>
      <c r="Z434" s="3"/>
      <c r="AA434" s="3"/>
      <c r="AB434" s="3"/>
      <c r="AC434" s="3"/>
      <c r="AD434" s="3"/>
    </row>
    <row r="435" spans="1:30" s="7" customFormat="1" x14ac:dyDescent="0.25">
      <c r="A435" s="3"/>
      <c r="B435" s="3"/>
      <c r="C435" s="3"/>
      <c r="D435" s="3"/>
      <c r="E435" s="3"/>
      <c r="F435" s="3"/>
      <c r="G435" s="3"/>
      <c r="H435" s="3"/>
      <c r="I435" s="3"/>
      <c r="J435" s="3"/>
      <c r="K435" s="3"/>
      <c r="L435" s="3"/>
      <c r="M435" s="3"/>
      <c r="N435" s="3"/>
      <c r="O435" s="3"/>
      <c r="P435" s="3"/>
      <c r="Q435" s="3"/>
      <c r="R435" s="3"/>
      <c r="S435" s="3"/>
      <c r="T435" s="3"/>
      <c r="U435" s="3"/>
      <c r="V435" s="3"/>
      <c r="W435" s="3"/>
      <c r="X435" s="3"/>
      <c r="Y435" s="3"/>
      <c r="Z435" s="3"/>
      <c r="AA435" s="3"/>
      <c r="AB435" s="3"/>
      <c r="AC435" s="3"/>
      <c r="AD435" s="3"/>
    </row>
    <row r="436" spans="1:30" s="7" customFormat="1" x14ac:dyDescent="0.25">
      <c r="A436" s="3"/>
      <c r="B436" s="3"/>
      <c r="C436" s="3"/>
      <c r="D436" s="3"/>
      <c r="E436" s="3"/>
      <c r="F436" s="3"/>
      <c r="G436" s="3"/>
      <c r="H436" s="3"/>
      <c r="I436" s="3"/>
      <c r="J436" s="3"/>
      <c r="K436" s="3"/>
      <c r="L436" s="3"/>
      <c r="M436" s="3"/>
      <c r="N436" s="3"/>
      <c r="O436" s="3"/>
      <c r="P436" s="3"/>
      <c r="Q436" s="3"/>
      <c r="R436" s="3"/>
      <c r="S436" s="3"/>
      <c r="T436" s="3"/>
      <c r="U436" s="3"/>
      <c r="V436" s="3"/>
      <c r="W436" s="3"/>
      <c r="X436" s="3"/>
      <c r="Y436" s="3"/>
      <c r="Z436" s="3"/>
      <c r="AA436" s="3"/>
      <c r="AB436" s="3"/>
      <c r="AC436" s="3"/>
      <c r="AD436" s="3"/>
    </row>
    <row r="437" spans="1:30" s="7" customFormat="1" x14ac:dyDescent="0.25">
      <c r="A437" s="3"/>
      <c r="B437" s="3"/>
      <c r="C437" s="3"/>
      <c r="D437" s="3"/>
      <c r="E437" s="3"/>
      <c r="F437" s="3"/>
      <c r="G437" s="3"/>
      <c r="H437" s="3"/>
      <c r="I437" s="3"/>
      <c r="J437" s="3"/>
      <c r="K437" s="3"/>
      <c r="L437" s="3"/>
      <c r="M437" s="3"/>
      <c r="N437" s="3"/>
      <c r="O437" s="3"/>
      <c r="P437" s="3"/>
      <c r="Q437" s="3"/>
      <c r="R437" s="3"/>
      <c r="S437" s="3"/>
      <c r="T437" s="3"/>
      <c r="U437" s="3"/>
      <c r="V437" s="3"/>
      <c r="W437" s="3"/>
      <c r="X437" s="3"/>
      <c r="Y437" s="3"/>
      <c r="Z437" s="3"/>
      <c r="AA437" s="3"/>
      <c r="AB437" s="3"/>
      <c r="AC437" s="3"/>
      <c r="AD437" s="3"/>
    </row>
    <row r="438" spans="1:30" s="7" customFormat="1" x14ac:dyDescent="0.25">
      <c r="A438" s="3"/>
      <c r="B438" s="3"/>
      <c r="C438" s="3"/>
      <c r="D438" s="3"/>
      <c r="E438" s="3"/>
      <c r="F438" s="3"/>
      <c r="G438" s="3"/>
      <c r="H438" s="3"/>
      <c r="I438" s="3"/>
      <c r="J438" s="3"/>
      <c r="K438" s="3"/>
      <c r="L438" s="3"/>
      <c r="M438" s="3"/>
      <c r="N438" s="3"/>
      <c r="O438" s="3"/>
      <c r="P438" s="3"/>
      <c r="Q438" s="3"/>
      <c r="R438" s="3"/>
      <c r="S438" s="3"/>
      <c r="T438" s="3"/>
      <c r="U438" s="3"/>
      <c r="V438" s="3"/>
      <c r="W438" s="3"/>
      <c r="X438" s="3"/>
      <c r="Y438" s="3"/>
      <c r="Z438" s="3"/>
      <c r="AA438" s="3"/>
      <c r="AB438" s="3"/>
      <c r="AC438" s="3"/>
      <c r="AD438" s="3"/>
    </row>
    <row r="439" spans="1:30" s="7" customFormat="1" x14ac:dyDescent="0.25">
      <c r="A439" s="3"/>
      <c r="B439" s="3"/>
      <c r="C439" s="3"/>
      <c r="D439" s="3"/>
      <c r="E439" s="3"/>
      <c r="F439" s="3"/>
      <c r="G439" s="3"/>
      <c r="H439" s="3"/>
      <c r="I439" s="3"/>
      <c r="J439" s="3"/>
      <c r="K439" s="3"/>
      <c r="L439" s="3"/>
      <c r="M439" s="3"/>
      <c r="N439" s="3"/>
      <c r="O439" s="3"/>
      <c r="P439" s="3"/>
      <c r="Q439" s="3"/>
      <c r="R439" s="3"/>
      <c r="S439" s="3"/>
      <c r="T439" s="3"/>
      <c r="U439" s="3"/>
      <c r="V439" s="3"/>
      <c r="W439" s="3"/>
      <c r="X439" s="3"/>
      <c r="Y439" s="3"/>
      <c r="Z439" s="3"/>
      <c r="AA439" s="3"/>
      <c r="AB439" s="3"/>
      <c r="AC439" s="3"/>
      <c r="AD439" s="3"/>
    </row>
    <row r="440" spans="1:30" s="7" customFormat="1" x14ac:dyDescent="0.25">
      <c r="A440" s="3"/>
      <c r="B440" s="3"/>
      <c r="C440" s="3"/>
      <c r="D440" s="3"/>
      <c r="E440" s="3"/>
      <c r="F440" s="3"/>
      <c r="G440" s="3"/>
      <c r="H440" s="3"/>
      <c r="I440" s="3"/>
      <c r="J440" s="3"/>
      <c r="K440" s="3"/>
      <c r="L440" s="3"/>
      <c r="M440" s="3"/>
      <c r="N440" s="3"/>
      <c r="O440" s="3"/>
      <c r="P440" s="3"/>
      <c r="Q440" s="3"/>
      <c r="R440" s="3"/>
      <c r="S440" s="3"/>
      <c r="T440" s="3"/>
      <c r="U440" s="3"/>
      <c r="V440" s="3"/>
      <c r="W440" s="3"/>
      <c r="X440" s="3"/>
      <c r="Y440" s="3"/>
      <c r="Z440" s="3"/>
      <c r="AA440" s="3"/>
      <c r="AB440" s="3"/>
      <c r="AC440" s="3"/>
      <c r="AD440" s="3"/>
    </row>
    <row r="441" spans="1:30" s="7" customFormat="1" x14ac:dyDescent="0.25">
      <c r="A441" s="3"/>
      <c r="B441" s="3"/>
      <c r="C441" s="3"/>
      <c r="D441" s="3"/>
      <c r="E441" s="3"/>
      <c r="F441" s="3"/>
      <c r="G441" s="3"/>
      <c r="H441" s="3"/>
      <c r="I441" s="3"/>
      <c r="J441" s="3"/>
      <c r="K441" s="3"/>
      <c r="L441" s="3"/>
      <c r="M441" s="3"/>
      <c r="N441" s="3"/>
      <c r="O441" s="3"/>
      <c r="P441" s="3"/>
      <c r="Q441" s="3"/>
      <c r="R441" s="3"/>
      <c r="S441" s="3"/>
      <c r="T441" s="3"/>
      <c r="U441" s="3"/>
      <c r="V441" s="3"/>
      <c r="W441" s="3"/>
      <c r="X441" s="3"/>
      <c r="Y441" s="3"/>
      <c r="Z441" s="3"/>
      <c r="AA441" s="3"/>
      <c r="AB441" s="3"/>
      <c r="AC441" s="3"/>
      <c r="AD441" s="3"/>
    </row>
    <row r="442" spans="1:30" s="7" customFormat="1" x14ac:dyDescent="0.25">
      <c r="A442" s="3"/>
      <c r="B442" s="3"/>
      <c r="C442" s="3"/>
      <c r="D442" s="3"/>
      <c r="E442" s="3"/>
      <c r="F442" s="3"/>
      <c r="G442" s="3"/>
      <c r="H442" s="3"/>
      <c r="I442" s="3"/>
      <c r="J442" s="3"/>
      <c r="K442" s="3"/>
      <c r="L442" s="3"/>
      <c r="M442" s="3"/>
      <c r="N442" s="3"/>
      <c r="O442" s="3"/>
      <c r="P442" s="3"/>
      <c r="Q442" s="3"/>
      <c r="R442" s="3"/>
      <c r="S442" s="3"/>
      <c r="T442" s="3"/>
      <c r="U442" s="3"/>
      <c r="V442" s="3"/>
      <c r="W442" s="3"/>
      <c r="X442" s="3"/>
      <c r="Y442" s="3"/>
      <c r="Z442" s="3"/>
      <c r="AA442" s="3"/>
      <c r="AB442" s="3"/>
      <c r="AC442" s="3"/>
      <c r="AD442" s="3"/>
    </row>
    <row r="443" spans="1:30" s="7" customFormat="1" x14ac:dyDescent="0.25">
      <c r="A443" s="3"/>
      <c r="B443" s="3"/>
      <c r="C443" s="3"/>
      <c r="D443" s="3"/>
      <c r="E443" s="3"/>
      <c r="F443" s="3"/>
      <c r="G443" s="3"/>
      <c r="H443" s="3"/>
      <c r="I443" s="3"/>
      <c r="J443" s="3"/>
      <c r="K443" s="3"/>
      <c r="L443" s="3"/>
      <c r="M443" s="3"/>
      <c r="N443" s="3"/>
      <c r="O443" s="3"/>
      <c r="P443" s="3"/>
      <c r="Q443" s="3"/>
      <c r="R443" s="3"/>
      <c r="S443" s="3"/>
      <c r="T443" s="3"/>
      <c r="U443" s="3"/>
      <c r="V443" s="3"/>
      <c r="W443" s="3"/>
      <c r="X443" s="3"/>
      <c r="Y443" s="3"/>
      <c r="Z443" s="3"/>
      <c r="AA443" s="3"/>
      <c r="AB443" s="3"/>
      <c r="AC443" s="3"/>
      <c r="AD443" s="3"/>
    </row>
    <row r="444" spans="1:30" s="7" customFormat="1" x14ac:dyDescent="0.25">
      <c r="A444" s="3"/>
      <c r="B444" s="3"/>
      <c r="C444" s="3"/>
      <c r="D444" s="3"/>
      <c r="E444" s="3"/>
      <c r="F444" s="3"/>
      <c r="G444" s="3"/>
      <c r="H444" s="3"/>
      <c r="I444" s="3"/>
      <c r="J444" s="3"/>
      <c r="K444" s="3"/>
      <c r="L444" s="3"/>
      <c r="M444" s="3"/>
      <c r="N444" s="3"/>
      <c r="O444" s="3"/>
      <c r="P444" s="3"/>
      <c r="Q444" s="3"/>
      <c r="R444" s="3"/>
      <c r="S444" s="3"/>
      <c r="T444" s="3"/>
      <c r="U444" s="3"/>
      <c r="V444" s="3"/>
      <c r="W444" s="3"/>
      <c r="X444" s="3"/>
      <c r="Y444" s="3"/>
      <c r="Z444" s="3"/>
      <c r="AA444" s="3"/>
      <c r="AB444" s="3"/>
      <c r="AC444" s="3"/>
      <c r="AD444" s="3"/>
    </row>
    <row r="445" spans="1:30" s="7" customFormat="1" x14ac:dyDescent="0.25">
      <c r="A445" s="3"/>
      <c r="B445" s="3"/>
      <c r="C445" s="3"/>
      <c r="D445" s="3"/>
      <c r="E445" s="3"/>
      <c r="F445" s="3"/>
      <c r="G445" s="3"/>
      <c r="H445" s="3"/>
      <c r="I445" s="3"/>
      <c r="J445" s="3"/>
      <c r="K445" s="3"/>
      <c r="L445" s="3"/>
      <c r="M445" s="3"/>
      <c r="N445" s="3"/>
      <c r="O445" s="3"/>
      <c r="P445" s="3"/>
      <c r="Q445" s="3"/>
      <c r="R445" s="3"/>
      <c r="S445" s="3"/>
      <c r="T445" s="3"/>
      <c r="U445" s="3"/>
      <c r="V445" s="3"/>
      <c r="W445" s="3"/>
      <c r="X445" s="3"/>
      <c r="Y445" s="3"/>
      <c r="Z445" s="3"/>
      <c r="AA445" s="3"/>
      <c r="AB445" s="3"/>
      <c r="AC445" s="3"/>
      <c r="AD445" s="3"/>
    </row>
    <row r="446" spans="1:30" s="7" customFormat="1" x14ac:dyDescent="0.25">
      <c r="A446" s="3"/>
      <c r="B446" s="3"/>
      <c r="C446" s="3"/>
      <c r="D446" s="3"/>
      <c r="E446" s="3"/>
      <c r="F446" s="3"/>
      <c r="G446" s="3"/>
      <c r="H446" s="3"/>
      <c r="I446" s="3"/>
      <c r="J446" s="3"/>
      <c r="K446" s="3"/>
      <c r="L446" s="3"/>
      <c r="M446" s="3"/>
      <c r="N446" s="3"/>
      <c r="O446" s="3"/>
      <c r="P446" s="3"/>
      <c r="Q446" s="3"/>
      <c r="R446" s="3"/>
      <c r="S446" s="3"/>
      <c r="T446" s="3"/>
      <c r="U446" s="3"/>
      <c r="V446" s="3"/>
      <c r="W446" s="3"/>
      <c r="X446" s="3"/>
      <c r="Y446" s="3"/>
      <c r="Z446" s="3"/>
      <c r="AA446" s="3"/>
      <c r="AB446" s="3"/>
      <c r="AC446" s="3"/>
      <c r="AD446" s="3"/>
    </row>
    <row r="447" spans="1:30" s="7" customFormat="1" x14ac:dyDescent="0.25">
      <c r="A447" s="3"/>
      <c r="B447" s="3"/>
      <c r="C447" s="3"/>
      <c r="D447" s="3"/>
      <c r="E447" s="3"/>
      <c r="F447" s="3"/>
      <c r="G447" s="3"/>
      <c r="H447" s="3"/>
      <c r="I447" s="3"/>
      <c r="J447" s="3"/>
      <c r="K447" s="3"/>
      <c r="L447" s="3"/>
      <c r="M447" s="3"/>
      <c r="N447" s="3"/>
      <c r="O447" s="3"/>
      <c r="P447" s="3"/>
      <c r="Q447" s="3"/>
      <c r="R447" s="3"/>
      <c r="S447" s="3"/>
      <c r="T447" s="3"/>
      <c r="U447" s="3"/>
      <c r="V447" s="3"/>
      <c r="W447" s="3"/>
      <c r="X447" s="3"/>
      <c r="Y447" s="3"/>
      <c r="Z447" s="3"/>
      <c r="AA447" s="3"/>
      <c r="AB447" s="3"/>
      <c r="AC447" s="3"/>
      <c r="AD447" s="3"/>
    </row>
    <row r="448" spans="1:30" s="7" customFormat="1" x14ac:dyDescent="0.25">
      <c r="A448" s="3"/>
      <c r="B448" s="3"/>
      <c r="C448" s="3"/>
      <c r="D448" s="3"/>
      <c r="E448" s="3"/>
      <c r="F448" s="3"/>
      <c r="G448" s="3"/>
      <c r="H448" s="3"/>
      <c r="I448" s="3"/>
      <c r="J448" s="3"/>
      <c r="K448" s="3"/>
      <c r="L448" s="3"/>
      <c r="M448" s="3"/>
      <c r="N448" s="3"/>
      <c r="O448" s="3"/>
      <c r="P448" s="3"/>
      <c r="Q448" s="3"/>
      <c r="R448" s="3"/>
      <c r="S448" s="3"/>
      <c r="T448" s="3"/>
      <c r="U448" s="3"/>
      <c r="V448" s="3"/>
      <c r="W448" s="3"/>
      <c r="X448" s="3"/>
      <c r="Y448" s="3"/>
      <c r="Z448" s="3"/>
      <c r="AA448" s="3"/>
      <c r="AB448" s="3"/>
      <c r="AC448" s="3"/>
      <c r="AD448" s="3"/>
    </row>
    <row r="449" spans="1:30" s="7" customFormat="1" x14ac:dyDescent="0.25">
      <c r="A449" s="3"/>
      <c r="B449" s="3"/>
      <c r="C449" s="3"/>
      <c r="D449" s="3"/>
      <c r="E449" s="3"/>
      <c r="F449" s="3"/>
      <c r="G449" s="3"/>
      <c r="H449" s="3"/>
      <c r="I449" s="3"/>
      <c r="J449" s="3"/>
      <c r="K449" s="3"/>
      <c r="L449" s="3"/>
      <c r="M449" s="3"/>
      <c r="N449" s="3"/>
      <c r="O449" s="3"/>
      <c r="P449" s="3"/>
      <c r="Q449" s="3"/>
      <c r="R449" s="3"/>
      <c r="S449" s="3"/>
      <c r="T449" s="3"/>
      <c r="U449" s="3"/>
      <c r="V449" s="3"/>
      <c r="W449" s="3"/>
      <c r="X449" s="3"/>
      <c r="Y449" s="3"/>
      <c r="Z449" s="3"/>
      <c r="AA449" s="3"/>
      <c r="AB449" s="3"/>
      <c r="AC449" s="3"/>
      <c r="AD449" s="3"/>
    </row>
    <row r="450" spans="1:30" s="7" customFormat="1" x14ac:dyDescent="0.25">
      <c r="A450" s="3"/>
      <c r="B450" s="3"/>
      <c r="C450" s="3"/>
      <c r="D450" s="3"/>
      <c r="E450" s="3"/>
      <c r="F450" s="3"/>
      <c r="G450" s="3"/>
      <c r="H450" s="3"/>
      <c r="I450" s="3"/>
      <c r="J450" s="3"/>
      <c r="K450" s="3"/>
      <c r="L450" s="3"/>
      <c r="M450" s="3"/>
      <c r="N450" s="3"/>
      <c r="O450" s="3"/>
      <c r="P450" s="3"/>
      <c r="Q450" s="3"/>
      <c r="R450" s="3"/>
      <c r="S450" s="3"/>
      <c r="T450" s="3"/>
      <c r="U450" s="3"/>
      <c r="V450" s="3"/>
      <c r="W450" s="3"/>
      <c r="X450" s="3"/>
      <c r="Y450" s="3"/>
      <c r="Z450" s="3"/>
      <c r="AA450" s="3"/>
      <c r="AB450" s="3"/>
      <c r="AC450" s="3"/>
      <c r="AD450" s="3"/>
    </row>
    <row r="451" spans="1:30" s="7" customFormat="1" x14ac:dyDescent="0.25">
      <c r="A451" s="3"/>
      <c r="B451" s="3"/>
      <c r="C451" s="3"/>
      <c r="D451" s="3"/>
      <c r="E451" s="3"/>
      <c r="F451" s="3"/>
      <c r="G451" s="3"/>
      <c r="H451" s="3"/>
      <c r="I451" s="3"/>
      <c r="J451" s="3"/>
      <c r="K451" s="3"/>
      <c r="L451" s="3"/>
      <c r="M451" s="3"/>
      <c r="N451" s="3"/>
      <c r="O451" s="3"/>
      <c r="P451" s="3"/>
      <c r="Q451" s="3"/>
      <c r="R451" s="3"/>
      <c r="S451" s="3"/>
      <c r="T451" s="3"/>
      <c r="U451" s="3"/>
      <c r="V451" s="3"/>
      <c r="W451" s="3"/>
      <c r="X451" s="3"/>
      <c r="Y451" s="3"/>
      <c r="Z451" s="3"/>
      <c r="AA451" s="3"/>
      <c r="AB451" s="3"/>
      <c r="AC451" s="3"/>
      <c r="AD451" s="3"/>
    </row>
    <row r="452" spans="1:30" s="7" customFormat="1" ht="33" customHeight="1" x14ac:dyDescent="0.25">
      <c r="A452" s="3"/>
      <c r="B452" s="3"/>
      <c r="C452" s="3"/>
      <c r="D452" s="3"/>
      <c r="E452" s="3"/>
      <c r="F452" s="3"/>
      <c r="G452" s="3"/>
      <c r="H452" s="3"/>
      <c r="I452" s="3"/>
      <c r="J452" s="3"/>
      <c r="K452" s="3"/>
      <c r="L452" s="3"/>
      <c r="M452" s="3"/>
      <c r="N452" s="3"/>
      <c r="O452" s="3"/>
      <c r="P452" s="3"/>
      <c r="Q452" s="3"/>
      <c r="R452" s="3"/>
      <c r="S452" s="3"/>
      <c r="T452" s="3"/>
      <c r="U452" s="3"/>
      <c r="V452" s="3"/>
      <c r="W452" s="3"/>
      <c r="X452" s="3"/>
      <c r="Y452" s="3"/>
      <c r="Z452" s="3"/>
      <c r="AA452" s="3"/>
      <c r="AB452" s="3"/>
      <c r="AC452" s="3"/>
      <c r="AD452" s="3"/>
    </row>
    <row r="453" spans="1:30" s="7" customFormat="1" x14ac:dyDescent="0.25">
      <c r="A453" s="3"/>
      <c r="B453" s="3"/>
      <c r="C453" s="3"/>
      <c r="D453" s="3"/>
      <c r="E453" s="3"/>
      <c r="F453" s="3"/>
      <c r="G453" s="3"/>
      <c r="H453" s="3"/>
      <c r="I453" s="3"/>
      <c r="J453" s="3"/>
      <c r="K453" s="3"/>
      <c r="L453" s="3"/>
      <c r="M453" s="3"/>
      <c r="N453" s="3"/>
      <c r="O453" s="3"/>
      <c r="P453" s="3"/>
      <c r="Q453" s="3"/>
      <c r="R453" s="3"/>
      <c r="S453" s="3"/>
      <c r="T453" s="3"/>
      <c r="U453" s="3"/>
      <c r="V453" s="3"/>
      <c r="W453" s="3"/>
      <c r="X453" s="3"/>
      <c r="Y453" s="3"/>
      <c r="Z453" s="3"/>
      <c r="AA453" s="3"/>
      <c r="AB453" s="3"/>
      <c r="AC453" s="3"/>
      <c r="AD453" s="3"/>
    </row>
    <row r="454" spans="1:30" s="10" customFormat="1" ht="105.75" customHeight="1" x14ac:dyDescent="0.25">
      <c r="A454" s="3"/>
      <c r="B454" s="3"/>
      <c r="C454" s="3"/>
      <c r="D454" s="3"/>
      <c r="E454" s="3"/>
      <c r="F454" s="3"/>
      <c r="G454" s="3"/>
      <c r="H454" s="3"/>
      <c r="I454" s="3"/>
      <c r="J454" s="3"/>
      <c r="K454" s="3"/>
      <c r="L454" s="3"/>
      <c r="M454" s="3"/>
      <c r="N454" s="3"/>
      <c r="O454" s="3"/>
      <c r="P454" s="3"/>
      <c r="Q454" s="3"/>
      <c r="R454" s="3"/>
      <c r="S454" s="3"/>
      <c r="T454" s="3"/>
      <c r="U454" s="3"/>
      <c r="V454" s="3"/>
      <c r="W454" s="3"/>
      <c r="X454" s="3"/>
      <c r="Y454" s="3"/>
      <c r="Z454" s="3"/>
      <c r="AA454" s="3"/>
      <c r="AB454" s="3"/>
      <c r="AC454" s="3"/>
      <c r="AD454" s="3"/>
    </row>
    <row r="455" spans="1:30" s="7" customFormat="1" x14ac:dyDescent="0.25">
      <c r="A455" s="3"/>
      <c r="B455" s="3"/>
      <c r="C455" s="3"/>
      <c r="D455" s="3"/>
      <c r="E455" s="3"/>
      <c r="F455" s="3"/>
      <c r="G455" s="3"/>
      <c r="H455" s="3"/>
      <c r="I455" s="3"/>
      <c r="J455" s="3"/>
      <c r="K455" s="3"/>
      <c r="L455" s="3"/>
      <c r="M455" s="3"/>
      <c r="N455" s="3"/>
      <c r="O455" s="3"/>
      <c r="P455" s="3"/>
      <c r="Q455" s="3"/>
      <c r="R455" s="3"/>
      <c r="S455" s="3"/>
      <c r="T455" s="3"/>
      <c r="U455" s="3"/>
      <c r="V455" s="3"/>
      <c r="W455" s="3"/>
      <c r="X455" s="3"/>
      <c r="Y455" s="3"/>
      <c r="Z455" s="3"/>
      <c r="AA455" s="3"/>
      <c r="AB455" s="3"/>
      <c r="AC455" s="3"/>
      <c r="AD455" s="3"/>
    </row>
    <row r="456" spans="1:30" s="7" customFormat="1" x14ac:dyDescent="0.25">
      <c r="A456" s="3"/>
      <c r="B456" s="3"/>
      <c r="C456" s="3"/>
      <c r="D456" s="3"/>
      <c r="E456" s="3"/>
      <c r="F456" s="3"/>
      <c r="G456" s="3"/>
      <c r="H456" s="3"/>
      <c r="I456" s="3"/>
      <c r="J456" s="3"/>
      <c r="K456" s="3"/>
      <c r="L456" s="3"/>
      <c r="M456" s="3"/>
      <c r="N456" s="3"/>
      <c r="O456" s="3"/>
      <c r="P456" s="3"/>
      <c r="Q456" s="3"/>
      <c r="R456" s="3"/>
      <c r="S456" s="3"/>
      <c r="T456" s="3"/>
      <c r="U456" s="3"/>
      <c r="V456" s="3"/>
      <c r="W456" s="3"/>
      <c r="X456" s="3"/>
      <c r="Y456" s="3"/>
      <c r="Z456" s="3"/>
      <c r="AA456" s="3"/>
      <c r="AB456" s="3"/>
      <c r="AC456" s="3"/>
      <c r="AD456" s="3"/>
    </row>
    <row r="457" spans="1:30" s="7" customFormat="1" x14ac:dyDescent="0.25">
      <c r="A457" s="3"/>
      <c r="B457" s="3"/>
      <c r="C457" s="3"/>
      <c r="D457" s="3"/>
      <c r="E457" s="3"/>
      <c r="F457" s="3"/>
      <c r="G457" s="3"/>
      <c r="H457" s="3"/>
      <c r="I457" s="3"/>
      <c r="J457" s="3"/>
      <c r="K457" s="3"/>
      <c r="L457" s="3"/>
      <c r="M457" s="3"/>
      <c r="N457" s="3"/>
      <c r="O457" s="3"/>
      <c r="P457" s="3"/>
      <c r="Q457" s="3"/>
      <c r="R457" s="3"/>
      <c r="S457" s="3"/>
      <c r="T457" s="3"/>
      <c r="U457" s="3"/>
      <c r="V457" s="3"/>
      <c r="W457" s="3"/>
      <c r="X457" s="3"/>
      <c r="Y457" s="3"/>
      <c r="Z457" s="3"/>
      <c r="AA457" s="3"/>
      <c r="AB457" s="3"/>
      <c r="AC457" s="3"/>
      <c r="AD457" s="3"/>
    </row>
    <row r="458" spans="1:30" s="7" customFormat="1" x14ac:dyDescent="0.25">
      <c r="A458" s="3"/>
      <c r="B458" s="3"/>
      <c r="C458" s="3"/>
      <c r="D458" s="3"/>
      <c r="E458" s="3"/>
      <c r="F458" s="3"/>
      <c r="G458" s="3"/>
      <c r="H458" s="3"/>
      <c r="I458" s="3"/>
      <c r="J458" s="3"/>
      <c r="K458" s="3"/>
      <c r="L458" s="3"/>
      <c r="M458" s="3"/>
      <c r="N458" s="3"/>
      <c r="O458" s="3"/>
      <c r="P458" s="3"/>
      <c r="Q458" s="3"/>
      <c r="R458" s="3"/>
      <c r="S458" s="3"/>
      <c r="T458" s="3"/>
      <c r="U458" s="3"/>
      <c r="V458" s="3"/>
      <c r="W458" s="3"/>
      <c r="X458" s="3"/>
      <c r="Y458" s="3"/>
      <c r="Z458" s="3"/>
      <c r="AA458" s="3"/>
      <c r="AB458" s="3"/>
      <c r="AC458" s="3"/>
      <c r="AD458" s="3"/>
    </row>
    <row r="459" spans="1:30" s="7" customFormat="1" x14ac:dyDescent="0.25">
      <c r="A459" s="3"/>
      <c r="B459" s="3"/>
      <c r="C459" s="3"/>
      <c r="D459" s="3"/>
      <c r="E459" s="3"/>
      <c r="F459" s="3"/>
      <c r="G459" s="3"/>
      <c r="H459" s="3"/>
      <c r="I459" s="3"/>
      <c r="J459" s="3"/>
      <c r="K459" s="3"/>
      <c r="L459" s="3"/>
      <c r="M459" s="3"/>
      <c r="N459" s="3"/>
      <c r="O459" s="3"/>
      <c r="P459" s="3"/>
      <c r="Q459" s="3"/>
      <c r="R459" s="3"/>
      <c r="S459" s="3"/>
      <c r="T459" s="3"/>
      <c r="U459" s="3"/>
      <c r="V459" s="3"/>
      <c r="W459" s="3"/>
      <c r="X459" s="3"/>
      <c r="Y459" s="3"/>
      <c r="Z459" s="3"/>
      <c r="AA459" s="3"/>
      <c r="AB459" s="3"/>
      <c r="AC459" s="3"/>
      <c r="AD459" s="3"/>
    </row>
    <row r="460" spans="1:30" s="7" customFormat="1" x14ac:dyDescent="0.25">
      <c r="A460" s="3"/>
      <c r="B460" s="3"/>
      <c r="C460" s="3"/>
      <c r="D460" s="3"/>
      <c r="E460" s="3"/>
      <c r="F460" s="3"/>
      <c r="G460" s="3"/>
      <c r="H460" s="3"/>
      <c r="I460" s="3"/>
      <c r="J460" s="3"/>
      <c r="K460" s="3"/>
      <c r="L460" s="3"/>
      <c r="M460" s="3"/>
      <c r="N460" s="3"/>
      <c r="O460" s="3"/>
      <c r="P460" s="3"/>
      <c r="Q460" s="3"/>
      <c r="R460" s="3"/>
      <c r="S460" s="3"/>
      <c r="T460" s="3"/>
      <c r="U460" s="3"/>
      <c r="V460" s="3"/>
      <c r="W460" s="3"/>
      <c r="X460" s="3"/>
      <c r="Y460" s="3"/>
      <c r="Z460" s="3"/>
      <c r="AA460" s="3"/>
      <c r="AB460" s="3"/>
      <c r="AC460" s="3"/>
      <c r="AD460" s="3"/>
    </row>
    <row r="461" spans="1:30" s="7" customFormat="1" x14ac:dyDescent="0.25">
      <c r="A461" s="3"/>
      <c r="B461" s="3"/>
      <c r="C461" s="3"/>
      <c r="D461" s="3"/>
      <c r="E461" s="3"/>
      <c r="F461" s="3"/>
      <c r="G461" s="3"/>
      <c r="H461" s="3"/>
      <c r="I461" s="3"/>
      <c r="J461" s="3"/>
      <c r="K461" s="3"/>
      <c r="L461" s="3"/>
      <c r="M461" s="3"/>
      <c r="N461" s="3"/>
      <c r="O461" s="3"/>
      <c r="P461" s="3"/>
      <c r="Q461" s="3"/>
      <c r="R461" s="3"/>
      <c r="S461" s="3"/>
      <c r="T461" s="3"/>
      <c r="U461" s="3"/>
      <c r="V461" s="3"/>
      <c r="W461" s="3"/>
      <c r="X461" s="3"/>
      <c r="Y461" s="3"/>
      <c r="Z461" s="3"/>
      <c r="AA461" s="3"/>
      <c r="AB461" s="3"/>
      <c r="AC461" s="3"/>
      <c r="AD461" s="3"/>
    </row>
    <row r="462" spans="1:30" s="7" customFormat="1" x14ac:dyDescent="0.25">
      <c r="A462" s="3"/>
      <c r="B462" s="3"/>
      <c r="C462" s="3"/>
      <c r="D462" s="3"/>
      <c r="E462" s="3"/>
      <c r="F462" s="3"/>
      <c r="G462" s="3"/>
      <c r="H462" s="3"/>
      <c r="I462" s="3"/>
      <c r="J462" s="3"/>
      <c r="K462" s="3"/>
      <c r="L462" s="3"/>
      <c r="M462" s="3"/>
      <c r="N462" s="3"/>
      <c r="O462" s="3"/>
      <c r="P462" s="3"/>
      <c r="Q462" s="3"/>
      <c r="R462" s="3"/>
      <c r="S462" s="3"/>
      <c r="T462" s="3"/>
      <c r="U462" s="3"/>
      <c r="V462" s="3"/>
      <c r="W462" s="3"/>
      <c r="X462" s="3"/>
      <c r="Y462" s="3"/>
      <c r="Z462" s="3"/>
      <c r="AA462" s="3"/>
      <c r="AB462" s="3"/>
      <c r="AC462" s="3"/>
      <c r="AD462" s="3"/>
    </row>
    <row r="463" spans="1:30" s="7" customFormat="1" x14ac:dyDescent="0.25">
      <c r="A463" s="3"/>
      <c r="B463" s="3"/>
      <c r="C463" s="3"/>
      <c r="D463" s="3"/>
      <c r="E463" s="3"/>
      <c r="F463" s="3"/>
      <c r="G463" s="3"/>
      <c r="H463" s="3"/>
      <c r="I463" s="3"/>
      <c r="J463" s="3"/>
      <c r="K463" s="3"/>
      <c r="L463" s="3"/>
      <c r="M463" s="3"/>
      <c r="N463" s="3"/>
      <c r="O463" s="3"/>
      <c r="P463" s="3"/>
      <c r="Q463" s="3"/>
      <c r="R463" s="3"/>
      <c r="S463" s="3"/>
      <c r="T463" s="3"/>
      <c r="U463" s="3"/>
      <c r="V463" s="3"/>
      <c r="W463" s="3"/>
      <c r="X463" s="3"/>
      <c r="Y463" s="3"/>
      <c r="Z463" s="3"/>
      <c r="AA463" s="3"/>
      <c r="AB463" s="3"/>
      <c r="AC463" s="3"/>
      <c r="AD463" s="3"/>
    </row>
    <row r="464" spans="1:30" s="7" customFormat="1" x14ac:dyDescent="0.25">
      <c r="A464" s="3"/>
      <c r="B464" s="3"/>
      <c r="C464" s="3"/>
      <c r="D464" s="3"/>
      <c r="E464" s="3"/>
      <c r="F464" s="3"/>
      <c r="G464" s="3"/>
      <c r="H464" s="3"/>
      <c r="I464" s="3"/>
      <c r="J464" s="3"/>
      <c r="K464" s="3"/>
      <c r="L464" s="3"/>
      <c r="M464" s="3"/>
      <c r="N464" s="3"/>
      <c r="O464" s="3"/>
      <c r="P464" s="3"/>
      <c r="Q464" s="3"/>
      <c r="R464" s="3"/>
      <c r="S464" s="3"/>
      <c r="T464" s="3"/>
      <c r="U464" s="3"/>
      <c r="V464" s="3"/>
      <c r="W464" s="3"/>
      <c r="X464" s="3"/>
      <c r="Y464" s="3"/>
      <c r="Z464" s="3"/>
      <c r="AA464" s="3"/>
      <c r="AB464" s="3"/>
      <c r="AC464" s="3"/>
      <c r="AD464" s="3"/>
    </row>
    <row r="465" spans="1:30" s="7" customFormat="1" x14ac:dyDescent="0.25">
      <c r="A465" s="3"/>
      <c r="B465" s="3"/>
      <c r="C465" s="3"/>
      <c r="D465" s="3"/>
      <c r="E465" s="3"/>
      <c r="F465" s="3"/>
      <c r="G465" s="3"/>
      <c r="H465" s="3"/>
      <c r="I465" s="3"/>
      <c r="J465" s="3"/>
      <c r="K465" s="3"/>
      <c r="L465" s="3"/>
      <c r="M465" s="3"/>
      <c r="N465" s="3"/>
      <c r="O465" s="3"/>
      <c r="P465" s="3"/>
      <c r="Q465" s="3"/>
      <c r="R465" s="3"/>
      <c r="S465" s="3"/>
      <c r="T465" s="3"/>
      <c r="U465" s="3"/>
      <c r="V465" s="3"/>
      <c r="W465" s="3"/>
      <c r="X465" s="3"/>
      <c r="Y465" s="3"/>
      <c r="Z465" s="3"/>
      <c r="AA465" s="3"/>
      <c r="AB465" s="3"/>
      <c r="AC465" s="3"/>
      <c r="AD465" s="3"/>
    </row>
    <row r="466" spans="1:30" s="7" customFormat="1" x14ac:dyDescent="0.25">
      <c r="A466" s="3"/>
      <c r="B466" s="3"/>
      <c r="C466" s="3"/>
      <c r="D466" s="3"/>
      <c r="E466" s="3"/>
      <c r="F466" s="3"/>
      <c r="G466" s="3"/>
      <c r="H466" s="3"/>
      <c r="I466" s="3"/>
      <c r="J466" s="3"/>
      <c r="K466" s="3"/>
      <c r="L466" s="3"/>
      <c r="M466" s="3"/>
      <c r="N466" s="3"/>
      <c r="O466" s="3"/>
      <c r="P466" s="3"/>
      <c r="Q466" s="3"/>
      <c r="R466" s="3"/>
      <c r="S466" s="3"/>
      <c r="T466" s="3"/>
      <c r="U466" s="3"/>
      <c r="V466" s="3"/>
      <c r="W466" s="3"/>
      <c r="X466" s="3"/>
      <c r="Y466" s="3"/>
      <c r="Z466" s="3"/>
      <c r="AA466" s="3"/>
      <c r="AB466" s="3"/>
      <c r="AC466" s="3"/>
      <c r="AD466" s="3"/>
    </row>
    <row r="467" spans="1:30" s="7" customFormat="1" x14ac:dyDescent="0.25">
      <c r="A467" s="3"/>
      <c r="B467" s="3"/>
      <c r="C467" s="3"/>
      <c r="D467" s="3"/>
      <c r="E467" s="3"/>
      <c r="F467" s="3"/>
      <c r="G467" s="3"/>
      <c r="H467" s="3"/>
      <c r="I467" s="3"/>
      <c r="J467" s="3"/>
      <c r="K467" s="3"/>
      <c r="L467" s="3"/>
      <c r="M467" s="3"/>
      <c r="N467" s="3"/>
      <c r="O467" s="3"/>
      <c r="P467" s="3"/>
      <c r="Q467" s="3"/>
      <c r="R467" s="3"/>
      <c r="S467" s="3"/>
      <c r="T467" s="3"/>
      <c r="U467" s="3"/>
      <c r="V467" s="3"/>
      <c r="W467" s="3"/>
      <c r="X467" s="3"/>
      <c r="Y467" s="3"/>
      <c r="Z467" s="3"/>
      <c r="AA467" s="3"/>
      <c r="AB467" s="3"/>
      <c r="AC467" s="3"/>
      <c r="AD467" s="3"/>
    </row>
    <row r="468" spans="1:30" s="7" customFormat="1" x14ac:dyDescent="0.25">
      <c r="A468" s="3"/>
      <c r="B468" s="3"/>
      <c r="C468" s="3"/>
      <c r="D468" s="3"/>
      <c r="E468" s="3"/>
      <c r="F468" s="3"/>
      <c r="G468" s="3"/>
      <c r="H468" s="3"/>
      <c r="I468" s="3"/>
      <c r="J468" s="3"/>
      <c r="K468" s="3"/>
      <c r="L468" s="3"/>
      <c r="M468" s="3"/>
      <c r="N468" s="3"/>
      <c r="O468" s="3"/>
      <c r="P468" s="3"/>
      <c r="Q468" s="3"/>
      <c r="R468" s="3"/>
      <c r="S468" s="3"/>
      <c r="T468" s="3"/>
      <c r="U468" s="3"/>
      <c r="V468" s="3"/>
      <c r="W468" s="3"/>
      <c r="X468" s="3"/>
      <c r="Y468" s="3"/>
      <c r="Z468" s="3"/>
      <c r="AA468" s="3"/>
      <c r="AB468" s="3"/>
      <c r="AC468" s="3"/>
      <c r="AD468" s="3"/>
    </row>
    <row r="469" spans="1:30" s="7" customFormat="1" x14ac:dyDescent="0.25">
      <c r="A469" s="3"/>
      <c r="B469" s="3"/>
      <c r="C469" s="3"/>
      <c r="D469" s="3"/>
      <c r="E469" s="3"/>
      <c r="F469" s="3"/>
      <c r="G469" s="3"/>
      <c r="H469" s="3"/>
      <c r="I469" s="3"/>
      <c r="J469" s="3"/>
      <c r="K469" s="3"/>
      <c r="L469" s="3"/>
      <c r="M469" s="3"/>
      <c r="N469" s="3"/>
      <c r="O469" s="3"/>
      <c r="P469" s="3"/>
      <c r="Q469" s="3"/>
      <c r="R469" s="3"/>
      <c r="S469" s="3"/>
      <c r="T469" s="3"/>
      <c r="U469" s="3"/>
      <c r="V469" s="3"/>
      <c r="W469" s="3"/>
      <c r="X469" s="3"/>
      <c r="Y469" s="3"/>
      <c r="Z469" s="3"/>
      <c r="AA469" s="3"/>
      <c r="AB469" s="3"/>
      <c r="AC469" s="3"/>
      <c r="AD469" s="3"/>
    </row>
    <row r="470" spans="1:30" s="7" customFormat="1" x14ac:dyDescent="0.25">
      <c r="A470" s="3"/>
      <c r="B470" s="3"/>
      <c r="C470" s="3"/>
      <c r="D470" s="3"/>
      <c r="E470" s="3"/>
      <c r="F470" s="3"/>
      <c r="G470" s="3"/>
      <c r="H470" s="3"/>
      <c r="I470" s="3"/>
      <c r="J470" s="3"/>
      <c r="K470" s="3"/>
      <c r="L470" s="3"/>
      <c r="M470" s="3"/>
      <c r="N470" s="3"/>
      <c r="O470" s="3"/>
      <c r="P470" s="3"/>
      <c r="Q470" s="3"/>
      <c r="R470" s="3"/>
      <c r="S470" s="3"/>
      <c r="T470" s="3"/>
      <c r="U470" s="3"/>
      <c r="V470" s="3"/>
      <c r="W470" s="3"/>
      <c r="X470" s="3"/>
      <c r="Y470" s="3"/>
      <c r="Z470" s="3"/>
      <c r="AA470" s="3"/>
      <c r="AB470" s="3"/>
      <c r="AC470" s="3"/>
      <c r="AD470" s="3"/>
    </row>
    <row r="471" spans="1:30" s="7" customFormat="1" x14ac:dyDescent="0.25">
      <c r="A471" s="3"/>
      <c r="B471" s="3"/>
      <c r="C471" s="3"/>
      <c r="D471" s="3"/>
      <c r="E471" s="3"/>
      <c r="F471" s="3"/>
      <c r="G471" s="3"/>
      <c r="H471" s="3"/>
      <c r="I471" s="3"/>
      <c r="J471" s="3"/>
      <c r="K471" s="3"/>
      <c r="L471" s="3"/>
      <c r="M471" s="3"/>
      <c r="N471" s="3"/>
      <c r="O471" s="3"/>
      <c r="P471" s="3"/>
      <c r="Q471" s="3"/>
      <c r="R471" s="3"/>
      <c r="S471" s="3"/>
      <c r="T471" s="3"/>
      <c r="U471" s="3"/>
      <c r="V471" s="3"/>
      <c r="W471" s="3"/>
      <c r="X471" s="3"/>
      <c r="Y471" s="3"/>
      <c r="Z471" s="3"/>
      <c r="AA471" s="3"/>
      <c r="AB471" s="3"/>
      <c r="AC471" s="3"/>
      <c r="AD471" s="3"/>
    </row>
    <row r="472" spans="1:30" s="7" customFormat="1" x14ac:dyDescent="0.25">
      <c r="A472" s="3"/>
      <c r="B472" s="3"/>
      <c r="C472" s="3"/>
      <c r="D472" s="3"/>
      <c r="E472" s="3"/>
      <c r="F472" s="3"/>
      <c r="G472" s="3"/>
      <c r="H472" s="3"/>
      <c r="I472" s="3"/>
      <c r="J472" s="3"/>
      <c r="K472" s="3"/>
      <c r="L472" s="3"/>
      <c r="M472" s="3"/>
      <c r="N472" s="3"/>
      <c r="O472" s="3"/>
      <c r="P472" s="3"/>
      <c r="Q472" s="3"/>
      <c r="R472" s="3"/>
      <c r="S472" s="3"/>
      <c r="T472" s="3"/>
      <c r="U472" s="3"/>
      <c r="V472" s="3"/>
      <c r="W472" s="3"/>
      <c r="X472" s="3"/>
      <c r="Y472" s="3"/>
      <c r="Z472" s="3"/>
      <c r="AA472" s="3"/>
      <c r="AB472" s="3"/>
      <c r="AC472" s="3"/>
      <c r="AD472" s="3"/>
    </row>
    <row r="473" spans="1:30" s="7" customFormat="1" x14ac:dyDescent="0.25">
      <c r="A473" s="3"/>
      <c r="B473" s="3"/>
      <c r="C473" s="3"/>
      <c r="D473" s="3"/>
      <c r="E473" s="3"/>
      <c r="F473" s="3"/>
      <c r="G473" s="3"/>
      <c r="H473" s="3"/>
      <c r="I473" s="3"/>
      <c r="J473" s="3"/>
      <c r="K473" s="3"/>
      <c r="L473" s="3"/>
      <c r="M473" s="3"/>
      <c r="N473" s="3"/>
      <c r="O473" s="3"/>
      <c r="P473" s="3"/>
      <c r="Q473" s="3"/>
      <c r="R473" s="3"/>
      <c r="S473" s="3"/>
      <c r="T473" s="3"/>
      <c r="U473" s="3"/>
      <c r="V473" s="3"/>
      <c r="W473" s="3"/>
      <c r="X473" s="3"/>
      <c r="Y473" s="3"/>
      <c r="Z473" s="3"/>
      <c r="AA473" s="3"/>
      <c r="AB473" s="3"/>
      <c r="AC473" s="3"/>
      <c r="AD473" s="3"/>
    </row>
    <row r="474" spans="1:30" s="7" customFormat="1" x14ac:dyDescent="0.25">
      <c r="A474" s="3"/>
      <c r="B474" s="3"/>
      <c r="C474" s="3"/>
      <c r="D474" s="3"/>
      <c r="E474" s="3"/>
      <c r="F474" s="3"/>
      <c r="G474" s="3"/>
      <c r="H474" s="3"/>
      <c r="I474" s="3"/>
      <c r="J474" s="3"/>
      <c r="K474" s="3"/>
      <c r="L474" s="3"/>
      <c r="M474" s="3"/>
      <c r="N474" s="3"/>
      <c r="O474" s="3"/>
      <c r="P474" s="3"/>
      <c r="Q474" s="3"/>
      <c r="R474" s="3"/>
      <c r="S474" s="3"/>
      <c r="T474" s="3"/>
      <c r="U474" s="3"/>
      <c r="V474" s="3"/>
      <c r="W474" s="3"/>
      <c r="X474" s="3"/>
      <c r="Y474" s="3"/>
      <c r="Z474" s="3"/>
      <c r="AA474" s="3"/>
      <c r="AB474" s="3"/>
      <c r="AC474" s="3"/>
      <c r="AD474" s="3"/>
    </row>
    <row r="475" spans="1:30" s="7" customFormat="1" x14ac:dyDescent="0.25">
      <c r="A475" s="3"/>
      <c r="B475" s="3"/>
      <c r="C475" s="3"/>
      <c r="D475" s="3"/>
      <c r="E475" s="3"/>
      <c r="F475" s="3"/>
      <c r="G475" s="3"/>
      <c r="H475" s="3"/>
      <c r="I475" s="3"/>
      <c r="J475" s="3"/>
      <c r="K475" s="3"/>
      <c r="L475" s="3"/>
      <c r="M475" s="3"/>
      <c r="N475" s="3"/>
      <c r="O475" s="3"/>
      <c r="P475" s="3"/>
      <c r="Q475" s="3"/>
      <c r="R475" s="3"/>
      <c r="S475" s="3"/>
      <c r="T475" s="3"/>
      <c r="U475" s="3"/>
      <c r="V475" s="3"/>
      <c r="W475" s="3"/>
      <c r="X475" s="3"/>
      <c r="Y475" s="3"/>
      <c r="Z475" s="3"/>
      <c r="AA475" s="3"/>
      <c r="AB475" s="3"/>
      <c r="AC475" s="3"/>
      <c r="AD475" s="3"/>
    </row>
    <row r="476" spans="1:30" s="7" customFormat="1" x14ac:dyDescent="0.25">
      <c r="A476" s="3"/>
      <c r="B476" s="3"/>
      <c r="C476" s="3"/>
      <c r="D476" s="3"/>
      <c r="E476" s="3"/>
      <c r="F476" s="3"/>
      <c r="G476" s="3"/>
      <c r="H476" s="3"/>
      <c r="I476" s="3"/>
      <c r="J476" s="3"/>
      <c r="K476" s="3"/>
      <c r="L476" s="3"/>
      <c r="M476" s="3"/>
      <c r="N476" s="3"/>
      <c r="O476" s="3"/>
      <c r="P476" s="3"/>
      <c r="Q476" s="3"/>
      <c r="R476" s="3"/>
      <c r="S476" s="3"/>
      <c r="T476" s="3"/>
      <c r="U476" s="3"/>
      <c r="V476" s="3"/>
      <c r="W476" s="3"/>
      <c r="X476" s="3"/>
      <c r="Y476" s="3"/>
      <c r="Z476" s="3"/>
      <c r="AA476" s="3"/>
      <c r="AB476" s="3"/>
      <c r="AC476" s="3"/>
      <c r="AD476" s="3"/>
    </row>
    <row r="477" spans="1:30" s="7" customFormat="1" x14ac:dyDescent="0.25">
      <c r="A477" s="3"/>
      <c r="B477" s="3"/>
      <c r="C477" s="3"/>
      <c r="D477" s="3"/>
      <c r="E477" s="3"/>
      <c r="F477" s="3"/>
      <c r="G477" s="3"/>
      <c r="H477" s="3"/>
      <c r="I477" s="3"/>
      <c r="J477" s="3"/>
      <c r="K477" s="3"/>
      <c r="L477" s="3"/>
      <c r="M477" s="3"/>
      <c r="N477" s="3"/>
      <c r="O477" s="3"/>
      <c r="P477" s="3"/>
      <c r="Q477" s="3"/>
      <c r="R477" s="3"/>
      <c r="S477" s="3"/>
      <c r="T477" s="3"/>
      <c r="U477" s="3"/>
      <c r="V477" s="3"/>
      <c r="W477" s="3"/>
      <c r="X477" s="3"/>
      <c r="Y477" s="3"/>
      <c r="Z477" s="3"/>
      <c r="AA477" s="3"/>
      <c r="AB477" s="3"/>
      <c r="AC477" s="3"/>
      <c r="AD477" s="3"/>
    </row>
    <row r="478" spans="1:30" s="7" customFormat="1" x14ac:dyDescent="0.25">
      <c r="A478" s="3"/>
      <c r="B478" s="3"/>
      <c r="C478" s="3"/>
      <c r="D478" s="3"/>
      <c r="E478" s="3"/>
      <c r="F478" s="3"/>
      <c r="G478" s="3"/>
      <c r="H478" s="3"/>
      <c r="I478" s="3"/>
      <c r="J478" s="3"/>
      <c r="K478" s="3"/>
      <c r="L478" s="3"/>
      <c r="M478" s="3"/>
      <c r="N478" s="3"/>
      <c r="O478" s="3"/>
      <c r="P478" s="3"/>
      <c r="Q478" s="3"/>
      <c r="R478" s="3"/>
      <c r="S478" s="3"/>
      <c r="T478" s="3"/>
      <c r="U478" s="3"/>
      <c r="V478" s="3"/>
      <c r="W478" s="3"/>
      <c r="X478" s="3"/>
      <c r="Y478" s="3"/>
      <c r="Z478" s="3"/>
      <c r="AA478" s="3"/>
      <c r="AB478" s="3"/>
      <c r="AC478" s="3"/>
      <c r="AD478" s="3"/>
    </row>
    <row r="479" spans="1:30" s="7" customFormat="1" x14ac:dyDescent="0.25">
      <c r="A479" s="3"/>
      <c r="B479" s="3"/>
      <c r="C479" s="3"/>
      <c r="D479" s="3"/>
      <c r="E479" s="3"/>
      <c r="F479" s="3"/>
      <c r="G479" s="3"/>
      <c r="H479" s="3"/>
      <c r="I479" s="3"/>
      <c r="J479" s="3"/>
      <c r="K479" s="3"/>
      <c r="L479" s="3"/>
      <c r="M479" s="3"/>
      <c r="N479" s="3"/>
      <c r="O479" s="3"/>
      <c r="P479" s="3"/>
      <c r="Q479" s="3"/>
      <c r="R479" s="3"/>
      <c r="S479" s="3"/>
      <c r="T479" s="3"/>
      <c r="U479" s="3"/>
      <c r="V479" s="3"/>
      <c r="W479" s="3"/>
      <c r="X479" s="3"/>
      <c r="Y479" s="3"/>
      <c r="Z479" s="3"/>
      <c r="AA479" s="3"/>
      <c r="AB479" s="3"/>
      <c r="AC479" s="3"/>
      <c r="AD479" s="3"/>
    </row>
    <row r="480" spans="1:30" s="7" customFormat="1" x14ac:dyDescent="0.25">
      <c r="A480" s="3"/>
      <c r="B480" s="3"/>
      <c r="C480" s="3"/>
      <c r="D480" s="3"/>
      <c r="E480" s="3"/>
      <c r="F480" s="3"/>
      <c r="G480" s="3"/>
      <c r="H480" s="3"/>
      <c r="I480" s="3"/>
      <c r="J480" s="3"/>
      <c r="K480" s="3"/>
      <c r="L480" s="3"/>
      <c r="M480" s="3"/>
      <c r="N480" s="3"/>
      <c r="O480" s="3"/>
      <c r="P480" s="3"/>
      <c r="Q480" s="3"/>
      <c r="R480" s="3"/>
      <c r="S480" s="3"/>
      <c r="T480" s="3"/>
      <c r="U480" s="3"/>
      <c r="V480" s="3"/>
      <c r="W480" s="3"/>
      <c r="X480" s="3"/>
      <c r="Y480" s="3"/>
      <c r="Z480" s="3"/>
      <c r="AA480" s="3"/>
      <c r="AB480" s="3"/>
      <c r="AC480" s="3"/>
      <c r="AD480" s="3"/>
    </row>
    <row r="481" spans="1:30" s="7" customFormat="1" x14ac:dyDescent="0.25">
      <c r="A481" s="3"/>
      <c r="B481" s="3"/>
      <c r="C481" s="3"/>
      <c r="D481" s="3"/>
      <c r="E481" s="3"/>
      <c r="F481" s="3"/>
      <c r="G481" s="3"/>
      <c r="H481" s="3"/>
      <c r="I481" s="3"/>
      <c r="J481" s="3"/>
      <c r="K481" s="3"/>
      <c r="L481" s="3"/>
      <c r="M481" s="3"/>
      <c r="N481" s="3"/>
      <c r="O481" s="3"/>
      <c r="P481" s="3"/>
      <c r="Q481" s="3"/>
      <c r="R481" s="3"/>
      <c r="S481" s="3"/>
      <c r="T481" s="3"/>
      <c r="U481" s="3"/>
      <c r="V481" s="3"/>
      <c r="W481" s="3"/>
      <c r="X481" s="3"/>
      <c r="Y481" s="3"/>
      <c r="Z481" s="3"/>
      <c r="AA481" s="3"/>
      <c r="AB481" s="3"/>
      <c r="AC481" s="3"/>
      <c r="AD481" s="3"/>
    </row>
    <row r="482" spans="1:30" s="7" customFormat="1" x14ac:dyDescent="0.25">
      <c r="A482" s="3"/>
      <c r="B482" s="3"/>
      <c r="C482" s="3"/>
      <c r="D482" s="3"/>
      <c r="E482" s="3"/>
      <c r="F482" s="3"/>
      <c r="G482" s="3"/>
      <c r="H482" s="3"/>
      <c r="I482" s="3"/>
      <c r="J482" s="3"/>
      <c r="K482" s="3"/>
      <c r="L482" s="3"/>
      <c r="M482" s="3"/>
      <c r="N482" s="3"/>
      <c r="O482" s="3"/>
      <c r="P482" s="3"/>
      <c r="Q482" s="3"/>
      <c r="R482" s="3"/>
      <c r="S482" s="3"/>
      <c r="T482" s="3"/>
      <c r="U482" s="3"/>
      <c r="V482" s="3"/>
      <c r="W482" s="3"/>
      <c r="X482" s="3"/>
      <c r="Y482" s="3"/>
      <c r="Z482" s="3"/>
      <c r="AA482" s="3"/>
      <c r="AB482" s="3"/>
      <c r="AC482" s="3"/>
      <c r="AD482" s="3"/>
    </row>
    <row r="483" spans="1:30" s="7" customFormat="1" x14ac:dyDescent="0.25">
      <c r="A483" s="3"/>
      <c r="B483" s="3"/>
      <c r="C483" s="3"/>
      <c r="D483" s="3"/>
      <c r="E483" s="3"/>
      <c r="F483" s="3"/>
      <c r="G483" s="3"/>
      <c r="H483" s="3"/>
      <c r="I483" s="3"/>
      <c r="J483" s="3"/>
      <c r="K483" s="3"/>
      <c r="L483" s="3"/>
      <c r="M483" s="3"/>
      <c r="N483" s="3"/>
      <c r="O483" s="3"/>
      <c r="P483" s="3"/>
      <c r="Q483" s="3"/>
      <c r="R483" s="3"/>
      <c r="S483" s="3"/>
      <c r="T483" s="3"/>
      <c r="U483" s="3"/>
      <c r="V483" s="3"/>
      <c r="W483" s="3"/>
      <c r="X483" s="3"/>
      <c r="Y483" s="3"/>
      <c r="Z483" s="3"/>
      <c r="AA483" s="3"/>
      <c r="AB483" s="3"/>
      <c r="AC483" s="3"/>
      <c r="AD483" s="3"/>
    </row>
    <row r="484" spans="1:30" s="7" customFormat="1" x14ac:dyDescent="0.25">
      <c r="A484" s="3"/>
      <c r="B484" s="3"/>
      <c r="C484" s="3"/>
      <c r="D484" s="3"/>
      <c r="E484" s="3"/>
      <c r="F484" s="3"/>
      <c r="G484" s="3"/>
      <c r="H484" s="3"/>
      <c r="I484" s="3"/>
      <c r="J484" s="3"/>
      <c r="K484" s="3"/>
      <c r="L484" s="3"/>
      <c r="M484" s="3"/>
      <c r="N484" s="3"/>
      <c r="O484" s="3"/>
      <c r="P484" s="3"/>
      <c r="Q484" s="3"/>
      <c r="R484" s="3"/>
      <c r="S484" s="3"/>
      <c r="T484" s="3"/>
      <c r="U484" s="3"/>
      <c r="V484" s="3"/>
      <c r="W484" s="3"/>
      <c r="X484" s="3"/>
      <c r="Y484" s="3"/>
      <c r="Z484" s="3"/>
      <c r="AA484" s="3"/>
      <c r="AB484" s="3"/>
      <c r="AC484" s="3"/>
      <c r="AD484" s="3"/>
    </row>
    <row r="485" spans="1:30" s="7" customFormat="1" ht="14.45" customHeight="1" x14ac:dyDescent="0.25">
      <c r="A485" s="3"/>
      <c r="B485" s="3"/>
      <c r="C485" s="3"/>
      <c r="D485" s="3"/>
      <c r="E485" s="3"/>
      <c r="F485" s="3"/>
      <c r="G485" s="3"/>
      <c r="H485" s="3"/>
      <c r="I485" s="3"/>
      <c r="J485" s="3"/>
      <c r="K485" s="3"/>
      <c r="L485" s="3"/>
      <c r="M485" s="3"/>
      <c r="N485" s="3"/>
      <c r="O485" s="3"/>
      <c r="P485" s="3"/>
      <c r="Q485" s="3"/>
      <c r="R485" s="3"/>
      <c r="S485" s="3"/>
      <c r="T485" s="3"/>
      <c r="U485" s="3"/>
      <c r="V485" s="3"/>
      <c r="W485" s="3"/>
      <c r="X485" s="3"/>
      <c r="Y485" s="3"/>
      <c r="Z485" s="3"/>
      <c r="AA485" s="3"/>
      <c r="AB485" s="3"/>
      <c r="AC485" s="3"/>
      <c r="AD485" s="3"/>
    </row>
    <row r="489" spans="1:30" ht="14.25" customHeight="1" x14ac:dyDescent="0.25"/>
    <row r="490" spans="1:30" ht="14.25" customHeight="1" x14ac:dyDescent="0.25"/>
    <row r="491" spans="1:30" ht="14.25" customHeight="1" x14ac:dyDescent="0.25"/>
    <row r="492" spans="1:30" ht="14.25" customHeight="1" x14ac:dyDescent="0.25"/>
    <row r="493" spans="1:30" ht="14.25" customHeight="1" x14ac:dyDescent="0.25"/>
    <row r="494" spans="1:30" ht="14.25" customHeight="1" x14ac:dyDescent="0.25"/>
    <row r="495" spans="1:30" ht="14.25" customHeight="1" x14ac:dyDescent="0.25"/>
    <row r="496" spans="1:30"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sheetData>
  <sheetProtection algorithmName="SHA-512" hashValue="/1y4hlLazqJ1Pn2qyAk61rn36CNbMhyOcLmPY/eCjHMCoPDuWA5ZyEt8CNhRnFuibTfYvvG3RjfQQZSkRgxQZQ==" saltValue="QtNNRlP9iTsPNK8fWhLrZA==" spinCount="100000" sheet="1" objects="1" scenarios="1" autoFilter="0"/>
  <protectedRanges>
    <protectedRange sqref="H28 H31" name="DatosProveedor"/>
    <protectedRange sqref="N28" name="DatosProveedor_1"/>
    <protectedRange sqref="T28 T31" name="DatosProveedor_2"/>
    <protectedRange sqref="H30" name="DatosProveedor_3"/>
  </protectedRanges>
  <autoFilter ref="A10:AD165" xr:uid="{CD4E1CA7-A360-49FE-9893-C36C580FA894}"/>
  <mergeCells count="58">
    <mergeCell ref="T9:Y9"/>
    <mergeCell ref="Z9:AC9"/>
    <mergeCell ref="A3:M3"/>
    <mergeCell ref="N3:W6"/>
    <mergeCell ref="A4:B6"/>
    <mergeCell ref="E4:F4"/>
    <mergeCell ref="H4:M4"/>
    <mergeCell ref="Z4:AA4"/>
    <mergeCell ref="D5:F5"/>
    <mergeCell ref="I5:J5"/>
    <mergeCell ref="L5:M5"/>
    <mergeCell ref="Z5:AA5"/>
    <mergeCell ref="M129:O129"/>
    <mergeCell ref="D6:M6"/>
    <mergeCell ref="M122:O122"/>
    <mergeCell ref="M123:O123"/>
    <mergeCell ref="M124:O124"/>
    <mergeCell ref="A113:Z113"/>
    <mergeCell ref="A114:AD114"/>
    <mergeCell ref="M115:O115"/>
    <mergeCell ref="M116:O116"/>
    <mergeCell ref="M117:O117"/>
    <mergeCell ref="M118:O118"/>
    <mergeCell ref="M119:O119"/>
    <mergeCell ref="M120:O120"/>
    <mergeCell ref="Z6:AA6"/>
    <mergeCell ref="H9:M9"/>
    <mergeCell ref="N9:S9"/>
    <mergeCell ref="M121:O121"/>
    <mergeCell ref="M142:O142"/>
    <mergeCell ref="M130:O130"/>
    <mergeCell ref="M131:O131"/>
    <mergeCell ref="M132:O132"/>
    <mergeCell ref="M133:O133"/>
    <mergeCell ref="M134:O134"/>
    <mergeCell ref="M135:O135"/>
    <mergeCell ref="M136:O136"/>
    <mergeCell ref="M137:O137"/>
    <mergeCell ref="M138:O138"/>
    <mergeCell ref="M139:O139"/>
    <mergeCell ref="M141:O141"/>
    <mergeCell ref="M125:O125"/>
    <mergeCell ref="M127:O127"/>
    <mergeCell ref="M128:O128"/>
    <mergeCell ref="Z152:Z165"/>
    <mergeCell ref="AA152:AA165"/>
    <mergeCell ref="M143:O143"/>
    <mergeCell ref="M145:O145"/>
    <mergeCell ref="M146:O146"/>
    <mergeCell ref="M147:O147"/>
    <mergeCell ref="M148:O148"/>
    <mergeCell ref="M149:O149"/>
    <mergeCell ref="A153:I153"/>
    <mergeCell ref="T153:Y165"/>
    <mergeCell ref="M150:O150"/>
    <mergeCell ref="M151:O151"/>
    <mergeCell ref="M152:O152"/>
    <mergeCell ref="T152:Y152"/>
  </mergeCells>
  <conditionalFormatting sqref="AC11:AC112">
    <cfRule type="cellIs" dxfId="6" priority="68" stopIfTrue="1" operator="greaterThan">
      <formula>0.2</formula>
    </cfRule>
  </conditionalFormatting>
  <dataValidations count="1">
    <dataValidation type="list" allowBlank="1" showInputMessage="1" showErrorMessage="1" sqref="G11:G100 G103:G111" xr:uid="{0B17E9A7-243A-4893-8577-144A77D3A6C1}">
      <formula1>"Compra,Alquiler,PrestaciónServicio"</formula1>
    </dataValidation>
  </dataValidations>
  <pageMargins left="0.25" right="0.25" top="0.75" bottom="0.75" header="0.3" footer="0.3"/>
  <pageSetup paperSize="3" scale="10" orientation="landscape" r:id="rId1"/>
  <colBreaks count="2" manualBreakCount="2">
    <brk id="13" max="1048575" man="1"/>
    <brk id="25" max="516"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B38BBC04-451E-4694-BAE9-DFA17AB1671D}">
          <x14:formula1>
            <xm:f>Lista!$V$8:$V$14</xm:f>
          </x14:formula1>
          <xm:sqref>H4:M4</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6A997E-9DD1-42F8-A186-8731A94AE799}">
  <sheetPr codeName="Hoja8" filterMode="1">
    <tabColor theme="7" tint="0.39997558519241921"/>
    <pageSetUpPr fitToPage="1"/>
  </sheetPr>
  <dimension ref="A1:BW864"/>
  <sheetViews>
    <sheetView topLeftCell="B2" zoomScale="70" zoomScaleNormal="70" zoomScaleSheetLayoutView="145" workbookViewId="0">
      <pane xSplit="11895" ySplit="1650" topLeftCell="AV22" activePane="bottomRight"/>
      <selection pane="topRight" activeCell="F2" sqref="F2"/>
      <selection pane="bottomLeft" activeCell="D22" sqref="D22"/>
      <selection pane="bottomRight" activeCell="AZ185" sqref="AZ185"/>
    </sheetView>
  </sheetViews>
  <sheetFormatPr baseColWidth="10" defaultColWidth="9.140625" defaultRowHeight="15" customHeight="1" x14ac:dyDescent="0.25"/>
  <cols>
    <col min="1" max="1" width="26.28515625" style="254" customWidth="1"/>
    <col min="2" max="2" width="22.28515625" style="254" customWidth="1"/>
    <col min="3" max="3" width="23.85546875" style="254" customWidth="1"/>
    <col min="4" max="4" width="37.85546875" style="254" customWidth="1"/>
    <col min="5" max="5" width="69" style="254" customWidth="1"/>
    <col min="6" max="7" width="28.28515625" style="254" customWidth="1"/>
    <col min="8" max="8" width="25" style="254" customWidth="1"/>
    <col min="9" max="10" width="19.28515625" style="254" customWidth="1"/>
    <col min="11" max="11" width="19.140625" style="254" customWidth="1"/>
    <col min="12" max="12" width="9.140625" style="254" customWidth="1"/>
    <col min="13" max="13" width="18.7109375" style="254" customWidth="1"/>
    <col min="14" max="14" width="23.85546875" style="254" customWidth="1"/>
    <col min="15" max="16" width="9.140625" style="254" customWidth="1"/>
    <col min="17" max="18" width="24.28515625" style="196" customWidth="1"/>
    <col min="19" max="19" width="19.7109375" style="196" customWidth="1"/>
    <col min="20" max="20" width="31.28515625" style="196" customWidth="1"/>
    <col min="21" max="21" width="29" style="196" customWidth="1"/>
    <col min="22" max="22" width="22.7109375" style="254" customWidth="1"/>
    <col min="23" max="23" width="28" style="254" customWidth="1"/>
    <col min="24" max="24" width="24.85546875" style="254" customWidth="1"/>
    <col min="25" max="25" width="29.28515625" style="254" customWidth="1"/>
    <col min="26" max="26" width="22.28515625" style="254" customWidth="1"/>
    <col min="27" max="27" width="28.7109375" style="254" customWidth="1"/>
    <col min="28" max="29" width="9.140625" style="254" customWidth="1"/>
    <col min="30" max="30" width="24.28515625" style="196" customWidth="1"/>
    <col min="31" max="31" width="16.85546875" style="196" customWidth="1"/>
    <col min="32" max="32" width="23.7109375" style="196" customWidth="1"/>
    <col min="33" max="33" width="22.85546875" style="196" customWidth="1"/>
    <col min="34" max="34" width="19.140625" style="196" customWidth="1"/>
    <col min="35" max="35" width="31.140625" style="254" customWidth="1"/>
    <col min="36" max="36" width="24.7109375" style="254" customWidth="1"/>
    <col min="37" max="37" width="20" style="254" customWidth="1"/>
    <col min="38" max="38" width="22" style="254" customWidth="1"/>
    <col min="39" max="39" width="17.28515625" style="254" customWidth="1"/>
    <col min="40" max="40" width="23.28515625" style="254" customWidth="1"/>
    <col min="41" max="41" width="16.28515625" style="254" customWidth="1"/>
    <col min="42" max="42" width="17.140625" style="254" customWidth="1"/>
    <col min="43" max="43" width="25.7109375" style="196" customWidth="1"/>
    <col min="44" max="44" width="19.28515625" style="196" customWidth="1"/>
    <col min="45" max="45" width="19.7109375" style="196" customWidth="1"/>
    <col min="46" max="47" width="27.140625" style="196" customWidth="1"/>
    <col min="48" max="48" width="21.7109375" style="196" customWidth="1"/>
    <col min="49" max="49" width="28" style="196" customWidth="1"/>
    <col min="50" max="50" width="21.7109375" style="196" customWidth="1"/>
    <col min="51" max="51" width="20.28515625" style="196" customWidth="1"/>
    <col min="52" max="52" width="28.28515625" style="196" customWidth="1"/>
    <col min="53" max="53" width="9.140625" style="196" customWidth="1"/>
    <col min="54" max="16384" width="9.140625" style="196"/>
  </cols>
  <sheetData>
    <row r="1" spans="1:74" s="1" customFormat="1" ht="93.75" hidden="1" x14ac:dyDescent="0.25">
      <c r="A1" s="511" t="s">
        <v>415</v>
      </c>
      <c r="B1" s="512"/>
      <c r="C1" s="512"/>
      <c r="D1" s="512"/>
      <c r="E1" s="512"/>
      <c r="F1" s="512"/>
      <c r="G1" s="512"/>
      <c r="H1" s="512"/>
      <c r="I1" s="96"/>
      <c r="J1" s="33"/>
      <c r="K1" s="33"/>
      <c r="L1" s="33"/>
      <c r="M1" s="195"/>
      <c r="N1" s="195"/>
      <c r="O1" s="195"/>
      <c r="P1" s="195"/>
      <c r="Q1" s="195"/>
      <c r="R1" s="195"/>
      <c r="S1" s="195"/>
      <c r="T1" s="195"/>
      <c r="U1" s="195"/>
      <c r="V1" s="96"/>
      <c r="W1" s="33"/>
      <c r="X1" s="33"/>
      <c r="Y1" s="33"/>
      <c r="Z1" s="196"/>
      <c r="AA1" s="196"/>
      <c r="AB1" s="196"/>
      <c r="AC1" s="196"/>
      <c r="AD1" s="196"/>
      <c r="AE1" s="196"/>
      <c r="AF1" s="196"/>
      <c r="AG1" s="196"/>
      <c r="AH1" s="33"/>
      <c r="AI1" s="96"/>
      <c r="AJ1" s="33"/>
      <c r="AK1" s="33"/>
      <c r="AL1" s="33"/>
      <c r="AM1" s="33"/>
      <c r="AN1" s="33"/>
      <c r="AO1" s="196"/>
      <c r="AP1" s="196"/>
      <c r="AQ1" s="33"/>
      <c r="AR1" s="33"/>
      <c r="AS1" s="33"/>
      <c r="AT1" s="33"/>
    </row>
    <row r="2" spans="1:74" s="204" customFormat="1" ht="102.75" customHeight="1" x14ac:dyDescent="0.35">
      <c r="A2" s="197" t="s">
        <v>416</v>
      </c>
      <c r="B2" s="197" t="s">
        <v>417</v>
      </c>
      <c r="C2" s="197" t="s">
        <v>418</v>
      </c>
      <c r="D2" s="197" t="s">
        <v>20</v>
      </c>
      <c r="E2" s="197" t="s">
        <v>21</v>
      </c>
      <c r="F2" s="197" t="s">
        <v>22</v>
      </c>
      <c r="G2" s="197" t="s">
        <v>23</v>
      </c>
      <c r="H2" s="197" t="s">
        <v>24</v>
      </c>
      <c r="I2" s="198" t="s">
        <v>419</v>
      </c>
      <c r="J2" s="198" t="s">
        <v>420</v>
      </c>
      <c r="K2" s="198" t="s">
        <v>421</v>
      </c>
      <c r="L2" s="198" t="s">
        <v>422</v>
      </c>
      <c r="M2" s="198" t="s">
        <v>25</v>
      </c>
      <c r="N2" s="199" t="s">
        <v>423</v>
      </c>
      <c r="O2" s="198" t="s">
        <v>424</v>
      </c>
      <c r="P2" s="198" t="s">
        <v>425</v>
      </c>
      <c r="Q2" s="198" t="s">
        <v>426</v>
      </c>
      <c r="R2" s="198" t="s">
        <v>27</v>
      </c>
      <c r="S2" s="198" t="s">
        <v>28</v>
      </c>
      <c r="T2" s="198" t="s">
        <v>29</v>
      </c>
      <c r="U2" s="198" t="s">
        <v>30</v>
      </c>
      <c r="V2" s="197" t="s">
        <v>427</v>
      </c>
      <c r="W2" s="197" t="s">
        <v>428</v>
      </c>
      <c r="X2" s="197" t="s">
        <v>429</v>
      </c>
      <c r="Y2" s="197" t="s">
        <v>430</v>
      </c>
      <c r="Z2" s="197" t="s">
        <v>31</v>
      </c>
      <c r="AA2" s="197" t="s">
        <v>431</v>
      </c>
      <c r="AB2" s="197" t="s">
        <v>424</v>
      </c>
      <c r="AC2" s="197" t="s">
        <v>425</v>
      </c>
      <c r="AD2" s="197" t="s">
        <v>26</v>
      </c>
      <c r="AE2" s="197" t="s">
        <v>27</v>
      </c>
      <c r="AF2" s="197" t="s">
        <v>28</v>
      </c>
      <c r="AG2" s="197" t="s">
        <v>29</v>
      </c>
      <c r="AH2" s="197" t="s">
        <v>30</v>
      </c>
      <c r="AI2" s="200" t="s">
        <v>432</v>
      </c>
      <c r="AJ2" s="200" t="s">
        <v>433</v>
      </c>
      <c r="AK2" s="200" t="s">
        <v>434</v>
      </c>
      <c r="AL2" s="200" t="s">
        <v>435</v>
      </c>
      <c r="AM2" s="200" t="s">
        <v>32</v>
      </c>
      <c r="AN2" s="200" t="s">
        <v>431</v>
      </c>
      <c r="AO2" s="200" t="s">
        <v>424</v>
      </c>
      <c r="AP2" s="200" t="s">
        <v>425</v>
      </c>
      <c r="AQ2" s="201" t="s">
        <v>26</v>
      </c>
      <c r="AR2" s="201" t="s">
        <v>27</v>
      </c>
      <c r="AS2" s="201" t="s">
        <v>28</v>
      </c>
      <c r="AT2" s="201" t="s">
        <v>29</v>
      </c>
      <c r="AU2" s="201" t="s">
        <v>30</v>
      </c>
      <c r="AV2" s="198" t="s">
        <v>33</v>
      </c>
      <c r="AW2" s="198" t="s">
        <v>34</v>
      </c>
      <c r="AX2" s="198" t="s">
        <v>35</v>
      </c>
      <c r="AY2" s="198" t="s">
        <v>36</v>
      </c>
      <c r="AZ2" s="202" t="s">
        <v>436</v>
      </c>
      <c r="BA2" s="203" t="s">
        <v>437</v>
      </c>
    </row>
    <row r="3" spans="1:74" s="232" customFormat="1" ht="84.75" hidden="1" customHeight="1" x14ac:dyDescent="0.25">
      <c r="A3" s="205" t="s">
        <v>438</v>
      </c>
      <c r="B3" s="205" t="s">
        <v>439</v>
      </c>
      <c r="C3" s="205">
        <v>82101502</v>
      </c>
      <c r="D3" s="205" t="s">
        <v>402</v>
      </c>
      <c r="E3" s="206" t="s">
        <v>403</v>
      </c>
      <c r="F3" s="458" t="s">
        <v>41</v>
      </c>
      <c r="G3" s="178">
        <v>1</v>
      </c>
      <c r="H3" s="458" t="s">
        <v>42</v>
      </c>
      <c r="I3" s="459" t="s">
        <v>440</v>
      </c>
      <c r="J3" s="207">
        <v>46155</v>
      </c>
      <c r="K3" s="208" t="s">
        <v>84</v>
      </c>
      <c r="L3" s="209" t="s">
        <v>441</v>
      </c>
      <c r="M3" s="207" t="s">
        <v>442</v>
      </c>
      <c r="N3" s="210">
        <v>490000</v>
      </c>
      <c r="O3" s="210" t="s">
        <v>443</v>
      </c>
      <c r="P3" s="210" t="s">
        <v>444</v>
      </c>
      <c r="Q3" s="211">
        <f t="shared" ref="Q3:Q12" si="0">IF(O3="IVA Incluido",(N3/1.19),N3)</f>
        <v>411764.70588235295</v>
      </c>
      <c r="R3" s="212">
        <f>IF(P3="Si tiene IVA",Q3*19%,0)</f>
        <v>78235.294117647063</v>
      </c>
      <c r="S3" s="212">
        <f t="shared" ref="S3:S12" si="1">Q3+R3</f>
        <v>490000</v>
      </c>
      <c r="T3" s="212">
        <f t="shared" ref="T3:T12" si="2">IF(B3="","",(N3*G3))</f>
        <v>490000</v>
      </c>
      <c r="U3" s="212">
        <f t="shared" ref="U3:U12" si="3">IF(B3="","",(S3*G3))</f>
        <v>490000</v>
      </c>
      <c r="V3" s="460" t="s">
        <v>440</v>
      </c>
      <c r="W3" s="213">
        <v>46155</v>
      </c>
      <c r="X3" s="214" t="s">
        <v>445</v>
      </c>
      <c r="Y3" s="215" t="s">
        <v>446</v>
      </c>
      <c r="Z3" s="216" t="s">
        <v>447</v>
      </c>
      <c r="AA3" s="217">
        <v>550000</v>
      </c>
      <c r="AB3" s="217" t="s">
        <v>443</v>
      </c>
      <c r="AC3" s="217" t="s">
        <v>444</v>
      </c>
      <c r="AD3" s="218">
        <f>IF(AB3="IVA Incluido",(AA3/1.19),AA3)</f>
        <v>462184.87394957984</v>
      </c>
      <c r="AE3" s="219">
        <f t="shared" ref="AE3:AE12" si="4">IF(AC3="Si tiene IVA",AD3*19%,0)</f>
        <v>87815.126050420164</v>
      </c>
      <c r="AF3" s="219">
        <f t="shared" ref="AF3:AF12" si="5">AD3+AE3</f>
        <v>550000</v>
      </c>
      <c r="AG3" s="219">
        <f t="shared" ref="AG3:AG12" si="6">IF(O3="","",(AA3*G3))</f>
        <v>550000</v>
      </c>
      <c r="AH3" s="219">
        <f t="shared" ref="AH3:AH12" si="7">IF(O3="","",(AF3*G3))</f>
        <v>550000</v>
      </c>
      <c r="AI3" s="461" t="s">
        <v>440</v>
      </c>
      <c r="AJ3" s="220">
        <v>46155</v>
      </c>
      <c r="AK3" s="221" t="s">
        <v>448</v>
      </c>
      <c r="AL3" s="222" t="s">
        <v>441</v>
      </c>
      <c r="AM3" s="223" t="s">
        <v>449</v>
      </c>
      <c r="AN3" s="224">
        <v>585000</v>
      </c>
      <c r="AO3" s="224" t="s">
        <v>450</v>
      </c>
      <c r="AP3" s="225" t="s">
        <v>444</v>
      </c>
      <c r="AQ3" s="226">
        <f t="shared" ref="AQ3:AQ12" si="8">IF(AO3="IVA Incluido",(AN3/1.19),AN3)</f>
        <v>585000</v>
      </c>
      <c r="AR3" s="227">
        <f t="shared" ref="AR3:AR12" si="9">IF(AP3="Si tiene IVA",AQ3*19%,0)</f>
        <v>111150</v>
      </c>
      <c r="AS3" s="227">
        <f t="shared" ref="AS3:AS12" si="10">AQ3+AR3</f>
        <v>696150</v>
      </c>
      <c r="AT3" s="227">
        <f t="shared" ref="AT3:AT12" si="11">IF(AB3="","",(AN3*G3))</f>
        <v>585000</v>
      </c>
      <c r="AU3" s="227">
        <f t="shared" ref="AU3:AU12" si="12">IF(AB3="","",(AS3*G3))</f>
        <v>696150</v>
      </c>
      <c r="AV3" s="228">
        <f t="shared" ref="AV3:AV12" si="13">IF(A3="","",AVERAGE(S3,AF3,AS3))</f>
        <v>578716.66666666663</v>
      </c>
      <c r="AW3" s="228">
        <f t="shared" ref="AW3:AW12" si="14">IF(A3="","",AVERAGE(U3,AH3,AU3))</f>
        <v>578716.66666666663</v>
      </c>
      <c r="AX3" s="228">
        <f t="shared" ref="AX3:AX12" si="15">IF(N3="","",STDEV(U3,AH3,AU3))</f>
        <v>106032.73472533523</v>
      </c>
      <c r="AY3" s="229">
        <f t="shared" ref="AY3:AY12" si="16">IF(N3="","",(AX3/AW3))</f>
        <v>0.18322046146704243</v>
      </c>
      <c r="AZ3" s="230"/>
      <c r="BA3" s="231">
        <f t="shared" ref="BA3:BA12" si="17">COUNTA(M3,Z3,AM3)</f>
        <v>3</v>
      </c>
      <c r="BB3" s="231"/>
      <c r="BC3" s="231"/>
      <c r="BD3" s="231"/>
      <c r="BE3" s="231"/>
      <c r="BF3" s="231"/>
      <c r="BG3" s="231"/>
      <c r="BH3" s="231">
        <v>76</v>
      </c>
    </row>
    <row r="4" spans="1:74" s="231" customFormat="1" ht="84" hidden="1" x14ac:dyDescent="0.25">
      <c r="A4" s="205" t="s">
        <v>438</v>
      </c>
      <c r="B4" s="205" t="s">
        <v>439</v>
      </c>
      <c r="C4" s="205">
        <v>82101502</v>
      </c>
      <c r="D4" s="205" t="s">
        <v>451</v>
      </c>
      <c r="E4" s="206" t="s">
        <v>403</v>
      </c>
      <c r="F4" s="458" t="s">
        <v>41</v>
      </c>
      <c r="G4" s="178">
        <v>1</v>
      </c>
      <c r="H4" s="458" t="s">
        <v>42</v>
      </c>
      <c r="I4" s="459" t="s">
        <v>452</v>
      </c>
      <c r="J4" s="207">
        <v>46147</v>
      </c>
      <c r="K4" s="208" t="s">
        <v>453</v>
      </c>
      <c r="L4" s="209" t="s">
        <v>441</v>
      </c>
      <c r="M4" s="207" t="s">
        <v>449</v>
      </c>
      <c r="N4" s="210">
        <v>35000</v>
      </c>
      <c r="O4" s="210" t="s">
        <v>450</v>
      </c>
      <c r="P4" s="210" t="s">
        <v>444</v>
      </c>
      <c r="Q4" s="211">
        <f t="shared" si="0"/>
        <v>35000</v>
      </c>
      <c r="R4" s="212">
        <f>IF(P4="Si tiene IVA",Q4*19%,0)</f>
        <v>6650</v>
      </c>
      <c r="S4" s="212">
        <f t="shared" si="1"/>
        <v>41650</v>
      </c>
      <c r="T4" s="212">
        <f t="shared" si="2"/>
        <v>35000</v>
      </c>
      <c r="U4" s="212">
        <f t="shared" si="3"/>
        <v>41650</v>
      </c>
      <c r="V4" s="460" t="s">
        <v>454</v>
      </c>
      <c r="W4" s="213">
        <v>46143</v>
      </c>
      <c r="X4" s="214" t="s">
        <v>455</v>
      </c>
      <c r="Y4" s="215" t="s">
        <v>441</v>
      </c>
      <c r="Z4" s="216" t="s">
        <v>456</v>
      </c>
      <c r="AA4" s="217">
        <v>36600</v>
      </c>
      <c r="AB4" s="217" t="s">
        <v>450</v>
      </c>
      <c r="AC4" s="217" t="s">
        <v>444</v>
      </c>
      <c r="AD4" s="218">
        <f>IF(AB4="IVA Incluido",(AA4/1.19),AA4)</f>
        <v>36600</v>
      </c>
      <c r="AE4" s="219">
        <f t="shared" si="4"/>
        <v>6954</v>
      </c>
      <c r="AF4" s="219">
        <f t="shared" si="5"/>
        <v>43554</v>
      </c>
      <c r="AG4" s="219">
        <f t="shared" si="6"/>
        <v>36600</v>
      </c>
      <c r="AH4" s="219">
        <f t="shared" si="7"/>
        <v>43554</v>
      </c>
      <c r="AI4" s="461" t="s">
        <v>452</v>
      </c>
      <c r="AJ4" s="220">
        <v>46143</v>
      </c>
      <c r="AK4" s="221" t="s">
        <v>445</v>
      </c>
      <c r="AL4" s="222" t="s">
        <v>441</v>
      </c>
      <c r="AM4" s="223" t="s">
        <v>457</v>
      </c>
      <c r="AN4" s="224">
        <v>55000</v>
      </c>
      <c r="AO4" s="224" t="s">
        <v>443</v>
      </c>
      <c r="AP4" s="225" t="s">
        <v>444</v>
      </c>
      <c r="AQ4" s="226">
        <f t="shared" si="8"/>
        <v>46218.487394957985</v>
      </c>
      <c r="AR4" s="227">
        <f t="shared" si="9"/>
        <v>8781.5126050420167</v>
      </c>
      <c r="AS4" s="227">
        <f t="shared" si="10"/>
        <v>55000</v>
      </c>
      <c r="AT4" s="227">
        <f t="shared" si="11"/>
        <v>55000</v>
      </c>
      <c r="AU4" s="227">
        <f t="shared" si="12"/>
        <v>55000</v>
      </c>
      <c r="AV4" s="228">
        <f t="shared" si="13"/>
        <v>46734.666666666664</v>
      </c>
      <c r="AW4" s="228">
        <f t="shared" si="14"/>
        <v>46734.666666666664</v>
      </c>
      <c r="AX4" s="228">
        <f t="shared" si="15"/>
        <v>7221.0183030742619</v>
      </c>
      <c r="AY4" s="229">
        <f t="shared" si="16"/>
        <v>0.15451096194989292</v>
      </c>
      <c r="AZ4" s="230"/>
      <c r="BA4" s="231">
        <f t="shared" si="17"/>
        <v>3</v>
      </c>
      <c r="BH4" s="231">
        <v>3</v>
      </c>
      <c r="BI4" s="232"/>
      <c r="BJ4" s="232"/>
      <c r="BK4" s="232"/>
      <c r="BL4" s="232"/>
      <c r="BM4" s="232"/>
      <c r="BN4" s="232"/>
      <c r="BO4" s="232"/>
      <c r="BP4" s="232"/>
      <c r="BQ4" s="232"/>
      <c r="BR4" s="232"/>
      <c r="BS4" s="232"/>
      <c r="BT4" s="232"/>
      <c r="BU4" s="232"/>
      <c r="BV4" s="232"/>
    </row>
    <row r="5" spans="1:74" s="231" customFormat="1" ht="63" hidden="1" x14ac:dyDescent="0.25">
      <c r="A5" s="205" t="s">
        <v>438</v>
      </c>
      <c r="B5" s="205" t="s">
        <v>439</v>
      </c>
      <c r="C5" s="205">
        <v>82101502</v>
      </c>
      <c r="D5" s="205" t="s">
        <v>458</v>
      </c>
      <c r="E5" s="206" t="s">
        <v>459</v>
      </c>
      <c r="F5" s="458" t="s">
        <v>41</v>
      </c>
      <c r="G5" s="178">
        <v>1</v>
      </c>
      <c r="H5" s="458" t="s">
        <v>42</v>
      </c>
      <c r="I5" s="459" t="s">
        <v>440</v>
      </c>
      <c r="J5" s="207">
        <v>46155</v>
      </c>
      <c r="K5" s="208" t="s">
        <v>460</v>
      </c>
      <c r="L5" s="209" t="s">
        <v>441</v>
      </c>
      <c r="M5" s="207" t="s">
        <v>457</v>
      </c>
      <c r="N5" s="210">
        <v>55000</v>
      </c>
      <c r="O5" s="210" t="s">
        <v>450</v>
      </c>
      <c r="P5" s="210" t="s">
        <v>444</v>
      </c>
      <c r="Q5" s="211">
        <f t="shared" si="0"/>
        <v>55000</v>
      </c>
      <c r="R5" s="212">
        <v>6227</v>
      </c>
      <c r="S5" s="212">
        <f t="shared" si="1"/>
        <v>61227</v>
      </c>
      <c r="T5" s="212">
        <f t="shared" si="2"/>
        <v>55000</v>
      </c>
      <c r="U5" s="212">
        <f t="shared" si="3"/>
        <v>61227</v>
      </c>
      <c r="V5" s="460" t="s">
        <v>440</v>
      </c>
      <c r="W5" s="213">
        <v>46155</v>
      </c>
      <c r="X5" s="214" t="s">
        <v>453</v>
      </c>
      <c r="Y5" s="215" t="s">
        <v>441</v>
      </c>
      <c r="Z5" s="216" t="s">
        <v>449</v>
      </c>
      <c r="AA5" s="217">
        <v>35000</v>
      </c>
      <c r="AB5" s="217" t="s">
        <v>450</v>
      </c>
      <c r="AC5" s="217" t="s">
        <v>444</v>
      </c>
      <c r="AD5" s="218">
        <f>IF(AB5="IVA Incluido",(AA5/1.19),AA5)</f>
        <v>35000</v>
      </c>
      <c r="AE5" s="219">
        <f t="shared" si="4"/>
        <v>6650</v>
      </c>
      <c r="AF5" s="219">
        <f t="shared" si="5"/>
        <v>41650</v>
      </c>
      <c r="AG5" s="219">
        <f t="shared" si="6"/>
        <v>35000</v>
      </c>
      <c r="AH5" s="219">
        <f t="shared" si="7"/>
        <v>41650</v>
      </c>
      <c r="AI5" s="461" t="s">
        <v>440</v>
      </c>
      <c r="AJ5" s="220">
        <v>46155</v>
      </c>
      <c r="AK5" s="221" t="s">
        <v>455</v>
      </c>
      <c r="AL5" s="222" t="s">
        <v>441</v>
      </c>
      <c r="AM5" s="223" t="s">
        <v>456</v>
      </c>
      <c r="AN5" s="224">
        <v>36600</v>
      </c>
      <c r="AO5" s="224" t="s">
        <v>450</v>
      </c>
      <c r="AP5" s="225" t="s">
        <v>444</v>
      </c>
      <c r="AQ5" s="226">
        <f t="shared" si="8"/>
        <v>36600</v>
      </c>
      <c r="AR5" s="227">
        <f t="shared" si="9"/>
        <v>6954</v>
      </c>
      <c r="AS5" s="227">
        <f t="shared" si="10"/>
        <v>43554</v>
      </c>
      <c r="AT5" s="227">
        <f t="shared" si="11"/>
        <v>36600</v>
      </c>
      <c r="AU5" s="227">
        <f t="shared" si="12"/>
        <v>43554</v>
      </c>
      <c r="AV5" s="228">
        <f t="shared" si="13"/>
        <v>48810.333333333336</v>
      </c>
      <c r="AW5" s="228">
        <f t="shared" si="14"/>
        <v>48810.333333333336</v>
      </c>
      <c r="AX5" s="228">
        <f t="shared" si="15"/>
        <v>10795.207841136431</v>
      </c>
      <c r="AY5" s="229">
        <f t="shared" si="16"/>
        <v>0.22116644374080141</v>
      </c>
      <c r="AZ5" s="230"/>
      <c r="BA5" s="231">
        <f t="shared" si="17"/>
        <v>3</v>
      </c>
      <c r="BH5" s="231">
        <v>9</v>
      </c>
      <c r="BI5" s="232"/>
      <c r="BJ5" s="232"/>
      <c r="BK5" s="232"/>
      <c r="BL5" s="232"/>
      <c r="BM5" s="232"/>
      <c r="BN5" s="232"/>
      <c r="BO5" s="232"/>
      <c r="BP5" s="232"/>
      <c r="BQ5" s="232"/>
      <c r="BR5" s="232"/>
      <c r="BS5" s="232"/>
      <c r="BT5" s="232"/>
      <c r="BU5" s="232"/>
      <c r="BV5" s="232"/>
    </row>
    <row r="6" spans="1:74" s="231" customFormat="1" ht="63" hidden="1" x14ac:dyDescent="0.25">
      <c r="A6" s="205" t="s">
        <v>438</v>
      </c>
      <c r="B6" s="205" t="s">
        <v>439</v>
      </c>
      <c r="C6" s="205">
        <v>82101502</v>
      </c>
      <c r="D6" s="205" t="s">
        <v>400</v>
      </c>
      <c r="E6" s="206" t="s">
        <v>401</v>
      </c>
      <c r="F6" s="458" t="s">
        <v>41</v>
      </c>
      <c r="G6" s="178">
        <v>1</v>
      </c>
      <c r="H6" s="458" t="s">
        <v>42</v>
      </c>
      <c r="I6" s="459" t="s">
        <v>440</v>
      </c>
      <c r="J6" s="207">
        <v>46155</v>
      </c>
      <c r="K6" s="208" t="s">
        <v>445</v>
      </c>
      <c r="L6" s="209" t="s">
        <v>441</v>
      </c>
      <c r="M6" s="207" t="s">
        <v>457</v>
      </c>
      <c r="N6" s="210">
        <v>340000</v>
      </c>
      <c r="O6" s="210" t="s">
        <v>443</v>
      </c>
      <c r="P6" s="210" t="s">
        <v>444</v>
      </c>
      <c r="Q6" s="211">
        <f t="shared" si="0"/>
        <v>285714.28571428574</v>
      </c>
      <c r="R6" s="212">
        <f t="shared" ref="R6:R12" si="18">IF(P6="Si tiene IVA",Q6*19%,0)</f>
        <v>54285.71428571429</v>
      </c>
      <c r="S6" s="212">
        <f t="shared" si="1"/>
        <v>340000</v>
      </c>
      <c r="T6" s="212">
        <f t="shared" si="2"/>
        <v>340000</v>
      </c>
      <c r="U6" s="212">
        <f t="shared" si="3"/>
        <v>340000</v>
      </c>
      <c r="V6" s="460" t="s">
        <v>440</v>
      </c>
      <c r="W6" s="213">
        <v>46155</v>
      </c>
      <c r="X6" s="214" t="s">
        <v>461</v>
      </c>
      <c r="Y6" s="215" t="s">
        <v>441</v>
      </c>
      <c r="Z6" s="216" t="s">
        <v>462</v>
      </c>
      <c r="AA6" s="217">
        <v>210000</v>
      </c>
      <c r="AB6" s="217" t="s">
        <v>450</v>
      </c>
      <c r="AC6" s="217" t="s">
        <v>444</v>
      </c>
      <c r="AD6" s="218">
        <f>IF(AB6="IVA Incluido",(AA6/1.19),AA6)</f>
        <v>210000</v>
      </c>
      <c r="AE6" s="219">
        <f t="shared" si="4"/>
        <v>39900</v>
      </c>
      <c r="AF6" s="219">
        <f t="shared" si="5"/>
        <v>249900</v>
      </c>
      <c r="AG6" s="219">
        <f t="shared" si="6"/>
        <v>210000</v>
      </c>
      <c r="AH6" s="219">
        <f t="shared" si="7"/>
        <v>249900</v>
      </c>
      <c r="AI6" s="461" t="s">
        <v>440</v>
      </c>
      <c r="AJ6" s="220">
        <v>46155</v>
      </c>
      <c r="AK6" s="221" t="s">
        <v>463</v>
      </c>
      <c r="AL6" s="222" t="s">
        <v>441</v>
      </c>
      <c r="AM6" s="223" t="s">
        <v>464</v>
      </c>
      <c r="AN6" s="224">
        <v>250000</v>
      </c>
      <c r="AO6" s="224" t="s">
        <v>450</v>
      </c>
      <c r="AP6" s="225" t="s">
        <v>444</v>
      </c>
      <c r="AQ6" s="226">
        <f t="shared" si="8"/>
        <v>250000</v>
      </c>
      <c r="AR6" s="227">
        <f t="shared" si="9"/>
        <v>47500</v>
      </c>
      <c r="AS6" s="227">
        <f t="shared" si="10"/>
        <v>297500</v>
      </c>
      <c r="AT6" s="227">
        <f t="shared" si="11"/>
        <v>250000</v>
      </c>
      <c r="AU6" s="227">
        <f t="shared" si="12"/>
        <v>297500</v>
      </c>
      <c r="AV6" s="228">
        <f t="shared" si="13"/>
        <v>295800</v>
      </c>
      <c r="AW6" s="228">
        <f t="shared" si="14"/>
        <v>295800</v>
      </c>
      <c r="AX6" s="228">
        <f t="shared" si="15"/>
        <v>45074.050184113694</v>
      </c>
      <c r="AY6" s="229">
        <f t="shared" si="16"/>
        <v>0.15238015613290634</v>
      </c>
      <c r="AZ6" s="230"/>
      <c r="BA6" s="231">
        <f t="shared" si="17"/>
        <v>3</v>
      </c>
      <c r="BH6" s="231">
        <v>5</v>
      </c>
      <c r="BI6" s="232"/>
      <c r="BJ6" s="232"/>
      <c r="BK6" s="232"/>
      <c r="BL6" s="232"/>
      <c r="BM6" s="232"/>
      <c r="BN6" s="232"/>
      <c r="BO6" s="232"/>
      <c r="BP6" s="232"/>
      <c r="BQ6" s="232"/>
      <c r="BR6" s="232"/>
      <c r="BS6" s="232"/>
      <c r="BT6" s="232"/>
      <c r="BU6" s="232"/>
      <c r="BV6" s="232"/>
    </row>
    <row r="7" spans="1:74" s="231" customFormat="1" ht="63" hidden="1" x14ac:dyDescent="0.25">
      <c r="A7" s="205" t="s">
        <v>438</v>
      </c>
      <c r="B7" s="205" t="s">
        <v>439</v>
      </c>
      <c r="C7" s="205">
        <v>82101502</v>
      </c>
      <c r="D7" s="205" t="s">
        <v>465</v>
      </c>
      <c r="E7" s="206" t="s">
        <v>401</v>
      </c>
      <c r="F7" s="458" t="s">
        <v>41</v>
      </c>
      <c r="G7" s="178">
        <v>1</v>
      </c>
      <c r="H7" s="458" t="s">
        <v>42</v>
      </c>
      <c r="I7" s="459" t="s">
        <v>440</v>
      </c>
      <c r="J7" s="207">
        <v>46147</v>
      </c>
      <c r="K7" s="208" t="s">
        <v>460</v>
      </c>
      <c r="L7" s="209" t="s">
        <v>441</v>
      </c>
      <c r="M7" s="207" t="s">
        <v>457</v>
      </c>
      <c r="N7" s="210">
        <v>6500</v>
      </c>
      <c r="O7" s="210" t="s">
        <v>443</v>
      </c>
      <c r="P7" s="210" t="s">
        <v>444</v>
      </c>
      <c r="Q7" s="211">
        <f t="shared" si="0"/>
        <v>5462.1848739495799</v>
      </c>
      <c r="R7" s="212">
        <f t="shared" si="18"/>
        <v>1037.8151260504203</v>
      </c>
      <c r="S7" s="212">
        <f t="shared" si="1"/>
        <v>6500</v>
      </c>
      <c r="T7" s="212">
        <f t="shared" si="2"/>
        <v>6500</v>
      </c>
      <c r="U7" s="212">
        <f t="shared" si="3"/>
        <v>6500</v>
      </c>
      <c r="V7" s="460" t="s">
        <v>440</v>
      </c>
      <c r="W7" s="213">
        <v>46147</v>
      </c>
      <c r="X7" s="214" t="s">
        <v>466</v>
      </c>
      <c r="Y7" s="215" t="s">
        <v>441</v>
      </c>
      <c r="Z7" s="216" t="s">
        <v>467</v>
      </c>
      <c r="AA7" s="217">
        <v>7000</v>
      </c>
      <c r="AB7" s="217" t="s">
        <v>450</v>
      </c>
      <c r="AC7" s="217" t="s">
        <v>468</v>
      </c>
      <c r="AD7" s="218">
        <f>IF(AB7="IVA Incluido",(AA7/1.19),AA7)</f>
        <v>7000</v>
      </c>
      <c r="AE7" s="219">
        <f t="shared" si="4"/>
        <v>0</v>
      </c>
      <c r="AF7" s="219">
        <f t="shared" si="5"/>
        <v>7000</v>
      </c>
      <c r="AG7" s="219">
        <f t="shared" si="6"/>
        <v>7000</v>
      </c>
      <c r="AH7" s="219">
        <f t="shared" si="7"/>
        <v>7000</v>
      </c>
      <c r="AI7" s="461" t="s">
        <v>440</v>
      </c>
      <c r="AJ7" s="220">
        <v>46147</v>
      </c>
      <c r="AK7" s="221" t="s">
        <v>453</v>
      </c>
      <c r="AL7" s="222" t="s">
        <v>441</v>
      </c>
      <c r="AM7" s="223" t="s">
        <v>449</v>
      </c>
      <c r="AN7" s="224">
        <v>7800</v>
      </c>
      <c r="AO7" s="224" t="s">
        <v>450</v>
      </c>
      <c r="AP7" s="225" t="s">
        <v>444</v>
      </c>
      <c r="AQ7" s="226">
        <f t="shared" si="8"/>
        <v>7800</v>
      </c>
      <c r="AR7" s="227">
        <f t="shared" si="9"/>
        <v>1482</v>
      </c>
      <c r="AS7" s="227">
        <f t="shared" si="10"/>
        <v>9282</v>
      </c>
      <c r="AT7" s="227">
        <f t="shared" si="11"/>
        <v>7800</v>
      </c>
      <c r="AU7" s="227">
        <f t="shared" si="12"/>
        <v>9282</v>
      </c>
      <c r="AV7" s="228">
        <f t="shared" si="13"/>
        <v>7594</v>
      </c>
      <c r="AW7" s="228">
        <f t="shared" si="14"/>
        <v>7594</v>
      </c>
      <c r="AX7" s="228">
        <f t="shared" si="15"/>
        <v>1483.0738349792298</v>
      </c>
      <c r="AY7" s="229">
        <f t="shared" si="16"/>
        <v>0.19529547471414666</v>
      </c>
      <c r="AZ7" s="230" t="s">
        <v>469</v>
      </c>
      <c r="BA7" s="231">
        <f t="shared" si="17"/>
        <v>3</v>
      </c>
      <c r="BH7" s="231">
        <v>6</v>
      </c>
      <c r="BI7" s="232"/>
      <c r="BJ7" s="232"/>
      <c r="BK7" s="232"/>
      <c r="BL7" s="232"/>
      <c r="BM7" s="232"/>
      <c r="BN7" s="232"/>
      <c r="BO7" s="232"/>
      <c r="BP7" s="232"/>
      <c r="BQ7" s="232"/>
      <c r="BR7" s="232"/>
      <c r="BS7" s="232"/>
      <c r="BT7" s="232"/>
      <c r="BU7" s="232"/>
      <c r="BV7" s="232"/>
    </row>
    <row r="8" spans="1:74" s="231" customFormat="1" ht="63" hidden="1" x14ac:dyDescent="0.25">
      <c r="A8" s="205" t="s">
        <v>438</v>
      </c>
      <c r="B8" s="205" t="s">
        <v>439</v>
      </c>
      <c r="C8" s="205">
        <v>82101502</v>
      </c>
      <c r="D8" s="205" t="s">
        <v>470</v>
      </c>
      <c r="E8" s="206" t="s">
        <v>471</v>
      </c>
      <c r="F8" s="458" t="s">
        <v>41</v>
      </c>
      <c r="G8" s="178">
        <v>1</v>
      </c>
      <c r="H8" s="458" t="s">
        <v>42</v>
      </c>
      <c r="I8" s="459" t="s">
        <v>440</v>
      </c>
      <c r="J8" s="207">
        <v>46155</v>
      </c>
      <c r="K8" s="208" t="s">
        <v>445</v>
      </c>
      <c r="L8" s="209" t="s">
        <v>441</v>
      </c>
      <c r="M8" s="207" t="s">
        <v>457</v>
      </c>
      <c r="N8" s="210">
        <v>910000</v>
      </c>
      <c r="O8" s="210" t="s">
        <v>450</v>
      </c>
      <c r="P8" s="210" t="s">
        <v>444</v>
      </c>
      <c r="Q8" s="211">
        <f t="shared" si="0"/>
        <v>910000</v>
      </c>
      <c r="R8" s="212">
        <f t="shared" si="18"/>
        <v>172900</v>
      </c>
      <c r="S8" s="212">
        <f t="shared" si="1"/>
        <v>1082900</v>
      </c>
      <c r="T8" s="212">
        <f t="shared" si="2"/>
        <v>910000</v>
      </c>
      <c r="U8" s="212">
        <f t="shared" si="3"/>
        <v>1082900</v>
      </c>
      <c r="V8" s="460" t="s">
        <v>440</v>
      </c>
      <c r="W8" s="213">
        <v>46153</v>
      </c>
      <c r="X8" s="214" t="s">
        <v>472</v>
      </c>
      <c r="Y8" s="215" t="s">
        <v>441</v>
      </c>
      <c r="Z8" s="216" t="s">
        <v>473</v>
      </c>
      <c r="AA8" s="217">
        <v>740000</v>
      </c>
      <c r="AB8" s="217" t="s">
        <v>450</v>
      </c>
      <c r="AC8" s="217" t="s">
        <v>444</v>
      </c>
      <c r="AD8" s="218">
        <v>740000</v>
      </c>
      <c r="AE8" s="219">
        <f t="shared" si="4"/>
        <v>140600</v>
      </c>
      <c r="AF8" s="219">
        <f t="shared" si="5"/>
        <v>880600</v>
      </c>
      <c r="AG8" s="219">
        <f t="shared" si="6"/>
        <v>740000</v>
      </c>
      <c r="AH8" s="219">
        <f t="shared" si="7"/>
        <v>880600</v>
      </c>
      <c r="AI8" s="461" t="s">
        <v>440</v>
      </c>
      <c r="AJ8" s="220">
        <v>46155</v>
      </c>
      <c r="AK8" s="221" t="s">
        <v>461</v>
      </c>
      <c r="AL8" s="222" t="s">
        <v>441</v>
      </c>
      <c r="AM8" s="223" t="s">
        <v>462</v>
      </c>
      <c r="AN8" s="224">
        <v>1000000</v>
      </c>
      <c r="AO8" s="224" t="s">
        <v>450</v>
      </c>
      <c r="AP8" s="225" t="s">
        <v>444</v>
      </c>
      <c r="AQ8" s="226">
        <f t="shared" si="8"/>
        <v>1000000</v>
      </c>
      <c r="AR8" s="227">
        <f t="shared" si="9"/>
        <v>190000</v>
      </c>
      <c r="AS8" s="227">
        <f t="shared" si="10"/>
        <v>1190000</v>
      </c>
      <c r="AT8" s="227">
        <f t="shared" si="11"/>
        <v>1000000</v>
      </c>
      <c r="AU8" s="227">
        <f t="shared" si="12"/>
        <v>1190000</v>
      </c>
      <c r="AV8" s="228">
        <f t="shared" si="13"/>
        <v>1051166.6666666667</v>
      </c>
      <c r="AW8" s="228">
        <f t="shared" si="14"/>
        <v>1051166.6666666667</v>
      </c>
      <c r="AX8" s="228">
        <f t="shared" si="15"/>
        <v>157122.06507468407</v>
      </c>
      <c r="AY8" s="229">
        <f t="shared" si="16"/>
        <v>0.14947397977613833</v>
      </c>
      <c r="AZ8" s="230"/>
      <c r="BA8" s="231">
        <f t="shared" si="17"/>
        <v>3</v>
      </c>
      <c r="BH8" s="231">
        <v>77</v>
      </c>
      <c r="BI8" s="232"/>
      <c r="BJ8" s="232"/>
      <c r="BK8" s="232"/>
      <c r="BL8" s="232"/>
      <c r="BM8" s="232"/>
      <c r="BN8" s="232"/>
      <c r="BO8" s="232"/>
      <c r="BP8" s="232"/>
      <c r="BQ8" s="232"/>
      <c r="BR8" s="232"/>
      <c r="BS8" s="232"/>
      <c r="BT8" s="232"/>
      <c r="BU8" s="232"/>
      <c r="BV8" s="232"/>
    </row>
    <row r="9" spans="1:74" s="231" customFormat="1" ht="63" hidden="1" x14ac:dyDescent="0.25">
      <c r="A9" s="205" t="s">
        <v>438</v>
      </c>
      <c r="B9" s="205" t="s">
        <v>439</v>
      </c>
      <c r="C9" s="205">
        <v>82101502</v>
      </c>
      <c r="D9" s="205" t="s">
        <v>474</v>
      </c>
      <c r="E9" s="206" t="s">
        <v>459</v>
      </c>
      <c r="F9" s="458" t="s">
        <v>41</v>
      </c>
      <c r="G9" s="178">
        <v>1</v>
      </c>
      <c r="H9" s="458" t="s">
        <v>42</v>
      </c>
      <c r="I9" s="459" t="s">
        <v>452</v>
      </c>
      <c r="J9" s="207">
        <v>46147</v>
      </c>
      <c r="K9" s="208" t="s">
        <v>475</v>
      </c>
      <c r="L9" s="209" t="s">
        <v>441</v>
      </c>
      <c r="M9" s="207" t="s">
        <v>476</v>
      </c>
      <c r="N9" s="210">
        <v>1575</v>
      </c>
      <c r="O9" s="210" t="s">
        <v>450</v>
      </c>
      <c r="P9" s="210" t="s">
        <v>444</v>
      </c>
      <c r="Q9" s="211">
        <f t="shared" si="0"/>
        <v>1575</v>
      </c>
      <c r="R9" s="212">
        <f t="shared" si="18"/>
        <v>299.25</v>
      </c>
      <c r="S9" s="212">
        <f t="shared" si="1"/>
        <v>1874.25</v>
      </c>
      <c r="T9" s="212">
        <f t="shared" si="2"/>
        <v>1575</v>
      </c>
      <c r="U9" s="212">
        <f t="shared" si="3"/>
        <v>1874.25</v>
      </c>
      <c r="V9" s="460" t="s">
        <v>454</v>
      </c>
      <c r="W9" s="213">
        <v>46147</v>
      </c>
      <c r="X9" s="214" t="s">
        <v>84</v>
      </c>
      <c r="Y9" s="215" t="s">
        <v>441</v>
      </c>
      <c r="Z9" s="216" t="s">
        <v>84</v>
      </c>
      <c r="AA9" s="217">
        <v>1250</v>
      </c>
      <c r="AB9" s="217" t="s">
        <v>450</v>
      </c>
      <c r="AC9" s="217" t="s">
        <v>444</v>
      </c>
      <c r="AD9" s="218">
        <f>IF(AB9="IVA Incluido",(AA9/1.19),AA9)</f>
        <v>1250</v>
      </c>
      <c r="AE9" s="219">
        <f t="shared" si="4"/>
        <v>237.5</v>
      </c>
      <c r="AF9" s="219">
        <f t="shared" si="5"/>
        <v>1487.5</v>
      </c>
      <c r="AG9" s="219">
        <f t="shared" si="6"/>
        <v>1250</v>
      </c>
      <c r="AH9" s="219">
        <f t="shared" si="7"/>
        <v>1487.5</v>
      </c>
      <c r="AI9" s="461" t="s">
        <v>452</v>
      </c>
      <c r="AJ9" s="220">
        <v>46147</v>
      </c>
      <c r="AK9" s="221" t="s">
        <v>477</v>
      </c>
      <c r="AL9" s="222" t="s">
        <v>441</v>
      </c>
      <c r="AM9" s="223" t="s">
        <v>478</v>
      </c>
      <c r="AN9" s="224">
        <v>1500</v>
      </c>
      <c r="AO9" s="224" t="s">
        <v>450</v>
      </c>
      <c r="AP9" s="225" t="s">
        <v>468</v>
      </c>
      <c r="AQ9" s="226">
        <f t="shared" si="8"/>
        <v>1500</v>
      </c>
      <c r="AR9" s="227">
        <f t="shared" si="9"/>
        <v>0</v>
      </c>
      <c r="AS9" s="227">
        <f t="shared" si="10"/>
        <v>1500</v>
      </c>
      <c r="AT9" s="227">
        <f t="shared" si="11"/>
        <v>1500</v>
      </c>
      <c r="AU9" s="227">
        <f t="shared" si="12"/>
        <v>1500</v>
      </c>
      <c r="AV9" s="228">
        <f t="shared" si="13"/>
        <v>1620.5833333333333</v>
      </c>
      <c r="AW9" s="228">
        <f t="shared" si="14"/>
        <v>1620.5833333333333</v>
      </c>
      <c r="AX9" s="228">
        <f t="shared" si="15"/>
        <v>219.77066645331331</v>
      </c>
      <c r="AY9" s="229">
        <f t="shared" si="16"/>
        <v>0.13561207371007147</v>
      </c>
      <c r="AZ9" s="230"/>
      <c r="BA9" s="231">
        <f t="shared" si="17"/>
        <v>3</v>
      </c>
      <c r="BH9" s="231">
        <v>70</v>
      </c>
      <c r="BI9" s="232"/>
      <c r="BJ9" s="232"/>
      <c r="BK9" s="232"/>
      <c r="BL9" s="232"/>
      <c r="BM9" s="232"/>
      <c r="BN9" s="232"/>
      <c r="BO9" s="232"/>
      <c r="BP9" s="232"/>
      <c r="BQ9" s="232"/>
      <c r="BR9" s="232"/>
      <c r="BS9" s="232"/>
      <c r="BT9" s="232"/>
      <c r="BU9" s="232"/>
      <c r="BV9" s="232"/>
    </row>
    <row r="10" spans="1:74" s="231" customFormat="1" ht="126" hidden="1" x14ac:dyDescent="0.25">
      <c r="A10" s="205" t="s">
        <v>438</v>
      </c>
      <c r="B10" s="205" t="s">
        <v>439</v>
      </c>
      <c r="C10" s="205" t="s">
        <v>479</v>
      </c>
      <c r="D10" s="205" t="s">
        <v>480</v>
      </c>
      <c r="E10" s="206" t="s">
        <v>481</v>
      </c>
      <c r="F10" s="458" t="s">
        <v>41</v>
      </c>
      <c r="G10" s="178">
        <v>1</v>
      </c>
      <c r="H10" s="458" t="s">
        <v>42</v>
      </c>
      <c r="I10" s="459" t="s">
        <v>482</v>
      </c>
      <c r="J10" s="207">
        <v>46072</v>
      </c>
      <c r="K10" s="208" t="s">
        <v>483</v>
      </c>
      <c r="L10" s="209" t="s">
        <v>446</v>
      </c>
      <c r="M10" s="207" t="s">
        <v>462</v>
      </c>
      <c r="N10" s="210">
        <v>26000</v>
      </c>
      <c r="O10" s="210" t="s">
        <v>450</v>
      </c>
      <c r="P10" s="210" t="s">
        <v>444</v>
      </c>
      <c r="Q10" s="211">
        <f t="shared" si="0"/>
        <v>26000</v>
      </c>
      <c r="R10" s="212">
        <f t="shared" si="18"/>
        <v>4940</v>
      </c>
      <c r="S10" s="212">
        <f t="shared" si="1"/>
        <v>30940</v>
      </c>
      <c r="T10" s="212">
        <f t="shared" si="2"/>
        <v>26000</v>
      </c>
      <c r="U10" s="212">
        <f t="shared" si="3"/>
        <v>30940</v>
      </c>
      <c r="V10" s="460" t="s">
        <v>482</v>
      </c>
      <c r="W10" s="213">
        <v>46071</v>
      </c>
      <c r="X10" s="214" t="s">
        <v>466</v>
      </c>
      <c r="Y10" s="215" t="s">
        <v>446</v>
      </c>
      <c r="Z10" s="216" t="s">
        <v>467</v>
      </c>
      <c r="AA10" s="217">
        <v>35000</v>
      </c>
      <c r="AB10" s="217" t="s">
        <v>450</v>
      </c>
      <c r="AC10" s="217" t="s">
        <v>468</v>
      </c>
      <c r="AD10" s="218">
        <f>IF(AB10="IVA Incluido",(AA10/1.19),AA10)</f>
        <v>35000</v>
      </c>
      <c r="AE10" s="219">
        <f t="shared" si="4"/>
        <v>0</v>
      </c>
      <c r="AF10" s="219">
        <f t="shared" si="5"/>
        <v>35000</v>
      </c>
      <c r="AG10" s="219">
        <f t="shared" si="6"/>
        <v>35000</v>
      </c>
      <c r="AH10" s="219">
        <f t="shared" si="7"/>
        <v>35000</v>
      </c>
      <c r="AI10" s="461" t="s">
        <v>482</v>
      </c>
      <c r="AJ10" s="220">
        <v>46072</v>
      </c>
      <c r="AK10" s="221" t="s">
        <v>484</v>
      </c>
      <c r="AL10" s="222" t="s">
        <v>446</v>
      </c>
      <c r="AM10" s="223" t="s">
        <v>485</v>
      </c>
      <c r="AN10" s="224">
        <v>29000</v>
      </c>
      <c r="AO10" s="224" t="s">
        <v>450</v>
      </c>
      <c r="AP10" s="225" t="s">
        <v>468</v>
      </c>
      <c r="AQ10" s="226">
        <f t="shared" si="8"/>
        <v>29000</v>
      </c>
      <c r="AR10" s="227">
        <f t="shared" si="9"/>
        <v>0</v>
      </c>
      <c r="AS10" s="227">
        <f t="shared" si="10"/>
        <v>29000</v>
      </c>
      <c r="AT10" s="227">
        <f t="shared" si="11"/>
        <v>29000</v>
      </c>
      <c r="AU10" s="227">
        <f t="shared" si="12"/>
        <v>29000</v>
      </c>
      <c r="AV10" s="228">
        <f t="shared" si="13"/>
        <v>31646.666666666668</v>
      </c>
      <c r="AW10" s="228">
        <f t="shared" si="14"/>
        <v>31646.666666666668</v>
      </c>
      <c r="AX10" s="228">
        <f t="shared" si="15"/>
        <v>3061.7859711830502</v>
      </c>
      <c r="AY10" s="229">
        <f t="shared" si="16"/>
        <v>9.6749082721183377E-2</v>
      </c>
      <c r="AZ10" s="230"/>
      <c r="BA10" s="231">
        <f t="shared" si="17"/>
        <v>3</v>
      </c>
      <c r="BH10" s="231">
        <v>78</v>
      </c>
      <c r="BI10" s="232"/>
      <c r="BJ10" s="232"/>
      <c r="BK10" s="232"/>
      <c r="BL10" s="232"/>
      <c r="BM10" s="232"/>
      <c r="BN10" s="232"/>
      <c r="BO10" s="232"/>
      <c r="BP10" s="232"/>
      <c r="BQ10" s="232"/>
      <c r="BR10" s="232"/>
      <c r="BS10" s="232"/>
      <c r="BT10" s="232"/>
      <c r="BU10" s="232"/>
      <c r="BV10" s="232"/>
    </row>
    <row r="11" spans="1:74" s="231" customFormat="1" ht="133.5" hidden="1" customHeight="1" x14ac:dyDescent="0.25">
      <c r="A11" s="205" t="s">
        <v>438</v>
      </c>
      <c r="B11" s="205" t="s">
        <v>439</v>
      </c>
      <c r="C11" s="205">
        <v>44112005</v>
      </c>
      <c r="D11" s="205" t="s">
        <v>205</v>
      </c>
      <c r="E11" s="206" t="s">
        <v>486</v>
      </c>
      <c r="F11" s="458" t="s">
        <v>41</v>
      </c>
      <c r="G11" s="178">
        <v>1</v>
      </c>
      <c r="H11" s="458" t="s">
        <v>42</v>
      </c>
      <c r="I11" s="459" t="s">
        <v>482</v>
      </c>
      <c r="J11" s="207">
        <v>46070</v>
      </c>
      <c r="K11" s="208" t="s">
        <v>453</v>
      </c>
      <c r="L11" s="209" t="s">
        <v>446</v>
      </c>
      <c r="M11" s="207" t="s">
        <v>449</v>
      </c>
      <c r="N11" s="210">
        <v>28000</v>
      </c>
      <c r="O11" s="210" t="s">
        <v>450</v>
      </c>
      <c r="P11" s="210" t="s">
        <v>444</v>
      </c>
      <c r="Q11" s="211">
        <f t="shared" si="0"/>
        <v>28000</v>
      </c>
      <c r="R11" s="212">
        <f t="shared" si="18"/>
        <v>5320</v>
      </c>
      <c r="S11" s="212">
        <f t="shared" si="1"/>
        <v>33320</v>
      </c>
      <c r="T11" s="212">
        <f t="shared" si="2"/>
        <v>28000</v>
      </c>
      <c r="U11" s="212">
        <f t="shared" si="3"/>
        <v>33320</v>
      </c>
      <c r="V11" s="460" t="s">
        <v>482</v>
      </c>
      <c r="W11" s="213">
        <v>46071</v>
      </c>
      <c r="X11" s="214" t="s">
        <v>445</v>
      </c>
      <c r="Y11" s="215" t="s">
        <v>446</v>
      </c>
      <c r="Z11" s="216" t="s">
        <v>457</v>
      </c>
      <c r="AA11" s="217">
        <v>31600</v>
      </c>
      <c r="AB11" s="217" t="s">
        <v>443</v>
      </c>
      <c r="AC11" s="217" t="s">
        <v>444</v>
      </c>
      <c r="AD11" s="218">
        <f>IF(AB11="IVA Incluido",(AA11/1.19),AA11)</f>
        <v>26554.621848739498</v>
      </c>
      <c r="AE11" s="219">
        <f t="shared" si="4"/>
        <v>5045.3781512605046</v>
      </c>
      <c r="AF11" s="219">
        <f t="shared" si="5"/>
        <v>31600.000000000004</v>
      </c>
      <c r="AG11" s="219">
        <f t="shared" si="6"/>
        <v>31600</v>
      </c>
      <c r="AH11" s="219">
        <f t="shared" si="7"/>
        <v>31600.000000000004</v>
      </c>
      <c r="AI11" s="461" t="s">
        <v>482</v>
      </c>
      <c r="AJ11" s="220">
        <v>46071</v>
      </c>
      <c r="AK11" s="221" t="s">
        <v>466</v>
      </c>
      <c r="AL11" s="222" t="s">
        <v>446</v>
      </c>
      <c r="AM11" s="223" t="s">
        <v>467</v>
      </c>
      <c r="AN11" s="224">
        <v>30000</v>
      </c>
      <c r="AO11" s="224" t="s">
        <v>450</v>
      </c>
      <c r="AP11" s="225" t="s">
        <v>468</v>
      </c>
      <c r="AQ11" s="226">
        <f t="shared" si="8"/>
        <v>30000</v>
      </c>
      <c r="AR11" s="227">
        <f t="shared" si="9"/>
        <v>0</v>
      </c>
      <c r="AS11" s="227">
        <f t="shared" si="10"/>
        <v>30000</v>
      </c>
      <c r="AT11" s="227">
        <f t="shared" si="11"/>
        <v>30000</v>
      </c>
      <c r="AU11" s="227">
        <f t="shared" si="12"/>
        <v>30000</v>
      </c>
      <c r="AV11" s="228">
        <f t="shared" si="13"/>
        <v>31640</v>
      </c>
      <c r="AW11" s="228">
        <f t="shared" si="14"/>
        <v>31640</v>
      </c>
      <c r="AX11" s="228">
        <f t="shared" si="15"/>
        <v>1660.3614064413807</v>
      </c>
      <c r="AY11" s="229">
        <f t="shared" si="16"/>
        <v>5.2476656335062599E-2</v>
      </c>
      <c r="AZ11" s="230"/>
      <c r="BA11" s="231">
        <f t="shared" si="17"/>
        <v>3</v>
      </c>
      <c r="BH11" s="231">
        <v>79</v>
      </c>
      <c r="BI11" s="232"/>
      <c r="BJ11" s="232"/>
      <c r="BK11" s="232"/>
      <c r="BL11" s="232"/>
      <c r="BM11" s="232"/>
      <c r="BN11" s="232"/>
      <c r="BO11" s="232"/>
      <c r="BP11" s="232"/>
      <c r="BQ11" s="232"/>
      <c r="BR11" s="232"/>
      <c r="BS11" s="232"/>
      <c r="BT11" s="232"/>
      <c r="BU11" s="232"/>
      <c r="BV11" s="232"/>
    </row>
    <row r="12" spans="1:74" s="231" customFormat="1" ht="147.94999999999999" hidden="1" customHeight="1" x14ac:dyDescent="0.25">
      <c r="A12" s="205" t="s">
        <v>438</v>
      </c>
      <c r="B12" s="205" t="s">
        <v>487</v>
      </c>
      <c r="C12" s="205">
        <v>80141607</v>
      </c>
      <c r="D12" s="205" t="s">
        <v>139</v>
      </c>
      <c r="E12" s="206" t="s">
        <v>140</v>
      </c>
      <c r="F12" s="458" t="s">
        <v>488</v>
      </c>
      <c r="G12" s="178">
        <v>1</v>
      </c>
      <c r="H12" s="458" t="s">
        <v>42</v>
      </c>
      <c r="I12" s="459" t="s">
        <v>440</v>
      </c>
      <c r="J12" s="207">
        <v>46086</v>
      </c>
      <c r="K12" s="208" t="s">
        <v>489</v>
      </c>
      <c r="L12" s="209" t="s">
        <v>446</v>
      </c>
      <c r="M12" s="207" t="s">
        <v>490</v>
      </c>
      <c r="N12" s="210">
        <v>15800</v>
      </c>
      <c r="O12" s="210" t="s">
        <v>443</v>
      </c>
      <c r="P12" s="210" t="s">
        <v>444</v>
      </c>
      <c r="Q12" s="211">
        <f t="shared" si="0"/>
        <v>13277.310924369749</v>
      </c>
      <c r="R12" s="212">
        <f t="shared" si="18"/>
        <v>2522.6890756302523</v>
      </c>
      <c r="S12" s="212">
        <f t="shared" si="1"/>
        <v>15800.000000000002</v>
      </c>
      <c r="T12" s="212">
        <f t="shared" si="2"/>
        <v>15800</v>
      </c>
      <c r="U12" s="212">
        <f t="shared" si="3"/>
        <v>15800.000000000002</v>
      </c>
      <c r="V12" s="460" t="s">
        <v>440</v>
      </c>
      <c r="W12" s="213">
        <v>46086</v>
      </c>
      <c r="X12" s="214" t="s">
        <v>491</v>
      </c>
      <c r="Y12" s="215" t="s">
        <v>446</v>
      </c>
      <c r="Z12" s="216" t="s">
        <v>492</v>
      </c>
      <c r="AA12" s="217">
        <v>19480</v>
      </c>
      <c r="AB12" s="217" t="s">
        <v>443</v>
      </c>
      <c r="AC12" s="217" t="s">
        <v>444</v>
      </c>
      <c r="AD12" s="218">
        <f>IF(AB12="IVA Incluido",(AA12/1.19),AA12)</f>
        <v>16369.747899159665</v>
      </c>
      <c r="AE12" s="219">
        <f t="shared" si="4"/>
        <v>3110.2521008403364</v>
      </c>
      <c r="AF12" s="219">
        <f t="shared" si="5"/>
        <v>19480</v>
      </c>
      <c r="AG12" s="219">
        <f t="shared" si="6"/>
        <v>19480</v>
      </c>
      <c r="AH12" s="219">
        <f t="shared" si="7"/>
        <v>19480</v>
      </c>
      <c r="AI12" s="461" t="s">
        <v>440</v>
      </c>
      <c r="AJ12" s="220">
        <v>46086</v>
      </c>
      <c r="AK12" s="221" t="s">
        <v>493</v>
      </c>
      <c r="AL12" s="222" t="s">
        <v>446</v>
      </c>
      <c r="AM12" s="223" t="s">
        <v>494</v>
      </c>
      <c r="AN12" s="224">
        <v>17400</v>
      </c>
      <c r="AO12" s="224" t="s">
        <v>443</v>
      </c>
      <c r="AP12" s="225" t="s">
        <v>444</v>
      </c>
      <c r="AQ12" s="226">
        <f t="shared" si="8"/>
        <v>14621.848739495799</v>
      </c>
      <c r="AR12" s="227">
        <f t="shared" si="9"/>
        <v>2778.1512605042017</v>
      </c>
      <c r="AS12" s="227">
        <f t="shared" si="10"/>
        <v>17400</v>
      </c>
      <c r="AT12" s="227">
        <f t="shared" si="11"/>
        <v>17400</v>
      </c>
      <c r="AU12" s="227">
        <f t="shared" si="12"/>
        <v>17400</v>
      </c>
      <c r="AV12" s="228">
        <f t="shared" si="13"/>
        <v>17560</v>
      </c>
      <c r="AW12" s="228">
        <f t="shared" si="14"/>
        <v>17560</v>
      </c>
      <c r="AX12" s="228">
        <f t="shared" si="15"/>
        <v>1845.2100151473264</v>
      </c>
      <c r="AY12" s="229">
        <f t="shared" si="16"/>
        <v>0.10508029699016665</v>
      </c>
      <c r="AZ12" s="230" t="s">
        <v>495</v>
      </c>
      <c r="BA12" s="231">
        <f t="shared" si="17"/>
        <v>3</v>
      </c>
      <c r="BH12" s="231">
        <v>29</v>
      </c>
      <c r="BI12" s="232"/>
      <c r="BJ12" s="232"/>
      <c r="BK12" s="232"/>
      <c r="BL12" s="232"/>
      <c r="BM12" s="232"/>
      <c r="BN12" s="232"/>
      <c r="BO12" s="232"/>
      <c r="BP12" s="232"/>
      <c r="BQ12" s="232"/>
      <c r="BR12" s="232"/>
      <c r="BS12" s="232"/>
      <c r="BT12" s="232"/>
      <c r="BU12" s="232"/>
      <c r="BV12" s="232"/>
    </row>
    <row r="13" spans="1:74" s="231" customFormat="1" ht="378" hidden="1" x14ac:dyDescent="0.25">
      <c r="A13" s="205" t="s">
        <v>496</v>
      </c>
      <c r="B13" s="205" t="s">
        <v>496</v>
      </c>
      <c r="C13" s="205" t="s">
        <v>496</v>
      </c>
      <c r="D13" s="205" t="s">
        <v>497</v>
      </c>
      <c r="E13" s="206" t="s">
        <v>498</v>
      </c>
      <c r="F13" s="458" t="s">
        <v>499</v>
      </c>
      <c r="G13" s="178">
        <v>1</v>
      </c>
      <c r="H13" s="458"/>
      <c r="I13" s="459" t="s">
        <v>496</v>
      </c>
      <c r="J13" s="207" t="s">
        <v>496</v>
      </c>
      <c r="K13" s="208" t="s">
        <v>496</v>
      </c>
      <c r="L13" s="209" t="s">
        <v>496</v>
      </c>
      <c r="M13" s="207" t="s">
        <v>496</v>
      </c>
      <c r="N13" s="210"/>
      <c r="O13" s="210"/>
      <c r="P13" s="210"/>
      <c r="Q13" s="211" t="s">
        <v>500</v>
      </c>
      <c r="R13" s="212" t="s">
        <v>500</v>
      </c>
      <c r="S13" s="212" t="s">
        <v>500</v>
      </c>
      <c r="T13" s="212" t="s">
        <v>500</v>
      </c>
      <c r="U13" s="212" t="s">
        <v>500</v>
      </c>
      <c r="V13" s="460" t="s">
        <v>496</v>
      </c>
      <c r="W13" s="213" t="s">
        <v>496</v>
      </c>
      <c r="X13" s="214" t="s">
        <v>496</v>
      </c>
      <c r="Y13" s="215" t="s">
        <v>496</v>
      </c>
      <c r="Z13" s="216" t="s">
        <v>165</v>
      </c>
      <c r="AA13" s="217" t="s">
        <v>496</v>
      </c>
      <c r="AB13" s="217" t="s">
        <v>496</v>
      </c>
      <c r="AC13" s="217" t="s">
        <v>496</v>
      </c>
      <c r="AD13" s="218" t="s">
        <v>496</v>
      </c>
      <c r="AE13" s="219" t="s">
        <v>496</v>
      </c>
      <c r="AF13" s="219">
        <v>2040</v>
      </c>
      <c r="AG13" s="219">
        <v>5.5599999999999997E-2</v>
      </c>
      <c r="AH13" s="219">
        <v>2153</v>
      </c>
      <c r="AI13" s="461" t="s">
        <v>496</v>
      </c>
      <c r="AJ13" s="220" t="s">
        <v>496</v>
      </c>
      <c r="AK13" s="221" t="s">
        <v>496</v>
      </c>
      <c r="AL13" s="222" t="s">
        <v>496</v>
      </c>
      <c r="AM13" s="223" t="s">
        <v>166</v>
      </c>
      <c r="AN13" s="224" t="s">
        <v>496</v>
      </c>
      <c r="AO13" s="224" t="s">
        <v>496</v>
      </c>
      <c r="AP13" s="225" t="s">
        <v>496</v>
      </c>
      <c r="AQ13" s="226">
        <v>1783</v>
      </c>
      <c r="AR13" s="227">
        <v>339</v>
      </c>
      <c r="AS13" s="227">
        <v>2122</v>
      </c>
      <c r="AT13" s="227">
        <v>1783</v>
      </c>
      <c r="AU13" s="227">
        <v>2122</v>
      </c>
      <c r="AV13" s="228">
        <v>2138</v>
      </c>
      <c r="AW13" s="228">
        <v>2138</v>
      </c>
      <c r="AX13" s="228">
        <v>22.5</v>
      </c>
      <c r="AY13" s="229">
        <v>1.0500000000000001E-2</v>
      </c>
      <c r="AZ13" s="230"/>
      <c r="BI13" s="232"/>
      <c r="BJ13" s="232"/>
      <c r="BK13" s="232"/>
      <c r="BL13" s="232"/>
      <c r="BM13" s="232"/>
      <c r="BN13" s="232"/>
      <c r="BO13" s="232"/>
      <c r="BP13" s="232"/>
      <c r="BQ13" s="232"/>
      <c r="BR13" s="232"/>
      <c r="BS13" s="232"/>
      <c r="BT13" s="232"/>
      <c r="BU13" s="232"/>
      <c r="BV13" s="232"/>
    </row>
    <row r="14" spans="1:74" s="231" customFormat="1" ht="63" hidden="1" x14ac:dyDescent="0.25">
      <c r="A14" s="205" t="s">
        <v>438</v>
      </c>
      <c r="B14" s="205" t="s">
        <v>501</v>
      </c>
      <c r="C14" s="205">
        <v>60121702</v>
      </c>
      <c r="D14" s="205" t="s">
        <v>502</v>
      </c>
      <c r="E14" s="206" t="s">
        <v>503</v>
      </c>
      <c r="F14" s="458" t="s">
        <v>41</v>
      </c>
      <c r="G14" s="178">
        <v>1</v>
      </c>
      <c r="H14" s="458" t="s">
        <v>42</v>
      </c>
      <c r="I14" s="459" t="s">
        <v>452</v>
      </c>
      <c r="J14" s="207">
        <v>46070</v>
      </c>
      <c r="K14" s="208" t="s">
        <v>504</v>
      </c>
      <c r="L14" s="209" t="s">
        <v>446</v>
      </c>
      <c r="M14" s="207" t="s">
        <v>505</v>
      </c>
      <c r="N14" s="210">
        <v>3300.27</v>
      </c>
      <c r="O14" s="210" t="s">
        <v>443</v>
      </c>
      <c r="P14" s="210" t="s">
        <v>444</v>
      </c>
      <c r="Q14" s="211">
        <f>IF(O14="IVA Incluido",(N14/1.19),N14)</f>
        <v>2773.3361344537816</v>
      </c>
      <c r="R14" s="212">
        <f>IF(P14="Si tiene IVA",Q14*19%,0)</f>
        <v>526.9338655462185</v>
      </c>
      <c r="S14" s="212">
        <f t="shared" ref="S14:S20" si="19">Q14+R14</f>
        <v>3300.27</v>
      </c>
      <c r="T14" s="212">
        <f>IF(B14="","",(N14*G14))</f>
        <v>3300.27</v>
      </c>
      <c r="U14" s="212">
        <f>IF(B14="","",(S14*G14))</f>
        <v>3300.27</v>
      </c>
      <c r="V14" s="460" t="s">
        <v>452</v>
      </c>
      <c r="W14" s="213">
        <v>46070</v>
      </c>
      <c r="X14" s="214" t="s">
        <v>506</v>
      </c>
      <c r="Y14" s="215" t="s">
        <v>446</v>
      </c>
      <c r="Z14" s="216" t="s">
        <v>507</v>
      </c>
      <c r="AA14" s="217">
        <v>2600</v>
      </c>
      <c r="AB14" s="217" t="s">
        <v>450</v>
      </c>
      <c r="AC14" s="217" t="s">
        <v>444</v>
      </c>
      <c r="AD14" s="218">
        <f>IF(AB14="IVA Incluido",(AA14/1.19),AA14)</f>
        <v>2600</v>
      </c>
      <c r="AE14" s="219">
        <f>IF(AC14="Si tiene IVA",AD14*19%,0)</f>
        <v>494</v>
      </c>
      <c r="AF14" s="219">
        <f t="shared" ref="AF14:AF20" si="20">AD14+AE14</f>
        <v>3094</v>
      </c>
      <c r="AG14" s="219">
        <f>IF(O14="","",(AA14*G14))</f>
        <v>2600</v>
      </c>
      <c r="AH14" s="219">
        <f>IF(O14="","",(AF14*G14))</f>
        <v>3094</v>
      </c>
      <c r="AI14" s="461" t="s">
        <v>452</v>
      </c>
      <c r="AJ14" s="220">
        <v>46070</v>
      </c>
      <c r="AK14" s="221" t="s">
        <v>508</v>
      </c>
      <c r="AL14" s="222" t="s">
        <v>446</v>
      </c>
      <c r="AM14" s="223" t="s">
        <v>509</v>
      </c>
      <c r="AN14" s="224">
        <v>3500</v>
      </c>
      <c r="AO14" s="224" t="s">
        <v>443</v>
      </c>
      <c r="AP14" s="225" t="s">
        <v>444</v>
      </c>
      <c r="AQ14" s="226">
        <f>IF(AO14="IVA Incluido",(AN14/1.19),AN14)</f>
        <v>2941.1764705882356</v>
      </c>
      <c r="AR14" s="227">
        <f>IF(AP14="Si tiene IVA",AQ14*19%,0)</f>
        <v>558.82352941176475</v>
      </c>
      <c r="AS14" s="227">
        <f>AQ14+AR14</f>
        <v>3500.0000000000005</v>
      </c>
      <c r="AT14" s="227">
        <f>IF(AB14="","",(AN14*G14))</f>
        <v>3500</v>
      </c>
      <c r="AU14" s="227">
        <f>IF(AB14="","",(AS14*G14))</f>
        <v>3500.0000000000005</v>
      </c>
      <c r="AV14" s="228">
        <f t="shared" ref="AV14:AV20" si="21">IF(A14="","",AVERAGE(S14,AF14,AS14))</f>
        <v>3298.09</v>
      </c>
      <c r="AW14" s="228">
        <f t="shared" ref="AW14:AW20" si="22">IF(A14="","",AVERAGE(U14,AH14,AU14))</f>
        <v>3298.09</v>
      </c>
      <c r="AX14" s="228">
        <f t="shared" ref="AX14:AX20" si="23">IF(N14="","",STDEV(U14,AH14,AU14))</f>
        <v>203.00877887421541</v>
      </c>
      <c r="AY14" s="229">
        <f t="shared" ref="AY14:AY20" si="24">IF(N14="","",(AX14/AW14))</f>
        <v>6.1553438163972296E-2</v>
      </c>
      <c r="AZ14" s="230"/>
      <c r="BA14" s="231">
        <f t="shared" ref="BA14:BA20" si="25">COUNTA(M14,Z14,AM14)</f>
        <v>3</v>
      </c>
      <c r="BH14" s="231">
        <v>5</v>
      </c>
      <c r="BI14" s="232"/>
      <c r="BJ14" s="232"/>
      <c r="BK14" s="232"/>
      <c r="BL14" s="232"/>
      <c r="BM14" s="232"/>
      <c r="BN14" s="232"/>
      <c r="BO14" s="232"/>
      <c r="BP14" s="232"/>
      <c r="BQ14" s="232"/>
      <c r="BR14" s="232"/>
      <c r="BS14" s="232"/>
      <c r="BT14" s="232"/>
      <c r="BU14" s="232"/>
      <c r="BV14" s="232"/>
    </row>
    <row r="15" spans="1:74" s="231" customFormat="1" ht="126" hidden="1" x14ac:dyDescent="0.25">
      <c r="A15" s="205" t="s">
        <v>438</v>
      </c>
      <c r="B15" s="205" t="s">
        <v>487</v>
      </c>
      <c r="C15" s="205">
        <v>90101603</v>
      </c>
      <c r="D15" s="205" t="s">
        <v>510</v>
      </c>
      <c r="E15" s="206" t="s">
        <v>511</v>
      </c>
      <c r="F15" s="458" t="s">
        <v>176</v>
      </c>
      <c r="G15" s="178">
        <v>1</v>
      </c>
      <c r="H15" s="458" t="s">
        <v>42</v>
      </c>
      <c r="I15" s="459" t="s">
        <v>440</v>
      </c>
      <c r="J15" s="207">
        <v>46134</v>
      </c>
      <c r="K15" s="208" t="s">
        <v>512</v>
      </c>
      <c r="L15" s="209" t="s">
        <v>446</v>
      </c>
      <c r="M15" s="207" t="s">
        <v>95</v>
      </c>
      <c r="N15" s="210">
        <v>37000</v>
      </c>
      <c r="O15" s="210" t="s">
        <v>513</v>
      </c>
      <c r="P15" s="210" t="s">
        <v>514</v>
      </c>
      <c r="Q15" s="211">
        <f>IF(O15="IVA Incluido",(N15/1.19),IF(O15="Ipoconsumo Incluido",(N15/1.08),N15))</f>
        <v>37000</v>
      </c>
      <c r="R15" s="212">
        <f>IF(P15="Si tiene IVA",Q15*19%,IF(P15="Si tiene IPOCONSUMO",Q15*8%,0))</f>
        <v>2960</v>
      </c>
      <c r="S15" s="212">
        <f t="shared" si="19"/>
        <v>39960</v>
      </c>
      <c r="T15" s="212">
        <f>IF(R15="IVA Incluido",(Q15/1.19),IF(R15="Ipoconsumo Incluido",(Q15/1.08),Q15))</f>
        <v>37000</v>
      </c>
      <c r="U15" s="212">
        <f>Q15+R15</f>
        <v>39960</v>
      </c>
      <c r="V15" s="460" t="s">
        <v>440</v>
      </c>
      <c r="W15" s="213">
        <v>46134</v>
      </c>
      <c r="X15" s="214" t="s">
        <v>515</v>
      </c>
      <c r="Y15" s="215" t="s">
        <v>446</v>
      </c>
      <c r="Z15" s="216" t="s">
        <v>516</v>
      </c>
      <c r="AA15" s="217">
        <v>45000</v>
      </c>
      <c r="AB15" s="217" t="s">
        <v>513</v>
      </c>
      <c r="AC15" s="217" t="s">
        <v>514</v>
      </c>
      <c r="AD15" s="218">
        <f>IF(AB15="IVA Incluido",(AA15/1.19),IF(AB15="Ipoconsumo Incluido",(AA15/1.08),AA15))</f>
        <v>45000</v>
      </c>
      <c r="AE15" s="219">
        <f>IF(AC15="Si tiene IVA",AD15*19%,IF(AC15="Si tiene IPOCONSUMO",AD15*8%,0))</f>
        <v>3600</v>
      </c>
      <c r="AF15" s="219">
        <f t="shared" si="20"/>
        <v>48600</v>
      </c>
      <c r="AG15" s="219">
        <f>IF(AE15="IVA Incluido",(AD15/1.19),IF(AE15="Ipoconsumo Incluido",(AD15/1.08),AD15))</f>
        <v>45000</v>
      </c>
      <c r="AH15" s="219">
        <f>AD15+AE15</f>
        <v>48600</v>
      </c>
      <c r="AI15" s="461" t="s">
        <v>440</v>
      </c>
      <c r="AJ15" s="220">
        <v>46134</v>
      </c>
      <c r="AK15" s="221" t="s">
        <v>517</v>
      </c>
      <c r="AL15" s="222" t="s">
        <v>446</v>
      </c>
      <c r="AM15" s="223" t="s">
        <v>101</v>
      </c>
      <c r="AN15" s="224">
        <v>31512</v>
      </c>
      <c r="AO15" s="224" t="s">
        <v>513</v>
      </c>
      <c r="AP15" s="225" t="s">
        <v>514</v>
      </c>
      <c r="AQ15" s="226">
        <f>IF(AO15="IVA Incluido",(AN15/1.19),IF(AO15="Ipoconsumo Incluido",(AN15/1.08),AN15))</f>
        <v>31512</v>
      </c>
      <c r="AR15" s="227">
        <f>IF(AP15="Si tiene IVA",AQ15*19%,IF(AP15="Si tiene IPOCONSUMO",AQ15*8%,0))</f>
        <v>2520.96</v>
      </c>
      <c r="AS15" s="227">
        <f>AQ15+AR15</f>
        <v>34032.959999999999</v>
      </c>
      <c r="AT15" s="227">
        <f>IF(AR15="IVA Incluido",(AQ15/1.19),IF(AR15="Ipoconsumo Incluido",(AQ15/1.08),AQ15))</f>
        <v>31512</v>
      </c>
      <c r="AU15" s="227">
        <f>AQ15+AR15</f>
        <v>34032.959999999999</v>
      </c>
      <c r="AV15" s="228">
        <f t="shared" si="21"/>
        <v>40864.32</v>
      </c>
      <c r="AW15" s="228">
        <f t="shared" si="22"/>
        <v>40864.32</v>
      </c>
      <c r="AX15" s="228">
        <f t="shared" si="23"/>
        <v>7325.5040500432569</v>
      </c>
      <c r="AY15" s="229">
        <f t="shared" si="24"/>
        <v>0.17926406336978706</v>
      </c>
      <c r="AZ15" s="230"/>
      <c r="BA15" s="231">
        <f t="shared" si="25"/>
        <v>3</v>
      </c>
      <c r="BH15" s="231">
        <v>14</v>
      </c>
      <c r="BI15" s="232"/>
      <c r="BJ15" s="232"/>
      <c r="BK15" s="232"/>
      <c r="BL15" s="232"/>
      <c r="BM15" s="232"/>
      <c r="BN15" s="232"/>
      <c r="BO15" s="232"/>
      <c r="BP15" s="232"/>
      <c r="BQ15" s="232"/>
      <c r="BR15" s="232"/>
      <c r="BS15" s="232"/>
      <c r="BT15" s="232"/>
      <c r="BU15" s="232"/>
      <c r="BV15" s="232"/>
    </row>
    <row r="16" spans="1:74" s="231" customFormat="1" ht="126" hidden="1" x14ac:dyDescent="0.25">
      <c r="A16" s="205" t="s">
        <v>438</v>
      </c>
      <c r="B16" s="205" t="s">
        <v>487</v>
      </c>
      <c r="C16" s="205">
        <v>90101603</v>
      </c>
      <c r="D16" s="205" t="s">
        <v>518</v>
      </c>
      <c r="E16" s="206" t="s">
        <v>519</v>
      </c>
      <c r="F16" s="458" t="s">
        <v>176</v>
      </c>
      <c r="G16" s="178">
        <v>1</v>
      </c>
      <c r="H16" s="458" t="s">
        <v>42</v>
      </c>
      <c r="I16" s="459" t="s">
        <v>440</v>
      </c>
      <c r="J16" s="207">
        <v>46134</v>
      </c>
      <c r="K16" s="208" t="s">
        <v>512</v>
      </c>
      <c r="L16" s="209" t="s">
        <v>446</v>
      </c>
      <c r="M16" s="207" t="s">
        <v>95</v>
      </c>
      <c r="N16" s="210">
        <v>32000</v>
      </c>
      <c r="O16" s="210" t="s">
        <v>513</v>
      </c>
      <c r="P16" s="210" t="s">
        <v>514</v>
      </c>
      <c r="Q16" s="211">
        <f>IF(O16="IVA Incluido",(N16/1.19),IF(O16="Ipoconsumo Incluido",(N16/1.08),N16))</f>
        <v>32000</v>
      </c>
      <c r="R16" s="212">
        <f>IF(P16="Si tiene IVA",Q16*19%,IF(P16="Si tiene IPOCONSUMO",Q16*8%,0))</f>
        <v>2560</v>
      </c>
      <c r="S16" s="212">
        <f t="shared" si="19"/>
        <v>34560</v>
      </c>
      <c r="T16" s="212">
        <f>IF(R16="IVA Incluido",(Q16/1.19),IF(R16="Ipoconsumo Incluido",(Q16/1.08),Q16))</f>
        <v>32000</v>
      </c>
      <c r="U16" s="212">
        <f>Q16+R16</f>
        <v>34560</v>
      </c>
      <c r="V16" s="460" t="s">
        <v>440</v>
      </c>
      <c r="W16" s="213">
        <v>46134</v>
      </c>
      <c r="X16" s="214" t="s">
        <v>515</v>
      </c>
      <c r="Y16" s="215" t="s">
        <v>446</v>
      </c>
      <c r="Z16" s="216" t="s">
        <v>516</v>
      </c>
      <c r="AA16" s="217">
        <v>45000</v>
      </c>
      <c r="AB16" s="217" t="s">
        <v>513</v>
      </c>
      <c r="AC16" s="217" t="s">
        <v>514</v>
      </c>
      <c r="AD16" s="218">
        <f>IF(AB16="IVA Incluido",(AA16/1.19),IF(AB16="Ipoconsumo Incluido",(AA16/1.08),AA16))</f>
        <v>45000</v>
      </c>
      <c r="AE16" s="219">
        <f>IF(AC16="Si tiene IVA",AD16*19%,IF(AC16="Si tiene IPOCONSUMO",AD16*8%,0))</f>
        <v>3600</v>
      </c>
      <c r="AF16" s="219">
        <f t="shared" si="20"/>
        <v>48600</v>
      </c>
      <c r="AG16" s="219">
        <f>IF(AE16="IVA Incluido",(AD16/1.19),IF(AE16="Ipoconsumo Incluido",(AD16/1.08),AD16))</f>
        <v>45000</v>
      </c>
      <c r="AH16" s="219">
        <f>AD16+AE16</f>
        <v>48600</v>
      </c>
      <c r="AI16" s="461"/>
      <c r="AJ16" s="220"/>
      <c r="AK16" s="221"/>
      <c r="AL16" s="222"/>
      <c r="AM16" s="223"/>
      <c r="AN16" s="224"/>
      <c r="AO16" s="224"/>
      <c r="AP16" s="225"/>
      <c r="AQ16" s="226"/>
      <c r="AR16" s="227"/>
      <c r="AS16" s="227"/>
      <c r="AT16" s="227"/>
      <c r="AU16" s="227"/>
      <c r="AV16" s="228">
        <f t="shared" si="21"/>
        <v>41580</v>
      </c>
      <c r="AW16" s="228">
        <f t="shared" si="22"/>
        <v>41580</v>
      </c>
      <c r="AX16" s="228">
        <f t="shared" si="23"/>
        <v>9927.7792078591265</v>
      </c>
      <c r="AY16" s="229">
        <f t="shared" si="24"/>
        <v>0.23876332871234071</v>
      </c>
      <c r="AZ16" s="230"/>
      <c r="BA16" s="231">
        <f t="shared" si="25"/>
        <v>2</v>
      </c>
      <c r="BH16" s="231">
        <v>15</v>
      </c>
      <c r="BI16" s="232"/>
      <c r="BJ16" s="232"/>
      <c r="BK16" s="232"/>
      <c r="BL16" s="232"/>
      <c r="BM16" s="232"/>
      <c r="BN16" s="232"/>
      <c r="BO16" s="232"/>
      <c r="BP16" s="232"/>
      <c r="BQ16" s="232"/>
      <c r="BR16" s="232"/>
      <c r="BS16" s="232"/>
      <c r="BT16" s="232"/>
      <c r="BU16" s="232"/>
      <c r="BV16" s="232"/>
    </row>
    <row r="17" spans="1:74" s="231" customFormat="1" ht="126" hidden="1" x14ac:dyDescent="0.25">
      <c r="A17" s="205" t="s">
        <v>438</v>
      </c>
      <c r="B17" s="205" t="s">
        <v>487</v>
      </c>
      <c r="C17" s="205">
        <v>90101603</v>
      </c>
      <c r="D17" s="205" t="s">
        <v>520</v>
      </c>
      <c r="E17" s="206" t="s">
        <v>521</v>
      </c>
      <c r="F17" s="458" t="s">
        <v>176</v>
      </c>
      <c r="G17" s="178">
        <v>1</v>
      </c>
      <c r="H17" s="458" t="s">
        <v>42</v>
      </c>
      <c r="I17" s="459" t="s">
        <v>440</v>
      </c>
      <c r="J17" s="207">
        <v>46134</v>
      </c>
      <c r="K17" s="208" t="s">
        <v>512</v>
      </c>
      <c r="L17" s="209" t="s">
        <v>446</v>
      </c>
      <c r="M17" s="207" t="s">
        <v>95</v>
      </c>
      <c r="N17" s="210">
        <v>30000</v>
      </c>
      <c r="O17" s="210" t="s">
        <v>513</v>
      </c>
      <c r="P17" s="210" t="s">
        <v>514</v>
      </c>
      <c r="Q17" s="211">
        <f>IF(O17="IVA Incluido",(N17/1.19),IF(O17="Ipoconsumo Incluido",(N17/1.08),N17))</f>
        <v>30000</v>
      </c>
      <c r="R17" s="212">
        <f>IF(P17="Si tiene IVA",Q17*19%,IF(P17="Si tiene IPOCONSUMO",Q17*8%,0))</f>
        <v>2400</v>
      </c>
      <c r="S17" s="212">
        <f t="shared" si="19"/>
        <v>32400</v>
      </c>
      <c r="T17" s="212">
        <f>IF(R17="IVA Incluido",(Q17/1.19),IF(R17="Ipoconsumo Incluido",(Q17/1.08),Q17))</f>
        <v>30000</v>
      </c>
      <c r="U17" s="212">
        <f>Q17+R17</f>
        <v>32400</v>
      </c>
      <c r="V17" s="460" t="s">
        <v>440</v>
      </c>
      <c r="W17" s="213">
        <v>46149</v>
      </c>
      <c r="X17" s="214" t="s">
        <v>515</v>
      </c>
      <c r="Y17" s="215" t="s">
        <v>441</v>
      </c>
      <c r="Z17" s="216" t="s">
        <v>516</v>
      </c>
      <c r="AA17" s="217">
        <v>45000</v>
      </c>
      <c r="AB17" s="217" t="s">
        <v>513</v>
      </c>
      <c r="AC17" s="217" t="s">
        <v>514</v>
      </c>
      <c r="AD17" s="218">
        <f>IF(AB17="IVA Incluido",(AA17/1.19),IF(AB17="Ipoconsumo Incluido",(AA17/1.08),AA17))</f>
        <v>45000</v>
      </c>
      <c r="AE17" s="219">
        <f>IF(AC17="Si tiene IVA",AD17*19%,IF(AC17="Si tiene IPOCONSUMO",AD17*8%,0))</f>
        <v>3600</v>
      </c>
      <c r="AF17" s="219">
        <f t="shared" si="20"/>
        <v>48600</v>
      </c>
      <c r="AG17" s="219">
        <f>IF(O17="","",(AA17*G17))</f>
        <v>45000</v>
      </c>
      <c r="AH17" s="219">
        <f>IF(O17="","",(AF17*G17))</f>
        <v>48600</v>
      </c>
      <c r="AI17" s="461" t="s">
        <v>440</v>
      </c>
      <c r="AJ17" s="220">
        <v>46149</v>
      </c>
      <c r="AK17" s="221" t="s">
        <v>517</v>
      </c>
      <c r="AL17" s="222" t="s">
        <v>441</v>
      </c>
      <c r="AM17" s="223" t="s">
        <v>101</v>
      </c>
      <c r="AN17" s="224">
        <v>33445</v>
      </c>
      <c r="AO17" s="224" t="s">
        <v>513</v>
      </c>
      <c r="AP17" s="225" t="s">
        <v>514</v>
      </c>
      <c r="AQ17" s="226">
        <f>IF(AO17="IVA Incluido",(AN17/1.19),IF(AO17="Ipoconsumo Incluido",(AN17/1.08),AN17))</f>
        <v>33445</v>
      </c>
      <c r="AR17" s="227">
        <f>IF(AP17="Si tiene IVA",AQ17*19%,IF(AP17="Si tiene IPOCONSUMO",AQ17*8%,0))</f>
        <v>2675.6</v>
      </c>
      <c r="AS17" s="227">
        <f>AQ17+AR17</f>
        <v>36120.6</v>
      </c>
      <c r="AT17" s="227">
        <f>IF(AR17="IVA Incluido",(AQ17/1.19),IF(AR17="Ipoconsumo Incluido",(AQ17/1.08),AQ17))</f>
        <v>33445</v>
      </c>
      <c r="AU17" s="227">
        <f>AQ17+AR17</f>
        <v>36120.6</v>
      </c>
      <c r="AV17" s="228">
        <f t="shared" si="21"/>
        <v>39040.200000000004</v>
      </c>
      <c r="AW17" s="228">
        <f t="shared" si="22"/>
        <v>39040.200000000004</v>
      </c>
      <c r="AX17" s="228">
        <f t="shared" si="23"/>
        <v>8485.4609845311224</v>
      </c>
      <c r="AY17" s="229">
        <f t="shared" si="24"/>
        <v>0.21735188304699057</v>
      </c>
      <c r="AZ17" s="230"/>
      <c r="BA17" s="231">
        <f t="shared" si="25"/>
        <v>3</v>
      </c>
      <c r="BH17" s="231">
        <v>16</v>
      </c>
      <c r="BI17" s="232"/>
      <c r="BJ17" s="232"/>
      <c r="BK17" s="232"/>
      <c r="BL17" s="232"/>
      <c r="BM17" s="232"/>
      <c r="BN17" s="232"/>
      <c r="BO17" s="232"/>
      <c r="BP17" s="232"/>
      <c r="BQ17" s="232"/>
      <c r="BR17" s="232"/>
      <c r="BS17" s="232"/>
      <c r="BT17" s="232"/>
      <c r="BU17" s="232"/>
      <c r="BV17" s="232"/>
    </row>
    <row r="18" spans="1:74" s="231" customFormat="1" ht="126" hidden="1" x14ac:dyDescent="0.25">
      <c r="A18" s="205" t="s">
        <v>438</v>
      </c>
      <c r="B18" s="205" t="s">
        <v>487</v>
      </c>
      <c r="C18" s="205">
        <v>90101603</v>
      </c>
      <c r="D18" s="205" t="s">
        <v>522</v>
      </c>
      <c r="E18" s="206" t="s">
        <v>523</v>
      </c>
      <c r="F18" s="458" t="s">
        <v>176</v>
      </c>
      <c r="G18" s="178">
        <v>1</v>
      </c>
      <c r="H18" s="458" t="s">
        <v>42</v>
      </c>
      <c r="I18" s="459" t="s">
        <v>440</v>
      </c>
      <c r="J18" s="207">
        <v>46134</v>
      </c>
      <c r="K18" s="208" t="s">
        <v>512</v>
      </c>
      <c r="L18" s="209" t="s">
        <v>446</v>
      </c>
      <c r="M18" s="207" t="s">
        <v>95</v>
      </c>
      <c r="N18" s="210">
        <v>34000</v>
      </c>
      <c r="O18" s="210" t="s">
        <v>513</v>
      </c>
      <c r="P18" s="210" t="s">
        <v>514</v>
      </c>
      <c r="Q18" s="211">
        <f>IF(O18="IVA Incluido",(N18/1.19),IF(O18="Ipoconsumo Incluido",(N18/1.08),N18))</f>
        <v>34000</v>
      </c>
      <c r="R18" s="212">
        <f>IF(P18="Si tiene IVA",Q18*19%,IF(P18="Si tiene IPOCONSUMO",Q18*8%,0))</f>
        <v>2720</v>
      </c>
      <c r="S18" s="212">
        <f t="shared" si="19"/>
        <v>36720</v>
      </c>
      <c r="T18" s="212">
        <f>IF(R18="IVA Incluido",(Q18/1.19),IF(R18="Ipoconsumo Incluido",(Q18/1.08),Q18))</f>
        <v>34000</v>
      </c>
      <c r="U18" s="212">
        <f>Q18+R18</f>
        <v>36720</v>
      </c>
      <c r="V18" s="460" t="s">
        <v>440</v>
      </c>
      <c r="W18" s="213">
        <v>46134</v>
      </c>
      <c r="X18" s="214" t="s">
        <v>515</v>
      </c>
      <c r="Y18" s="215" t="s">
        <v>446</v>
      </c>
      <c r="Z18" s="216" t="s">
        <v>516</v>
      </c>
      <c r="AA18" s="217">
        <v>45000</v>
      </c>
      <c r="AB18" s="217" t="s">
        <v>513</v>
      </c>
      <c r="AC18" s="217" t="s">
        <v>514</v>
      </c>
      <c r="AD18" s="218">
        <f>IF(AB18="IVA Incluido",(AA18/1.19),IF(AB18="Ipoconsumo Incluido",(AA18/1.08),AA18))</f>
        <v>45000</v>
      </c>
      <c r="AE18" s="219">
        <f>IF(AC18="Si tiene IVA",AD18*19%,IF(AC18="Si tiene IPOCONSUMO",AD18*8%,0))</f>
        <v>3600</v>
      </c>
      <c r="AF18" s="219">
        <f t="shared" si="20"/>
        <v>48600</v>
      </c>
      <c r="AG18" s="219">
        <f>IF(AE18="IVA Incluido",(AD18/1.19),IF(AE18="Ipoconsumo Incluido",(AD18/1.08),AD18))</f>
        <v>45000</v>
      </c>
      <c r="AH18" s="219">
        <f>AD18+AE18</f>
        <v>48600</v>
      </c>
      <c r="AI18" s="461" t="s">
        <v>440</v>
      </c>
      <c r="AJ18" s="220">
        <v>46094</v>
      </c>
      <c r="AK18" s="221" t="s">
        <v>517</v>
      </c>
      <c r="AL18" s="222" t="s">
        <v>446</v>
      </c>
      <c r="AM18" s="223" t="s">
        <v>101</v>
      </c>
      <c r="AN18" s="224">
        <v>33445</v>
      </c>
      <c r="AO18" s="224" t="s">
        <v>513</v>
      </c>
      <c r="AP18" s="225" t="s">
        <v>514</v>
      </c>
      <c r="AQ18" s="226">
        <f>IF(AO18="IVA Incluido",(AN18/1.19),IF(AO18="Ipoconsumo Incluido",(AN18/1.08),AN18))</f>
        <v>33445</v>
      </c>
      <c r="AR18" s="227">
        <f>IF(AP18="Si tiene IVA",AQ18*19%,IF(AP18="Si tiene IPOCONSUMO",AQ18*8%,0))</f>
        <v>2675.6</v>
      </c>
      <c r="AS18" s="227">
        <f>AQ18+AR18</f>
        <v>36120.6</v>
      </c>
      <c r="AT18" s="227">
        <f>IF(AR18="IVA Incluido",(AQ18/1.19),IF(AR18="Ipoconsumo Incluido",(AQ18/1.08),AQ18))</f>
        <v>33445</v>
      </c>
      <c r="AU18" s="227">
        <f>AQ18+AR18</f>
        <v>36120.6</v>
      </c>
      <c r="AV18" s="228">
        <f t="shared" si="21"/>
        <v>40480.200000000004</v>
      </c>
      <c r="AW18" s="228">
        <f t="shared" si="22"/>
        <v>40480.200000000004</v>
      </c>
      <c r="AX18" s="228">
        <f t="shared" si="23"/>
        <v>7038.3367438621381</v>
      </c>
      <c r="AY18" s="229">
        <f t="shared" si="24"/>
        <v>0.17387109608801679</v>
      </c>
      <c r="AZ18" s="230"/>
      <c r="BA18" s="231">
        <f t="shared" si="25"/>
        <v>3</v>
      </c>
      <c r="BH18" s="231">
        <v>17</v>
      </c>
      <c r="BI18" s="232"/>
      <c r="BJ18" s="232"/>
      <c r="BK18" s="232"/>
      <c r="BL18" s="232"/>
      <c r="BM18" s="232"/>
      <c r="BN18" s="232"/>
      <c r="BO18" s="232"/>
      <c r="BP18" s="232"/>
      <c r="BQ18" s="232"/>
      <c r="BR18" s="232"/>
      <c r="BS18" s="232"/>
      <c r="BT18" s="232"/>
      <c r="BU18" s="232"/>
      <c r="BV18" s="232"/>
    </row>
    <row r="19" spans="1:74" s="231" customFormat="1" ht="94.5" hidden="1" x14ac:dyDescent="0.25">
      <c r="A19" s="205" t="s">
        <v>438</v>
      </c>
      <c r="B19" s="205" t="s">
        <v>487</v>
      </c>
      <c r="C19" s="205" t="s">
        <v>524</v>
      </c>
      <c r="D19" s="205" t="s">
        <v>525</v>
      </c>
      <c r="E19" s="206" t="s">
        <v>526</v>
      </c>
      <c r="F19" s="458" t="s">
        <v>41</v>
      </c>
      <c r="G19" s="178">
        <v>1</v>
      </c>
      <c r="H19" s="458" t="s">
        <v>88</v>
      </c>
      <c r="I19" s="459" t="s">
        <v>440</v>
      </c>
      <c r="J19" s="207">
        <v>46153</v>
      </c>
      <c r="K19" s="208" t="s">
        <v>527</v>
      </c>
      <c r="L19" s="209" t="s">
        <v>446</v>
      </c>
      <c r="M19" s="207" t="s">
        <v>528</v>
      </c>
      <c r="N19" s="210">
        <v>3750000</v>
      </c>
      <c r="O19" s="210" t="s">
        <v>450</v>
      </c>
      <c r="P19" s="210" t="s">
        <v>444</v>
      </c>
      <c r="Q19" s="211">
        <f>IF(O19="IVA Incluido",(N19/1.19),N19)</f>
        <v>3750000</v>
      </c>
      <c r="R19" s="212">
        <f>IF(P19="Si tiene IVA",Q19*19%,0)</f>
        <v>712500</v>
      </c>
      <c r="S19" s="212">
        <f t="shared" si="19"/>
        <v>4462500</v>
      </c>
      <c r="T19" s="212">
        <f>IF(B19="","",(N19*G19))</f>
        <v>3750000</v>
      </c>
      <c r="U19" s="212">
        <f>IF(B19="","",(S19*G19))</f>
        <v>4462500</v>
      </c>
      <c r="V19" s="460" t="s">
        <v>440</v>
      </c>
      <c r="W19" s="213">
        <v>46153</v>
      </c>
      <c r="X19" s="214" t="s">
        <v>529</v>
      </c>
      <c r="Y19" s="215" t="s">
        <v>446</v>
      </c>
      <c r="Z19" s="216" t="s">
        <v>530</v>
      </c>
      <c r="AA19" s="217">
        <v>5000000</v>
      </c>
      <c r="AB19" s="217" t="s">
        <v>450</v>
      </c>
      <c r="AC19" s="217" t="s">
        <v>444</v>
      </c>
      <c r="AD19" s="218">
        <f>IF(AB19="IVA Incluido",(AA19/1.19),AA19)</f>
        <v>5000000</v>
      </c>
      <c r="AE19" s="219">
        <f>IF(AC19="Si tiene IVA",AD19*19%,0)</f>
        <v>950000</v>
      </c>
      <c r="AF19" s="219">
        <f t="shared" si="20"/>
        <v>5950000</v>
      </c>
      <c r="AG19" s="219">
        <f>IF(O19="","",(AA19*G19))</f>
        <v>5000000</v>
      </c>
      <c r="AH19" s="219">
        <f>IF(O19="","",(AF19*G19))</f>
        <v>5950000</v>
      </c>
      <c r="AI19" s="461" t="s">
        <v>440</v>
      </c>
      <c r="AJ19" s="220">
        <v>46153</v>
      </c>
      <c r="AK19" s="221" t="s">
        <v>531</v>
      </c>
      <c r="AL19" s="222" t="s">
        <v>446</v>
      </c>
      <c r="AM19" s="223" t="s">
        <v>181</v>
      </c>
      <c r="AN19" s="224">
        <v>4200000</v>
      </c>
      <c r="AO19" s="224" t="s">
        <v>450</v>
      </c>
      <c r="AP19" s="225" t="s">
        <v>444</v>
      </c>
      <c r="AQ19" s="226">
        <f>IF(AO19="IVA Incluido",(AN19/1.19),AN19)</f>
        <v>4200000</v>
      </c>
      <c r="AR19" s="227">
        <f>IF(AP19="Si tiene IVA",AQ19*19%,0)</f>
        <v>798000</v>
      </c>
      <c r="AS19" s="227">
        <f>AQ19+AR19</f>
        <v>4998000</v>
      </c>
      <c r="AT19" s="227">
        <f>IF(AB19="","",(AN19*G19))</f>
        <v>4200000</v>
      </c>
      <c r="AU19" s="227">
        <f>IF(AB19="","",(AS19*G19))</f>
        <v>4998000</v>
      </c>
      <c r="AV19" s="228">
        <f t="shared" si="21"/>
        <v>5136833.333333333</v>
      </c>
      <c r="AW19" s="228">
        <f t="shared" si="22"/>
        <v>5136833.333333333</v>
      </c>
      <c r="AX19" s="228">
        <f t="shared" si="23"/>
        <v>753405.65655783075</v>
      </c>
      <c r="AY19" s="229">
        <f t="shared" si="24"/>
        <v>0.14666733523724035</v>
      </c>
      <c r="AZ19" s="230"/>
      <c r="BA19" s="231">
        <f t="shared" si="25"/>
        <v>3</v>
      </c>
      <c r="BH19" s="231">
        <v>61</v>
      </c>
      <c r="BI19" s="232"/>
      <c r="BJ19" s="232"/>
      <c r="BK19" s="232"/>
      <c r="BL19" s="232"/>
      <c r="BM19" s="232"/>
      <c r="BN19" s="232"/>
      <c r="BO19" s="232"/>
      <c r="BP19" s="232"/>
      <c r="BQ19" s="232"/>
      <c r="BR19" s="232"/>
      <c r="BS19" s="232"/>
      <c r="BT19" s="232"/>
      <c r="BU19" s="232"/>
      <c r="BV19" s="232"/>
    </row>
    <row r="20" spans="1:74" s="231" customFormat="1" ht="63" hidden="1" x14ac:dyDescent="0.25">
      <c r="A20" s="205" t="s">
        <v>438</v>
      </c>
      <c r="B20" s="205" t="s">
        <v>487</v>
      </c>
      <c r="C20" s="205" t="s">
        <v>532</v>
      </c>
      <c r="D20" s="205" t="s">
        <v>533</v>
      </c>
      <c r="E20" s="206" t="s">
        <v>534</v>
      </c>
      <c r="F20" s="458" t="s">
        <v>176</v>
      </c>
      <c r="G20" s="178">
        <v>1</v>
      </c>
      <c r="H20" s="458" t="s">
        <v>88</v>
      </c>
      <c r="I20" s="459" t="s">
        <v>440</v>
      </c>
      <c r="J20" s="207">
        <v>46134</v>
      </c>
      <c r="K20" s="208" t="s">
        <v>535</v>
      </c>
      <c r="L20" s="209" t="s">
        <v>446</v>
      </c>
      <c r="M20" s="207" t="s">
        <v>536</v>
      </c>
      <c r="N20" s="210">
        <v>1020000</v>
      </c>
      <c r="O20" s="210" t="s">
        <v>450</v>
      </c>
      <c r="P20" s="210" t="s">
        <v>468</v>
      </c>
      <c r="Q20" s="211">
        <v>1360000</v>
      </c>
      <c r="R20" s="212">
        <f>IF(P20="Si tiene IVA",Q20*19%,0)</f>
        <v>0</v>
      </c>
      <c r="S20" s="212">
        <f t="shared" si="19"/>
        <v>1360000</v>
      </c>
      <c r="T20" s="212">
        <f>IF(B20="","",(N20*G20))</f>
        <v>1020000</v>
      </c>
      <c r="U20" s="212">
        <f>IF(B20="","",(S20*G20))</f>
        <v>1360000</v>
      </c>
      <c r="V20" s="460" t="s">
        <v>440</v>
      </c>
      <c r="W20" s="213">
        <v>46134</v>
      </c>
      <c r="X20" s="214" t="s">
        <v>517</v>
      </c>
      <c r="Y20" s="215" t="s">
        <v>446</v>
      </c>
      <c r="Z20" s="216" t="s">
        <v>101</v>
      </c>
      <c r="AA20" s="217">
        <v>1280000</v>
      </c>
      <c r="AB20" s="217" t="s">
        <v>450</v>
      </c>
      <c r="AC20" s="217" t="s">
        <v>468</v>
      </c>
      <c r="AD20" s="218">
        <f>IF(AB20="IVA Incluido",(AA20/1.19),AA20)</f>
        <v>1280000</v>
      </c>
      <c r="AE20" s="219">
        <f>IF(AC20="Si tiene IVA",AD20*19%,0)</f>
        <v>0</v>
      </c>
      <c r="AF20" s="219">
        <f t="shared" si="20"/>
        <v>1280000</v>
      </c>
      <c r="AG20" s="219">
        <f>IF(O20="","",(AA20*G20))</f>
        <v>1280000</v>
      </c>
      <c r="AH20" s="219">
        <f>IF(O20="","",(AF20*G20))</f>
        <v>1280000</v>
      </c>
      <c r="AI20" s="461" t="s">
        <v>440</v>
      </c>
      <c r="AJ20" s="220">
        <v>46134</v>
      </c>
      <c r="AK20" s="221" t="s">
        <v>185</v>
      </c>
      <c r="AL20" s="222" t="s">
        <v>446</v>
      </c>
      <c r="AM20" s="223" t="s">
        <v>185</v>
      </c>
      <c r="AN20" s="224">
        <v>1394000</v>
      </c>
      <c r="AO20" s="224" t="s">
        <v>450</v>
      </c>
      <c r="AP20" s="225" t="s">
        <v>468</v>
      </c>
      <c r="AQ20" s="226">
        <f>IF(AO20="IVA Incluido",(AN20/1.19),AN20)</f>
        <v>1394000</v>
      </c>
      <c r="AR20" s="227">
        <f>IF(AP20="Si tiene IVA",AQ20*19%,0)</f>
        <v>0</v>
      </c>
      <c r="AS20" s="227">
        <f>AQ20+AR20</f>
        <v>1394000</v>
      </c>
      <c r="AT20" s="227">
        <f>IF(AB20="","",(AN20*G20))</f>
        <v>1394000</v>
      </c>
      <c r="AU20" s="227">
        <f>IF(AB20="","",(AS20*G20))</f>
        <v>1394000</v>
      </c>
      <c r="AV20" s="228">
        <f t="shared" si="21"/>
        <v>1344666.6666666667</v>
      </c>
      <c r="AW20" s="228">
        <f t="shared" si="22"/>
        <v>1344666.6666666667</v>
      </c>
      <c r="AX20" s="228">
        <f t="shared" si="23"/>
        <v>58526.347343169582</v>
      </c>
      <c r="AY20" s="229">
        <f t="shared" si="24"/>
        <v>4.3524799709843513E-2</v>
      </c>
      <c r="AZ20" s="230"/>
      <c r="BA20" s="231">
        <f t="shared" si="25"/>
        <v>3</v>
      </c>
      <c r="BH20" s="231">
        <v>18</v>
      </c>
      <c r="BI20" s="232"/>
      <c r="BJ20" s="232"/>
      <c r="BK20" s="232"/>
      <c r="BL20" s="232"/>
      <c r="BM20" s="232"/>
      <c r="BN20" s="232"/>
      <c r="BO20" s="232"/>
      <c r="BP20" s="232"/>
      <c r="BQ20" s="232"/>
      <c r="BR20" s="232"/>
      <c r="BS20" s="232"/>
      <c r="BT20" s="232"/>
      <c r="BU20" s="232"/>
      <c r="BV20" s="232"/>
    </row>
    <row r="21" spans="1:74" s="231" customFormat="1" ht="378" hidden="1" x14ac:dyDescent="0.25">
      <c r="A21" s="205" t="s">
        <v>496</v>
      </c>
      <c r="B21" s="205" t="s">
        <v>496</v>
      </c>
      <c r="C21" s="205" t="s">
        <v>496</v>
      </c>
      <c r="D21" s="205" t="s">
        <v>537</v>
      </c>
      <c r="E21" s="206" t="s">
        <v>538</v>
      </c>
      <c r="F21" s="458" t="s">
        <v>499</v>
      </c>
      <c r="G21" s="178">
        <v>1</v>
      </c>
      <c r="H21" s="458"/>
      <c r="I21" s="459" t="s">
        <v>496</v>
      </c>
      <c r="J21" s="207" t="s">
        <v>496</v>
      </c>
      <c r="K21" s="208" t="s">
        <v>496</v>
      </c>
      <c r="L21" s="209" t="s">
        <v>496</v>
      </c>
      <c r="M21" s="207" t="s">
        <v>496</v>
      </c>
      <c r="N21" s="210"/>
      <c r="O21" s="210"/>
      <c r="P21" s="210"/>
      <c r="Q21" s="211" t="s">
        <v>500</v>
      </c>
      <c r="R21" s="212" t="s">
        <v>500</v>
      </c>
      <c r="S21" s="212" t="s">
        <v>500</v>
      </c>
      <c r="T21" s="212" t="s">
        <v>500</v>
      </c>
      <c r="U21" s="212" t="s">
        <v>500</v>
      </c>
      <c r="V21" s="460" t="s">
        <v>496</v>
      </c>
      <c r="W21" s="213" t="s">
        <v>496</v>
      </c>
      <c r="X21" s="214" t="s">
        <v>496</v>
      </c>
      <c r="Y21" s="215" t="s">
        <v>496</v>
      </c>
      <c r="Z21" s="216" t="s">
        <v>165</v>
      </c>
      <c r="AA21" s="217" t="s">
        <v>496</v>
      </c>
      <c r="AB21" s="217" t="s">
        <v>496</v>
      </c>
      <c r="AC21" s="217" t="s">
        <v>496</v>
      </c>
      <c r="AD21" s="218" t="s">
        <v>496</v>
      </c>
      <c r="AE21" s="219" t="s">
        <v>496</v>
      </c>
      <c r="AF21" s="219">
        <v>3681341</v>
      </c>
      <c r="AG21" s="219">
        <v>5.5599999999999997E-2</v>
      </c>
      <c r="AH21" s="219">
        <v>3886024</v>
      </c>
      <c r="AI21" s="461" t="s">
        <v>496</v>
      </c>
      <c r="AJ21" s="220" t="s">
        <v>496</v>
      </c>
      <c r="AK21" s="221" t="s">
        <v>496</v>
      </c>
      <c r="AL21" s="222" t="s">
        <v>496</v>
      </c>
      <c r="AM21" s="223" t="s">
        <v>166</v>
      </c>
      <c r="AN21" s="224" t="s">
        <v>496</v>
      </c>
      <c r="AO21" s="224" t="s">
        <v>496</v>
      </c>
      <c r="AP21" s="225" t="s">
        <v>496</v>
      </c>
      <c r="AQ21" s="226">
        <v>3155435</v>
      </c>
      <c r="AR21" s="227">
        <v>599533</v>
      </c>
      <c r="AS21" s="227">
        <v>3754968</v>
      </c>
      <c r="AT21" s="227">
        <v>3155435</v>
      </c>
      <c r="AU21" s="227">
        <v>3754968</v>
      </c>
      <c r="AV21" s="228">
        <v>3820496</v>
      </c>
      <c r="AW21" s="228">
        <v>3820496</v>
      </c>
      <c r="AX21" s="228">
        <v>92670.41</v>
      </c>
      <c r="AY21" s="229">
        <v>2.4299999999999999E-2</v>
      </c>
      <c r="AZ21" s="230"/>
      <c r="BI21" s="232"/>
      <c r="BJ21" s="232"/>
      <c r="BK21" s="232"/>
      <c r="BL21" s="232"/>
      <c r="BM21" s="232"/>
      <c r="BN21" s="232"/>
      <c r="BO21" s="232"/>
      <c r="BP21" s="232"/>
      <c r="BQ21" s="232"/>
      <c r="BR21" s="232"/>
      <c r="BS21" s="232"/>
      <c r="BT21" s="232"/>
      <c r="BU21" s="232"/>
      <c r="BV21" s="232"/>
    </row>
    <row r="22" spans="1:74" s="231" customFormat="1" ht="378" x14ac:dyDescent="0.25">
      <c r="A22" s="205" t="s">
        <v>496</v>
      </c>
      <c r="B22" s="205" t="s">
        <v>496</v>
      </c>
      <c r="C22" s="205" t="s">
        <v>496</v>
      </c>
      <c r="D22" s="205" t="s">
        <v>392</v>
      </c>
      <c r="E22" s="206" t="s">
        <v>199</v>
      </c>
      <c r="F22" s="458" t="s">
        <v>499</v>
      </c>
      <c r="G22" s="178">
        <v>1</v>
      </c>
      <c r="H22" s="458"/>
      <c r="I22" s="459" t="s">
        <v>496</v>
      </c>
      <c r="J22" s="207" t="s">
        <v>496</v>
      </c>
      <c r="K22" s="208" t="s">
        <v>496</v>
      </c>
      <c r="L22" s="209" t="s">
        <v>496</v>
      </c>
      <c r="M22" s="207" t="s">
        <v>496</v>
      </c>
      <c r="N22" s="210"/>
      <c r="O22" s="210"/>
      <c r="P22" s="210"/>
      <c r="Q22" s="211" t="s">
        <v>500</v>
      </c>
      <c r="R22" s="212" t="s">
        <v>500</v>
      </c>
      <c r="S22" s="212" t="s">
        <v>500</v>
      </c>
      <c r="T22" s="212" t="s">
        <v>500</v>
      </c>
      <c r="U22" s="212" t="s">
        <v>500</v>
      </c>
      <c r="V22" s="460" t="s">
        <v>496</v>
      </c>
      <c r="W22" s="213" t="s">
        <v>496</v>
      </c>
      <c r="X22" s="214" t="s">
        <v>496</v>
      </c>
      <c r="Y22" s="215" t="s">
        <v>496</v>
      </c>
      <c r="Z22" s="216" t="s">
        <v>165</v>
      </c>
      <c r="AA22" s="217" t="s">
        <v>496</v>
      </c>
      <c r="AB22" s="217" t="s">
        <v>496</v>
      </c>
      <c r="AC22" s="217" t="s">
        <v>496</v>
      </c>
      <c r="AD22" s="218" t="s">
        <v>496</v>
      </c>
      <c r="AE22" s="219" t="s">
        <v>496</v>
      </c>
      <c r="AF22" s="219">
        <v>448270</v>
      </c>
      <c r="AG22" s="219">
        <v>5.5599999999999997E-2</v>
      </c>
      <c r="AH22" s="219">
        <v>473194</v>
      </c>
      <c r="AI22" s="461" t="s">
        <v>496</v>
      </c>
      <c r="AJ22" s="220" t="s">
        <v>496</v>
      </c>
      <c r="AK22" s="221" t="s">
        <v>496</v>
      </c>
      <c r="AL22" s="222" t="s">
        <v>496</v>
      </c>
      <c r="AM22" s="223" t="s">
        <v>166</v>
      </c>
      <c r="AN22" s="224" t="s">
        <v>496</v>
      </c>
      <c r="AO22" s="224" t="s">
        <v>496</v>
      </c>
      <c r="AP22" s="225" t="s">
        <v>496</v>
      </c>
      <c r="AQ22" s="226">
        <v>395532</v>
      </c>
      <c r="AR22" s="227">
        <v>75151</v>
      </c>
      <c r="AS22" s="227">
        <v>470684</v>
      </c>
      <c r="AT22" s="227">
        <v>395532</v>
      </c>
      <c r="AU22" s="227">
        <v>470684</v>
      </c>
      <c r="AV22" s="228">
        <v>471939</v>
      </c>
      <c r="AW22" s="228">
        <v>471939</v>
      </c>
      <c r="AX22" s="228">
        <v>1775.06</v>
      </c>
      <c r="AY22" s="229">
        <v>3.8E-3</v>
      </c>
      <c r="AZ22" s="230"/>
      <c r="BI22" s="232"/>
      <c r="BJ22" s="232"/>
      <c r="BK22" s="232"/>
      <c r="BL22" s="232"/>
      <c r="BM22" s="232"/>
      <c r="BN22" s="232"/>
      <c r="BO22" s="232"/>
      <c r="BP22" s="232"/>
      <c r="BQ22" s="232"/>
      <c r="BR22" s="232"/>
      <c r="BS22" s="232"/>
      <c r="BT22" s="232"/>
      <c r="BU22" s="232"/>
      <c r="BV22" s="232"/>
    </row>
    <row r="23" spans="1:74" s="231" customFormat="1" ht="378" x14ac:dyDescent="0.25">
      <c r="A23" s="205" t="s">
        <v>496</v>
      </c>
      <c r="B23" s="205" t="s">
        <v>496</v>
      </c>
      <c r="C23" s="205" t="s">
        <v>496</v>
      </c>
      <c r="D23" s="205" t="s">
        <v>539</v>
      </c>
      <c r="E23" s="206" t="s">
        <v>540</v>
      </c>
      <c r="F23" s="458" t="s">
        <v>499</v>
      </c>
      <c r="G23" s="178">
        <v>1</v>
      </c>
      <c r="H23" s="458"/>
      <c r="I23" s="459" t="s">
        <v>496</v>
      </c>
      <c r="J23" s="207" t="s">
        <v>496</v>
      </c>
      <c r="K23" s="208" t="s">
        <v>496</v>
      </c>
      <c r="L23" s="209" t="s">
        <v>496</v>
      </c>
      <c r="M23" s="207" t="s">
        <v>496</v>
      </c>
      <c r="N23" s="210"/>
      <c r="O23" s="210"/>
      <c r="P23" s="210"/>
      <c r="Q23" s="211" t="s">
        <v>500</v>
      </c>
      <c r="R23" s="212" t="s">
        <v>500</v>
      </c>
      <c r="S23" s="212" t="s">
        <v>500</v>
      </c>
      <c r="T23" s="212" t="s">
        <v>500</v>
      </c>
      <c r="U23" s="212" t="s">
        <v>500</v>
      </c>
      <c r="V23" s="460" t="s">
        <v>496</v>
      </c>
      <c r="W23" s="213" t="s">
        <v>496</v>
      </c>
      <c r="X23" s="214" t="s">
        <v>496</v>
      </c>
      <c r="Y23" s="215" t="s">
        <v>496</v>
      </c>
      <c r="Z23" s="216" t="s">
        <v>165</v>
      </c>
      <c r="AA23" s="217" t="s">
        <v>496</v>
      </c>
      <c r="AB23" s="217" t="s">
        <v>496</v>
      </c>
      <c r="AC23" s="217" t="s">
        <v>496</v>
      </c>
      <c r="AD23" s="218" t="s">
        <v>496</v>
      </c>
      <c r="AE23" s="219" t="s">
        <v>496</v>
      </c>
      <c r="AF23" s="219">
        <v>251033</v>
      </c>
      <c r="AG23" s="219">
        <v>5.5599999999999997E-2</v>
      </c>
      <c r="AH23" s="219">
        <v>264990</v>
      </c>
      <c r="AI23" s="461" t="s">
        <v>496</v>
      </c>
      <c r="AJ23" s="220" t="s">
        <v>496</v>
      </c>
      <c r="AK23" s="221" t="s">
        <v>496</v>
      </c>
      <c r="AL23" s="222" t="s">
        <v>496</v>
      </c>
      <c r="AM23" s="223" t="s">
        <v>166</v>
      </c>
      <c r="AN23" s="224" t="s">
        <v>496</v>
      </c>
      <c r="AO23" s="224" t="s">
        <v>496</v>
      </c>
      <c r="AP23" s="225" t="s">
        <v>496</v>
      </c>
      <c r="AQ23" s="226">
        <v>221500</v>
      </c>
      <c r="AR23" s="227">
        <v>42085</v>
      </c>
      <c r="AS23" s="227">
        <v>263585</v>
      </c>
      <c r="AT23" s="227">
        <v>221500</v>
      </c>
      <c r="AU23" s="227">
        <v>263585</v>
      </c>
      <c r="AV23" s="228">
        <v>264288</v>
      </c>
      <c r="AW23" s="228">
        <v>264288</v>
      </c>
      <c r="AX23" s="228">
        <v>994.04</v>
      </c>
      <c r="AY23" s="229">
        <v>3.8E-3</v>
      </c>
      <c r="AZ23" s="230"/>
      <c r="BI23" s="232"/>
      <c r="BJ23" s="232"/>
      <c r="BK23" s="232"/>
      <c r="BL23" s="232"/>
      <c r="BM23" s="232"/>
      <c r="BN23" s="232"/>
      <c r="BO23" s="232"/>
      <c r="BP23" s="232"/>
      <c r="BQ23" s="232"/>
      <c r="BR23" s="232"/>
      <c r="BS23" s="232"/>
      <c r="BT23" s="232"/>
      <c r="BU23" s="232"/>
      <c r="BV23" s="232"/>
    </row>
    <row r="24" spans="1:74" s="231" customFormat="1" ht="378" hidden="1" x14ac:dyDescent="0.25">
      <c r="A24" s="205" t="s">
        <v>496</v>
      </c>
      <c r="B24" s="205" t="s">
        <v>496</v>
      </c>
      <c r="C24" s="205" t="s">
        <v>496</v>
      </c>
      <c r="D24" s="205" t="s">
        <v>541</v>
      </c>
      <c r="E24" s="206" t="s">
        <v>542</v>
      </c>
      <c r="F24" s="458" t="s">
        <v>499</v>
      </c>
      <c r="G24" s="178">
        <v>1</v>
      </c>
      <c r="H24" s="458"/>
      <c r="I24" s="459" t="s">
        <v>496</v>
      </c>
      <c r="J24" s="207" t="s">
        <v>496</v>
      </c>
      <c r="K24" s="208" t="s">
        <v>496</v>
      </c>
      <c r="L24" s="209" t="s">
        <v>496</v>
      </c>
      <c r="M24" s="207" t="s">
        <v>496</v>
      </c>
      <c r="N24" s="210"/>
      <c r="O24" s="210"/>
      <c r="P24" s="210"/>
      <c r="Q24" s="211" t="s">
        <v>500</v>
      </c>
      <c r="R24" s="212" t="s">
        <v>500</v>
      </c>
      <c r="S24" s="212" t="s">
        <v>500</v>
      </c>
      <c r="T24" s="212" t="s">
        <v>500</v>
      </c>
      <c r="U24" s="212" t="s">
        <v>500</v>
      </c>
      <c r="V24" s="460" t="s">
        <v>496</v>
      </c>
      <c r="W24" s="213" t="s">
        <v>496</v>
      </c>
      <c r="X24" s="214" t="s">
        <v>496</v>
      </c>
      <c r="Y24" s="215" t="s">
        <v>496</v>
      </c>
      <c r="Z24" s="216" t="s">
        <v>165</v>
      </c>
      <c r="AA24" s="217" t="s">
        <v>496</v>
      </c>
      <c r="AB24" s="217" t="s">
        <v>496</v>
      </c>
      <c r="AC24" s="217" t="s">
        <v>496</v>
      </c>
      <c r="AD24" s="218" t="s">
        <v>496</v>
      </c>
      <c r="AE24" s="219" t="s">
        <v>496</v>
      </c>
      <c r="AF24" s="219">
        <v>1588837</v>
      </c>
      <c r="AG24" s="219">
        <v>5.5599999999999997E-2</v>
      </c>
      <c r="AH24" s="219">
        <v>1677176</v>
      </c>
      <c r="AI24" s="461" t="s">
        <v>496</v>
      </c>
      <c r="AJ24" s="220" t="s">
        <v>496</v>
      </c>
      <c r="AK24" s="221" t="s">
        <v>496</v>
      </c>
      <c r="AL24" s="222" t="s">
        <v>496</v>
      </c>
      <c r="AM24" s="223" t="s">
        <v>166</v>
      </c>
      <c r="AN24" s="224" t="s">
        <v>496</v>
      </c>
      <c r="AO24" s="224" t="s">
        <v>496</v>
      </c>
      <c r="AP24" s="225" t="s">
        <v>496</v>
      </c>
      <c r="AQ24" s="226">
        <v>1361860</v>
      </c>
      <c r="AR24" s="227">
        <v>258753</v>
      </c>
      <c r="AS24" s="227">
        <v>1620614</v>
      </c>
      <c r="AT24" s="227">
        <v>1361860</v>
      </c>
      <c r="AU24" s="227">
        <v>1620614</v>
      </c>
      <c r="AV24" s="228">
        <v>1648895</v>
      </c>
      <c r="AW24" s="228">
        <v>1648895</v>
      </c>
      <c r="AX24" s="228">
        <v>39995.800000000003</v>
      </c>
      <c r="AY24" s="229">
        <v>2.4299999999999999E-2</v>
      </c>
      <c r="AZ24" s="230"/>
      <c r="BI24" s="232"/>
      <c r="BJ24" s="232"/>
      <c r="BK24" s="232"/>
      <c r="BL24" s="232"/>
      <c r="BM24" s="232"/>
      <c r="BN24" s="232"/>
      <c r="BO24" s="232"/>
      <c r="BP24" s="232"/>
      <c r="BQ24" s="232"/>
      <c r="BR24" s="232"/>
      <c r="BS24" s="232"/>
      <c r="BT24" s="232"/>
      <c r="BU24" s="232"/>
      <c r="BV24" s="232"/>
    </row>
    <row r="25" spans="1:74" s="231" customFormat="1" ht="378" hidden="1" x14ac:dyDescent="0.25">
      <c r="A25" s="205" t="s">
        <v>496</v>
      </c>
      <c r="B25" s="205" t="s">
        <v>496</v>
      </c>
      <c r="C25" s="205" t="s">
        <v>496</v>
      </c>
      <c r="D25" s="205" t="s">
        <v>543</v>
      </c>
      <c r="E25" s="206" t="s">
        <v>544</v>
      </c>
      <c r="F25" s="458" t="s">
        <v>499</v>
      </c>
      <c r="G25" s="178">
        <v>1</v>
      </c>
      <c r="H25" s="458"/>
      <c r="I25" s="459" t="s">
        <v>496</v>
      </c>
      <c r="J25" s="207" t="s">
        <v>496</v>
      </c>
      <c r="K25" s="208" t="s">
        <v>496</v>
      </c>
      <c r="L25" s="209" t="s">
        <v>496</v>
      </c>
      <c r="M25" s="207" t="s">
        <v>496</v>
      </c>
      <c r="N25" s="210"/>
      <c r="O25" s="210"/>
      <c r="P25" s="210"/>
      <c r="Q25" s="211" t="s">
        <v>500</v>
      </c>
      <c r="R25" s="212" t="s">
        <v>500</v>
      </c>
      <c r="S25" s="212" t="s">
        <v>500</v>
      </c>
      <c r="T25" s="212" t="s">
        <v>500</v>
      </c>
      <c r="U25" s="212" t="s">
        <v>500</v>
      </c>
      <c r="V25" s="460" t="s">
        <v>496</v>
      </c>
      <c r="W25" s="213" t="s">
        <v>496</v>
      </c>
      <c r="X25" s="214" t="s">
        <v>496</v>
      </c>
      <c r="Y25" s="215" t="s">
        <v>496</v>
      </c>
      <c r="Z25" s="216" t="s">
        <v>165</v>
      </c>
      <c r="AA25" s="217" t="s">
        <v>496</v>
      </c>
      <c r="AB25" s="217" t="s">
        <v>496</v>
      </c>
      <c r="AC25" s="217" t="s">
        <v>496</v>
      </c>
      <c r="AD25" s="218" t="s">
        <v>496</v>
      </c>
      <c r="AE25" s="219" t="s">
        <v>496</v>
      </c>
      <c r="AF25" s="219">
        <v>373500</v>
      </c>
      <c r="AG25" s="219">
        <v>5.5599999999999997E-2</v>
      </c>
      <c r="AH25" s="219">
        <v>394267</v>
      </c>
      <c r="AI25" s="461" t="s">
        <v>496</v>
      </c>
      <c r="AJ25" s="220" t="s">
        <v>496</v>
      </c>
      <c r="AK25" s="221" t="s">
        <v>496</v>
      </c>
      <c r="AL25" s="222" t="s">
        <v>496</v>
      </c>
      <c r="AM25" s="223" t="s">
        <v>166</v>
      </c>
      <c r="AN25" s="224" t="s">
        <v>496</v>
      </c>
      <c r="AO25" s="224" t="s">
        <v>496</v>
      </c>
      <c r="AP25" s="225" t="s">
        <v>496</v>
      </c>
      <c r="AQ25" s="226">
        <v>326420</v>
      </c>
      <c r="AR25" s="227">
        <v>62020</v>
      </c>
      <c r="AS25" s="227">
        <v>388440</v>
      </c>
      <c r="AT25" s="227">
        <v>326420</v>
      </c>
      <c r="AU25" s="227">
        <v>388440</v>
      </c>
      <c r="AV25" s="228">
        <v>391353</v>
      </c>
      <c r="AW25" s="228">
        <v>391353</v>
      </c>
      <c r="AX25" s="228">
        <v>4120.03</v>
      </c>
      <c r="AY25" s="229">
        <v>1.0500000000000001E-2</v>
      </c>
      <c r="AZ25" s="230"/>
      <c r="BI25" s="232"/>
      <c r="BJ25" s="232"/>
      <c r="BK25" s="232"/>
      <c r="BL25" s="232"/>
      <c r="BM25" s="232"/>
      <c r="BN25" s="232"/>
      <c r="BO25" s="232"/>
      <c r="BP25" s="232"/>
      <c r="BQ25" s="232"/>
      <c r="BR25" s="232"/>
      <c r="BS25" s="232"/>
      <c r="BT25" s="232"/>
      <c r="BU25" s="232"/>
      <c r="BV25" s="232"/>
    </row>
    <row r="26" spans="1:74" s="231" customFormat="1" ht="378" hidden="1" x14ac:dyDescent="0.25">
      <c r="A26" s="205" t="s">
        <v>496</v>
      </c>
      <c r="B26" s="205" t="s">
        <v>496</v>
      </c>
      <c r="C26" s="205" t="s">
        <v>496</v>
      </c>
      <c r="D26" s="205" t="s">
        <v>365</v>
      </c>
      <c r="E26" s="206" t="s">
        <v>164</v>
      </c>
      <c r="F26" s="458" t="s">
        <v>499</v>
      </c>
      <c r="G26" s="178">
        <v>1</v>
      </c>
      <c r="H26" s="458"/>
      <c r="I26" s="459" t="s">
        <v>496</v>
      </c>
      <c r="J26" s="207" t="s">
        <v>496</v>
      </c>
      <c r="K26" s="208" t="s">
        <v>496</v>
      </c>
      <c r="L26" s="209" t="s">
        <v>496</v>
      </c>
      <c r="M26" s="207" t="s">
        <v>496</v>
      </c>
      <c r="N26" s="210"/>
      <c r="O26" s="210"/>
      <c r="P26" s="210"/>
      <c r="Q26" s="211" t="s">
        <v>500</v>
      </c>
      <c r="R26" s="212" t="s">
        <v>500</v>
      </c>
      <c r="S26" s="212" t="s">
        <v>500</v>
      </c>
      <c r="T26" s="212" t="s">
        <v>500</v>
      </c>
      <c r="U26" s="212" t="s">
        <v>500</v>
      </c>
      <c r="V26" s="460" t="s">
        <v>496</v>
      </c>
      <c r="W26" s="213" t="s">
        <v>496</v>
      </c>
      <c r="X26" s="214" t="s">
        <v>496</v>
      </c>
      <c r="Y26" s="215" t="s">
        <v>496</v>
      </c>
      <c r="Z26" s="216" t="s">
        <v>165</v>
      </c>
      <c r="AA26" s="217" t="s">
        <v>496</v>
      </c>
      <c r="AB26" s="217" t="s">
        <v>496</v>
      </c>
      <c r="AC26" s="217" t="s">
        <v>496</v>
      </c>
      <c r="AD26" s="218" t="s">
        <v>496</v>
      </c>
      <c r="AE26" s="219" t="s">
        <v>496</v>
      </c>
      <c r="AF26" s="219">
        <v>435000</v>
      </c>
      <c r="AG26" s="219">
        <v>5.5599999999999997E-2</v>
      </c>
      <c r="AH26" s="219">
        <v>459186</v>
      </c>
      <c r="AI26" s="461" t="s">
        <v>496</v>
      </c>
      <c r="AJ26" s="220" t="s">
        <v>496</v>
      </c>
      <c r="AK26" s="221" t="s">
        <v>496</v>
      </c>
      <c r="AL26" s="222" t="s">
        <v>496</v>
      </c>
      <c r="AM26" s="223" t="s">
        <v>166</v>
      </c>
      <c r="AN26" s="224" t="s">
        <v>496</v>
      </c>
      <c r="AO26" s="224" t="s">
        <v>496</v>
      </c>
      <c r="AP26" s="225" t="s">
        <v>496</v>
      </c>
      <c r="AQ26" s="226">
        <v>380168</v>
      </c>
      <c r="AR26" s="227">
        <v>72232</v>
      </c>
      <c r="AS26" s="227">
        <v>452400</v>
      </c>
      <c r="AT26" s="227">
        <v>380168</v>
      </c>
      <c r="AU26" s="227">
        <v>452400</v>
      </c>
      <c r="AV26" s="228">
        <v>455793</v>
      </c>
      <c r="AW26" s="228">
        <v>455793</v>
      </c>
      <c r="AX26" s="228">
        <v>4798.43</v>
      </c>
      <c r="AY26" s="229">
        <v>1.0500000000000001E-2</v>
      </c>
      <c r="AZ26" s="230"/>
      <c r="BI26" s="232"/>
      <c r="BJ26" s="232"/>
      <c r="BK26" s="232"/>
      <c r="BL26" s="232"/>
      <c r="BM26" s="232"/>
      <c r="BN26" s="232"/>
      <c r="BO26" s="232"/>
      <c r="BP26" s="232"/>
      <c r="BQ26" s="232"/>
      <c r="BR26" s="232"/>
      <c r="BS26" s="232"/>
      <c r="BT26" s="232"/>
      <c r="BU26" s="232"/>
      <c r="BV26" s="232"/>
    </row>
    <row r="27" spans="1:74" s="231" customFormat="1" ht="63" hidden="1" x14ac:dyDescent="0.25">
      <c r="A27" s="205" t="s">
        <v>438</v>
      </c>
      <c r="B27" s="205" t="s">
        <v>487</v>
      </c>
      <c r="C27" s="205">
        <v>49121503</v>
      </c>
      <c r="D27" s="205" t="s">
        <v>545</v>
      </c>
      <c r="E27" s="206" t="s">
        <v>546</v>
      </c>
      <c r="F27" s="458" t="s">
        <v>41</v>
      </c>
      <c r="G27" s="178">
        <v>1</v>
      </c>
      <c r="H27" s="458" t="s">
        <v>88</v>
      </c>
      <c r="I27" s="459" t="s">
        <v>482</v>
      </c>
      <c r="J27" s="207">
        <v>46153</v>
      </c>
      <c r="K27" s="208" t="s">
        <v>547</v>
      </c>
      <c r="L27" s="209" t="s">
        <v>446</v>
      </c>
      <c r="M27" s="207" t="s">
        <v>548</v>
      </c>
      <c r="N27" s="210">
        <v>450000</v>
      </c>
      <c r="O27" s="210" t="s">
        <v>450</v>
      </c>
      <c r="P27" s="210" t="s">
        <v>444</v>
      </c>
      <c r="Q27" s="211">
        <f>IF(O27="IVA Incluido",(N27/1.19),N27)</f>
        <v>450000</v>
      </c>
      <c r="R27" s="212">
        <f>IF(P27="Si tiene IVA",Q27*19%,0)</f>
        <v>85500</v>
      </c>
      <c r="S27" s="212">
        <f>Q27+R27</f>
        <v>535500</v>
      </c>
      <c r="T27" s="212">
        <f>IF(B27="","",(N27*G27))</f>
        <v>450000</v>
      </c>
      <c r="U27" s="212">
        <f>IF(B27="","",(S27*G27))</f>
        <v>535500</v>
      </c>
      <c r="V27" s="460" t="s">
        <v>440</v>
      </c>
      <c r="W27" s="213">
        <v>46153</v>
      </c>
      <c r="X27" s="214" t="s">
        <v>517</v>
      </c>
      <c r="Y27" s="215" t="s">
        <v>441</v>
      </c>
      <c r="Z27" s="216" t="s">
        <v>101</v>
      </c>
      <c r="AA27" s="217">
        <v>304500</v>
      </c>
      <c r="AB27" s="217" t="s">
        <v>450</v>
      </c>
      <c r="AC27" s="217" t="s">
        <v>444</v>
      </c>
      <c r="AD27" s="218">
        <f>IF(AB27="IVA Incluido",(AA27/1.19),AA27)</f>
        <v>304500</v>
      </c>
      <c r="AE27" s="219">
        <f>IF(AC27="Si tiene IVA",AD27*19%,0)</f>
        <v>57855</v>
      </c>
      <c r="AF27" s="219">
        <f>AD27+AE27</f>
        <v>362355</v>
      </c>
      <c r="AG27" s="219">
        <f>IF(O27="","",(AA27*G27))</f>
        <v>304500</v>
      </c>
      <c r="AH27" s="219">
        <f>IF(O27="","",(AF27*G27))</f>
        <v>362355</v>
      </c>
      <c r="AI27" s="461" t="s">
        <v>549</v>
      </c>
      <c r="AJ27" s="220">
        <v>46135</v>
      </c>
      <c r="AK27" s="221" t="s">
        <v>550</v>
      </c>
      <c r="AL27" s="222" t="s">
        <v>441</v>
      </c>
      <c r="AM27" s="223" t="s">
        <v>171</v>
      </c>
      <c r="AN27" s="224">
        <v>315126</v>
      </c>
      <c r="AO27" s="224" t="s">
        <v>450</v>
      </c>
      <c r="AP27" s="225" t="s">
        <v>444</v>
      </c>
      <c r="AQ27" s="226">
        <f>IF(AO27="IVA Incluido",(AN27/1.19),AN27)</f>
        <v>315126</v>
      </c>
      <c r="AR27" s="227">
        <f>IF(AP27="Si tiene IVA",AQ27*19%,0)</f>
        <v>59873.94</v>
      </c>
      <c r="AS27" s="227">
        <f>AQ27+AR27</f>
        <v>374999.94</v>
      </c>
      <c r="AT27" s="227">
        <f>IF(AB27="","",(AN27*G27))</f>
        <v>315126</v>
      </c>
      <c r="AU27" s="227">
        <f>IF(AB27="","",(AS27*G27))</f>
        <v>374999.94</v>
      </c>
      <c r="AV27" s="228">
        <f>IF(A27="","",AVERAGE(S27,AF27,AS27))</f>
        <v>424284.98</v>
      </c>
      <c r="AW27" s="228">
        <f>IF(A27="","",AVERAGE(U27,AH27,AU27))</f>
        <v>424284.98</v>
      </c>
      <c r="AX27" s="228">
        <f>IF(N27="","",STDEV(U27,AH27,AU27))</f>
        <v>96522.324527029632</v>
      </c>
      <c r="AY27" s="229">
        <f>IF(N27="","",(AX27/AW27))</f>
        <v>0.22749408788175729</v>
      </c>
      <c r="AZ27" s="230"/>
      <c r="BA27" s="231">
        <f>COUNTA(M27,Z27,AM27)</f>
        <v>3</v>
      </c>
      <c r="BH27" s="231">
        <v>44</v>
      </c>
      <c r="BI27" s="232"/>
      <c r="BJ27" s="232"/>
      <c r="BK27" s="232"/>
      <c r="BL27" s="232"/>
      <c r="BM27" s="232"/>
      <c r="BN27" s="232"/>
      <c r="BO27" s="232"/>
      <c r="BP27" s="232"/>
      <c r="BQ27" s="232"/>
      <c r="BR27" s="232"/>
      <c r="BS27" s="232"/>
      <c r="BT27" s="232"/>
      <c r="BU27" s="232"/>
      <c r="BV27" s="232"/>
    </row>
    <row r="28" spans="1:74" s="231" customFormat="1" ht="378" hidden="1" x14ac:dyDescent="0.25">
      <c r="A28" s="205" t="s">
        <v>496</v>
      </c>
      <c r="B28" s="205" t="s">
        <v>496</v>
      </c>
      <c r="C28" s="205" t="s">
        <v>496</v>
      </c>
      <c r="D28" s="205" t="s">
        <v>551</v>
      </c>
      <c r="E28" s="206" t="s">
        <v>552</v>
      </c>
      <c r="F28" s="458" t="s">
        <v>499</v>
      </c>
      <c r="G28" s="178">
        <v>1</v>
      </c>
      <c r="H28" s="458"/>
      <c r="I28" s="459" t="s">
        <v>496</v>
      </c>
      <c r="J28" s="207" t="s">
        <v>496</v>
      </c>
      <c r="K28" s="208" t="s">
        <v>496</v>
      </c>
      <c r="L28" s="209" t="s">
        <v>496</v>
      </c>
      <c r="M28" s="207" t="s">
        <v>496</v>
      </c>
      <c r="N28" s="210"/>
      <c r="O28" s="210"/>
      <c r="P28" s="210"/>
      <c r="Q28" s="211" t="s">
        <v>500</v>
      </c>
      <c r="R28" s="212" t="s">
        <v>500</v>
      </c>
      <c r="S28" s="212" t="s">
        <v>500</v>
      </c>
      <c r="T28" s="212" t="s">
        <v>500</v>
      </c>
      <c r="U28" s="212" t="s">
        <v>500</v>
      </c>
      <c r="V28" s="460" t="s">
        <v>496</v>
      </c>
      <c r="W28" s="213" t="s">
        <v>496</v>
      </c>
      <c r="X28" s="214" t="s">
        <v>496</v>
      </c>
      <c r="Y28" s="215" t="s">
        <v>496</v>
      </c>
      <c r="Z28" s="216" t="s">
        <v>165</v>
      </c>
      <c r="AA28" s="217" t="s">
        <v>496</v>
      </c>
      <c r="AB28" s="217" t="s">
        <v>496</v>
      </c>
      <c r="AC28" s="217" t="s">
        <v>496</v>
      </c>
      <c r="AD28" s="218" t="s">
        <v>496</v>
      </c>
      <c r="AE28" s="219" t="s">
        <v>496</v>
      </c>
      <c r="AF28" s="219">
        <v>2812500</v>
      </c>
      <c r="AG28" s="219">
        <v>5.5599999999999997E-2</v>
      </c>
      <c r="AH28" s="219">
        <v>2968875</v>
      </c>
      <c r="AI28" s="461" t="s">
        <v>496</v>
      </c>
      <c r="AJ28" s="220" t="s">
        <v>496</v>
      </c>
      <c r="AK28" s="221" t="s">
        <v>496</v>
      </c>
      <c r="AL28" s="222" t="s">
        <v>496</v>
      </c>
      <c r="AM28" s="223" t="s">
        <v>166</v>
      </c>
      <c r="AN28" s="224" t="s">
        <v>496</v>
      </c>
      <c r="AO28" s="224" t="s">
        <v>496</v>
      </c>
      <c r="AP28" s="225" t="s">
        <v>496</v>
      </c>
      <c r="AQ28" s="226">
        <v>2457983</v>
      </c>
      <c r="AR28" s="227">
        <v>467017</v>
      </c>
      <c r="AS28" s="227">
        <v>2925000</v>
      </c>
      <c r="AT28" s="227">
        <v>2457983</v>
      </c>
      <c r="AU28" s="227">
        <v>2925000</v>
      </c>
      <c r="AV28" s="228">
        <v>2946938</v>
      </c>
      <c r="AW28" s="228">
        <v>2946938</v>
      </c>
      <c r="AX28" s="228">
        <v>31024.31</v>
      </c>
      <c r="AY28" s="229">
        <v>1.0500000000000001E-2</v>
      </c>
      <c r="AZ28" s="230"/>
      <c r="BI28" s="232"/>
      <c r="BJ28" s="232"/>
      <c r="BK28" s="232"/>
      <c r="BL28" s="232"/>
      <c r="BM28" s="232"/>
      <c r="BN28" s="232"/>
      <c r="BO28" s="232"/>
      <c r="BP28" s="232"/>
      <c r="BQ28" s="232"/>
      <c r="BR28" s="232"/>
      <c r="BS28" s="232"/>
      <c r="BT28" s="232"/>
      <c r="BU28" s="232"/>
      <c r="BV28" s="232"/>
    </row>
    <row r="29" spans="1:74" s="231" customFormat="1" ht="378" hidden="1" x14ac:dyDescent="0.25">
      <c r="A29" s="205" t="s">
        <v>496</v>
      </c>
      <c r="B29" s="205" t="s">
        <v>496</v>
      </c>
      <c r="C29" s="205" t="s">
        <v>496</v>
      </c>
      <c r="D29" s="205" t="s">
        <v>553</v>
      </c>
      <c r="E29" s="206" t="s">
        <v>554</v>
      </c>
      <c r="F29" s="458" t="s">
        <v>499</v>
      </c>
      <c r="G29" s="178">
        <v>1</v>
      </c>
      <c r="H29" s="458"/>
      <c r="I29" s="459" t="s">
        <v>496</v>
      </c>
      <c r="J29" s="207" t="s">
        <v>496</v>
      </c>
      <c r="K29" s="208" t="s">
        <v>496</v>
      </c>
      <c r="L29" s="209" t="s">
        <v>496</v>
      </c>
      <c r="M29" s="207" t="s">
        <v>496</v>
      </c>
      <c r="N29" s="210"/>
      <c r="O29" s="210"/>
      <c r="P29" s="210"/>
      <c r="Q29" s="211" t="s">
        <v>500</v>
      </c>
      <c r="R29" s="212" t="s">
        <v>500</v>
      </c>
      <c r="S29" s="212" t="s">
        <v>500</v>
      </c>
      <c r="T29" s="212" t="s">
        <v>500</v>
      </c>
      <c r="U29" s="212" t="s">
        <v>500</v>
      </c>
      <c r="V29" s="460" t="s">
        <v>496</v>
      </c>
      <c r="W29" s="213" t="s">
        <v>496</v>
      </c>
      <c r="X29" s="214" t="s">
        <v>496</v>
      </c>
      <c r="Y29" s="215" t="s">
        <v>496</v>
      </c>
      <c r="Z29" s="216" t="s">
        <v>165</v>
      </c>
      <c r="AA29" s="217" t="s">
        <v>496</v>
      </c>
      <c r="AB29" s="217" t="s">
        <v>496</v>
      </c>
      <c r="AC29" s="217" t="s">
        <v>496</v>
      </c>
      <c r="AD29" s="218" t="s">
        <v>496</v>
      </c>
      <c r="AE29" s="219" t="s">
        <v>496</v>
      </c>
      <c r="AF29" s="219">
        <v>507500</v>
      </c>
      <c r="AG29" s="219">
        <v>5.5599999999999997E-2</v>
      </c>
      <c r="AH29" s="219">
        <v>535717</v>
      </c>
      <c r="AI29" s="461" t="s">
        <v>496</v>
      </c>
      <c r="AJ29" s="220" t="s">
        <v>496</v>
      </c>
      <c r="AK29" s="221" t="s">
        <v>496</v>
      </c>
      <c r="AL29" s="222" t="s">
        <v>496</v>
      </c>
      <c r="AM29" s="223" t="s">
        <v>166</v>
      </c>
      <c r="AN29" s="224" t="s">
        <v>496</v>
      </c>
      <c r="AO29" s="224" t="s">
        <v>496</v>
      </c>
      <c r="AP29" s="225" t="s">
        <v>496</v>
      </c>
      <c r="AQ29" s="226">
        <v>443529</v>
      </c>
      <c r="AR29" s="227">
        <v>84271</v>
      </c>
      <c r="AS29" s="227">
        <v>527800</v>
      </c>
      <c r="AT29" s="227">
        <v>443529</v>
      </c>
      <c r="AU29" s="227">
        <v>527800</v>
      </c>
      <c r="AV29" s="228">
        <v>531759</v>
      </c>
      <c r="AW29" s="228">
        <v>531759</v>
      </c>
      <c r="AX29" s="228">
        <v>5598.16</v>
      </c>
      <c r="AY29" s="229">
        <v>1.0500000000000001E-2</v>
      </c>
      <c r="AZ29" s="230"/>
      <c r="BI29" s="232"/>
      <c r="BJ29" s="232"/>
      <c r="BK29" s="232"/>
      <c r="BL29" s="232"/>
      <c r="BM29" s="232"/>
      <c r="BN29" s="232"/>
      <c r="BO29" s="232"/>
      <c r="BP29" s="232"/>
      <c r="BQ29" s="232"/>
      <c r="BR29" s="232"/>
      <c r="BS29" s="232"/>
      <c r="BT29" s="232"/>
      <c r="BU29" s="232"/>
      <c r="BV29" s="232"/>
    </row>
    <row r="30" spans="1:74" s="231" customFormat="1" ht="105" hidden="1" x14ac:dyDescent="0.35">
      <c r="A30" s="205" t="s">
        <v>496</v>
      </c>
      <c r="B30" s="205" t="s">
        <v>496</v>
      </c>
      <c r="C30" s="205" t="s">
        <v>496</v>
      </c>
      <c r="D30" s="205" t="s">
        <v>366</v>
      </c>
      <c r="E30" s="206" t="s">
        <v>367</v>
      </c>
      <c r="F30" s="458" t="s">
        <v>499</v>
      </c>
      <c r="G30" s="178">
        <v>1</v>
      </c>
      <c r="H30" s="458"/>
      <c r="I30" s="459" t="s">
        <v>496</v>
      </c>
      <c r="J30" s="207" t="s">
        <v>496</v>
      </c>
      <c r="K30" s="208" t="s">
        <v>496</v>
      </c>
      <c r="L30" s="209" t="s">
        <v>496</v>
      </c>
      <c r="M30" s="338" t="s">
        <v>555</v>
      </c>
      <c r="N30" s="210"/>
      <c r="O30" s="210"/>
      <c r="P30" s="210"/>
      <c r="Q30" s="211">
        <v>4436.79</v>
      </c>
      <c r="R30" s="212">
        <v>843</v>
      </c>
      <c r="S30" s="212">
        <v>5280</v>
      </c>
      <c r="T30" s="212">
        <v>4437</v>
      </c>
      <c r="U30" s="212">
        <v>5280</v>
      </c>
      <c r="V30" s="460" t="s">
        <v>496</v>
      </c>
      <c r="W30" s="213" t="s">
        <v>496</v>
      </c>
      <c r="X30" s="214" t="s">
        <v>496</v>
      </c>
      <c r="Y30" s="215" t="s">
        <v>496</v>
      </c>
      <c r="Z30" s="216" t="s">
        <v>166</v>
      </c>
      <c r="AA30" s="217" t="s">
        <v>496</v>
      </c>
      <c r="AB30" s="217" t="s">
        <v>496</v>
      </c>
      <c r="AC30" s="217" t="s">
        <v>496</v>
      </c>
      <c r="AD30" s="218" t="s">
        <v>496</v>
      </c>
      <c r="AE30" s="219" t="s">
        <v>496</v>
      </c>
      <c r="AF30" s="219">
        <v>4997</v>
      </c>
      <c r="AG30" s="219">
        <v>4199</v>
      </c>
      <c r="AH30" s="219">
        <v>4997</v>
      </c>
      <c r="AI30" s="461" t="s">
        <v>496</v>
      </c>
      <c r="AJ30" s="220" t="s">
        <v>496</v>
      </c>
      <c r="AK30" s="221" t="s">
        <v>496</v>
      </c>
      <c r="AL30" s="222" t="s">
        <v>496</v>
      </c>
      <c r="AM30" s="223" t="s">
        <v>171</v>
      </c>
      <c r="AN30" s="224" t="s">
        <v>496</v>
      </c>
      <c r="AO30" s="224" t="s">
        <v>496</v>
      </c>
      <c r="AP30" s="225" t="s">
        <v>496</v>
      </c>
      <c r="AQ30" s="226">
        <v>4033.61</v>
      </c>
      <c r="AR30" s="227">
        <v>766.39</v>
      </c>
      <c r="AS30" s="227">
        <v>4800</v>
      </c>
      <c r="AT30" s="227">
        <v>4034</v>
      </c>
      <c r="AU30" s="227">
        <v>4800</v>
      </c>
      <c r="AV30" s="228">
        <v>5025</v>
      </c>
      <c r="AW30" s="228">
        <v>5025</v>
      </c>
      <c r="AX30" s="228">
        <v>241.19</v>
      </c>
      <c r="AY30" s="229">
        <v>4.8000000000000001E-2</v>
      </c>
      <c r="AZ30" s="230"/>
      <c r="BI30" s="232"/>
      <c r="BJ30" s="232"/>
      <c r="BK30" s="232"/>
      <c r="BL30" s="232"/>
      <c r="BM30" s="232"/>
      <c r="BN30" s="232"/>
      <c r="BO30" s="232"/>
      <c r="BP30" s="232"/>
      <c r="BQ30" s="232"/>
      <c r="BR30" s="232"/>
      <c r="BS30" s="232"/>
      <c r="BT30" s="232"/>
      <c r="BU30" s="232"/>
      <c r="BV30" s="232"/>
    </row>
    <row r="31" spans="1:74" s="231" customFormat="1" ht="164.25" hidden="1" customHeight="1" x14ac:dyDescent="0.25">
      <c r="A31" s="205" t="s">
        <v>496</v>
      </c>
      <c r="B31" s="205" t="s">
        <v>496</v>
      </c>
      <c r="C31" s="205" t="s">
        <v>496</v>
      </c>
      <c r="D31" s="205" t="s">
        <v>556</v>
      </c>
      <c r="E31" s="206" t="s">
        <v>557</v>
      </c>
      <c r="F31" s="458" t="s">
        <v>499</v>
      </c>
      <c r="G31" s="178">
        <v>1</v>
      </c>
      <c r="H31" s="458"/>
      <c r="I31" s="459" t="s">
        <v>496</v>
      </c>
      <c r="J31" s="207" t="s">
        <v>496</v>
      </c>
      <c r="K31" s="208" t="s">
        <v>496</v>
      </c>
      <c r="L31" s="209" t="s">
        <v>496</v>
      </c>
      <c r="M31" s="207" t="s">
        <v>496</v>
      </c>
      <c r="N31" s="210"/>
      <c r="O31" s="210"/>
      <c r="P31" s="210"/>
      <c r="Q31" s="211" t="s">
        <v>500</v>
      </c>
      <c r="R31" s="212" t="s">
        <v>500</v>
      </c>
      <c r="S31" s="212" t="s">
        <v>500</v>
      </c>
      <c r="T31" s="212" t="s">
        <v>500</v>
      </c>
      <c r="U31" s="212" t="s">
        <v>500</v>
      </c>
      <c r="V31" s="460" t="s">
        <v>496</v>
      </c>
      <c r="W31" s="213" t="s">
        <v>496</v>
      </c>
      <c r="X31" s="214" t="s">
        <v>496</v>
      </c>
      <c r="Y31" s="215" t="s">
        <v>496</v>
      </c>
      <c r="Z31" s="216" t="s">
        <v>165</v>
      </c>
      <c r="AA31" s="217" t="s">
        <v>496</v>
      </c>
      <c r="AB31" s="217" t="s">
        <v>496</v>
      </c>
      <c r="AC31" s="217" t="s">
        <v>496</v>
      </c>
      <c r="AD31" s="218" t="s">
        <v>496</v>
      </c>
      <c r="AE31" s="219" t="s">
        <v>496</v>
      </c>
      <c r="AF31" s="219">
        <v>25183</v>
      </c>
      <c r="AG31" s="219">
        <v>5.5599999999999997E-2</v>
      </c>
      <c r="AH31" s="219">
        <v>26583</v>
      </c>
      <c r="AI31" s="461" t="s">
        <v>496</v>
      </c>
      <c r="AJ31" s="220" t="s">
        <v>496</v>
      </c>
      <c r="AK31" s="221" t="s">
        <v>496</v>
      </c>
      <c r="AL31" s="222" t="s">
        <v>496</v>
      </c>
      <c r="AM31" s="223" t="s">
        <v>166</v>
      </c>
      <c r="AN31" s="224" t="s">
        <v>496</v>
      </c>
      <c r="AO31" s="224" t="s">
        <v>496</v>
      </c>
      <c r="AP31" s="225" t="s">
        <v>496</v>
      </c>
      <c r="AQ31" s="226">
        <v>22009</v>
      </c>
      <c r="AR31" s="227">
        <v>4182</v>
      </c>
      <c r="AS31" s="227">
        <v>26191</v>
      </c>
      <c r="AT31" s="227">
        <v>22009</v>
      </c>
      <c r="AU31" s="227">
        <v>26191</v>
      </c>
      <c r="AV31" s="228">
        <v>26387</v>
      </c>
      <c r="AW31" s="228">
        <v>26387</v>
      </c>
      <c r="AX31" s="228">
        <v>277.79000000000002</v>
      </c>
      <c r="AY31" s="229">
        <v>1.0500000000000001E-2</v>
      </c>
      <c r="AZ31" s="230"/>
      <c r="BI31" s="232"/>
      <c r="BJ31" s="232"/>
      <c r="BK31" s="232"/>
      <c r="BL31" s="232"/>
      <c r="BM31" s="232"/>
      <c r="BN31" s="232"/>
      <c r="BO31" s="232"/>
      <c r="BP31" s="232"/>
      <c r="BQ31" s="232"/>
      <c r="BR31" s="232"/>
      <c r="BS31" s="232"/>
      <c r="BT31" s="232"/>
      <c r="BU31" s="232"/>
      <c r="BV31" s="232"/>
    </row>
    <row r="32" spans="1:74" s="231" customFormat="1" ht="185.25" hidden="1" customHeight="1" x14ac:dyDescent="0.25">
      <c r="A32" s="205" t="s">
        <v>496</v>
      </c>
      <c r="B32" s="205" t="s">
        <v>496</v>
      </c>
      <c r="C32" s="205" t="s">
        <v>496</v>
      </c>
      <c r="D32" s="205" t="s">
        <v>558</v>
      </c>
      <c r="E32" s="206" t="s">
        <v>559</v>
      </c>
      <c r="F32" s="458" t="s">
        <v>499</v>
      </c>
      <c r="G32" s="178">
        <v>1</v>
      </c>
      <c r="H32" s="458"/>
      <c r="I32" s="459" t="s">
        <v>496</v>
      </c>
      <c r="J32" s="207" t="s">
        <v>496</v>
      </c>
      <c r="K32" s="208" t="s">
        <v>496</v>
      </c>
      <c r="L32" s="209" t="s">
        <v>496</v>
      </c>
      <c r="M32" s="207" t="s">
        <v>496</v>
      </c>
      <c r="N32" s="210"/>
      <c r="O32" s="210"/>
      <c r="P32" s="210"/>
      <c r="Q32" s="211" t="s">
        <v>500</v>
      </c>
      <c r="R32" s="212" t="s">
        <v>500</v>
      </c>
      <c r="S32" s="212" t="s">
        <v>500</v>
      </c>
      <c r="T32" s="212" t="s">
        <v>500</v>
      </c>
      <c r="U32" s="212" t="s">
        <v>500</v>
      </c>
      <c r="V32" s="460" t="s">
        <v>496</v>
      </c>
      <c r="W32" s="213" t="s">
        <v>496</v>
      </c>
      <c r="X32" s="214" t="s">
        <v>496</v>
      </c>
      <c r="Y32" s="215" t="s">
        <v>496</v>
      </c>
      <c r="Z32" s="216" t="s">
        <v>165</v>
      </c>
      <c r="AA32" s="217" t="s">
        <v>496</v>
      </c>
      <c r="AB32" s="217" t="s">
        <v>496</v>
      </c>
      <c r="AC32" s="217" t="s">
        <v>496</v>
      </c>
      <c r="AD32" s="218" t="s">
        <v>496</v>
      </c>
      <c r="AE32" s="219" t="s">
        <v>496</v>
      </c>
      <c r="AF32" s="219">
        <v>2539333</v>
      </c>
      <c r="AG32" s="219">
        <v>5.5599999999999997E-2</v>
      </c>
      <c r="AH32" s="219">
        <v>2680520</v>
      </c>
      <c r="AI32" s="461" t="s">
        <v>496</v>
      </c>
      <c r="AJ32" s="220" t="s">
        <v>496</v>
      </c>
      <c r="AK32" s="221" t="s">
        <v>496</v>
      </c>
      <c r="AL32" s="222" t="s">
        <v>496</v>
      </c>
      <c r="AM32" s="223" t="s">
        <v>166</v>
      </c>
      <c r="AN32" s="224" t="s">
        <v>496</v>
      </c>
      <c r="AO32" s="224" t="s">
        <v>496</v>
      </c>
      <c r="AP32" s="225" t="s">
        <v>496</v>
      </c>
      <c r="AQ32" s="226">
        <v>2240588</v>
      </c>
      <c r="AR32" s="227">
        <v>425712</v>
      </c>
      <c r="AS32" s="227">
        <v>2666300</v>
      </c>
      <c r="AT32" s="227">
        <v>2240588</v>
      </c>
      <c r="AU32" s="227">
        <v>2666300</v>
      </c>
      <c r="AV32" s="228">
        <v>2673410</v>
      </c>
      <c r="AW32" s="228">
        <v>2673410</v>
      </c>
      <c r="AX32" s="228">
        <v>10055.25</v>
      </c>
      <c r="AY32" s="229">
        <v>3.8E-3</v>
      </c>
      <c r="AZ32" s="230"/>
      <c r="BI32" s="232"/>
      <c r="BJ32" s="232"/>
      <c r="BK32" s="232"/>
      <c r="BL32" s="232"/>
      <c r="BM32" s="232"/>
      <c r="BN32" s="232"/>
      <c r="BO32" s="232"/>
      <c r="BP32" s="232"/>
      <c r="BQ32" s="232"/>
      <c r="BR32" s="232"/>
      <c r="BS32" s="232"/>
      <c r="BT32" s="232"/>
      <c r="BU32" s="232"/>
      <c r="BV32" s="232"/>
    </row>
    <row r="33" spans="1:74" s="231" customFormat="1" ht="378" hidden="1" x14ac:dyDescent="0.25">
      <c r="A33" s="205" t="s">
        <v>496</v>
      </c>
      <c r="B33" s="205" t="s">
        <v>496</v>
      </c>
      <c r="C33" s="205" t="s">
        <v>496</v>
      </c>
      <c r="D33" s="205" t="s">
        <v>560</v>
      </c>
      <c r="E33" s="206" t="s">
        <v>561</v>
      </c>
      <c r="F33" s="458" t="s">
        <v>499</v>
      </c>
      <c r="G33" s="178">
        <v>1</v>
      </c>
      <c r="H33" s="458"/>
      <c r="I33" s="459" t="s">
        <v>496</v>
      </c>
      <c r="J33" s="207" t="s">
        <v>496</v>
      </c>
      <c r="K33" s="208" t="s">
        <v>496</v>
      </c>
      <c r="L33" s="209" t="s">
        <v>496</v>
      </c>
      <c r="M33" s="207" t="s">
        <v>496</v>
      </c>
      <c r="N33" s="210"/>
      <c r="O33" s="210"/>
      <c r="P33" s="210"/>
      <c r="Q33" s="211" t="s">
        <v>500</v>
      </c>
      <c r="R33" s="212" t="s">
        <v>500</v>
      </c>
      <c r="S33" s="212" t="s">
        <v>500</v>
      </c>
      <c r="T33" s="212" t="s">
        <v>500</v>
      </c>
      <c r="U33" s="212" t="s">
        <v>500</v>
      </c>
      <c r="V33" s="460" t="s">
        <v>496</v>
      </c>
      <c r="W33" s="213" t="s">
        <v>496</v>
      </c>
      <c r="X33" s="214" t="s">
        <v>496</v>
      </c>
      <c r="Y33" s="215" t="s">
        <v>496</v>
      </c>
      <c r="Z33" s="216" t="s">
        <v>165</v>
      </c>
      <c r="AA33" s="217" t="s">
        <v>496</v>
      </c>
      <c r="AB33" s="217" t="s">
        <v>496</v>
      </c>
      <c r="AC33" s="217" t="s">
        <v>496</v>
      </c>
      <c r="AD33" s="218" t="s">
        <v>496</v>
      </c>
      <c r="AE33" s="219" t="s">
        <v>496</v>
      </c>
      <c r="AF33" s="219">
        <v>125450</v>
      </c>
      <c r="AG33" s="219">
        <v>5.5599999999999997E-2</v>
      </c>
      <c r="AH33" s="219">
        <v>132425</v>
      </c>
      <c r="AI33" s="461" t="s">
        <v>496</v>
      </c>
      <c r="AJ33" s="220" t="s">
        <v>496</v>
      </c>
      <c r="AK33" s="221" t="s">
        <v>496</v>
      </c>
      <c r="AL33" s="222" t="s">
        <v>496</v>
      </c>
      <c r="AM33" s="223" t="s">
        <v>166</v>
      </c>
      <c r="AN33" s="224" t="s">
        <v>496</v>
      </c>
      <c r="AO33" s="224" t="s">
        <v>496</v>
      </c>
      <c r="AP33" s="225" t="s">
        <v>496</v>
      </c>
      <c r="AQ33" s="226">
        <v>107529</v>
      </c>
      <c r="AR33" s="227">
        <v>20430</v>
      </c>
      <c r="AS33" s="227">
        <v>127959</v>
      </c>
      <c r="AT33" s="227">
        <v>107529</v>
      </c>
      <c r="AU33" s="227">
        <v>127959</v>
      </c>
      <c r="AV33" s="228">
        <v>130192</v>
      </c>
      <c r="AW33" s="228">
        <v>130192</v>
      </c>
      <c r="AX33" s="228">
        <v>3157.95</v>
      </c>
      <c r="AY33" s="229">
        <v>2.4299999999999999E-2</v>
      </c>
      <c r="AZ33" s="230"/>
      <c r="BI33" s="232"/>
      <c r="BJ33" s="232"/>
      <c r="BK33" s="232"/>
      <c r="BL33" s="232"/>
      <c r="BM33" s="232"/>
      <c r="BN33" s="232"/>
      <c r="BO33" s="232"/>
      <c r="BP33" s="232"/>
      <c r="BQ33" s="232"/>
      <c r="BR33" s="232"/>
      <c r="BS33" s="232"/>
      <c r="BT33" s="232"/>
      <c r="BU33" s="232"/>
      <c r="BV33" s="232"/>
    </row>
    <row r="34" spans="1:74" s="231" customFormat="1" ht="378" hidden="1" x14ac:dyDescent="0.25">
      <c r="A34" s="205" t="s">
        <v>496</v>
      </c>
      <c r="B34" s="205" t="s">
        <v>496</v>
      </c>
      <c r="C34" s="205" t="s">
        <v>496</v>
      </c>
      <c r="D34" s="205" t="s">
        <v>560</v>
      </c>
      <c r="E34" s="206" t="s">
        <v>562</v>
      </c>
      <c r="F34" s="458" t="s">
        <v>499</v>
      </c>
      <c r="G34" s="178">
        <v>1</v>
      </c>
      <c r="H34" s="458"/>
      <c r="I34" s="459" t="s">
        <v>496</v>
      </c>
      <c r="J34" s="207" t="s">
        <v>496</v>
      </c>
      <c r="K34" s="208" t="s">
        <v>496</v>
      </c>
      <c r="L34" s="209" t="s">
        <v>496</v>
      </c>
      <c r="M34" s="207" t="s">
        <v>496</v>
      </c>
      <c r="N34" s="210"/>
      <c r="O34" s="210"/>
      <c r="P34" s="210"/>
      <c r="Q34" s="211" t="s">
        <v>500</v>
      </c>
      <c r="R34" s="212" t="s">
        <v>500</v>
      </c>
      <c r="S34" s="212" t="s">
        <v>500</v>
      </c>
      <c r="T34" s="212" t="s">
        <v>500</v>
      </c>
      <c r="U34" s="212" t="s">
        <v>500</v>
      </c>
      <c r="V34" s="460" t="s">
        <v>496</v>
      </c>
      <c r="W34" s="213" t="s">
        <v>496</v>
      </c>
      <c r="X34" s="214" t="s">
        <v>496</v>
      </c>
      <c r="Y34" s="215" t="s">
        <v>496</v>
      </c>
      <c r="Z34" s="216" t="s">
        <v>165</v>
      </c>
      <c r="AA34" s="217" t="s">
        <v>496</v>
      </c>
      <c r="AB34" s="217" t="s">
        <v>496</v>
      </c>
      <c r="AC34" s="217" t="s">
        <v>496</v>
      </c>
      <c r="AD34" s="218" t="s">
        <v>496</v>
      </c>
      <c r="AE34" s="219" t="s">
        <v>496</v>
      </c>
      <c r="AF34" s="219">
        <v>288399</v>
      </c>
      <c r="AG34" s="219">
        <v>5.5599999999999997E-2</v>
      </c>
      <c r="AH34" s="219">
        <v>304434</v>
      </c>
      <c r="AI34" s="461" t="s">
        <v>496</v>
      </c>
      <c r="AJ34" s="220" t="s">
        <v>496</v>
      </c>
      <c r="AK34" s="221" t="s">
        <v>496</v>
      </c>
      <c r="AL34" s="222" t="s">
        <v>496</v>
      </c>
      <c r="AM34" s="223" t="s">
        <v>166</v>
      </c>
      <c r="AN34" s="224" t="s">
        <v>496</v>
      </c>
      <c r="AO34" s="224" t="s">
        <v>496</v>
      </c>
      <c r="AP34" s="225" t="s">
        <v>496</v>
      </c>
      <c r="AQ34" s="226">
        <v>247199</v>
      </c>
      <c r="AR34" s="227">
        <v>46968</v>
      </c>
      <c r="AS34" s="227">
        <v>294167</v>
      </c>
      <c r="AT34" s="227">
        <v>247199</v>
      </c>
      <c r="AU34" s="227">
        <v>294167</v>
      </c>
      <c r="AV34" s="228">
        <v>299300</v>
      </c>
      <c r="AW34" s="228">
        <v>299300</v>
      </c>
      <c r="AX34" s="228">
        <v>7259.87</v>
      </c>
      <c r="AY34" s="229">
        <v>2.4299999999999999E-2</v>
      </c>
      <c r="AZ34" s="230"/>
      <c r="BI34" s="232"/>
      <c r="BJ34" s="232"/>
      <c r="BK34" s="232"/>
      <c r="BL34" s="232"/>
      <c r="BM34" s="232"/>
      <c r="BN34" s="232"/>
      <c r="BO34" s="232"/>
      <c r="BP34" s="232"/>
      <c r="BQ34" s="232"/>
      <c r="BR34" s="232"/>
      <c r="BS34" s="232"/>
      <c r="BT34" s="232"/>
      <c r="BU34" s="232"/>
      <c r="BV34" s="232"/>
    </row>
    <row r="35" spans="1:74" s="231" customFormat="1" ht="378" hidden="1" x14ac:dyDescent="0.25">
      <c r="A35" s="205" t="s">
        <v>496</v>
      </c>
      <c r="B35" s="205" t="s">
        <v>496</v>
      </c>
      <c r="C35" s="205" t="s">
        <v>496</v>
      </c>
      <c r="D35" s="205" t="s">
        <v>560</v>
      </c>
      <c r="E35" s="206" t="s">
        <v>563</v>
      </c>
      <c r="F35" s="458" t="s">
        <v>499</v>
      </c>
      <c r="G35" s="178">
        <v>1</v>
      </c>
      <c r="H35" s="458"/>
      <c r="I35" s="459" t="s">
        <v>496</v>
      </c>
      <c r="J35" s="207" t="s">
        <v>496</v>
      </c>
      <c r="K35" s="208" t="s">
        <v>496</v>
      </c>
      <c r="L35" s="209" t="s">
        <v>496</v>
      </c>
      <c r="M35" s="207" t="s">
        <v>496</v>
      </c>
      <c r="N35" s="210"/>
      <c r="O35" s="210"/>
      <c r="P35" s="210"/>
      <c r="Q35" s="211" t="s">
        <v>500</v>
      </c>
      <c r="R35" s="212" t="s">
        <v>500</v>
      </c>
      <c r="S35" s="212" t="s">
        <v>500</v>
      </c>
      <c r="T35" s="212" t="s">
        <v>500</v>
      </c>
      <c r="U35" s="212" t="s">
        <v>500</v>
      </c>
      <c r="V35" s="460" t="s">
        <v>496</v>
      </c>
      <c r="W35" s="213" t="s">
        <v>496</v>
      </c>
      <c r="X35" s="214" t="s">
        <v>496</v>
      </c>
      <c r="Y35" s="215" t="s">
        <v>496</v>
      </c>
      <c r="Z35" s="216" t="s">
        <v>165</v>
      </c>
      <c r="AA35" s="217" t="s">
        <v>496</v>
      </c>
      <c r="AB35" s="217" t="s">
        <v>496</v>
      </c>
      <c r="AC35" s="217" t="s">
        <v>496</v>
      </c>
      <c r="AD35" s="218" t="s">
        <v>496</v>
      </c>
      <c r="AE35" s="219" t="s">
        <v>496</v>
      </c>
      <c r="AF35" s="219">
        <v>344099</v>
      </c>
      <c r="AG35" s="219">
        <v>5.5599999999999997E-2</v>
      </c>
      <c r="AH35" s="219">
        <v>363230</v>
      </c>
      <c r="AI35" s="461" t="s">
        <v>496</v>
      </c>
      <c r="AJ35" s="220" t="s">
        <v>496</v>
      </c>
      <c r="AK35" s="221" t="s">
        <v>496</v>
      </c>
      <c r="AL35" s="222" t="s">
        <v>496</v>
      </c>
      <c r="AM35" s="223" t="s">
        <v>166</v>
      </c>
      <c r="AN35" s="224" t="s">
        <v>496</v>
      </c>
      <c r="AO35" s="224" t="s">
        <v>496</v>
      </c>
      <c r="AP35" s="225" t="s">
        <v>496</v>
      </c>
      <c r="AQ35" s="226">
        <v>294942</v>
      </c>
      <c r="AR35" s="227">
        <v>56039</v>
      </c>
      <c r="AS35" s="227">
        <v>350980</v>
      </c>
      <c r="AT35" s="227">
        <v>294942</v>
      </c>
      <c r="AU35" s="227">
        <v>350980</v>
      </c>
      <c r="AV35" s="228">
        <v>357105</v>
      </c>
      <c r="AW35" s="228">
        <v>357105</v>
      </c>
      <c r="AX35" s="228">
        <v>8661.99</v>
      </c>
      <c r="AY35" s="229">
        <v>2.4299999999999999E-2</v>
      </c>
      <c r="AZ35" s="230"/>
      <c r="BI35" s="232"/>
      <c r="BJ35" s="232"/>
      <c r="BK35" s="232"/>
      <c r="BL35" s="232"/>
      <c r="BM35" s="232"/>
      <c r="BN35" s="232"/>
      <c r="BO35" s="232"/>
      <c r="BP35" s="232"/>
      <c r="BQ35" s="232"/>
      <c r="BR35" s="232"/>
      <c r="BS35" s="232"/>
      <c r="BT35" s="232"/>
      <c r="BU35" s="232"/>
      <c r="BV35" s="232"/>
    </row>
    <row r="36" spans="1:74" s="231" customFormat="1" ht="118.5" hidden="1" customHeight="1" x14ac:dyDescent="0.25">
      <c r="A36" s="205" t="s">
        <v>496</v>
      </c>
      <c r="B36" s="205" t="s">
        <v>496</v>
      </c>
      <c r="C36" s="205" t="s">
        <v>496</v>
      </c>
      <c r="D36" s="205" t="s">
        <v>560</v>
      </c>
      <c r="E36" s="206" t="s">
        <v>564</v>
      </c>
      <c r="F36" s="458" t="s">
        <v>499</v>
      </c>
      <c r="G36" s="178">
        <v>1</v>
      </c>
      <c r="H36" s="458"/>
      <c r="I36" s="459" t="s">
        <v>496</v>
      </c>
      <c r="J36" s="207" t="s">
        <v>496</v>
      </c>
      <c r="K36" s="208" t="s">
        <v>496</v>
      </c>
      <c r="L36" s="209" t="s">
        <v>496</v>
      </c>
      <c r="M36" s="207" t="s">
        <v>496</v>
      </c>
      <c r="N36" s="210"/>
      <c r="O36" s="210"/>
      <c r="P36" s="210"/>
      <c r="Q36" s="211" t="s">
        <v>500</v>
      </c>
      <c r="R36" s="212" t="s">
        <v>500</v>
      </c>
      <c r="S36" s="212" t="s">
        <v>500</v>
      </c>
      <c r="T36" s="212" t="s">
        <v>500</v>
      </c>
      <c r="U36" s="212" t="s">
        <v>500</v>
      </c>
      <c r="V36" s="460" t="s">
        <v>496</v>
      </c>
      <c r="W36" s="213" t="s">
        <v>496</v>
      </c>
      <c r="X36" s="214" t="s">
        <v>496</v>
      </c>
      <c r="Y36" s="215" t="s">
        <v>496</v>
      </c>
      <c r="Z36" s="216" t="s">
        <v>165</v>
      </c>
      <c r="AA36" s="217" t="s">
        <v>496</v>
      </c>
      <c r="AB36" s="217" t="s">
        <v>496</v>
      </c>
      <c r="AC36" s="217" t="s">
        <v>496</v>
      </c>
      <c r="AD36" s="218" t="s">
        <v>496</v>
      </c>
      <c r="AE36" s="219" t="s">
        <v>496</v>
      </c>
      <c r="AF36" s="219">
        <v>137350</v>
      </c>
      <c r="AG36" s="219">
        <v>5.5599999999999997E-2</v>
      </c>
      <c r="AH36" s="219">
        <v>144987</v>
      </c>
      <c r="AI36" s="461" t="s">
        <v>496</v>
      </c>
      <c r="AJ36" s="220" t="s">
        <v>496</v>
      </c>
      <c r="AK36" s="221" t="s">
        <v>496</v>
      </c>
      <c r="AL36" s="222" t="s">
        <v>496</v>
      </c>
      <c r="AM36" s="223" t="s">
        <v>166</v>
      </c>
      <c r="AN36" s="224" t="s">
        <v>496</v>
      </c>
      <c r="AO36" s="224" t="s">
        <v>496</v>
      </c>
      <c r="AP36" s="225" t="s">
        <v>496</v>
      </c>
      <c r="AQ36" s="226">
        <v>117729</v>
      </c>
      <c r="AR36" s="227">
        <v>22368</v>
      </c>
      <c r="AS36" s="227">
        <v>140097</v>
      </c>
      <c r="AT36" s="227">
        <v>117729</v>
      </c>
      <c r="AU36" s="227">
        <v>140097</v>
      </c>
      <c r="AV36" s="228">
        <v>142542</v>
      </c>
      <c r="AW36" s="228">
        <v>142542</v>
      </c>
      <c r="AX36" s="228">
        <v>3457.51</v>
      </c>
      <c r="AY36" s="229">
        <v>2.4299999999999999E-2</v>
      </c>
      <c r="AZ36" s="230"/>
      <c r="BI36" s="232"/>
      <c r="BJ36" s="232"/>
      <c r="BK36" s="232"/>
      <c r="BL36" s="232"/>
      <c r="BM36" s="232"/>
      <c r="BN36" s="232"/>
      <c r="BO36" s="232"/>
      <c r="BP36" s="232"/>
      <c r="BQ36" s="232"/>
      <c r="BR36" s="232"/>
      <c r="BS36" s="232"/>
      <c r="BT36" s="232"/>
      <c r="BU36" s="232"/>
      <c r="BV36" s="232"/>
    </row>
    <row r="37" spans="1:74" s="231" customFormat="1" ht="378" hidden="1" x14ac:dyDescent="0.25">
      <c r="A37" s="205" t="s">
        <v>496</v>
      </c>
      <c r="B37" s="205" t="s">
        <v>496</v>
      </c>
      <c r="C37" s="205" t="s">
        <v>496</v>
      </c>
      <c r="D37" s="205" t="s">
        <v>560</v>
      </c>
      <c r="E37" s="206" t="s">
        <v>565</v>
      </c>
      <c r="F37" s="458" t="s">
        <v>499</v>
      </c>
      <c r="G37" s="178">
        <v>1</v>
      </c>
      <c r="H37" s="458"/>
      <c r="I37" s="459" t="s">
        <v>496</v>
      </c>
      <c r="J37" s="207" t="s">
        <v>496</v>
      </c>
      <c r="K37" s="208" t="s">
        <v>496</v>
      </c>
      <c r="L37" s="209" t="s">
        <v>496</v>
      </c>
      <c r="M37" s="207" t="s">
        <v>496</v>
      </c>
      <c r="N37" s="210"/>
      <c r="O37" s="210"/>
      <c r="P37" s="210"/>
      <c r="Q37" s="211" t="s">
        <v>500</v>
      </c>
      <c r="R37" s="212" t="s">
        <v>500</v>
      </c>
      <c r="S37" s="212" t="s">
        <v>500</v>
      </c>
      <c r="T37" s="212" t="s">
        <v>500</v>
      </c>
      <c r="U37" s="212" t="s">
        <v>500</v>
      </c>
      <c r="V37" s="460" t="s">
        <v>496</v>
      </c>
      <c r="W37" s="213" t="s">
        <v>496</v>
      </c>
      <c r="X37" s="214" t="s">
        <v>496</v>
      </c>
      <c r="Y37" s="215" t="s">
        <v>496</v>
      </c>
      <c r="Z37" s="216" t="s">
        <v>165</v>
      </c>
      <c r="AA37" s="217" t="s">
        <v>496</v>
      </c>
      <c r="AB37" s="217" t="s">
        <v>496</v>
      </c>
      <c r="AC37" s="217" t="s">
        <v>496</v>
      </c>
      <c r="AD37" s="218" t="s">
        <v>496</v>
      </c>
      <c r="AE37" s="219" t="s">
        <v>496</v>
      </c>
      <c r="AF37" s="219">
        <v>291599</v>
      </c>
      <c r="AG37" s="219">
        <v>5.5599999999999997E-2</v>
      </c>
      <c r="AH37" s="219">
        <v>307811</v>
      </c>
      <c r="AI37" s="461" t="s">
        <v>496</v>
      </c>
      <c r="AJ37" s="220" t="s">
        <v>496</v>
      </c>
      <c r="AK37" s="221" t="s">
        <v>496</v>
      </c>
      <c r="AL37" s="222" t="s">
        <v>496</v>
      </c>
      <c r="AM37" s="223" t="s">
        <v>166</v>
      </c>
      <c r="AN37" s="224" t="s">
        <v>496</v>
      </c>
      <c r="AO37" s="224" t="s">
        <v>496</v>
      </c>
      <c r="AP37" s="225" t="s">
        <v>496</v>
      </c>
      <c r="AQ37" s="226">
        <v>249942</v>
      </c>
      <c r="AR37" s="227">
        <v>47489</v>
      </c>
      <c r="AS37" s="227">
        <v>297430</v>
      </c>
      <c r="AT37" s="227">
        <v>249942</v>
      </c>
      <c r="AU37" s="227">
        <v>297430</v>
      </c>
      <c r="AV37" s="228">
        <v>302621</v>
      </c>
      <c r="AW37" s="228">
        <v>302621</v>
      </c>
      <c r="AX37" s="228">
        <v>7340.41</v>
      </c>
      <c r="AY37" s="229">
        <v>2.4299999999999999E-2</v>
      </c>
      <c r="AZ37" s="230"/>
      <c r="BI37" s="232"/>
      <c r="BJ37" s="232"/>
      <c r="BK37" s="232"/>
      <c r="BL37" s="232"/>
      <c r="BM37" s="232"/>
      <c r="BN37" s="232"/>
      <c r="BO37" s="232"/>
      <c r="BP37" s="232"/>
      <c r="BQ37" s="232"/>
      <c r="BR37" s="232"/>
      <c r="BS37" s="232"/>
      <c r="BT37" s="232"/>
      <c r="BU37" s="232"/>
      <c r="BV37" s="232"/>
    </row>
    <row r="38" spans="1:74" s="233" customFormat="1" ht="378" hidden="1" x14ac:dyDescent="0.25">
      <c r="A38" s="205" t="s">
        <v>496</v>
      </c>
      <c r="B38" s="205" t="s">
        <v>496</v>
      </c>
      <c r="C38" s="205" t="s">
        <v>496</v>
      </c>
      <c r="D38" s="205" t="s">
        <v>560</v>
      </c>
      <c r="E38" s="206" t="s">
        <v>566</v>
      </c>
      <c r="F38" s="458" t="s">
        <v>499</v>
      </c>
      <c r="G38" s="178">
        <v>1</v>
      </c>
      <c r="H38" s="458"/>
      <c r="I38" s="459" t="s">
        <v>496</v>
      </c>
      <c r="J38" s="207" t="s">
        <v>496</v>
      </c>
      <c r="K38" s="208" t="s">
        <v>496</v>
      </c>
      <c r="L38" s="209" t="s">
        <v>496</v>
      </c>
      <c r="M38" s="207" t="s">
        <v>496</v>
      </c>
      <c r="N38" s="210"/>
      <c r="O38" s="210"/>
      <c r="P38" s="210"/>
      <c r="Q38" s="211" t="s">
        <v>500</v>
      </c>
      <c r="R38" s="212" t="s">
        <v>500</v>
      </c>
      <c r="S38" s="212" t="s">
        <v>500</v>
      </c>
      <c r="T38" s="212" t="s">
        <v>500</v>
      </c>
      <c r="U38" s="212" t="s">
        <v>500</v>
      </c>
      <c r="V38" s="460" t="s">
        <v>496</v>
      </c>
      <c r="W38" s="213" t="s">
        <v>496</v>
      </c>
      <c r="X38" s="214" t="s">
        <v>496</v>
      </c>
      <c r="Y38" s="215" t="s">
        <v>496</v>
      </c>
      <c r="Z38" s="216" t="s">
        <v>165</v>
      </c>
      <c r="AA38" s="217" t="s">
        <v>496</v>
      </c>
      <c r="AB38" s="217" t="s">
        <v>496</v>
      </c>
      <c r="AC38" s="217" t="s">
        <v>496</v>
      </c>
      <c r="AD38" s="218" t="s">
        <v>496</v>
      </c>
      <c r="AE38" s="219" t="s">
        <v>496</v>
      </c>
      <c r="AF38" s="219">
        <v>344099</v>
      </c>
      <c r="AG38" s="219">
        <v>5.5599999999999997E-2</v>
      </c>
      <c r="AH38" s="219">
        <v>363230</v>
      </c>
      <c r="AI38" s="461" t="s">
        <v>496</v>
      </c>
      <c r="AJ38" s="220" t="s">
        <v>496</v>
      </c>
      <c r="AK38" s="221" t="s">
        <v>496</v>
      </c>
      <c r="AL38" s="222" t="s">
        <v>496</v>
      </c>
      <c r="AM38" s="223" t="s">
        <v>166</v>
      </c>
      <c r="AN38" s="224" t="s">
        <v>496</v>
      </c>
      <c r="AO38" s="224" t="s">
        <v>496</v>
      </c>
      <c r="AP38" s="225" t="s">
        <v>496</v>
      </c>
      <c r="AQ38" s="226">
        <v>294942</v>
      </c>
      <c r="AR38" s="227">
        <v>56039</v>
      </c>
      <c r="AS38" s="227">
        <v>350980</v>
      </c>
      <c r="AT38" s="227">
        <v>294942</v>
      </c>
      <c r="AU38" s="227">
        <v>350980</v>
      </c>
      <c r="AV38" s="228">
        <v>357105</v>
      </c>
      <c r="AW38" s="228">
        <v>357105</v>
      </c>
      <c r="AX38" s="228">
        <v>8661.99</v>
      </c>
      <c r="AY38" s="229">
        <v>2.4299999999999999E-2</v>
      </c>
      <c r="AZ38" s="230"/>
      <c r="BA38" s="231"/>
      <c r="BB38" s="231"/>
      <c r="BC38" s="231"/>
      <c r="BD38" s="231"/>
      <c r="BE38" s="231"/>
      <c r="BF38" s="231"/>
      <c r="BG38" s="231"/>
      <c r="BH38" s="231"/>
      <c r="BI38" s="232"/>
      <c r="BJ38" s="232"/>
      <c r="BK38" s="232"/>
      <c r="BL38" s="232"/>
      <c r="BM38" s="232"/>
      <c r="BN38" s="232"/>
      <c r="BO38" s="232"/>
      <c r="BP38" s="232"/>
      <c r="BQ38" s="232"/>
      <c r="BR38" s="232"/>
      <c r="BS38" s="232"/>
      <c r="BT38" s="232"/>
      <c r="BU38" s="232"/>
      <c r="BV38" s="232"/>
    </row>
    <row r="39" spans="1:74" s="231" customFormat="1" ht="378" hidden="1" x14ac:dyDescent="0.25">
      <c r="A39" s="205" t="s">
        <v>496</v>
      </c>
      <c r="B39" s="205" t="s">
        <v>496</v>
      </c>
      <c r="C39" s="205" t="s">
        <v>496</v>
      </c>
      <c r="D39" s="205" t="s">
        <v>567</v>
      </c>
      <c r="E39" s="206" t="s">
        <v>568</v>
      </c>
      <c r="F39" s="458" t="s">
        <v>499</v>
      </c>
      <c r="G39" s="178">
        <v>1</v>
      </c>
      <c r="H39" s="458"/>
      <c r="I39" s="459" t="s">
        <v>496</v>
      </c>
      <c r="J39" s="207" t="s">
        <v>496</v>
      </c>
      <c r="K39" s="208" t="s">
        <v>496</v>
      </c>
      <c r="L39" s="209" t="s">
        <v>496</v>
      </c>
      <c r="M39" s="207" t="s">
        <v>496</v>
      </c>
      <c r="N39" s="210"/>
      <c r="O39" s="210"/>
      <c r="P39" s="210"/>
      <c r="Q39" s="211" t="s">
        <v>500</v>
      </c>
      <c r="R39" s="212" t="s">
        <v>500</v>
      </c>
      <c r="S39" s="212" t="s">
        <v>500</v>
      </c>
      <c r="T39" s="212" t="s">
        <v>500</v>
      </c>
      <c r="U39" s="212" t="s">
        <v>500</v>
      </c>
      <c r="V39" s="460" t="s">
        <v>496</v>
      </c>
      <c r="W39" s="213" t="s">
        <v>496</v>
      </c>
      <c r="X39" s="214" t="s">
        <v>496</v>
      </c>
      <c r="Y39" s="215" t="s">
        <v>496</v>
      </c>
      <c r="Z39" s="216" t="s">
        <v>165</v>
      </c>
      <c r="AA39" s="217" t="s">
        <v>496</v>
      </c>
      <c r="AB39" s="217" t="s">
        <v>496</v>
      </c>
      <c r="AC39" s="217" t="s">
        <v>496</v>
      </c>
      <c r="AD39" s="218" t="s">
        <v>496</v>
      </c>
      <c r="AE39" s="219" t="s">
        <v>496</v>
      </c>
      <c r="AF39" s="219">
        <v>912849</v>
      </c>
      <c r="AG39" s="219">
        <v>5.5599999999999997E-2</v>
      </c>
      <c r="AH39" s="219">
        <v>963603</v>
      </c>
      <c r="AI39" s="461" t="s">
        <v>496</v>
      </c>
      <c r="AJ39" s="220" t="s">
        <v>496</v>
      </c>
      <c r="AK39" s="221" t="s">
        <v>496</v>
      </c>
      <c r="AL39" s="222" t="s">
        <v>496</v>
      </c>
      <c r="AM39" s="223" t="s">
        <v>166</v>
      </c>
      <c r="AN39" s="224" t="s">
        <v>496</v>
      </c>
      <c r="AO39" s="224" t="s">
        <v>496</v>
      </c>
      <c r="AP39" s="225" t="s">
        <v>496</v>
      </c>
      <c r="AQ39" s="226">
        <v>805455</v>
      </c>
      <c r="AR39" s="227">
        <v>153036</v>
      </c>
      <c r="AS39" s="227">
        <v>958491</v>
      </c>
      <c r="AT39" s="227">
        <v>805455</v>
      </c>
      <c r="AU39" s="227">
        <v>958491</v>
      </c>
      <c r="AV39" s="228">
        <v>961047</v>
      </c>
      <c r="AW39" s="228">
        <v>961047</v>
      </c>
      <c r="AX39" s="228">
        <v>3614.7</v>
      </c>
      <c r="AY39" s="229">
        <v>3.8E-3</v>
      </c>
      <c r="AZ39" s="230"/>
      <c r="BI39" s="232"/>
      <c r="BJ39" s="232"/>
      <c r="BK39" s="232"/>
      <c r="BL39" s="232"/>
      <c r="BM39" s="232"/>
      <c r="BN39" s="232"/>
      <c r="BO39" s="232"/>
      <c r="BP39" s="232"/>
      <c r="BQ39" s="232"/>
      <c r="BR39" s="232"/>
      <c r="BS39" s="232"/>
      <c r="BT39" s="232"/>
      <c r="BU39" s="232"/>
      <c r="BV39" s="232"/>
    </row>
    <row r="40" spans="1:74" s="231" customFormat="1" ht="378" hidden="1" x14ac:dyDescent="0.25">
      <c r="A40" s="205" t="s">
        <v>496</v>
      </c>
      <c r="B40" s="205" t="s">
        <v>496</v>
      </c>
      <c r="C40" s="205" t="s">
        <v>496</v>
      </c>
      <c r="D40" s="205" t="s">
        <v>569</v>
      </c>
      <c r="E40" s="206" t="s">
        <v>570</v>
      </c>
      <c r="F40" s="458" t="s">
        <v>499</v>
      </c>
      <c r="G40" s="178">
        <v>1</v>
      </c>
      <c r="H40" s="458"/>
      <c r="I40" s="459" t="s">
        <v>496</v>
      </c>
      <c r="J40" s="207" t="s">
        <v>496</v>
      </c>
      <c r="K40" s="208" t="s">
        <v>496</v>
      </c>
      <c r="L40" s="209" t="s">
        <v>496</v>
      </c>
      <c r="M40" s="207" t="s">
        <v>496</v>
      </c>
      <c r="N40" s="210"/>
      <c r="O40" s="210"/>
      <c r="P40" s="210"/>
      <c r="Q40" s="211" t="s">
        <v>500</v>
      </c>
      <c r="R40" s="212" t="s">
        <v>500</v>
      </c>
      <c r="S40" s="212" t="s">
        <v>500</v>
      </c>
      <c r="T40" s="212" t="s">
        <v>500</v>
      </c>
      <c r="U40" s="212" t="s">
        <v>500</v>
      </c>
      <c r="V40" s="460" t="s">
        <v>496</v>
      </c>
      <c r="W40" s="213" t="s">
        <v>496</v>
      </c>
      <c r="X40" s="214" t="s">
        <v>496</v>
      </c>
      <c r="Y40" s="215" t="s">
        <v>496</v>
      </c>
      <c r="Z40" s="216" t="s">
        <v>165</v>
      </c>
      <c r="AA40" s="217" t="s">
        <v>496</v>
      </c>
      <c r="AB40" s="217" t="s">
        <v>496</v>
      </c>
      <c r="AC40" s="217" t="s">
        <v>496</v>
      </c>
      <c r="AD40" s="218" t="s">
        <v>496</v>
      </c>
      <c r="AE40" s="219" t="s">
        <v>496</v>
      </c>
      <c r="AF40" s="219">
        <v>4178599</v>
      </c>
      <c r="AG40" s="219">
        <v>5.5599999999999997E-2</v>
      </c>
      <c r="AH40" s="219">
        <v>4410929</v>
      </c>
      <c r="AI40" s="461" t="s">
        <v>496</v>
      </c>
      <c r="AJ40" s="220" t="s">
        <v>496</v>
      </c>
      <c r="AK40" s="221" t="s">
        <v>496</v>
      </c>
      <c r="AL40" s="222" t="s">
        <v>496</v>
      </c>
      <c r="AM40" s="223" t="s">
        <v>166</v>
      </c>
      <c r="AN40" s="224" t="s">
        <v>496</v>
      </c>
      <c r="AO40" s="224" t="s">
        <v>496</v>
      </c>
      <c r="AP40" s="225" t="s">
        <v>496</v>
      </c>
      <c r="AQ40" s="226">
        <v>3686999</v>
      </c>
      <c r="AR40" s="227">
        <v>700530</v>
      </c>
      <c r="AS40" s="227">
        <v>4387529</v>
      </c>
      <c r="AT40" s="227">
        <v>3686999</v>
      </c>
      <c r="AU40" s="227">
        <v>4387529</v>
      </c>
      <c r="AV40" s="228">
        <v>4399229</v>
      </c>
      <c r="AW40" s="228">
        <v>4399229</v>
      </c>
      <c r="AX40" s="228">
        <v>16546.41</v>
      </c>
      <c r="AY40" s="229">
        <v>3.8E-3</v>
      </c>
      <c r="AZ40" s="230"/>
      <c r="BI40" s="232"/>
      <c r="BJ40" s="232"/>
      <c r="BK40" s="232"/>
      <c r="BL40" s="232"/>
      <c r="BM40" s="232"/>
      <c r="BN40" s="232"/>
      <c r="BO40" s="232"/>
      <c r="BP40" s="232"/>
      <c r="BQ40" s="232"/>
      <c r="BR40" s="232"/>
      <c r="BS40" s="232"/>
      <c r="BT40" s="232"/>
      <c r="BU40" s="232"/>
      <c r="BV40" s="232"/>
    </row>
    <row r="41" spans="1:74" s="231" customFormat="1" ht="378" hidden="1" x14ac:dyDescent="0.25">
      <c r="A41" s="205" t="s">
        <v>496</v>
      </c>
      <c r="B41" s="205" t="s">
        <v>496</v>
      </c>
      <c r="C41" s="205" t="s">
        <v>496</v>
      </c>
      <c r="D41" s="205" t="s">
        <v>571</v>
      </c>
      <c r="E41" s="206" t="s">
        <v>572</v>
      </c>
      <c r="F41" s="458" t="s">
        <v>499</v>
      </c>
      <c r="G41" s="178">
        <v>1</v>
      </c>
      <c r="H41" s="458"/>
      <c r="I41" s="459" t="s">
        <v>496</v>
      </c>
      <c r="J41" s="207" t="s">
        <v>496</v>
      </c>
      <c r="K41" s="208" t="s">
        <v>496</v>
      </c>
      <c r="L41" s="209" t="s">
        <v>496</v>
      </c>
      <c r="M41" s="207" t="s">
        <v>496</v>
      </c>
      <c r="N41" s="210"/>
      <c r="O41" s="210"/>
      <c r="P41" s="210"/>
      <c r="Q41" s="211" t="s">
        <v>500</v>
      </c>
      <c r="R41" s="212" t="s">
        <v>500</v>
      </c>
      <c r="S41" s="212" t="s">
        <v>500</v>
      </c>
      <c r="T41" s="212" t="s">
        <v>500</v>
      </c>
      <c r="U41" s="212" t="s">
        <v>500</v>
      </c>
      <c r="V41" s="460" t="s">
        <v>496</v>
      </c>
      <c r="W41" s="213" t="s">
        <v>496</v>
      </c>
      <c r="X41" s="214" t="s">
        <v>496</v>
      </c>
      <c r="Y41" s="215" t="s">
        <v>496</v>
      </c>
      <c r="Z41" s="216" t="s">
        <v>165</v>
      </c>
      <c r="AA41" s="217" t="s">
        <v>496</v>
      </c>
      <c r="AB41" s="217" t="s">
        <v>496</v>
      </c>
      <c r="AC41" s="217" t="s">
        <v>496</v>
      </c>
      <c r="AD41" s="218" t="s">
        <v>496</v>
      </c>
      <c r="AE41" s="219" t="s">
        <v>496</v>
      </c>
      <c r="AF41" s="219">
        <v>60462</v>
      </c>
      <c r="AG41" s="219">
        <v>5.5599999999999997E-2</v>
      </c>
      <c r="AH41" s="219">
        <v>63823</v>
      </c>
      <c r="AI41" s="461" t="s">
        <v>496</v>
      </c>
      <c r="AJ41" s="220" t="s">
        <v>496</v>
      </c>
      <c r="AK41" s="221" t="s">
        <v>496</v>
      </c>
      <c r="AL41" s="222" t="s">
        <v>496</v>
      </c>
      <c r="AM41" s="223" t="s">
        <v>166</v>
      </c>
      <c r="AN41" s="224" t="s">
        <v>496</v>
      </c>
      <c r="AO41" s="224" t="s">
        <v>496</v>
      </c>
      <c r="AP41" s="225" t="s">
        <v>496</v>
      </c>
      <c r="AQ41" s="226">
        <v>53348</v>
      </c>
      <c r="AR41" s="227">
        <v>10136</v>
      </c>
      <c r="AS41" s="227">
        <v>63485</v>
      </c>
      <c r="AT41" s="227">
        <v>53348</v>
      </c>
      <c r="AU41" s="227">
        <v>63485</v>
      </c>
      <c r="AV41" s="228">
        <v>63654</v>
      </c>
      <c r="AW41" s="228">
        <v>63654</v>
      </c>
      <c r="AX41" s="228">
        <v>239.42</v>
      </c>
      <c r="AY41" s="229">
        <v>3.8E-3</v>
      </c>
      <c r="AZ41" s="230"/>
      <c r="BI41" s="232"/>
      <c r="BJ41" s="232"/>
      <c r="BK41" s="232"/>
      <c r="BL41" s="232"/>
      <c r="BM41" s="232"/>
      <c r="BN41" s="232"/>
      <c r="BO41" s="232"/>
      <c r="BP41" s="232"/>
      <c r="BQ41" s="232"/>
      <c r="BR41" s="232"/>
      <c r="BS41" s="232"/>
      <c r="BT41" s="232"/>
      <c r="BU41" s="232"/>
      <c r="BV41" s="232"/>
    </row>
    <row r="42" spans="1:74" s="231" customFormat="1" ht="378" hidden="1" x14ac:dyDescent="0.25">
      <c r="A42" s="205" t="s">
        <v>496</v>
      </c>
      <c r="B42" s="205" t="s">
        <v>496</v>
      </c>
      <c r="C42" s="205" t="s">
        <v>496</v>
      </c>
      <c r="D42" s="205" t="s">
        <v>573</v>
      </c>
      <c r="E42" s="206" t="s">
        <v>574</v>
      </c>
      <c r="F42" s="458" t="s">
        <v>499</v>
      </c>
      <c r="G42" s="178">
        <v>1</v>
      </c>
      <c r="H42" s="458"/>
      <c r="I42" s="459" t="s">
        <v>496</v>
      </c>
      <c r="J42" s="207" t="s">
        <v>496</v>
      </c>
      <c r="K42" s="208" t="s">
        <v>496</v>
      </c>
      <c r="L42" s="209" t="s">
        <v>496</v>
      </c>
      <c r="M42" s="207" t="s">
        <v>496</v>
      </c>
      <c r="N42" s="210"/>
      <c r="O42" s="210"/>
      <c r="P42" s="210"/>
      <c r="Q42" s="211" t="s">
        <v>500</v>
      </c>
      <c r="R42" s="212" t="s">
        <v>500</v>
      </c>
      <c r="S42" s="212" t="s">
        <v>500</v>
      </c>
      <c r="T42" s="212" t="s">
        <v>500</v>
      </c>
      <c r="U42" s="212" t="s">
        <v>500</v>
      </c>
      <c r="V42" s="460" t="s">
        <v>496</v>
      </c>
      <c r="W42" s="213" t="s">
        <v>496</v>
      </c>
      <c r="X42" s="214" t="s">
        <v>496</v>
      </c>
      <c r="Y42" s="215" t="s">
        <v>496</v>
      </c>
      <c r="Z42" s="216" t="s">
        <v>165</v>
      </c>
      <c r="AA42" s="217" t="s">
        <v>496</v>
      </c>
      <c r="AB42" s="217" t="s">
        <v>496</v>
      </c>
      <c r="AC42" s="217" t="s">
        <v>496</v>
      </c>
      <c r="AD42" s="218" t="s">
        <v>496</v>
      </c>
      <c r="AE42" s="219" t="s">
        <v>496</v>
      </c>
      <c r="AF42" s="219">
        <v>1272504</v>
      </c>
      <c r="AG42" s="219">
        <v>5.5599999999999997E-2</v>
      </c>
      <c r="AH42" s="219">
        <v>1343255</v>
      </c>
      <c r="AI42" s="461" t="s">
        <v>496</v>
      </c>
      <c r="AJ42" s="220" t="s">
        <v>496</v>
      </c>
      <c r="AK42" s="221" t="s">
        <v>496</v>
      </c>
      <c r="AL42" s="222" t="s">
        <v>496</v>
      </c>
      <c r="AM42" s="223" t="s">
        <v>166</v>
      </c>
      <c r="AN42" s="224" t="s">
        <v>496</v>
      </c>
      <c r="AO42" s="224" t="s">
        <v>496</v>
      </c>
      <c r="AP42" s="225" t="s">
        <v>496</v>
      </c>
      <c r="AQ42" s="226">
        <v>1090717</v>
      </c>
      <c r="AR42" s="227">
        <v>207236</v>
      </c>
      <c r="AS42" s="227">
        <v>1297954</v>
      </c>
      <c r="AT42" s="227">
        <v>1090717</v>
      </c>
      <c r="AU42" s="227">
        <v>1297954</v>
      </c>
      <c r="AV42" s="228">
        <v>1320604</v>
      </c>
      <c r="AW42" s="228">
        <v>1320604</v>
      </c>
      <c r="AX42" s="228">
        <v>32032.73</v>
      </c>
      <c r="AY42" s="229">
        <v>2.4299999999999999E-2</v>
      </c>
      <c r="AZ42" s="230"/>
      <c r="BI42" s="232"/>
      <c r="BJ42" s="232"/>
      <c r="BK42" s="232"/>
      <c r="BL42" s="232"/>
      <c r="BM42" s="232"/>
      <c r="BN42" s="232"/>
      <c r="BO42" s="232"/>
      <c r="BP42" s="232"/>
      <c r="BQ42" s="232"/>
      <c r="BR42" s="232"/>
      <c r="BS42" s="232"/>
      <c r="BT42" s="232"/>
      <c r="BU42" s="232"/>
      <c r="BV42" s="232"/>
    </row>
    <row r="43" spans="1:74" s="231" customFormat="1" ht="378" hidden="1" x14ac:dyDescent="0.25">
      <c r="A43" s="205" t="s">
        <v>496</v>
      </c>
      <c r="B43" s="205" t="s">
        <v>496</v>
      </c>
      <c r="C43" s="205" t="s">
        <v>496</v>
      </c>
      <c r="D43" s="205" t="s">
        <v>575</v>
      </c>
      <c r="E43" s="206" t="s">
        <v>576</v>
      </c>
      <c r="F43" s="458" t="s">
        <v>499</v>
      </c>
      <c r="G43" s="178">
        <v>1</v>
      </c>
      <c r="H43" s="458"/>
      <c r="I43" s="459" t="s">
        <v>496</v>
      </c>
      <c r="J43" s="207" t="s">
        <v>496</v>
      </c>
      <c r="K43" s="208" t="s">
        <v>496</v>
      </c>
      <c r="L43" s="209" t="s">
        <v>496</v>
      </c>
      <c r="M43" s="207" t="s">
        <v>496</v>
      </c>
      <c r="N43" s="210"/>
      <c r="O43" s="210"/>
      <c r="P43" s="210"/>
      <c r="Q43" s="211" t="s">
        <v>500</v>
      </c>
      <c r="R43" s="212" t="s">
        <v>500</v>
      </c>
      <c r="S43" s="212" t="s">
        <v>500</v>
      </c>
      <c r="T43" s="212" t="s">
        <v>500</v>
      </c>
      <c r="U43" s="212" t="s">
        <v>500</v>
      </c>
      <c r="V43" s="460" t="s">
        <v>496</v>
      </c>
      <c r="W43" s="213" t="s">
        <v>496</v>
      </c>
      <c r="X43" s="214" t="s">
        <v>496</v>
      </c>
      <c r="Y43" s="215" t="s">
        <v>496</v>
      </c>
      <c r="Z43" s="216" t="s">
        <v>165</v>
      </c>
      <c r="AA43" s="217" t="s">
        <v>496</v>
      </c>
      <c r="AB43" s="217" t="s">
        <v>496</v>
      </c>
      <c r="AC43" s="217" t="s">
        <v>496</v>
      </c>
      <c r="AD43" s="218" t="s">
        <v>496</v>
      </c>
      <c r="AE43" s="219" t="s">
        <v>496</v>
      </c>
      <c r="AF43" s="219">
        <v>2539756</v>
      </c>
      <c r="AG43" s="219">
        <v>5.5599999999999997E-2</v>
      </c>
      <c r="AH43" s="219">
        <v>2680966</v>
      </c>
      <c r="AI43" s="461" t="s">
        <v>496</v>
      </c>
      <c r="AJ43" s="220" t="s">
        <v>496</v>
      </c>
      <c r="AK43" s="221" t="s">
        <v>496</v>
      </c>
      <c r="AL43" s="222" t="s">
        <v>496</v>
      </c>
      <c r="AM43" s="223" t="s">
        <v>166</v>
      </c>
      <c r="AN43" s="224" t="s">
        <v>496</v>
      </c>
      <c r="AO43" s="224" t="s">
        <v>496</v>
      </c>
      <c r="AP43" s="225" t="s">
        <v>496</v>
      </c>
      <c r="AQ43" s="226">
        <v>2176933</v>
      </c>
      <c r="AR43" s="227">
        <v>413617</v>
      </c>
      <c r="AS43" s="227">
        <v>2590551</v>
      </c>
      <c r="AT43" s="227">
        <v>2176933</v>
      </c>
      <c r="AU43" s="227">
        <v>2590551</v>
      </c>
      <c r="AV43" s="228">
        <v>2635758</v>
      </c>
      <c r="AW43" s="228">
        <v>2635758</v>
      </c>
      <c r="AX43" s="228">
        <v>63933.27</v>
      </c>
      <c r="AY43" s="229">
        <v>2.4299999999999999E-2</v>
      </c>
      <c r="AZ43" s="230"/>
      <c r="BI43" s="232"/>
      <c r="BJ43" s="232"/>
      <c r="BK43" s="232"/>
      <c r="BL43" s="232"/>
      <c r="BM43" s="232"/>
      <c r="BN43" s="232"/>
      <c r="BO43" s="232"/>
      <c r="BP43" s="232"/>
      <c r="BQ43" s="232"/>
      <c r="BR43" s="232"/>
      <c r="BS43" s="232"/>
      <c r="BT43" s="232"/>
      <c r="BU43" s="232"/>
      <c r="BV43" s="232"/>
    </row>
    <row r="44" spans="1:74" s="231" customFormat="1" ht="378" hidden="1" x14ac:dyDescent="0.25">
      <c r="A44" s="205" t="s">
        <v>496</v>
      </c>
      <c r="B44" s="205" t="s">
        <v>496</v>
      </c>
      <c r="C44" s="205" t="s">
        <v>496</v>
      </c>
      <c r="D44" s="205" t="s">
        <v>577</v>
      </c>
      <c r="E44" s="206" t="s">
        <v>578</v>
      </c>
      <c r="F44" s="458" t="s">
        <v>499</v>
      </c>
      <c r="G44" s="178">
        <v>1</v>
      </c>
      <c r="H44" s="458"/>
      <c r="I44" s="459" t="s">
        <v>496</v>
      </c>
      <c r="J44" s="207" t="s">
        <v>496</v>
      </c>
      <c r="K44" s="208" t="s">
        <v>496</v>
      </c>
      <c r="L44" s="209" t="s">
        <v>496</v>
      </c>
      <c r="M44" s="207" t="s">
        <v>496</v>
      </c>
      <c r="N44" s="210"/>
      <c r="O44" s="210"/>
      <c r="P44" s="210"/>
      <c r="Q44" s="211" t="s">
        <v>500</v>
      </c>
      <c r="R44" s="212" t="s">
        <v>500</v>
      </c>
      <c r="S44" s="212" t="s">
        <v>500</v>
      </c>
      <c r="T44" s="212" t="s">
        <v>500</v>
      </c>
      <c r="U44" s="212" t="s">
        <v>500</v>
      </c>
      <c r="V44" s="460" t="s">
        <v>496</v>
      </c>
      <c r="W44" s="213" t="s">
        <v>496</v>
      </c>
      <c r="X44" s="214" t="s">
        <v>496</v>
      </c>
      <c r="Y44" s="215" t="s">
        <v>496</v>
      </c>
      <c r="Z44" s="216" t="s">
        <v>165</v>
      </c>
      <c r="AA44" s="217" t="s">
        <v>496</v>
      </c>
      <c r="AB44" s="217" t="s">
        <v>496</v>
      </c>
      <c r="AC44" s="217" t="s">
        <v>496</v>
      </c>
      <c r="AD44" s="218" t="s">
        <v>496</v>
      </c>
      <c r="AE44" s="219" t="s">
        <v>496</v>
      </c>
      <c r="AF44" s="219">
        <v>3224896</v>
      </c>
      <c r="AG44" s="219">
        <v>5.5599999999999997E-2</v>
      </c>
      <c r="AH44" s="219">
        <v>3404200</v>
      </c>
      <c r="AI44" s="461" t="s">
        <v>496</v>
      </c>
      <c r="AJ44" s="220" t="s">
        <v>496</v>
      </c>
      <c r="AK44" s="221" t="s">
        <v>496</v>
      </c>
      <c r="AL44" s="222" t="s">
        <v>496</v>
      </c>
      <c r="AM44" s="223" t="s">
        <v>166</v>
      </c>
      <c r="AN44" s="224" t="s">
        <v>496</v>
      </c>
      <c r="AO44" s="224" t="s">
        <v>496</v>
      </c>
      <c r="AP44" s="225" t="s">
        <v>496</v>
      </c>
      <c r="AQ44" s="226">
        <v>2764196</v>
      </c>
      <c r="AR44" s="227">
        <v>525197</v>
      </c>
      <c r="AS44" s="227">
        <v>3289393</v>
      </c>
      <c r="AT44" s="227">
        <v>2764196</v>
      </c>
      <c r="AU44" s="227">
        <v>3289393</v>
      </c>
      <c r="AV44" s="228">
        <v>3346797</v>
      </c>
      <c r="AW44" s="228">
        <v>3346797</v>
      </c>
      <c r="AX44" s="228">
        <v>81180.3</v>
      </c>
      <c r="AY44" s="229">
        <v>2.4299999999999999E-2</v>
      </c>
      <c r="AZ44" s="230"/>
      <c r="BI44" s="232"/>
      <c r="BJ44" s="232"/>
      <c r="BK44" s="232"/>
      <c r="BL44" s="232"/>
      <c r="BM44" s="232"/>
      <c r="BN44" s="232"/>
      <c r="BO44" s="232"/>
      <c r="BP44" s="232"/>
      <c r="BQ44" s="232"/>
      <c r="BR44" s="232"/>
      <c r="BS44" s="232"/>
      <c r="BT44" s="232"/>
      <c r="BU44" s="232"/>
      <c r="BV44" s="232"/>
    </row>
    <row r="45" spans="1:74" s="231" customFormat="1" ht="378" hidden="1" x14ac:dyDescent="0.25">
      <c r="A45" s="205" t="s">
        <v>496</v>
      </c>
      <c r="B45" s="205" t="s">
        <v>496</v>
      </c>
      <c r="C45" s="205" t="s">
        <v>496</v>
      </c>
      <c r="D45" s="205" t="s">
        <v>579</v>
      </c>
      <c r="E45" s="206" t="s">
        <v>580</v>
      </c>
      <c r="F45" s="458" t="s">
        <v>499</v>
      </c>
      <c r="G45" s="178">
        <v>1</v>
      </c>
      <c r="H45" s="458"/>
      <c r="I45" s="459" t="s">
        <v>496</v>
      </c>
      <c r="J45" s="207" t="s">
        <v>496</v>
      </c>
      <c r="K45" s="208" t="s">
        <v>496</v>
      </c>
      <c r="L45" s="209" t="s">
        <v>496</v>
      </c>
      <c r="M45" s="207" t="s">
        <v>496</v>
      </c>
      <c r="N45" s="210"/>
      <c r="O45" s="210"/>
      <c r="P45" s="210"/>
      <c r="Q45" s="211" t="s">
        <v>500</v>
      </c>
      <c r="R45" s="212" t="s">
        <v>500</v>
      </c>
      <c r="S45" s="212" t="s">
        <v>500</v>
      </c>
      <c r="T45" s="212" t="s">
        <v>500</v>
      </c>
      <c r="U45" s="212" t="s">
        <v>500</v>
      </c>
      <c r="V45" s="460" t="s">
        <v>496</v>
      </c>
      <c r="W45" s="213" t="s">
        <v>496</v>
      </c>
      <c r="X45" s="214" t="s">
        <v>496</v>
      </c>
      <c r="Y45" s="215" t="s">
        <v>496</v>
      </c>
      <c r="Z45" s="216" t="s">
        <v>165</v>
      </c>
      <c r="AA45" s="217" t="s">
        <v>496</v>
      </c>
      <c r="AB45" s="217" t="s">
        <v>496</v>
      </c>
      <c r="AC45" s="217" t="s">
        <v>496</v>
      </c>
      <c r="AD45" s="218" t="s">
        <v>496</v>
      </c>
      <c r="AE45" s="219" t="s">
        <v>496</v>
      </c>
      <c r="AF45" s="219">
        <v>3624891</v>
      </c>
      <c r="AG45" s="219">
        <v>5.5599999999999997E-2</v>
      </c>
      <c r="AH45" s="219">
        <v>3826434</v>
      </c>
      <c r="AI45" s="461" t="s">
        <v>496</v>
      </c>
      <c r="AJ45" s="220" t="s">
        <v>496</v>
      </c>
      <c r="AK45" s="221" t="s">
        <v>496</v>
      </c>
      <c r="AL45" s="222" t="s">
        <v>496</v>
      </c>
      <c r="AM45" s="223" t="s">
        <v>166</v>
      </c>
      <c r="AN45" s="224" t="s">
        <v>496</v>
      </c>
      <c r="AO45" s="224" t="s">
        <v>496</v>
      </c>
      <c r="AP45" s="225" t="s">
        <v>496</v>
      </c>
      <c r="AQ45" s="226">
        <v>3107049</v>
      </c>
      <c r="AR45" s="227">
        <v>590339</v>
      </c>
      <c r="AS45" s="227">
        <v>3697388</v>
      </c>
      <c r="AT45" s="227">
        <v>3107049</v>
      </c>
      <c r="AU45" s="227">
        <v>3697388</v>
      </c>
      <c r="AV45" s="228">
        <v>3761911</v>
      </c>
      <c r="AW45" s="228">
        <v>3761911</v>
      </c>
      <c r="AX45" s="228">
        <v>91249.37</v>
      </c>
      <c r="AY45" s="229">
        <v>2.4299999999999999E-2</v>
      </c>
      <c r="AZ45" s="230"/>
      <c r="BI45" s="232"/>
      <c r="BJ45" s="232"/>
      <c r="BK45" s="232"/>
      <c r="BL45" s="232"/>
      <c r="BM45" s="232"/>
      <c r="BN45" s="232"/>
      <c r="BO45" s="232"/>
      <c r="BP45" s="232"/>
      <c r="BQ45" s="232"/>
      <c r="BR45" s="232"/>
      <c r="BS45" s="232"/>
      <c r="BT45" s="232"/>
      <c r="BU45" s="232"/>
      <c r="BV45" s="232"/>
    </row>
    <row r="46" spans="1:74" s="231" customFormat="1" ht="63" hidden="1" x14ac:dyDescent="0.25">
      <c r="A46" s="205" t="s">
        <v>438</v>
      </c>
      <c r="B46" s="205" t="s">
        <v>487</v>
      </c>
      <c r="C46" s="205" t="s">
        <v>581</v>
      </c>
      <c r="D46" s="205" t="s">
        <v>582</v>
      </c>
      <c r="E46" s="206" t="s">
        <v>583</v>
      </c>
      <c r="F46" s="458" t="s">
        <v>176</v>
      </c>
      <c r="G46" s="178">
        <v>1</v>
      </c>
      <c r="H46" s="458" t="s">
        <v>88</v>
      </c>
      <c r="I46" s="459" t="s">
        <v>440</v>
      </c>
      <c r="J46" s="207">
        <v>46134</v>
      </c>
      <c r="K46" s="208" t="s">
        <v>584</v>
      </c>
      <c r="L46" s="209" t="s">
        <v>446</v>
      </c>
      <c r="M46" s="207" t="s">
        <v>585</v>
      </c>
      <c r="N46" s="210">
        <v>1320000</v>
      </c>
      <c r="O46" s="210" t="s">
        <v>450</v>
      </c>
      <c r="P46" s="210" t="s">
        <v>444</v>
      </c>
      <c r="Q46" s="211">
        <f>IF(O46="IVA Incluido",(N46/1.19),N46)</f>
        <v>1320000</v>
      </c>
      <c r="R46" s="212">
        <f>IF(P46="Si tiene IVA",Q46*19%,0)</f>
        <v>250800</v>
      </c>
      <c r="S46" s="212">
        <f>Q46+R46</f>
        <v>1570800</v>
      </c>
      <c r="T46" s="212">
        <f>IF(B46="","",(N46*G46))</f>
        <v>1320000</v>
      </c>
      <c r="U46" s="212">
        <f>IF(B46="","",(S46*G46))</f>
        <v>1570800</v>
      </c>
      <c r="V46" s="460" t="s">
        <v>440</v>
      </c>
      <c r="W46" s="213">
        <v>46134</v>
      </c>
      <c r="X46" s="214" t="s">
        <v>517</v>
      </c>
      <c r="Y46" s="215" t="s">
        <v>446</v>
      </c>
      <c r="Z46" s="216" t="s">
        <v>101</v>
      </c>
      <c r="AA46" s="217">
        <v>1261500</v>
      </c>
      <c r="AB46" s="217" t="s">
        <v>450</v>
      </c>
      <c r="AC46" s="217" t="s">
        <v>444</v>
      </c>
      <c r="AD46" s="218">
        <f>IF(AB46="IVA Incluido",(AA46/1.19),AA46)</f>
        <v>1261500</v>
      </c>
      <c r="AE46" s="219">
        <f>IF(AC46="Si tiene IVA",AD46*19%,0)</f>
        <v>239685</v>
      </c>
      <c r="AF46" s="219">
        <f>AD46+AE46</f>
        <v>1501185</v>
      </c>
      <c r="AG46" s="219">
        <f>IF(O46="","",(AA46*G46))</f>
        <v>1261500</v>
      </c>
      <c r="AH46" s="219">
        <f>IF(O46="","",(AF46*G46))</f>
        <v>1501185</v>
      </c>
      <c r="AI46" s="461" t="s">
        <v>440</v>
      </c>
      <c r="AJ46" s="220">
        <v>46080</v>
      </c>
      <c r="AK46" s="221" t="s">
        <v>547</v>
      </c>
      <c r="AL46" s="222" t="s">
        <v>446</v>
      </c>
      <c r="AM46" s="223" t="s">
        <v>548</v>
      </c>
      <c r="AN46" s="224">
        <v>1600000</v>
      </c>
      <c r="AO46" s="224" t="s">
        <v>450</v>
      </c>
      <c r="AP46" s="225" t="s">
        <v>444</v>
      </c>
      <c r="AQ46" s="226">
        <f>IF(AO46="IVA Incluido",(AN46/1.19),AN46)</f>
        <v>1600000</v>
      </c>
      <c r="AR46" s="227">
        <f>IF(AP46="Si tiene IVA",AQ46*19%,0)</f>
        <v>304000</v>
      </c>
      <c r="AS46" s="227">
        <f>AQ46+AR46</f>
        <v>1904000</v>
      </c>
      <c r="AT46" s="227">
        <f>IF(AB46="","",(AN46*G46))</f>
        <v>1600000</v>
      </c>
      <c r="AU46" s="227">
        <f>IF(AB46="","",(AS46*G46))</f>
        <v>1904000</v>
      </c>
      <c r="AV46" s="228">
        <f>IF(A46="","",AVERAGE(S46,AF46,AS46))</f>
        <v>1658661.6666666667</v>
      </c>
      <c r="AW46" s="228">
        <f>IF(A46="","",AVERAGE(U46,AH46,AU46))</f>
        <v>1658661.6666666667</v>
      </c>
      <c r="AX46" s="228">
        <f>IF(N46="","",STDEV(U46,AH46,AU46))</f>
        <v>215301.49885296548</v>
      </c>
      <c r="AY46" s="229">
        <f>IF(N46="","",(AX46/AW46))</f>
        <v>0.12980434960292211</v>
      </c>
      <c r="AZ46" s="230"/>
      <c r="BA46" s="231">
        <f>COUNTA(M46,Z46,AM46)</f>
        <v>3</v>
      </c>
      <c r="BH46" s="231">
        <v>21</v>
      </c>
      <c r="BI46" s="232"/>
      <c r="BJ46" s="232"/>
      <c r="BK46" s="232"/>
      <c r="BL46" s="232"/>
      <c r="BM46" s="232"/>
      <c r="BN46" s="232"/>
      <c r="BO46" s="232"/>
      <c r="BP46" s="232"/>
      <c r="BQ46" s="232"/>
      <c r="BR46" s="232"/>
      <c r="BS46" s="232"/>
      <c r="BT46" s="232"/>
      <c r="BU46" s="232"/>
      <c r="BV46" s="232"/>
    </row>
    <row r="47" spans="1:74" s="231" customFormat="1" ht="378" hidden="1" x14ac:dyDescent="0.25">
      <c r="A47" s="205" t="s">
        <v>496</v>
      </c>
      <c r="B47" s="205" t="s">
        <v>496</v>
      </c>
      <c r="C47" s="205" t="s">
        <v>496</v>
      </c>
      <c r="D47" s="205" t="s">
        <v>586</v>
      </c>
      <c r="E47" s="206" t="s">
        <v>587</v>
      </c>
      <c r="F47" s="458" t="s">
        <v>499</v>
      </c>
      <c r="G47" s="178">
        <v>1</v>
      </c>
      <c r="H47" s="458"/>
      <c r="I47" s="459" t="s">
        <v>496</v>
      </c>
      <c r="J47" s="207" t="s">
        <v>496</v>
      </c>
      <c r="K47" s="208" t="s">
        <v>496</v>
      </c>
      <c r="L47" s="209" t="s">
        <v>496</v>
      </c>
      <c r="M47" s="207" t="s">
        <v>496</v>
      </c>
      <c r="N47" s="210"/>
      <c r="O47" s="210"/>
      <c r="P47" s="210"/>
      <c r="Q47" s="211" t="s">
        <v>500</v>
      </c>
      <c r="R47" s="212" t="s">
        <v>500</v>
      </c>
      <c r="S47" s="212" t="s">
        <v>500</v>
      </c>
      <c r="T47" s="212" t="s">
        <v>500</v>
      </c>
      <c r="U47" s="212" t="s">
        <v>500</v>
      </c>
      <c r="V47" s="460" t="s">
        <v>496</v>
      </c>
      <c r="W47" s="213" t="s">
        <v>496</v>
      </c>
      <c r="X47" s="214" t="s">
        <v>496</v>
      </c>
      <c r="Y47" s="215" t="s">
        <v>496</v>
      </c>
      <c r="Z47" s="216" t="s">
        <v>165</v>
      </c>
      <c r="AA47" s="217" t="s">
        <v>496</v>
      </c>
      <c r="AB47" s="217" t="s">
        <v>496</v>
      </c>
      <c r="AC47" s="217" t="s">
        <v>496</v>
      </c>
      <c r="AD47" s="218" t="s">
        <v>496</v>
      </c>
      <c r="AE47" s="219" t="s">
        <v>496</v>
      </c>
      <c r="AF47" s="219">
        <v>1841264</v>
      </c>
      <c r="AG47" s="219">
        <v>5.5599999999999997E-2</v>
      </c>
      <c r="AH47" s="219">
        <v>1943638</v>
      </c>
      <c r="AI47" s="461" t="s">
        <v>496</v>
      </c>
      <c r="AJ47" s="220" t="s">
        <v>496</v>
      </c>
      <c r="AK47" s="221" t="s">
        <v>496</v>
      </c>
      <c r="AL47" s="222" t="s">
        <v>496</v>
      </c>
      <c r="AM47" s="223" t="s">
        <v>166</v>
      </c>
      <c r="AN47" s="224" t="s">
        <v>496</v>
      </c>
      <c r="AO47" s="224" t="s">
        <v>496</v>
      </c>
      <c r="AP47" s="225" t="s">
        <v>496</v>
      </c>
      <c r="AQ47" s="226">
        <v>1578226</v>
      </c>
      <c r="AR47" s="227">
        <v>299863</v>
      </c>
      <c r="AS47" s="227">
        <v>1878089</v>
      </c>
      <c r="AT47" s="227">
        <v>1578226</v>
      </c>
      <c r="AU47" s="227">
        <v>1878089</v>
      </c>
      <c r="AV47" s="228">
        <v>1910863</v>
      </c>
      <c r="AW47" s="228">
        <v>1910863</v>
      </c>
      <c r="AX47" s="228">
        <v>46350.13</v>
      </c>
      <c r="AY47" s="229">
        <v>2.4299999999999999E-2</v>
      </c>
      <c r="AZ47" s="230"/>
      <c r="BI47" s="232"/>
      <c r="BJ47" s="232"/>
      <c r="BK47" s="232"/>
      <c r="BL47" s="232"/>
      <c r="BM47" s="232"/>
      <c r="BN47" s="232"/>
      <c r="BO47" s="232"/>
      <c r="BP47" s="232"/>
      <c r="BQ47" s="232"/>
      <c r="BR47" s="232"/>
      <c r="BS47" s="232"/>
      <c r="BT47" s="232"/>
      <c r="BU47" s="232"/>
      <c r="BV47" s="232"/>
    </row>
    <row r="48" spans="1:74" s="231" customFormat="1" ht="378" hidden="1" x14ac:dyDescent="0.25">
      <c r="A48" s="205" t="s">
        <v>496</v>
      </c>
      <c r="B48" s="205" t="s">
        <v>496</v>
      </c>
      <c r="C48" s="205" t="s">
        <v>496</v>
      </c>
      <c r="D48" s="205" t="s">
        <v>588</v>
      </c>
      <c r="E48" s="206" t="s">
        <v>589</v>
      </c>
      <c r="F48" s="458" t="s">
        <v>499</v>
      </c>
      <c r="G48" s="178">
        <v>1</v>
      </c>
      <c r="H48" s="458"/>
      <c r="I48" s="459" t="s">
        <v>496</v>
      </c>
      <c r="J48" s="207" t="s">
        <v>496</v>
      </c>
      <c r="K48" s="208" t="s">
        <v>496</v>
      </c>
      <c r="L48" s="209" t="s">
        <v>496</v>
      </c>
      <c r="M48" s="207" t="s">
        <v>496</v>
      </c>
      <c r="N48" s="210"/>
      <c r="O48" s="210"/>
      <c r="P48" s="210"/>
      <c r="Q48" s="211" t="s">
        <v>500</v>
      </c>
      <c r="R48" s="212" t="s">
        <v>500</v>
      </c>
      <c r="S48" s="212" t="s">
        <v>500</v>
      </c>
      <c r="T48" s="212" t="s">
        <v>500</v>
      </c>
      <c r="U48" s="212" t="s">
        <v>500</v>
      </c>
      <c r="V48" s="460" t="s">
        <v>496</v>
      </c>
      <c r="W48" s="213" t="s">
        <v>496</v>
      </c>
      <c r="X48" s="214" t="s">
        <v>496</v>
      </c>
      <c r="Y48" s="215" t="s">
        <v>496</v>
      </c>
      <c r="Z48" s="216" t="s">
        <v>165</v>
      </c>
      <c r="AA48" s="217" t="s">
        <v>496</v>
      </c>
      <c r="AB48" s="217" t="s">
        <v>496</v>
      </c>
      <c r="AC48" s="217" t="s">
        <v>496</v>
      </c>
      <c r="AD48" s="218" t="s">
        <v>496</v>
      </c>
      <c r="AE48" s="219" t="s">
        <v>496</v>
      </c>
      <c r="AF48" s="219">
        <v>207999</v>
      </c>
      <c r="AG48" s="219">
        <v>5.5599999999999997E-2</v>
      </c>
      <c r="AH48" s="219">
        <v>219563</v>
      </c>
      <c r="AI48" s="461" t="s">
        <v>496</v>
      </c>
      <c r="AJ48" s="220" t="s">
        <v>496</v>
      </c>
      <c r="AK48" s="221" t="s">
        <v>496</v>
      </c>
      <c r="AL48" s="222" t="s">
        <v>496</v>
      </c>
      <c r="AM48" s="223" t="s">
        <v>166</v>
      </c>
      <c r="AN48" s="224" t="s">
        <v>496</v>
      </c>
      <c r="AO48" s="224" t="s">
        <v>496</v>
      </c>
      <c r="AP48" s="225" t="s">
        <v>496</v>
      </c>
      <c r="AQ48" s="226">
        <v>178284</v>
      </c>
      <c r="AR48" s="227">
        <v>33874</v>
      </c>
      <c r="AS48" s="227">
        <v>212158</v>
      </c>
      <c r="AT48" s="227">
        <v>178284</v>
      </c>
      <c r="AU48" s="227">
        <v>212158</v>
      </c>
      <c r="AV48" s="228">
        <v>215861</v>
      </c>
      <c r="AW48" s="228">
        <v>215861</v>
      </c>
      <c r="AX48" s="228">
        <v>5235.95</v>
      </c>
      <c r="AY48" s="229">
        <v>2.4299999999999999E-2</v>
      </c>
      <c r="AZ48" s="230"/>
      <c r="BI48" s="232"/>
      <c r="BJ48" s="232"/>
      <c r="BK48" s="232"/>
      <c r="BL48" s="232"/>
      <c r="BM48" s="232"/>
      <c r="BN48" s="232"/>
      <c r="BO48" s="232"/>
      <c r="BP48" s="232"/>
      <c r="BQ48" s="232"/>
      <c r="BR48" s="232"/>
      <c r="BS48" s="232"/>
      <c r="BT48" s="232"/>
      <c r="BU48" s="232"/>
      <c r="BV48" s="232"/>
    </row>
    <row r="49" spans="1:74" s="231" customFormat="1" ht="378" hidden="1" x14ac:dyDescent="0.25">
      <c r="A49" s="205" t="s">
        <v>496</v>
      </c>
      <c r="B49" s="205" t="s">
        <v>496</v>
      </c>
      <c r="C49" s="205" t="s">
        <v>496</v>
      </c>
      <c r="D49" s="205" t="s">
        <v>590</v>
      </c>
      <c r="E49" s="206" t="s">
        <v>591</v>
      </c>
      <c r="F49" s="458" t="s">
        <v>499</v>
      </c>
      <c r="G49" s="178">
        <v>1</v>
      </c>
      <c r="H49" s="458"/>
      <c r="I49" s="459" t="s">
        <v>496</v>
      </c>
      <c r="J49" s="207" t="s">
        <v>496</v>
      </c>
      <c r="K49" s="208" t="s">
        <v>496</v>
      </c>
      <c r="L49" s="209" t="s">
        <v>496</v>
      </c>
      <c r="M49" s="207" t="s">
        <v>496</v>
      </c>
      <c r="N49" s="210"/>
      <c r="O49" s="210"/>
      <c r="P49" s="210"/>
      <c r="Q49" s="211" t="s">
        <v>500</v>
      </c>
      <c r="R49" s="212" t="s">
        <v>500</v>
      </c>
      <c r="S49" s="212" t="s">
        <v>500</v>
      </c>
      <c r="T49" s="212" t="s">
        <v>500</v>
      </c>
      <c r="U49" s="212" t="s">
        <v>500</v>
      </c>
      <c r="V49" s="460" t="s">
        <v>496</v>
      </c>
      <c r="W49" s="213" t="s">
        <v>496</v>
      </c>
      <c r="X49" s="214" t="s">
        <v>496</v>
      </c>
      <c r="Y49" s="215" t="s">
        <v>496</v>
      </c>
      <c r="Z49" s="216" t="s">
        <v>165</v>
      </c>
      <c r="AA49" s="217" t="s">
        <v>496</v>
      </c>
      <c r="AB49" s="217" t="s">
        <v>496</v>
      </c>
      <c r="AC49" s="217" t="s">
        <v>496</v>
      </c>
      <c r="AD49" s="218" t="s">
        <v>496</v>
      </c>
      <c r="AE49" s="219" t="s">
        <v>496</v>
      </c>
      <c r="AF49" s="219">
        <v>91344</v>
      </c>
      <c r="AG49" s="219">
        <v>5.5599999999999997E-2</v>
      </c>
      <c r="AH49" s="219">
        <v>96423</v>
      </c>
      <c r="AI49" s="461" t="s">
        <v>496</v>
      </c>
      <c r="AJ49" s="220" t="s">
        <v>496</v>
      </c>
      <c r="AK49" s="221" t="s">
        <v>496</v>
      </c>
      <c r="AL49" s="222" t="s">
        <v>496</v>
      </c>
      <c r="AM49" s="223" t="s">
        <v>166</v>
      </c>
      <c r="AN49" s="224" t="s">
        <v>496</v>
      </c>
      <c r="AO49" s="224" t="s">
        <v>496</v>
      </c>
      <c r="AP49" s="225" t="s">
        <v>496</v>
      </c>
      <c r="AQ49" s="226">
        <v>78295</v>
      </c>
      <c r="AR49" s="227">
        <v>14876</v>
      </c>
      <c r="AS49" s="227">
        <v>93171</v>
      </c>
      <c r="AT49" s="227">
        <v>78295</v>
      </c>
      <c r="AU49" s="227">
        <v>93171</v>
      </c>
      <c r="AV49" s="228">
        <v>94797</v>
      </c>
      <c r="AW49" s="228">
        <v>94797</v>
      </c>
      <c r="AX49" s="228">
        <v>2299.4</v>
      </c>
      <c r="AY49" s="229">
        <v>2.4299999999999999E-2</v>
      </c>
      <c r="AZ49" s="230"/>
      <c r="BI49" s="232"/>
      <c r="BJ49" s="232"/>
      <c r="BK49" s="232"/>
      <c r="BL49" s="232"/>
      <c r="BM49" s="232"/>
      <c r="BN49" s="232"/>
      <c r="BO49" s="232"/>
      <c r="BP49" s="232"/>
      <c r="BQ49" s="232"/>
      <c r="BR49" s="232"/>
      <c r="BS49" s="232"/>
      <c r="BT49" s="232"/>
      <c r="BU49" s="232"/>
      <c r="BV49" s="232"/>
    </row>
    <row r="50" spans="1:74" s="231" customFormat="1" ht="378" hidden="1" x14ac:dyDescent="0.25">
      <c r="A50" s="205" t="s">
        <v>496</v>
      </c>
      <c r="B50" s="205" t="s">
        <v>496</v>
      </c>
      <c r="C50" s="205" t="s">
        <v>496</v>
      </c>
      <c r="D50" s="205" t="s">
        <v>592</v>
      </c>
      <c r="E50" s="206" t="s">
        <v>593</v>
      </c>
      <c r="F50" s="458" t="s">
        <v>499</v>
      </c>
      <c r="G50" s="178">
        <v>1</v>
      </c>
      <c r="H50" s="458"/>
      <c r="I50" s="459" t="s">
        <v>496</v>
      </c>
      <c r="J50" s="207" t="s">
        <v>496</v>
      </c>
      <c r="K50" s="208" t="s">
        <v>496</v>
      </c>
      <c r="L50" s="209" t="s">
        <v>496</v>
      </c>
      <c r="M50" s="207" t="s">
        <v>496</v>
      </c>
      <c r="N50" s="210"/>
      <c r="O50" s="210"/>
      <c r="P50" s="210"/>
      <c r="Q50" s="211" t="s">
        <v>500</v>
      </c>
      <c r="R50" s="212" t="s">
        <v>500</v>
      </c>
      <c r="S50" s="212" t="s">
        <v>500</v>
      </c>
      <c r="T50" s="212" t="s">
        <v>500</v>
      </c>
      <c r="U50" s="212" t="s">
        <v>500</v>
      </c>
      <c r="V50" s="460" t="s">
        <v>496</v>
      </c>
      <c r="W50" s="213" t="s">
        <v>496</v>
      </c>
      <c r="X50" s="214" t="s">
        <v>496</v>
      </c>
      <c r="Y50" s="215" t="s">
        <v>496</v>
      </c>
      <c r="Z50" s="216" t="s">
        <v>165</v>
      </c>
      <c r="AA50" s="217" t="s">
        <v>496</v>
      </c>
      <c r="AB50" s="217" t="s">
        <v>496</v>
      </c>
      <c r="AC50" s="217" t="s">
        <v>496</v>
      </c>
      <c r="AD50" s="218" t="s">
        <v>496</v>
      </c>
      <c r="AE50" s="219" t="s">
        <v>496</v>
      </c>
      <c r="AF50" s="219">
        <v>1100084</v>
      </c>
      <c r="AG50" s="219">
        <v>5.5599999999999997E-2</v>
      </c>
      <c r="AH50" s="219">
        <v>1161248</v>
      </c>
      <c r="AI50" s="461" t="s">
        <v>496</v>
      </c>
      <c r="AJ50" s="220" t="s">
        <v>496</v>
      </c>
      <c r="AK50" s="221" t="s">
        <v>496</v>
      </c>
      <c r="AL50" s="222" t="s">
        <v>496</v>
      </c>
      <c r="AM50" s="223" t="s">
        <v>166</v>
      </c>
      <c r="AN50" s="224" t="s">
        <v>496</v>
      </c>
      <c r="AO50" s="224" t="s">
        <v>496</v>
      </c>
      <c r="AP50" s="225" t="s">
        <v>496</v>
      </c>
      <c r="AQ50" s="226">
        <v>961418</v>
      </c>
      <c r="AR50" s="227">
        <v>182669</v>
      </c>
      <c r="AS50" s="227">
        <v>1144087</v>
      </c>
      <c r="AT50" s="227">
        <v>961418</v>
      </c>
      <c r="AU50" s="227">
        <v>1144087</v>
      </c>
      <c r="AV50" s="228">
        <v>1152667</v>
      </c>
      <c r="AW50" s="228">
        <v>1152667</v>
      </c>
      <c r="AX50" s="228">
        <v>12134.87</v>
      </c>
      <c r="AY50" s="229">
        <v>1.0500000000000001E-2</v>
      </c>
      <c r="AZ50" s="230"/>
      <c r="BI50" s="232"/>
      <c r="BJ50" s="232"/>
      <c r="BK50" s="232"/>
      <c r="BL50" s="232"/>
      <c r="BM50" s="232"/>
      <c r="BN50" s="232"/>
      <c r="BO50" s="232"/>
      <c r="BP50" s="232"/>
      <c r="BQ50" s="232"/>
      <c r="BR50" s="232"/>
      <c r="BS50" s="232"/>
      <c r="BT50" s="232"/>
      <c r="BU50" s="232"/>
      <c r="BV50" s="232"/>
    </row>
    <row r="51" spans="1:74" s="231" customFormat="1" ht="93.75" hidden="1" customHeight="1" x14ac:dyDescent="0.25">
      <c r="A51" s="205" t="s">
        <v>438</v>
      </c>
      <c r="B51" s="205" t="s">
        <v>487</v>
      </c>
      <c r="C51" s="205" t="s">
        <v>524</v>
      </c>
      <c r="D51" s="205" t="s">
        <v>594</v>
      </c>
      <c r="E51" s="206" t="s">
        <v>595</v>
      </c>
      <c r="F51" s="458" t="s">
        <v>41</v>
      </c>
      <c r="G51" s="178">
        <v>1</v>
      </c>
      <c r="H51" s="458" t="s">
        <v>88</v>
      </c>
      <c r="I51" s="459" t="s">
        <v>440</v>
      </c>
      <c r="J51" s="207">
        <v>46152</v>
      </c>
      <c r="K51" s="208" t="s">
        <v>527</v>
      </c>
      <c r="L51" s="209" t="s">
        <v>441</v>
      </c>
      <c r="M51" s="207" t="s">
        <v>528</v>
      </c>
      <c r="N51" s="210">
        <v>1150000</v>
      </c>
      <c r="O51" s="210" t="s">
        <v>450</v>
      </c>
      <c r="P51" s="210" t="s">
        <v>444</v>
      </c>
      <c r="Q51" s="211">
        <f>IF(O51="IVA Incluido",(N51/1.19),N51)</f>
        <v>1150000</v>
      </c>
      <c r="R51" s="212">
        <f>IF(P51="Si tiene IVA",Q51*19%,0)</f>
        <v>218500</v>
      </c>
      <c r="S51" s="212">
        <f>Q51+R51</f>
        <v>1368500</v>
      </c>
      <c r="T51" s="212">
        <f>IF(B51="","",(N51*G51))</f>
        <v>1150000</v>
      </c>
      <c r="U51" s="212">
        <f>IF(B51="","",(S51*G51))</f>
        <v>1368500</v>
      </c>
      <c r="V51" s="460" t="s">
        <v>440</v>
      </c>
      <c r="W51" s="213">
        <v>46152</v>
      </c>
      <c r="X51" s="214" t="s">
        <v>596</v>
      </c>
      <c r="Y51" s="215" t="s">
        <v>446</v>
      </c>
      <c r="Z51" s="216" t="s">
        <v>597</v>
      </c>
      <c r="AA51" s="217">
        <v>1008403</v>
      </c>
      <c r="AB51" s="217" t="s">
        <v>450</v>
      </c>
      <c r="AC51" s="217" t="s">
        <v>444</v>
      </c>
      <c r="AD51" s="218">
        <f>IF(AB51="IVA Incluido",(AA51/1.19),AA51)</f>
        <v>1008403</v>
      </c>
      <c r="AE51" s="219">
        <f>IF(AC51="Si tiene IVA",AD51*19%,0)</f>
        <v>191596.57</v>
      </c>
      <c r="AF51" s="219">
        <f>AD51+AE51</f>
        <v>1199999.57</v>
      </c>
      <c r="AG51" s="219">
        <f>IF(O51="","",(AA51*G51))</f>
        <v>1008403</v>
      </c>
      <c r="AH51" s="219">
        <f>IF(O51="","",(AF51*G51))</f>
        <v>1199999.57</v>
      </c>
      <c r="AI51" s="461" t="s">
        <v>598</v>
      </c>
      <c r="AJ51" s="220">
        <v>46071</v>
      </c>
      <c r="AK51" s="221" t="s">
        <v>531</v>
      </c>
      <c r="AL51" s="222" t="s">
        <v>446</v>
      </c>
      <c r="AM51" s="223" t="s">
        <v>181</v>
      </c>
      <c r="AN51" s="224">
        <v>1100000</v>
      </c>
      <c r="AO51" s="224" t="s">
        <v>450</v>
      </c>
      <c r="AP51" s="225" t="s">
        <v>444</v>
      </c>
      <c r="AQ51" s="226">
        <f>IF(AO51="IVA Incluido",(AN51/1.19),AN51)</f>
        <v>1100000</v>
      </c>
      <c r="AR51" s="227">
        <f>IF(AP51="Si tiene IVA",AQ51*19%,0)</f>
        <v>209000</v>
      </c>
      <c r="AS51" s="227">
        <f>AQ51+AR51</f>
        <v>1309000</v>
      </c>
      <c r="AT51" s="227">
        <f>IF(AB51="","",(AN51*G51))</f>
        <v>1100000</v>
      </c>
      <c r="AU51" s="227">
        <f>IF(AB51="","",(AS51*G51))</f>
        <v>1309000</v>
      </c>
      <c r="AV51" s="228">
        <f>IF(A51="","",AVERAGE(S51,AF51,AS51))</f>
        <v>1292499.8566666667</v>
      </c>
      <c r="AW51" s="228">
        <f>IF(A51="","",AVERAGE(U51,AH51,AU51))</f>
        <v>1292499.8566666667</v>
      </c>
      <c r="AX51" s="228">
        <f>IF(N51="","",STDEV(U51,AH51,AU51))</f>
        <v>85453.436297562817</v>
      </c>
      <c r="AY51" s="229">
        <f>IF(N51="","",(AX51/AW51))</f>
        <v>6.6114851662688504E-2</v>
      </c>
      <c r="AZ51" s="230"/>
      <c r="BA51" s="231">
        <f>COUNTA(M51,Z51,AM51)</f>
        <v>3</v>
      </c>
      <c r="BH51" s="231">
        <v>32</v>
      </c>
      <c r="BI51" s="232"/>
      <c r="BJ51" s="232"/>
      <c r="BK51" s="232"/>
      <c r="BL51" s="232"/>
      <c r="BM51" s="232"/>
      <c r="BN51" s="232"/>
      <c r="BO51" s="232"/>
      <c r="BP51" s="232"/>
      <c r="BQ51" s="232"/>
      <c r="BR51" s="232"/>
      <c r="BS51" s="232"/>
      <c r="BT51" s="232"/>
      <c r="BU51" s="232"/>
      <c r="BV51" s="232"/>
    </row>
    <row r="52" spans="1:74" s="231" customFormat="1" ht="378" hidden="1" x14ac:dyDescent="0.25">
      <c r="A52" s="205" t="s">
        <v>496</v>
      </c>
      <c r="B52" s="205" t="s">
        <v>496</v>
      </c>
      <c r="C52" s="205" t="s">
        <v>496</v>
      </c>
      <c r="D52" s="205" t="s">
        <v>599</v>
      </c>
      <c r="E52" s="206" t="s">
        <v>600</v>
      </c>
      <c r="F52" s="458" t="s">
        <v>499</v>
      </c>
      <c r="G52" s="178">
        <v>1</v>
      </c>
      <c r="H52" s="458"/>
      <c r="I52" s="459" t="s">
        <v>496</v>
      </c>
      <c r="J52" s="207" t="s">
        <v>496</v>
      </c>
      <c r="K52" s="208" t="s">
        <v>496</v>
      </c>
      <c r="L52" s="209" t="s">
        <v>496</v>
      </c>
      <c r="M52" s="207" t="s">
        <v>496</v>
      </c>
      <c r="N52" s="210"/>
      <c r="O52" s="210"/>
      <c r="P52" s="210"/>
      <c r="Q52" s="211" t="s">
        <v>500</v>
      </c>
      <c r="R52" s="212" t="s">
        <v>500</v>
      </c>
      <c r="S52" s="212" t="s">
        <v>500</v>
      </c>
      <c r="T52" s="212" t="s">
        <v>500</v>
      </c>
      <c r="U52" s="212" t="s">
        <v>500</v>
      </c>
      <c r="V52" s="460" t="s">
        <v>496</v>
      </c>
      <c r="W52" s="213" t="s">
        <v>496</v>
      </c>
      <c r="X52" s="214" t="s">
        <v>496</v>
      </c>
      <c r="Y52" s="215" t="s">
        <v>496</v>
      </c>
      <c r="Z52" s="216" t="s">
        <v>165</v>
      </c>
      <c r="AA52" s="217" t="s">
        <v>496</v>
      </c>
      <c r="AB52" s="217" t="s">
        <v>496</v>
      </c>
      <c r="AC52" s="217" t="s">
        <v>496</v>
      </c>
      <c r="AD52" s="218" t="s">
        <v>496</v>
      </c>
      <c r="AE52" s="219" t="s">
        <v>496</v>
      </c>
      <c r="AF52" s="219">
        <v>2251784</v>
      </c>
      <c r="AG52" s="219">
        <v>5.5599999999999997E-2</v>
      </c>
      <c r="AH52" s="219">
        <v>2376983</v>
      </c>
      <c r="AI52" s="461" t="s">
        <v>496</v>
      </c>
      <c r="AJ52" s="220" t="s">
        <v>496</v>
      </c>
      <c r="AK52" s="221" t="s">
        <v>496</v>
      </c>
      <c r="AL52" s="222" t="s">
        <v>496</v>
      </c>
      <c r="AM52" s="223" t="s">
        <v>166</v>
      </c>
      <c r="AN52" s="224" t="s">
        <v>496</v>
      </c>
      <c r="AO52" s="224" t="s">
        <v>496</v>
      </c>
      <c r="AP52" s="225" t="s">
        <v>496</v>
      </c>
      <c r="AQ52" s="226">
        <v>1986868</v>
      </c>
      <c r="AR52" s="227">
        <v>377505</v>
      </c>
      <c r="AS52" s="227">
        <v>2364373</v>
      </c>
      <c r="AT52" s="227">
        <v>1986868</v>
      </c>
      <c r="AU52" s="227">
        <v>2364373</v>
      </c>
      <c r="AV52" s="228">
        <v>2370678</v>
      </c>
      <c r="AW52" s="228">
        <v>2370678</v>
      </c>
      <c r="AX52" s="228">
        <v>8916.61</v>
      </c>
      <c r="AY52" s="229">
        <v>3.8E-3</v>
      </c>
      <c r="AZ52" s="230"/>
      <c r="BI52" s="232"/>
      <c r="BJ52" s="232"/>
      <c r="BK52" s="232"/>
      <c r="BL52" s="232"/>
      <c r="BM52" s="232"/>
      <c r="BN52" s="232"/>
      <c r="BO52" s="232"/>
      <c r="BP52" s="232"/>
      <c r="BQ52" s="232"/>
      <c r="BR52" s="232"/>
      <c r="BS52" s="232"/>
      <c r="BT52" s="232"/>
      <c r="BU52" s="232"/>
      <c r="BV52" s="232"/>
    </row>
    <row r="53" spans="1:74" s="231" customFormat="1" ht="378" hidden="1" x14ac:dyDescent="0.25">
      <c r="A53" s="205" t="s">
        <v>496</v>
      </c>
      <c r="B53" s="205" t="s">
        <v>496</v>
      </c>
      <c r="C53" s="205" t="s">
        <v>496</v>
      </c>
      <c r="D53" s="205" t="s">
        <v>601</v>
      </c>
      <c r="E53" s="206" t="s">
        <v>602</v>
      </c>
      <c r="F53" s="458" t="s">
        <v>499</v>
      </c>
      <c r="G53" s="178">
        <v>1</v>
      </c>
      <c r="H53" s="458"/>
      <c r="I53" s="459" t="s">
        <v>496</v>
      </c>
      <c r="J53" s="207" t="s">
        <v>496</v>
      </c>
      <c r="K53" s="208" t="s">
        <v>496</v>
      </c>
      <c r="L53" s="209" t="s">
        <v>496</v>
      </c>
      <c r="M53" s="207" t="s">
        <v>496</v>
      </c>
      <c r="N53" s="210"/>
      <c r="O53" s="210"/>
      <c r="P53" s="210"/>
      <c r="Q53" s="211" t="s">
        <v>500</v>
      </c>
      <c r="R53" s="212" t="s">
        <v>500</v>
      </c>
      <c r="S53" s="212" t="s">
        <v>500</v>
      </c>
      <c r="T53" s="212" t="s">
        <v>500</v>
      </c>
      <c r="U53" s="212" t="s">
        <v>500</v>
      </c>
      <c r="V53" s="460" t="s">
        <v>496</v>
      </c>
      <c r="W53" s="213" t="s">
        <v>496</v>
      </c>
      <c r="X53" s="214" t="s">
        <v>496</v>
      </c>
      <c r="Y53" s="215" t="s">
        <v>496</v>
      </c>
      <c r="Z53" s="216" t="s">
        <v>165</v>
      </c>
      <c r="AA53" s="217" t="s">
        <v>496</v>
      </c>
      <c r="AB53" s="217" t="s">
        <v>496</v>
      </c>
      <c r="AC53" s="217" t="s">
        <v>496</v>
      </c>
      <c r="AD53" s="218" t="s">
        <v>496</v>
      </c>
      <c r="AE53" s="219" t="s">
        <v>496</v>
      </c>
      <c r="AF53" s="219">
        <v>2664284</v>
      </c>
      <c r="AG53" s="219">
        <v>5.5599999999999997E-2</v>
      </c>
      <c r="AH53" s="219">
        <v>2812418</v>
      </c>
      <c r="AI53" s="461" t="s">
        <v>496</v>
      </c>
      <c r="AJ53" s="220" t="s">
        <v>496</v>
      </c>
      <c r="AK53" s="221" t="s">
        <v>496</v>
      </c>
      <c r="AL53" s="222" t="s">
        <v>496</v>
      </c>
      <c r="AM53" s="223" t="s">
        <v>166</v>
      </c>
      <c r="AN53" s="224" t="s">
        <v>496</v>
      </c>
      <c r="AO53" s="224" t="s">
        <v>496</v>
      </c>
      <c r="AP53" s="225" t="s">
        <v>496</v>
      </c>
      <c r="AQ53" s="226">
        <v>2350838</v>
      </c>
      <c r="AR53" s="227">
        <v>446659</v>
      </c>
      <c r="AS53" s="227">
        <v>2797498</v>
      </c>
      <c r="AT53" s="227">
        <v>2350838</v>
      </c>
      <c r="AU53" s="227">
        <v>2797498</v>
      </c>
      <c r="AV53" s="228">
        <v>2804958</v>
      </c>
      <c r="AW53" s="228">
        <v>2804958</v>
      </c>
      <c r="AX53" s="228">
        <v>10550.02</v>
      </c>
      <c r="AY53" s="229">
        <v>3.8E-3</v>
      </c>
      <c r="AZ53" s="230"/>
      <c r="BI53" s="232"/>
      <c r="BJ53" s="232"/>
      <c r="BK53" s="232"/>
      <c r="BL53" s="232"/>
      <c r="BM53" s="232"/>
      <c r="BN53" s="232"/>
      <c r="BO53" s="232"/>
      <c r="BP53" s="232"/>
      <c r="BQ53" s="232"/>
      <c r="BR53" s="232"/>
      <c r="BS53" s="232"/>
      <c r="BT53" s="232"/>
      <c r="BU53" s="232"/>
      <c r="BV53" s="232"/>
    </row>
    <row r="54" spans="1:74" s="231" customFormat="1" ht="63" hidden="1" x14ac:dyDescent="0.25">
      <c r="A54" s="205" t="s">
        <v>438</v>
      </c>
      <c r="B54" s="205" t="s">
        <v>487</v>
      </c>
      <c r="C54" s="205" t="s">
        <v>603</v>
      </c>
      <c r="D54" s="205" t="s">
        <v>604</v>
      </c>
      <c r="E54" s="206" t="s">
        <v>175</v>
      </c>
      <c r="F54" s="458" t="s">
        <v>41</v>
      </c>
      <c r="G54" s="178">
        <v>1</v>
      </c>
      <c r="H54" s="458" t="s">
        <v>88</v>
      </c>
      <c r="I54" s="459" t="s">
        <v>605</v>
      </c>
      <c r="J54" s="207">
        <v>46056</v>
      </c>
      <c r="K54" s="208" t="s">
        <v>606</v>
      </c>
      <c r="L54" s="209" t="s">
        <v>446</v>
      </c>
      <c r="M54" s="207" t="s">
        <v>101</v>
      </c>
      <c r="N54" s="210">
        <v>1050000</v>
      </c>
      <c r="O54" s="210" t="s">
        <v>450</v>
      </c>
      <c r="P54" s="210" t="s">
        <v>444</v>
      </c>
      <c r="Q54" s="211">
        <f>IF(O54="IVA Incluido",(N54/1.19),N54)</f>
        <v>1050000</v>
      </c>
      <c r="R54" s="212">
        <f>IF(P54="Si tiene IVA",Q54*19%,0)</f>
        <v>199500</v>
      </c>
      <c r="S54" s="212">
        <f>Q54+R54</f>
        <v>1249500</v>
      </c>
      <c r="T54" s="212">
        <f>IF(B54="","",(N54*G54))</f>
        <v>1050000</v>
      </c>
      <c r="U54" s="212">
        <f>IF(B54="","",(S54*G54))</f>
        <v>1249500</v>
      </c>
      <c r="V54" s="460" t="s">
        <v>605</v>
      </c>
      <c r="W54" s="213">
        <v>46070</v>
      </c>
      <c r="X54" s="214" t="s">
        <v>607</v>
      </c>
      <c r="Y54" s="215" t="s">
        <v>446</v>
      </c>
      <c r="Z54" s="216" t="s">
        <v>177</v>
      </c>
      <c r="AA54" s="217">
        <v>1500000</v>
      </c>
      <c r="AB54" s="217" t="s">
        <v>450</v>
      </c>
      <c r="AC54" s="217" t="s">
        <v>444</v>
      </c>
      <c r="AD54" s="218">
        <f>IF(AB54="IVA Incluido",(AA54/1.19),AA54)</f>
        <v>1500000</v>
      </c>
      <c r="AE54" s="219">
        <f>IF(AC54="Si tiene IVA",AD54*19%,0)</f>
        <v>285000</v>
      </c>
      <c r="AF54" s="219">
        <f>AD54+AE54</f>
        <v>1785000</v>
      </c>
      <c r="AG54" s="219">
        <f>IF(O54="","",(AA54*G54))</f>
        <v>1500000</v>
      </c>
      <c r="AH54" s="219">
        <f>IF(O54="","",(AF54*G54))</f>
        <v>1785000</v>
      </c>
      <c r="AI54" s="461" t="s">
        <v>605</v>
      </c>
      <c r="AJ54" s="220">
        <v>46105</v>
      </c>
      <c r="AK54" s="221" t="s">
        <v>596</v>
      </c>
      <c r="AL54" s="222" t="s">
        <v>446</v>
      </c>
      <c r="AM54" s="223" t="s">
        <v>597</v>
      </c>
      <c r="AN54" s="224">
        <v>1260504</v>
      </c>
      <c r="AO54" s="224" t="s">
        <v>450</v>
      </c>
      <c r="AP54" s="225" t="s">
        <v>444</v>
      </c>
      <c r="AQ54" s="226">
        <f>IF(AO54="IVA Incluido",(AN54/1.19),AN54)</f>
        <v>1260504</v>
      </c>
      <c r="AR54" s="227">
        <f>IF(AP54="Si tiene IVA",AQ54*19%,0)</f>
        <v>239495.76</v>
      </c>
      <c r="AS54" s="227">
        <f>AQ54+AR54</f>
        <v>1499999.76</v>
      </c>
      <c r="AT54" s="227">
        <f>IF(AB54="","",(AN54*G54))</f>
        <v>1260504</v>
      </c>
      <c r="AU54" s="227">
        <f>IF(AB54="","",(AS54*G54))</f>
        <v>1499999.76</v>
      </c>
      <c r="AV54" s="228">
        <f>IF(A54="","",AVERAGE(S54,AF54,AS54))</f>
        <v>1511499.92</v>
      </c>
      <c r="AW54" s="228">
        <f>IF(A54="","",AVERAGE(U54,AH54,AU54))</f>
        <v>1511499.92</v>
      </c>
      <c r="AX54" s="228">
        <f>IF(N54="","",STDEV(U54,AH54,AU54))</f>
        <v>267935.1652172957</v>
      </c>
      <c r="AY54" s="229">
        <f>IF(N54="","",(AX54/AW54))</f>
        <v>0.17726442566883874</v>
      </c>
      <c r="AZ54" s="230"/>
      <c r="BA54" s="231">
        <f>COUNTA(M54,Z54,AM54)</f>
        <v>3</v>
      </c>
      <c r="BH54" s="231">
        <v>56</v>
      </c>
      <c r="BI54" s="232"/>
      <c r="BJ54" s="232"/>
      <c r="BK54" s="232"/>
      <c r="BL54" s="232"/>
      <c r="BM54" s="232"/>
      <c r="BN54" s="232"/>
      <c r="BO54" s="232"/>
      <c r="BP54" s="232"/>
      <c r="BQ54" s="232"/>
      <c r="BR54" s="232"/>
      <c r="BS54" s="232"/>
      <c r="BT54" s="232"/>
      <c r="BU54" s="232"/>
      <c r="BV54" s="232"/>
    </row>
    <row r="55" spans="1:74" s="231" customFormat="1" ht="63" hidden="1" x14ac:dyDescent="0.25">
      <c r="A55" s="205" t="s">
        <v>438</v>
      </c>
      <c r="B55" s="205" t="s">
        <v>487</v>
      </c>
      <c r="C55" s="205" t="s">
        <v>603</v>
      </c>
      <c r="D55" s="205" t="s">
        <v>369</v>
      </c>
      <c r="E55" s="206" t="s">
        <v>608</v>
      </c>
      <c r="F55" s="458" t="s">
        <v>41</v>
      </c>
      <c r="G55" s="178">
        <v>1</v>
      </c>
      <c r="H55" s="458" t="s">
        <v>88</v>
      </c>
      <c r="I55" s="459" t="s">
        <v>605</v>
      </c>
      <c r="J55" s="207">
        <v>46056</v>
      </c>
      <c r="K55" s="208" t="s">
        <v>606</v>
      </c>
      <c r="L55" s="209" t="s">
        <v>446</v>
      </c>
      <c r="M55" s="207" t="s">
        <v>101</v>
      </c>
      <c r="N55" s="210">
        <v>1050000</v>
      </c>
      <c r="O55" s="210" t="s">
        <v>450</v>
      </c>
      <c r="P55" s="210" t="s">
        <v>444</v>
      </c>
      <c r="Q55" s="211">
        <f>IF(O55="IVA Incluido",(N55/1.19),N55)</f>
        <v>1050000</v>
      </c>
      <c r="R55" s="212">
        <f>IF(P55="Si tiene IVA",Q55*19%,0)</f>
        <v>199500</v>
      </c>
      <c r="S55" s="212">
        <f>Q55+R55</f>
        <v>1249500</v>
      </c>
      <c r="T55" s="212">
        <f>IF(B55="","",(N55*G55))</f>
        <v>1050000</v>
      </c>
      <c r="U55" s="212">
        <f>IF(B55="","",(S55*G55))</f>
        <v>1249500</v>
      </c>
      <c r="V55" s="460" t="s">
        <v>605</v>
      </c>
      <c r="W55" s="213">
        <v>46070</v>
      </c>
      <c r="X55" s="214" t="s">
        <v>607</v>
      </c>
      <c r="Y55" s="215" t="s">
        <v>446</v>
      </c>
      <c r="Z55" s="216" t="s">
        <v>177</v>
      </c>
      <c r="AA55" s="217">
        <v>1500000</v>
      </c>
      <c r="AB55" s="217" t="s">
        <v>450</v>
      </c>
      <c r="AC55" s="217" t="s">
        <v>444</v>
      </c>
      <c r="AD55" s="218">
        <f>IF(AB55="IVA Incluido",(AA55/1.19),AA55)</f>
        <v>1500000</v>
      </c>
      <c r="AE55" s="219">
        <f>IF(AC55="Si tiene IVA",AD55*19%,0)</f>
        <v>285000</v>
      </c>
      <c r="AF55" s="219">
        <f>AD55+AE55</f>
        <v>1785000</v>
      </c>
      <c r="AG55" s="219">
        <f>IF(O55="","",(AA55*G55))</f>
        <v>1500000</v>
      </c>
      <c r="AH55" s="219">
        <f>IF(O55="","",(AF55*G55))</f>
        <v>1785000</v>
      </c>
      <c r="AI55" s="461" t="s">
        <v>605</v>
      </c>
      <c r="AJ55" s="220">
        <v>46105</v>
      </c>
      <c r="AK55" s="221" t="s">
        <v>596</v>
      </c>
      <c r="AL55" s="222" t="s">
        <v>446</v>
      </c>
      <c r="AM55" s="223" t="s">
        <v>597</v>
      </c>
      <c r="AN55" s="224">
        <v>1260504</v>
      </c>
      <c r="AO55" s="224" t="s">
        <v>450</v>
      </c>
      <c r="AP55" s="225" t="s">
        <v>444</v>
      </c>
      <c r="AQ55" s="226">
        <f>IF(AO55="IVA Incluido",(AN55/1.19),AN55)</f>
        <v>1260504</v>
      </c>
      <c r="AR55" s="227">
        <f>IF(AP55="Si tiene IVA",AQ55*19%,0)</f>
        <v>239495.76</v>
      </c>
      <c r="AS55" s="227">
        <f>AQ55+AR55</f>
        <v>1499999.76</v>
      </c>
      <c r="AT55" s="227">
        <f>IF(AB55="","",(AN55*G55))</f>
        <v>1260504</v>
      </c>
      <c r="AU55" s="227">
        <f>IF(AB55="","",(AS55*G55))</f>
        <v>1499999.76</v>
      </c>
      <c r="AV55" s="228">
        <f>IF(A55="","",AVERAGE(S55,AF55,AS55))</f>
        <v>1511499.92</v>
      </c>
      <c r="AW55" s="228">
        <f>IF(A55="","",AVERAGE(U55,AH55,AU55))</f>
        <v>1511499.92</v>
      </c>
      <c r="AX55" s="228">
        <f>IF(N55="","",STDEV(U55,AH55,AU55))</f>
        <v>267935.1652172957</v>
      </c>
      <c r="AY55" s="229">
        <f>IF(N55="","",(AX55/AW55))</f>
        <v>0.17726442566883874</v>
      </c>
      <c r="AZ55" s="230"/>
      <c r="BA55" s="231">
        <f>COUNTA(M55,Z55,AM55)</f>
        <v>3</v>
      </c>
      <c r="BH55" s="231">
        <v>57</v>
      </c>
      <c r="BI55" s="232"/>
      <c r="BJ55" s="232"/>
      <c r="BK55" s="232"/>
      <c r="BL55" s="232"/>
      <c r="BM55" s="232"/>
      <c r="BN55" s="232"/>
      <c r="BO55" s="232"/>
      <c r="BP55" s="232"/>
      <c r="BQ55" s="232"/>
      <c r="BR55" s="232"/>
      <c r="BS55" s="232"/>
      <c r="BT55" s="232"/>
      <c r="BU55" s="232"/>
      <c r="BV55" s="232"/>
    </row>
    <row r="56" spans="1:74" s="231" customFormat="1" ht="110.25" hidden="1" x14ac:dyDescent="0.25">
      <c r="A56" s="205" t="s">
        <v>438</v>
      </c>
      <c r="B56" s="205" t="s">
        <v>487</v>
      </c>
      <c r="C56" s="205" t="s">
        <v>603</v>
      </c>
      <c r="D56" s="205" t="s">
        <v>609</v>
      </c>
      <c r="E56" s="206" t="s">
        <v>610</v>
      </c>
      <c r="F56" s="458" t="s">
        <v>41</v>
      </c>
      <c r="G56" s="178">
        <v>1</v>
      </c>
      <c r="H56" s="458" t="s">
        <v>88</v>
      </c>
      <c r="I56" s="459" t="s">
        <v>440</v>
      </c>
      <c r="J56" s="207">
        <v>46134</v>
      </c>
      <c r="K56" s="208" t="s">
        <v>517</v>
      </c>
      <c r="L56" s="209" t="s">
        <v>446</v>
      </c>
      <c r="M56" s="207" t="s">
        <v>101</v>
      </c>
      <c r="N56" s="210">
        <v>4590000</v>
      </c>
      <c r="O56" s="210" t="s">
        <v>450</v>
      </c>
      <c r="P56" s="210" t="s">
        <v>444</v>
      </c>
      <c r="Q56" s="211">
        <f>IF(O56="IVA Incluido",(N56/1.19),N56)</f>
        <v>4590000</v>
      </c>
      <c r="R56" s="212">
        <f>IF(P56="Si tiene IVA",Q56*19%,0)</f>
        <v>872100</v>
      </c>
      <c r="S56" s="212">
        <f>Q56+R56</f>
        <v>5462100</v>
      </c>
      <c r="T56" s="212">
        <f>IF(B56="","",(N56*G56))</f>
        <v>4590000</v>
      </c>
      <c r="U56" s="212">
        <f>IF(B56="","",(S56*G56))</f>
        <v>5462100</v>
      </c>
      <c r="V56" s="460" t="s">
        <v>440</v>
      </c>
      <c r="W56" s="213">
        <v>46134</v>
      </c>
      <c r="X56" s="214" t="s">
        <v>611</v>
      </c>
      <c r="Y56" s="215" t="s">
        <v>446</v>
      </c>
      <c r="Z56" s="216" t="s">
        <v>185</v>
      </c>
      <c r="AA56" s="217">
        <v>4550000</v>
      </c>
      <c r="AB56" s="217" t="s">
        <v>443</v>
      </c>
      <c r="AC56" s="217" t="s">
        <v>444</v>
      </c>
      <c r="AD56" s="218">
        <f>IF(AB56="IVA Incluido",(AA56/1.19),AA56)</f>
        <v>3823529.411764706</v>
      </c>
      <c r="AE56" s="219">
        <f>IF(AC56="Si tiene IVA",AD56*19%,0)</f>
        <v>726470.5882352941</v>
      </c>
      <c r="AF56" s="219">
        <f>AD56+AE56</f>
        <v>4550000</v>
      </c>
      <c r="AG56" s="219">
        <f>IF(O56="","",(AA56*G56))</f>
        <v>4550000</v>
      </c>
      <c r="AH56" s="219">
        <f>IF(O56="","",(AF56*G56))</f>
        <v>4550000</v>
      </c>
      <c r="AI56" s="461"/>
      <c r="AJ56" s="220"/>
      <c r="AK56" s="221"/>
      <c r="AL56" s="222"/>
      <c r="AM56" s="223"/>
      <c r="AN56" s="224"/>
      <c r="AO56" s="224"/>
      <c r="AP56" s="225"/>
      <c r="AQ56" s="226"/>
      <c r="AR56" s="227"/>
      <c r="AS56" s="227"/>
      <c r="AT56" s="227"/>
      <c r="AU56" s="227"/>
      <c r="AV56" s="228">
        <f>IF(A56="","",AVERAGE(S56,AF56))</f>
        <v>5006050</v>
      </c>
      <c r="AW56" s="228">
        <f>IF(A56="","",AVERAGE(U56,AH56))</f>
        <v>5006050</v>
      </c>
      <c r="AX56" s="228">
        <f>IF(N56="","",STDEV(U56,AH56))</f>
        <v>644952.09512025001</v>
      </c>
      <c r="AY56" s="229">
        <f>IF(N56="","",(AX56/AW56))</f>
        <v>0.12883452924366517</v>
      </c>
      <c r="AZ56" s="230"/>
      <c r="BA56" s="231">
        <f>COUNTA(M56,Z56,AM56)</f>
        <v>2</v>
      </c>
      <c r="BH56" s="231">
        <v>34</v>
      </c>
      <c r="BI56" s="232"/>
      <c r="BJ56" s="232"/>
      <c r="BK56" s="232"/>
      <c r="BL56" s="232"/>
      <c r="BM56" s="232"/>
      <c r="BN56" s="232"/>
      <c r="BO56" s="232"/>
      <c r="BP56" s="232"/>
      <c r="BQ56" s="232"/>
      <c r="BR56" s="232"/>
      <c r="BS56" s="232"/>
      <c r="BT56" s="232"/>
      <c r="BU56" s="232"/>
      <c r="BV56" s="232"/>
    </row>
    <row r="57" spans="1:74" s="231" customFormat="1" ht="378" hidden="1" x14ac:dyDescent="0.25">
      <c r="A57" s="205" t="s">
        <v>496</v>
      </c>
      <c r="B57" s="205" t="s">
        <v>496</v>
      </c>
      <c r="C57" s="205" t="s">
        <v>496</v>
      </c>
      <c r="D57" s="205" t="s">
        <v>612</v>
      </c>
      <c r="E57" s="206" t="s">
        <v>613</v>
      </c>
      <c r="F57" s="458" t="s">
        <v>499</v>
      </c>
      <c r="G57" s="178">
        <v>1</v>
      </c>
      <c r="H57" s="458"/>
      <c r="I57" s="459" t="s">
        <v>496</v>
      </c>
      <c r="J57" s="207" t="s">
        <v>496</v>
      </c>
      <c r="K57" s="208" t="s">
        <v>496</v>
      </c>
      <c r="L57" s="209" t="s">
        <v>496</v>
      </c>
      <c r="M57" s="207" t="s">
        <v>496</v>
      </c>
      <c r="N57" s="210"/>
      <c r="O57" s="210"/>
      <c r="P57" s="210"/>
      <c r="Q57" s="211" t="s">
        <v>500</v>
      </c>
      <c r="R57" s="212" t="s">
        <v>500</v>
      </c>
      <c r="S57" s="212" t="s">
        <v>500</v>
      </c>
      <c r="T57" s="212" t="s">
        <v>500</v>
      </c>
      <c r="U57" s="212" t="s">
        <v>500</v>
      </c>
      <c r="V57" s="460" t="s">
        <v>496</v>
      </c>
      <c r="W57" s="213" t="s">
        <v>496</v>
      </c>
      <c r="X57" s="214" t="s">
        <v>496</v>
      </c>
      <c r="Y57" s="215" t="s">
        <v>496</v>
      </c>
      <c r="Z57" s="216" t="s">
        <v>165</v>
      </c>
      <c r="AA57" s="217" t="s">
        <v>496</v>
      </c>
      <c r="AB57" s="217" t="s">
        <v>496</v>
      </c>
      <c r="AC57" s="217" t="s">
        <v>496</v>
      </c>
      <c r="AD57" s="218" t="s">
        <v>496</v>
      </c>
      <c r="AE57" s="219" t="s">
        <v>496</v>
      </c>
      <c r="AF57" s="219">
        <v>3035117</v>
      </c>
      <c r="AG57" s="219">
        <v>5.5599999999999997E-2</v>
      </c>
      <c r="AH57" s="219">
        <v>3203870</v>
      </c>
      <c r="AI57" s="461" t="s">
        <v>496</v>
      </c>
      <c r="AJ57" s="220" t="s">
        <v>496</v>
      </c>
      <c r="AK57" s="221" t="s">
        <v>496</v>
      </c>
      <c r="AL57" s="222" t="s">
        <v>496</v>
      </c>
      <c r="AM57" s="223" t="s">
        <v>166</v>
      </c>
      <c r="AN57" s="224" t="s">
        <v>496</v>
      </c>
      <c r="AO57" s="224" t="s">
        <v>496</v>
      </c>
      <c r="AP57" s="225" t="s">
        <v>496</v>
      </c>
      <c r="AQ57" s="226">
        <v>2601529</v>
      </c>
      <c r="AR57" s="227">
        <v>494290</v>
      </c>
      <c r="AS57" s="227">
        <v>3095819</v>
      </c>
      <c r="AT57" s="227">
        <v>2601529</v>
      </c>
      <c r="AU57" s="227">
        <v>3095819</v>
      </c>
      <c r="AV57" s="228">
        <v>3149844</v>
      </c>
      <c r="AW57" s="228">
        <v>3149844</v>
      </c>
      <c r="AX57" s="228">
        <v>76403</v>
      </c>
      <c r="AY57" s="229">
        <v>2.4299999999999999E-2</v>
      </c>
      <c r="AZ57" s="230"/>
      <c r="BI57" s="232"/>
      <c r="BJ57" s="232"/>
      <c r="BK57" s="232"/>
      <c r="BL57" s="232"/>
      <c r="BM57" s="232"/>
      <c r="BN57" s="232"/>
      <c r="BO57" s="232"/>
      <c r="BP57" s="232"/>
      <c r="BQ57" s="232"/>
      <c r="BR57" s="232"/>
      <c r="BS57" s="232"/>
      <c r="BT57" s="232"/>
      <c r="BU57" s="232"/>
      <c r="BV57" s="232"/>
    </row>
    <row r="58" spans="1:74" s="231" customFormat="1" ht="63" hidden="1" x14ac:dyDescent="0.25">
      <c r="A58" s="205" t="s">
        <v>438</v>
      </c>
      <c r="B58" s="205" t="s">
        <v>487</v>
      </c>
      <c r="C58" s="205" t="s">
        <v>603</v>
      </c>
      <c r="D58" s="205" t="s">
        <v>614</v>
      </c>
      <c r="E58" s="206" t="s">
        <v>615</v>
      </c>
      <c r="F58" s="458" t="s">
        <v>41</v>
      </c>
      <c r="G58" s="178">
        <v>1</v>
      </c>
      <c r="H58" s="458" t="s">
        <v>88</v>
      </c>
      <c r="I58" s="459" t="s">
        <v>605</v>
      </c>
      <c r="J58" s="207">
        <v>46056</v>
      </c>
      <c r="K58" s="208" t="s">
        <v>606</v>
      </c>
      <c r="L58" s="209" t="s">
        <v>446</v>
      </c>
      <c r="M58" s="207" t="s">
        <v>101</v>
      </c>
      <c r="N58" s="210">
        <v>1650000</v>
      </c>
      <c r="O58" s="210" t="s">
        <v>450</v>
      </c>
      <c r="P58" s="210" t="s">
        <v>444</v>
      </c>
      <c r="Q58" s="211">
        <f>IF(O58="IVA Incluido",(N58/1.19),N58)</f>
        <v>1650000</v>
      </c>
      <c r="R58" s="212">
        <f>IF(P58="Si tiene IVA",Q58*19%,0)</f>
        <v>313500</v>
      </c>
      <c r="S58" s="212">
        <f>Q58+R58</f>
        <v>1963500</v>
      </c>
      <c r="T58" s="212">
        <f>IF(B58="","",(N58*G58))</f>
        <v>1650000</v>
      </c>
      <c r="U58" s="212">
        <f>IF(B58="","",(S58*G58))</f>
        <v>1963500</v>
      </c>
      <c r="V58" s="460" t="s">
        <v>616</v>
      </c>
      <c r="W58" s="213">
        <v>46070</v>
      </c>
      <c r="X58" s="214" t="s">
        <v>607</v>
      </c>
      <c r="Y58" s="215" t="s">
        <v>446</v>
      </c>
      <c r="Z58" s="216" t="s">
        <v>177</v>
      </c>
      <c r="AA58" s="217">
        <v>2000000</v>
      </c>
      <c r="AB58" s="217" t="s">
        <v>450</v>
      </c>
      <c r="AC58" s="217" t="s">
        <v>444</v>
      </c>
      <c r="AD58" s="218">
        <f>IF(AB58="IVA Incluido",(AA58/1.19),AA58)</f>
        <v>2000000</v>
      </c>
      <c r="AE58" s="219">
        <f>IF(AC58="Si tiene IVA",AD58*19%,0)</f>
        <v>380000</v>
      </c>
      <c r="AF58" s="219">
        <f>AD58+AE58</f>
        <v>2380000</v>
      </c>
      <c r="AG58" s="219">
        <f>IF(O58="","",(AA58*G58))</f>
        <v>2000000</v>
      </c>
      <c r="AH58" s="219">
        <f>IF(O58="","",(AF58*G58))</f>
        <v>2380000</v>
      </c>
      <c r="AI58" s="461" t="s">
        <v>605</v>
      </c>
      <c r="AJ58" s="220">
        <v>46105</v>
      </c>
      <c r="AK58" s="221" t="s">
        <v>596</v>
      </c>
      <c r="AL58" s="222" t="s">
        <v>446</v>
      </c>
      <c r="AM58" s="223" t="s">
        <v>597</v>
      </c>
      <c r="AN58" s="224">
        <v>1680672</v>
      </c>
      <c r="AO58" s="224" t="s">
        <v>450</v>
      </c>
      <c r="AP58" s="225" t="s">
        <v>444</v>
      </c>
      <c r="AQ58" s="226">
        <f>IF(AO58="IVA Incluido",(AN58/1.19),AN58)</f>
        <v>1680672</v>
      </c>
      <c r="AR58" s="227">
        <f>IF(AP58="Si tiene IVA",AQ58*19%,0)</f>
        <v>319327.68</v>
      </c>
      <c r="AS58" s="227">
        <f>AQ58+AR58</f>
        <v>1999999.68</v>
      </c>
      <c r="AT58" s="227">
        <f>IF(AB58="","",(AN58*G58))</f>
        <v>1680672</v>
      </c>
      <c r="AU58" s="227">
        <f>IF(AB58="","",(AS58*G58))</f>
        <v>1999999.68</v>
      </c>
      <c r="AV58" s="228">
        <f>IF(A58="","",AVERAGE(S58,AF58,AS58))</f>
        <v>2114499.8933333331</v>
      </c>
      <c r="AW58" s="228">
        <f>IF(A58="","",AVERAGE(U58,AH58,AU58))</f>
        <v>2114499.8933333331</v>
      </c>
      <c r="AX58" s="228">
        <f>IF(N58="","",STDEV(U58,AH58,AU58))</f>
        <v>230652.95714565236</v>
      </c>
      <c r="AY58" s="229">
        <f>IF(N58="","",(AX58/AW58))</f>
        <v>0.10908156480540047</v>
      </c>
      <c r="AZ58" s="230"/>
      <c r="BA58" s="231">
        <f>COUNTA(M58,Z58,AM58)</f>
        <v>3</v>
      </c>
      <c r="BH58" s="231">
        <v>58</v>
      </c>
      <c r="BI58" s="232"/>
      <c r="BJ58" s="232"/>
      <c r="BK58" s="232"/>
      <c r="BL58" s="232"/>
      <c r="BM58" s="232"/>
      <c r="BN58" s="232"/>
      <c r="BO58" s="232"/>
      <c r="BP58" s="232"/>
      <c r="BQ58" s="232"/>
      <c r="BR58" s="232"/>
      <c r="BS58" s="232"/>
      <c r="BT58" s="232"/>
      <c r="BU58" s="232"/>
      <c r="BV58" s="232"/>
    </row>
    <row r="59" spans="1:74" s="231" customFormat="1" ht="63" hidden="1" x14ac:dyDescent="0.25">
      <c r="A59" s="205" t="s">
        <v>438</v>
      </c>
      <c r="B59" s="205" t="s">
        <v>487</v>
      </c>
      <c r="C59" s="205" t="s">
        <v>603</v>
      </c>
      <c r="D59" s="205" t="s">
        <v>617</v>
      </c>
      <c r="E59" s="206" t="s">
        <v>618</v>
      </c>
      <c r="F59" s="458" t="s">
        <v>41</v>
      </c>
      <c r="G59" s="178">
        <v>1</v>
      </c>
      <c r="H59" s="458" t="s">
        <v>88</v>
      </c>
      <c r="I59" s="459" t="s">
        <v>605</v>
      </c>
      <c r="J59" s="207">
        <v>46056</v>
      </c>
      <c r="K59" s="208" t="s">
        <v>606</v>
      </c>
      <c r="L59" s="209" t="s">
        <v>446</v>
      </c>
      <c r="M59" s="207" t="s">
        <v>101</v>
      </c>
      <c r="N59" s="210">
        <v>1650000</v>
      </c>
      <c r="O59" s="210" t="s">
        <v>450</v>
      </c>
      <c r="P59" s="210" t="s">
        <v>444</v>
      </c>
      <c r="Q59" s="211">
        <f>IF(O59="IVA Incluido",(N59/1.19),N59)</f>
        <v>1650000</v>
      </c>
      <c r="R59" s="212">
        <f>IF(P59="Si tiene IVA",Q59*19%,0)</f>
        <v>313500</v>
      </c>
      <c r="S59" s="212">
        <f>Q59+R59</f>
        <v>1963500</v>
      </c>
      <c r="T59" s="212">
        <f>IF(B59="","",(N59*G59))</f>
        <v>1650000</v>
      </c>
      <c r="U59" s="212">
        <f>IF(B59="","",(S59*G59))</f>
        <v>1963500</v>
      </c>
      <c r="V59" s="460" t="s">
        <v>605</v>
      </c>
      <c r="W59" s="213">
        <v>46070</v>
      </c>
      <c r="X59" s="214" t="s">
        <v>607</v>
      </c>
      <c r="Y59" s="215" t="s">
        <v>446</v>
      </c>
      <c r="Z59" s="216" t="s">
        <v>177</v>
      </c>
      <c r="AA59" s="217">
        <v>2000000</v>
      </c>
      <c r="AB59" s="217" t="s">
        <v>450</v>
      </c>
      <c r="AC59" s="217" t="s">
        <v>444</v>
      </c>
      <c r="AD59" s="218">
        <f>IF(AB59="IVA Incluido",(AA59/1.19),AA59)</f>
        <v>2000000</v>
      </c>
      <c r="AE59" s="219">
        <f>IF(AC59="Si tiene IVA",AD59*19%,0)</f>
        <v>380000</v>
      </c>
      <c r="AF59" s="219">
        <f>AD59+AE59</f>
        <v>2380000</v>
      </c>
      <c r="AG59" s="219">
        <f>IF(AB59="","",(AA59*G59))</f>
        <v>2000000</v>
      </c>
      <c r="AH59" s="219">
        <f>IF(O59="","",(AF59*G59))</f>
        <v>2380000</v>
      </c>
      <c r="AI59" s="461" t="s">
        <v>605</v>
      </c>
      <c r="AJ59" s="220">
        <v>46105</v>
      </c>
      <c r="AK59" s="221" t="s">
        <v>596</v>
      </c>
      <c r="AL59" s="222" t="s">
        <v>446</v>
      </c>
      <c r="AM59" s="223" t="s">
        <v>597</v>
      </c>
      <c r="AN59" s="224">
        <v>1680672</v>
      </c>
      <c r="AO59" s="224" t="s">
        <v>450</v>
      </c>
      <c r="AP59" s="225" t="s">
        <v>444</v>
      </c>
      <c r="AQ59" s="226">
        <f>IF(AO59="IVA Incluido",(AN59/1.19),AN59)</f>
        <v>1680672</v>
      </c>
      <c r="AR59" s="227">
        <f>IF(AP59="Si tiene IVA",AQ59*19%,0)</f>
        <v>319327.68</v>
      </c>
      <c r="AS59" s="227">
        <f>AQ59+AR59</f>
        <v>1999999.68</v>
      </c>
      <c r="AT59" s="227">
        <f>IF(AB59="","",(AN59*G59))</f>
        <v>1680672</v>
      </c>
      <c r="AU59" s="227">
        <f>IF(AB59="","",(AS59*G59))</f>
        <v>1999999.68</v>
      </c>
      <c r="AV59" s="228">
        <f>IF(A59="","",AVERAGE(S59,AF59,AS59))</f>
        <v>2114499.8933333331</v>
      </c>
      <c r="AW59" s="228">
        <f>IF(A59="","",AVERAGE(U59,AH59,AU59))</f>
        <v>2114499.8933333331</v>
      </c>
      <c r="AX59" s="228">
        <f>IF(N59="","",STDEV(U59,AH59,AU59))</f>
        <v>230652.95714565236</v>
      </c>
      <c r="AY59" s="229">
        <f>IF(N59="","",(AX59/AW59))</f>
        <v>0.10908156480540047</v>
      </c>
      <c r="AZ59" s="230"/>
      <c r="BA59" s="231">
        <f>COUNTA(M59,Z59,AM59)</f>
        <v>3</v>
      </c>
      <c r="BH59" s="231">
        <v>59</v>
      </c>
      <c r="BI59" s="232"/>
      <c r="BJ59" s="232"/>
      <c r="BK59" s="232"/>
      <c r="BL59" s="232"/>
      <c r="BM59" s="232"/>
      <c r="BN59" s="232"/>
      <c r="BO59" s="232"/>
      <c r="BP59" s="232"/>
      <c r="BQ59" s="232"/>
      <c r="BR59" s="232"/>
      <c r="BS59" s="232"/>
      <c r="BT59" s="232"/>
      <c r="BU59" s="232"/>
      <c r="BV59" s="232"/>
    </row>
    <row r="60" spans="1:74" s="232" customFormat="1" ht="204.75" hidden="1" x14ac:dyDescent="0.25">
      <c r="A60" s="205" t="s">
        <v>438</v>
      </c>
      <c r="B60" s="205" t="s">
        <v>487</v>
      </c>
      <c r="C60" s="205" t="s">
        <v>603</v>
      </c>
      <c r="D60" s="205" t="s">
        <v>619</v>
      </c>
      <c r="E60" s="206" t="s">
        <v>620</v>
      </c>
      <c r="F60" s="458" t="s">
        <v>41</v>
      </c>
      <c r="G60" s="178">
        <v>1</v>
      </c>
      <c r="H60" s="458" t="s">
        <v>88</v>
      </c>
      <c r="I60" s="459" t="s">
        <v>605</v>
      </c>
      <c r="J60" s="207">
        <v>46056</v>
      </c>
      <c r="K60" s="208" t="s">
        <v>606</v>
      </c>
      <c r="L60" s="209" t="s">
        <v>446</v>
      </c>
      <c r="M60" s="207" t="s">
        <v>101</v>
      </c>
      <c r="N60" s="210">
        <v>2150000</v>
      </c>
      <c r="O60" s="210" t="s">
        <v>450</v>
      </c>
      <c r="P60" s="210" t="s">
        <v>444</v>
      </c>
      <c r="Q60" s="211">
        <f>IF(O60="IVA Incluido",(N60/1.19),N60)</f>
        <v>2150000</v>
      </c>
      <c r="R60" s="212">
        <f>IF(P60="Si tiene IVA",Q60*19%,0)</f>
        <v>408500</v>
      </c>
      <c r="S60" s="212">
        <f>Q60+R60</f>
        <v>2558500</v>
      </c>
      <c r="T60" s="212">
        <f>IF(B60="","",(N60*G60))</f>
        <v>2150000</v>
      </c>
      <c r="U60" s="212">
        <f>IF(B60="","",(S60*G60))</f>
        <v>2558500</v>
      </c>
      <c r="V60" s="460" t="s">
        <v>605</v>
      </c>
      <c r="W60" s="213">
        <v>46070</v>
      </c>
      <c r="X60" s="214" t="s">
        <v>607</v>
      </c>
      <c r="Y60" s="215" t="s">
        <v>446</v>
      </c>
      <c r="Z60" s="216" t="s">
        <v>177</v>
      </c>
      <c r="AA60" s="217">
        <v>3000000</v>
      </c>
      <c r="AB60" s="217" t="s">
        <v>450</v>
      </c>
      <c r="AC60" s="217" t="s">
        <v>444</v>
      </c>
      <c r="AD60" s="218">
        <f>IF(AB60="IVA Incluido",(AA60/1.19),AA60)</f>
        <v>3000000</v>
      </c>
      <c r="AE60" s="219">
        <f>IF(AC60="Si tiene IVA",AD60*19%,0)</f>
        <v>570000</v>
      </c>
      <c r="AF60" s="219">
        <f>AD60+AE60</f>
        <v>3570000</v>
      </c>
      <c r="AG60" s="219">
        <f>IF(AB60="","",(AA60*G60))</f>
        <v>3000000</v>
      </c>
      <c r="AH60" s="219">
        <f>IF(AB60="","",(AF60*G60))</f>
        <v>3570000</v>
      </c>
      <c r="AI60" s="461" t="s">
        <v>605</v>
      </c>
      <c r="AJ60" s="220">
        <v>46105</v>
      </c>
      <c r="AK60" s="221" t="s">
        <v>596</v>
      </c>
      <c r="AL60" s="222" t="s">
        <v>446</v>
      </c>
      <c r="AM60" s="223" t="s">
        <v>597</v>
      </c>
      <c r="AN60" s="224">
        <v>2521008</v>
      </c>
      <c r="AO60" s="224" t="s">
        <v>450</v>
      </c>
      <c r="AP60" s="225" t="s">
        <v>444</v>
      </c>
      <c r="AQ60" s="226">
        <f>IF(AO60="IVA Incluido",(AN60/1.19),AN60)</f>
        <v>2521008</v>
      </c>
      <c r="AR60" s="227">
        <f>IF(AP60="Si tiene IVA",AQ60*19%,0)</f>
        <v>478991.52</v>
      </c>
      <c r="AS60" s="227">
        <f>AQ60+AR60</f>
        <v>2999999.52</v>
      </c>
      <c r="AT60" s="227">
        <f>IF(AB60="","",(AN60*G60))</f>
        <v>2521008</v>
      </c>
      <c r="AU60" s="227">
        <f>IF(AB60="","",(AS60*G60))</f>
        <v>2999999.52</v>
      </c>
      <c r="AV60" s="228">
        <f>IF(A60="","",AVERAGE(S60,AF60,AS60))</f>
        <v>3042833.1733333333</v>
      </c>
      <c r="AW60" s="228">
        <f>IF(A60="","",AVERAGE(U60,AH60,AU60))</f>
        <v>3042833.1733333333</v>
      </c>
      <c r="AX60" s="228">
        <f>IF(N60="","",STDEV(U60,AH60,AU60))</f>
        <v>507108.57209616574</v>
      </c>
      <c r="AY60" s="229">
        <f>IF(N60="","",(AX60/AW60))</f>
        <v>0.16665671208673047</v>
      </c>
      <c r="AZ60" s="230"/>
      <c r="BA60" s="231">
        <f>COUNTA(M60,Z60,AM60)</f>
        <v>3</v>
      </c>
      <c r="BB60" s="231"/>
      <c r="BC60" s="231"/>
      <c r="BD60" s="231"/>
      <c r="BE60" s="231"/>
      <c r="BF60" s="231"/>
      <c r="BG60" s="231"/>
      <c r="BH60" s="231">
        <v>60</v>
      </c>
    </row>
    <row r="61" spans="1:74" s="231" customFormat="1" ht="378" hidden="1" x14ac:dyDescent="0.25">
      <c r="A61" s="205" t="s">
        <v>496</v>
      </c>
      <c r="B61" s="205" t="s">
        <v>496</v>
      </c>
      <c r="C61" s="205" t="s">
        <v>496</v>
      </c>
      <c r="D61" s="205" t="s">
        <v>621</v>
      </c>
      <c r="E61" s="206" t="s">
        <v>622</v>
      </c>
      <c r="F61" s="458" t="s">
        <v>499</v>
      </c>
      <c r="G61" s="178">
        <v>1</v>
      </c>
      <c r="H61" s="458"/>
      <c r="I61" s="459" t="s">
        <v>496</v>
      </c>
      <c r="J61" s="207" t="s">
        <v>496</v>
      </c>
      <c r="K61" s="208" t="s">
        <v>496</v>
      </c>
      <c r="L61" s="209" t="s">
        <v>496</v>
      </c>
      <c r="M61" s="207" t="s">
        <v>496</v>
      </c>
      <c r="N61" s="210"/>
      <c r="O61" s="210"/>
      <c r="P61" s="210"/>
      <c r="Q61" s="211" t="s">
        <v>500</v>
      </c>
      <c r="R61" s="212" t="s">
        <v>500</v>
      </c>
      <c r="S61" s="212" t="s">
        <v>500</v>
      </c>
      <c r="T61" s="212" t="s">
        <v>500</v>
      </c>
      <c r="U61" s="212" t="s">
        <v>500</v>
      </c>
      <c r="V61" s="460" t="s">
        <v>496</v>
      </c>
      <c r="W61" s="213" t="s">
        <v>496</v>
      </c>
      <c r="X61" s="214" t="s">
        <v>496</v>
      </c>
      <c r="Y61" s="215" t="s">
        <v>496</v>
      </c>
      <c r="Z61" s="216" t="s">
        <v>165</v>
      </c>
      <c r="AA61" s="217" t="s">
        <v>496</v>
      </c>
      <c r="AB61" s="217" t="s">
        <v>496</v>
      </c>
      <c r="AC61" s="217" t="s">
        <v>496</v>
      </c>
      <c r="AD61" s="218" t="s">
        <v>496</v>
      </c>
      <c r="AE61" s="219" t="s">
        <v>496</v>
      </c>
      <c r="AF61" s="219">
        <v>4989117</v>
      </c>
      <c r="AG61" s="219">
        <v>5.5599999999999997E-2</v>
      </c>
      <c r="AH61" s="219">
        <v>5266512</v>
      </c>
      <c r="AI61" s="461" t="s">
        <v>496</v>
      </c>
      <c r="AJ61" s="220" t="s">
        <v>496</v>
      </c>
      <c r="AK61" s="221" t="s">
        <v>496</v>
      </c>
      <c r="AL61" s="222" t="s">
        <v>496</v>
      </c>
      <c r="AM61" s="223" t="s">
        <v>166</v>
      </c>
      <c r="AN61" s="224" t="s">
        <v>496</v>
      </c>
      <c r="AO61" s="224" t="s">
        <v>496</v>
      </c>
      <c r="AP61" s="225" t="s">
        <v>496</v>
      </c>
      <c r="AQ61" s="226">
        <v>4276386</v>
      </c>
      <c r="AR61" s="227">
        <v>812513</v>
      </c>
      <c r="AS61" s="227">
        <v>5088899</v>
      </c>
      <c r="AT61" s="227">
        <v>4276386</v>
      </c>
      <c r="AU61" s="227">
        <v>5088899</v>
      </c>
      <c r="AV61" s="228">
        <v>5177706</v>
      </c>
      <c r="AW61" s="228">
        <v>5177706</v>
      </c>
      <c r="AX61" s="228">
        <v>125591.05</v>
      </c>
      <c r="AY61" s="229">
        <v>2.4299999999999999E-2</v>
      </c>
      <c r="AZ61" s="230"/>
      <c r="BI61" s="232"/>
      <c r="BJ61" s="232"/>
      <c r="BK61" s="232"/>
      <c r="BL61" s="232"/>
      <c r="BM61" s="232"/>
      <c r="BN61" s="232"/>
      <c r="BO61" s="232"/>
      <c r="BP61" s="232"/>
      <c r="BQ61" s="232"/>
      <c r="BR61" s="232"/>
      <c r="BS61" s="232"/>
      <c r="BT61" s="232"/>
      <c r="BU61" s="232"/>
      <c r="BV61" s="232"/>
    </row>
    <row r="62" spans="1:74" s="231" customFormat="1" ht="378" hidden="1" x14ac:dyDescent="0.25">
      <c r="A62" s="205" t="s">
        <v>496</v>
      </c>
      <c r="B62" s="205" t="s">
        <v>496</v>
      </c>
      <c r="C62" s="205" t="s">
        <v>496</v>
      </c>
      <c r="D62" s="205" t="s">
        <v>623</v>
      </c>
      <c r="E62" s="206" t="s">
        <v>624</v>
      </c>
      <c r="F62" s="458" t="s">
        <v>499</v>
      </c>
      <c r="G62" s="178">
        <v>1</v>
      </c>
      <c r="H62" s="458"/>
      <c r="I62" s="459" t="s">
        <v>496</v>
      </c>
      <c r="J62" s="207" t="s">
        <v>496</v>
      </c>
      <c r="K62" s="208" t="s">
        <v>496</v>
      </c>
      <c r="L62" s="209" t="s">
        <v>496</v>
      </c>
      <c r="M62" s="207" t="s">
        <v>496</v>
      </c>
      <c r="N62" s="210"/>
      <c r="O62" s="210"/>
      <c r="P62" s="210"/>
      <c r="Q62" s="211" t="s">
        <v>500</v>
      </c>
      <c r="R62" s="212" t="s">
        <v>500</v>
      </c>
      <c r="S62" s="212" t="s">
        <v>500</v>
      </c>
      <c r="T62" s="212" t="s">
        <v>500</v>
      </c>
      <c r="U62" s="212" t="s">
        <v>500</v>
      </c>
      <c r="V62" s="460" t="s">
        <v>496</v>
      </c>
      <c r="W62" s="213" t="s">
        <v>496</v>
      </c>
      <c r="X62" s="214" t="s">
        <v>496</v>
      </c>
      <c r="Y62" s="215" t="s">
        <v>496</v>
      </c>
      <c r="Z62" s="216" t="s">
        <v>165</v>
      </c>
      <c r="AA62" s="217" t="s">
        <v>496</v>
      </c>
      <c r="AB62" s="217" t="s">
        <v>496</v>
      </c>
      <c r="AC62" s="217" t="s">
        <v>496</v>
      </c>
      <c r="AD62" s="218" t="s">
        <v>496</v>
      </c>
      <c r="AE62" s="219" t="s">
        <v>496</v>
      </c>
      <c r="AF62" s="219">
        <v>5400011</v>
      </c>
      <c r="AG62" s="219">
        <v>5.5599999999999997E-2</v>
      </c>
      <c r="AH62" s="219">
        <v>5700252</v>
      </c>
      <c r="AI62" s="461" t="s">
        <v>496</v>
      </c>
      <c r="AJ62" s="220" t="s">
        <v>496</v>
      </c>
      <c r="AK62" s="221" t="s">
        <v>496</v>
      </c>
      <c r="AL62" s="222" t="s">
        <v>496</v>
      </c>
      <c r="AM62" s="223" t="s">
        <v>166</v>
      </c>
      <c r="AN62" s="224" t="s">
        <v>496</v>
      </c>
      <c r="AO62" s="224" t="s">
        <v>496</v>
      </c>
      <c r="AP62" s="225" t="s">
        <v>496</v>
      </c>
      <c r="AQ62" s="226">
        <v>4628581</v>
      </c>
      <c r="AR62" s="227">
        <v>879430</v>
      </c>
      <c r="AS62" s="227">
        <v>5508011</v>
      </c>
      <c r="AT62" s="227">
        <v>4628581</v>
      </c>
      <c r="AU62" s="227">
        <v>5508011</v>
      </c>
      <c r="AV62" s="228">
        <v>5604132</v>
      </c>
      <c r="AW62" s="228">
        <v>5604132</v>
      </c>
      <c r="AX62" s="228">
        <v>135934.49</v>
      </c>
      <c r="AY62" s="229">
        <v>2.4299999999999999E-2</v>
      </c>
      <c r="AZ62" s="230"/>
      <c r="BI62" s="232"/>
      <c r="BJ62" s="232"/>
      <c r="BK62" s="232"/>
      <c r="BL62" s="232"/>
      <c r="BM62" s="232"/>
      <c r="BN62" s="232"/>
      <c r="BO62" s="232"/>
      <c r="BP62" s="232"/>
      <c r="BQ62" s="232"/>
      <c r="BR62" s="232"/>
      <c r="BS62" s="232"/>
      <c r="BT62" s="232"/>
      <c r="BU62" s="232"/>
      <c r="BV62" s="232"/>
    </row>
    <row r="63" spans="1:74" s="231" customFormat="1" ht="378" hidden="1" x14ac:dyDescent="0.25">
      <c r="A63" s="205" t="s">
        <v>496</v>
      </c>
      <c r="B63" s="205" t="s">
        <v>496</v>
      </c>
      <c r="C63" s="205" t="s">
        <v>496</v>
      </c>
      <c r="D63" s="205" t="s">
        <v>625</v>
      </c>
      <c r="E63" s="206" t="s">
        <v>626</v>
      </c>
      <c r="F63" s="458" t="s">
        <v>499</v>
      </c>
      <c r="G63" s="178">
        <v>1</v>
      </c>
      <c r="H63" s="458"/>
      <c r="I63" s="459" t="s">
        <v>496</v>
      </c>
      <c r="J63" s="207" t="s">
        <v>496</v>
      </c>
      <c r="K63" s="208" t="s">
        <v>496</v>
      </c>
      <c r="L63" s="209" t="s">
        <v>496</v>
      </c>
      <c r="M63" s="207" t="s">
        <v>496</v>
      </c>
      <c r="N63" s="210"/>
      <c r="O63" s="210"/>
      <c r="P63" s="210"/>
      <c r="Q63" s="211" t="s">
        <v>500</v>
      </c>
      <c r="R63" s="212" t="s">
        <v>500</v>
      </c>
      <c r="S63" s="212" t="s">
        <v>500</v>
      </c>
      <c r="T63" s="212" t="s">
        <v>500</v>
      </c>
      <c r="U63" s="212" t="s">
        <v>500</v>
      </c>
      <c r="V63" s="460" t="s">
        <v>496</v>
      </c>
      <c r="W63" s="213" t="s">
        <v>496</v>
      </c>
      <c r="X63" s="214" t="s">
        <v>496</v>
      </c>
      <c r="Y63" s="215" t="s">
        <v>496</v>
      </c>
      <c r="Z63" s="216" t="s">
        <v>165</v>
      </c>
      <c r="AA63" s="217" t="s">
        <v>496</v>
      </c>
      <c r="AB63" s="217" t="s">
        <v>496</v>
      </c>
      <c r="AC63" s="217" t="s">
        <v>496</v>
      </c>
      <c r="AD63" s="218" t="s">
        <v>496</v>
      </c>
      <c r="AE63" s="219" t="s">
        <v>496</v>
      </c>
      <c r="AF63" s="219">
        <v>7600023</v>
      </c>
      <c r="AG63" s="219">
        <v>5.5599999999999997E-2</v>
      </c>
      <c r="AH63" s="219">
        <v>8022584</v>
      </c>
      <c r="AI63" s="461" t="s">
        <v>496</v>
      </c>
      <c r="AJ63" s="220" t="s">
        <v>496</v>
      </c>
      <c r="AK63" s="221" t="s">
        <v>496</v>
      </c>
      <c r="AL63" s="222" t="s">
        <v>496</v>
      </c>
      <c r="AM63" s="223" t="s">
        <v>166</v>
      </c>
      <c r="AN63" s="224" t="s">
        <v>496</v>
      </c>
      <c r="AO63" s="224" t="s">
        <v>496</v>
      </c>
      <c r="AP63" s="225" t="s">
        <v>496</v>
      </c>
      <c r="AQ63" s="226">
        <v>6705902</v>
      </c>
      <c r="AR63" s="227">
        <v>1274121</v>
      </c>
      <c r="AS63" s="227">
        <v>7980024</v>
      </c>
      <c r="AT63" s="227">
        <v>6705902</v>
      </c>
      <c r="AU63" s="227">
        <v>7980024</v>
      </c>
      <c r="AV63" s="228">
        <v>8001304</v>
      </c>
      <c r="AW63" s="228">
        <v>8001304</v>
      </c>
      <c r="AX63" s="228">
        <v>30094.55</v>
      </c>
      <c r="AY63" s="229">
        <v>3.8E-3</v>
      </c>
      <c r="AZ63" s="230"/>
      <c r="BI63" s="232"/>
      <c r="BJ63" s="232"/>
      <c r="BK63" s="232"/>
      <c r="BL63" s="232"/>
      <c r="BM63" s="232"/>
      <c r="BN63" s="232"/>
      <c r="BO63" s="232"/>
      <c r="BP63" s="232"/>
      <c r="BQ63" s="232"/>
      <c r="BR63" s="232"/>
      <c r="BS63" s="232"/>
      <c r="BT63" s="232"/>
      <c r="BU63" s="232"/>
      <c r="BV63" s="232"/>
    </row>
    <row r="64" spans="1:74" s="231" customFormat="1" ht="378" hidden="1" x14ac:dyDescent="0.25">
      <c r="A64" s="205" t="s">
        <v>496</v>
      </c>
      <c r="B64" s="205" t="s">
        <v>496</v>
      </c>
      <c r="C64" s="205" t="s">
        <v>496</v>
      </c>
      <c r="D64" s="205" t="s">
        <v>627</v>
      </c>
      <c r="E64" s="206" t="s">
        <v>628</v>
      </c>
      <c r="F64" s="458" t="s">
        <v>499</v>
      </c>
      <c r="G64" s="178">
        <v>1</v>
      </c>
      <c r="H64" s="458"/>
      <c r="I64" s="459" t="s">
        <v>496</v>
      </c>
      <c r="J64" s="207" t="s">
        <v>496</v>
      </c>
      <c r="K64" s="208" t="s">
        <v>496</v>
      </c>
      <c r="L64" s="209" t="s">
        <v>496</v>
      </c>
      <c r="M64" s="207" t="s">
        <v>496</v>
      </c>
      <c r="N64" s="210"/>
      <c r="O64" s="210"/>
      <c r="P64" s="210"/>
      <c r="Q64" s="211" t="s">
        <v>500</v>
      </c>
      <c r="R64" s="212" t="s">
        <v>500</v>
      </c>
      <c r="S64" s="212" t="s">
        <v>500</v>
      </c>
      <c r="T64" s="212" t="s">
        <v>500</v>
      </c>
      <c r="U64" s="212" t="s">
        <v>500</v>
      </c>
      <c r="V64" s="460" t="s">
        <v>496</v>
      </c>
      <c r="W64" s="213" t="s">
        <v>496</v>
      </c>
      <c r="X64" s="214" t="s">
        <v>496</v>
      </c>
      <c r="Y64" s="215" t="s">
        <v>496</v>
      </c>
      <c r="Z64" s="216" t="s">
        <v>165</v>
      </c>
      <c r="AA64" s="217" t="s">
        <v>496</v>
      </c>
      <c r="AB64" s="217" t="s">
        <v>496</v>
      </c>
      <c r="AC64" s="217" t="s">
        <v>496</v>
      </c>
      <c r="AD64" s="218" t="s">
        <v>496</v>
      </c>
      <c r="AE64" s="219" t="s">
        <v>496</v>
      </c>
      <c r="AF64" s="219">
        <v>99787</v>
      </c>
      <c r="AG64" s="219">
        <v>5.5599999999999997E-2</v>
      </c>
      <c r="AH64" s="219">
        <v>105335</v>
      </c>
      <c r="AI64" s="461" t="s">
        <v>496</v>
      </c>
      <c r="AJ64" s="220" t="s">
        <v>496</v>
      </c>
      <c r="AK64" s="221" t="s">
        <v>496</v>
      </c>
      <c r="AL64" s="222" t="s">
        <v>496</v>
      </c>
      <c r="AM64" s="223" t="s">
        <v>166</v>
      </c>
      <c r="AN64" s="224" t="s">
        <v>496</v>
      </c>
      <c r="AO64" s="224" t="s">
        <v>496</v>
      </c>
      <c r="AP64" s="225" t="s">
        <v>496</v>
      </c>
      <c r="AQ64" s="226">
        <v>85532</v>
      </c>
      <c r="AR64" s="227">
        <v>16251</v>
      </c>
      <c r="AS64" s="227">
        <v>101783</v>
      </c>
      <c r="AT64" s="227">
        <v>85532</v>
      </c>
      <c r="AU64" s="227">
        <v>101783</v>
      </c>
      <c r="AV64" s="228">
        <v>103559</v>
      </c>
      <c r="AW64" s="228">
        <v>103559</v>
      </c>
      <c r="AX64" s="228">
        <v>2511.94</v>
      </c>
      <c r="AY64" s="229">
        <v>2.4299999999999999E-2</v>
      </c>
      <c r="AZ64" s="230"/>
      <c r="BI64" s="232"/>
      <c r="BJ64" s="232"/>
      <c r="BK64" s="232"/>
      <c r="BL64" s="232"/>
      <c r="BM64" s="232"/>
      <c r="BN64" s="232"/>
      <c r="BO64" s="232"/>
      <c r="BP64" s="232"/>
      <c r="BQ64" s="232"/>
      <c r="BR64" s="232"/>
      <c r="BS64" s="232"/>
      <c r="BT64" s="232"/>
      <c r="BU64" s="232"/>
      <c r="BV64" s="232"/>
    </row>
    <row r="65" spans="1:74" s="231" customFormat="1" ht="94.5" hidden="1" x14ac:dyDescent="0.25">
      <c r="A65" s="205" t="s">
        <v>438</v>
      </c>
      <c r="B65" s="205" t="s">
        <v>487</v>
      </c>
      <c r="C65" s="205" t="s">
        <v>524</v>
      </c>
      <c r="D65" s="205" t="s">
        <v>629</v>
      </c>
      <c r="E65" s="206" t="s">
        <v>630</v>
      </c>
      <c r="F65" s="458" t="s">
        <v>41</v>
      </c>
      <c r="G65" s="178">
        <v>1</v>
      </c>
      <c r="H65" s="458" t="s">
        <v>88</v>
      </c>
      <c r="I65" s="459" t="s">
        <v>605</v>
      </c>
      <c r="J65" s="207">
        <v>46071</v>
      </c>
      <c r="K65" s="208" t="s">
        <v>527</v>
      </c>
      <c r="L65" s="209" t="s">
        <v>446</v>
      </c>
      <c r="M65" s="207" t="s">
        <v>528</v>
      </c>
      <c r="N65" s="210">
        <v>3280000</v>
      </c>
      <c r="O65" s="210" t="s">
        <v>450</v>
      </c>
      <c r="P65" s="210" t="s">
        <v>444</v>
      </c>
      <c r="Q65" s="211">
        <f>IF(O65="IVA Incluido",(N65/1.19),N65)</f>
        <v>3280000</v>
      </c>
      <c r="R65" s="212">
        <f>IF(P65="Si tiene IVA",Q65*19%,0)</f>
        <v>623200</v>
      </c>
      <c r="S65" s="212">
        <f>Q65+R65</f>
        <v>3903200</v>
      </c>
      <c r="T65" s="212">
        <f>IF(B65="","",(N65*G65))</f>
        <v>3280000</v>
      </c>
      <c r="U65" s="212">
        <f>IF(B65="","",(S65*G65))</f>
        <v>3903200</v>
      </c>
      <c r="V65" s="460" t="s">
        <v>598</v>
      </c>
      <c r="W65" s="213">
        <v>46071</v>
      </c>
      <c r="X65" s="214" t="s">
        <v>529</v>
      </c>
      <c r="Y65" s="215" t="s">
        <v>446</v>
      </c>
      <c r="Z65" s="216" t="s">
        <v>530</v>
      </c>
      <c r="AA65" s="217">
        <v>5000000</v>
      </c>
      <c r="AB65" s="217" t="s">
        <v>450</v>
      </c>
      <c r="AC65" s="217" t="s">
        <v>444</v>
      </c>
      <c r="AD65" s="218">
        <f>IF(AB65="IVA Incluido",(AA65/1.19),AA65)</f>
        <v>5000000</v>
      </c>
      <c r="AE65" s="219">
        <f>IF(AC65="Si tiene IVA",AD65*19%,0)</f>
        <v>950000</v>
      </c>
      <c r="AF65" s="219">
        <f>AD65+AE65</f>
        <v>5950000</v>
      </c>
      <c r="AG65" s="219">
        <f>IF(O65="","",(AA65*G65))</f>
        <v>5000000</v>
      </c>
      <c r="AH65" s="219">
        <f>IF(O65="","",(AF65*G65))</f>
        <v>5950000</v>
      </c>
      <c r="AI65" s="461" t="s">
        <v>598</v>
      </c>
      <c r="AJ65" s="220">
        <v>46071</v>
      </c>
      <c r="AK65" s="221" t="s">
        <v>531</v>
      </c>
      <c r="AL65" s="222" t="s">
        <v>446</v>
      </c>
      <c r="AM65" s="223" t="s">
        <v>181</v>
      </c>
      <c r="AN65" s="224">
        <v>4200000</v>
      </c>
      <c r="AO65" s="224" t="s">
        <v>450</v>
      </c>
      <c r="AP65" s="225" t="s">
        <v>444</v>
      </c>
      <c r="AQ65" s="226">
        <f>IF(AO65="IVA Incluido",(AN65/1.19),AN65)</f>
        <v>4200000</v>
      </c>
      <c r="AR65" s="227">
        <f>IF(AP65="Si tiene IVA",AQ65*19%,0)</f>
        <v>798000</v>
      </c>
      <c r="AS65" s="227">
        <f>AQ65+AR65</f>
        <v>4998000</v>
      </c>
      <c r="AT65" s="227">
        <f>IF(AB65="","",(AN65*G65))</f>
        <v>4200000</v>
      </c>
      <c r="AU65" s="227">
        <f>IF(AB65="","",(AS65*G65))</f>
        <v>4998000</v>
      </c>
      <c r="AV65" s="228">
        <f>IF(A65="","",AVERAGE(S65,AF65,AS65))</f>
        <v>4950400</v>
      </c>
      <c r="AW65" s="228">
        <f>IF(A65="","",AVERAGE(U65,AH65,AU65))</f>
        <v>4950400</v>
      </c>
      <c r="AX65" s="228">
        <f>IF(N65="","",STDEV(U65,AH65,AU65))</f>
        <v>1024229.8960682607</v>
      </c>
      <c r="AY65" s="229">
        <f>IF(N65="","",(AX65/AW65))</f>
        <v>0.20689841145528859</v>
      </c>
      <c r="AZ65" s="230"/>
      <c r="BA65" s="231">
        <f>COUNTA(M65,Z65,AM65)</f>
        <v>3</v>
      </c>
      <c r="BH65" s="231">
        <v>62</v>
      </c>
      <c r="BI65" s="232"/>
      <c r="BJ65" s="232"/>
      <c r="BK65" s="232"/>
      <c r="BL65" s="232"/>
      <c r="BM65" s="232"/>
      <c r="BN65" s="232"/>
      <c r="BO65" s="232"/>
      <c r="BP65" s="232"/>
      <c r="BQ65" s="232"/>
      <c r="BR65" s="232"/>
      <c r="BS65" s="232"/>
      <c r="BT65" s="232"/>
      <c r="BU65" s="232"/>
      <c r="BV65" s="232"/>
    </row>
    <row r="66" spans="1:74" s="231" customFormat="1" ht="110.25" hidden="1" x14ac:dyDescent="0.25">
      <c r="A66" s="205" t="s">
        <v>438</v>
      </c>
      <c r="B66" s="205" t="s">
        <v>487</v>
      </c>
      <c r="C66" s="205" t="s">
        <v>524</v>
      </c>
      <c r="D66" s="205" t="s">
        <v>631</v>
      </c>
      <c r="E66" s="206" t="s">
        <v>632</v>
      </c>
      <c r="F66" s="458" t="s">
        <v>41</v>
      </c>
      <c r="G66" s="178">
        <v>1</v>
      </c>
      <c r="H66" s="458" t="s">
        <v>88</v>
      </c>
      <c r="I66" s="459" t="s">
        <v>605</v>
      </c>
      <c r="J66" s="207">
        <v>46105</v>
      </c>
      <c r="K66" s="208" t="s">
        <v>596</v>
      </c>
      <c r="L66" s="209" t="s">
        <v>446</v>
      </c>
      <c r="M66" s="207" t="s">
        <v>597</v>
      </c>
      <c r="N66" s="210">
        <v>756303</v>
      </c>
      <c r="O66" s="210" t="s">
        <v>450</v>
      </c>
      <c r="P66" s="210" t="s">
        <v>444</v>
      </c>
      <c r="Q66" s="211">
        <f>IF(O66="IVA Incluido",(N66/1.19),N66)</f>
        <v>756303</v>
      </c>
      <c r="R66" s="212">
        <f>IF(P66="Si tiene IVA",Q66*19%,0)</f>
        <v>143697.57</v>
      </c>
      <c r="S66" s="212">
        <f>Q66+R66</f>
        <v>900000.57000000007</v>
      </c>
      <c r="T66" s="212">
        <f>IF(B66="","",(N66*G66))</f>
        <v>756303</v>
      </c>
      <c r="U66" s="212">
        <f>IF(B66="","",(S66*G66))</f>
        <v>900000.57000000007</v>
      </c>
      <c r="V66" s="460" t="s">
        <v>605</v>
      </c>
      <c r="W66" s="213">
        <v>46056</v>
      </c>
      <c r="X66" s="214" t="s">
        <v>606</v>
      </c>
      <c r="Y66" s="215" t="s">
        <v>446</v>
      </c>
      <c r="Z66" s="216" t="s">
        <v>101</v>
      </c>
      <c r="AA66" s="217">
        <v>815000</v>
      </c>
      <c r="AB66" s="217" t="s">
        <v>450</v>
      </c>
      <c r="AC66" s="217" t="s">
        <v>444</v>
      </c>
      <c r="AD66" s="218">
        <f>IF(AB66="IVA Incluido",(AA66/1.19),AA66)</f>
        <v>815000</v>
      </c>
      <c r="AE66" s="219">
        <f>IF(AC66="Si tiene IVA",AD66*19%,0)</f>
        <v>154850</v>
      </c>
      <c r="AF66" s="219">
        <f>AD66+AE66</f>
        <v>969850</v>
      </c>
      <c r="AG66" s="219">
        <f>IF(AB66="","",(AA66*G66))</f>
        <v>815000</v>
      </c>
      <c r="AH66" s="219">
        <f>IF(AB66="","",(AF66*G66))</f>
        <v>969850</v>
      </c>
      <c r="AI66" s="461"/>
      <c r="AJ66" s="220"/>
      <c r="AK66" s="221"/>
      <c r="AL66" s="222"/>
      <c r="AM66" s="223"/>
      <c r="AN66" s="224"/>
      <c r="AO66" s="224"/>
      <c r="AP66" s="225"/>
      <c r="AQ66" s="226"/>
      <c r="AR66" s="227"/>
      <c r="AS66" s="227"/>
      <c r="AT66" s="227"/>
      <c r="AU66" s="227"/>
      <c r="AV66" s="228">
        <f>IF(A66="","",AVERAGE(S66,AF66,AS66))</f>
        <v>934925.28500000003</v>
      </c>
      <c r="AW66" s="228">
        <f>IF(A66="","",AVERAGE(U66,AH66,AU66))</f>
        <v>934925.28500000003</v>
      </c>
      <c r="AX66" s="228">
        <f>IF(N66="","",STDEV(U66,AH66,AU66))</f>
        <v>49391.005615015027</v>
      </c>
      <c r="AY66" s="229">
        <f>IF(N66="","",(AX66/AW66))</f>
        <v>5.2828826439339512E-2</v>
      </c>
      <c r="AZ66" s="230"/>
      <c r="BA66" s="231">
        <f>COUNTA(M66,Z66,AM66)</f>
        <v>2</v>
      </c>
      <c r="BH66" s="231">
        <v>63</v>
      </c>
      <c r="BI66" s="232"/>
      <c r="BJ66" s="232"/>
      <c r="BK66" s="232"/>
      <c r="BL66" s="232"/>
      <c r="BM66" s="232"/>
      <c r="BN66" s="232"/>
      <c r="BO66" s="232"/>
      <c r="BP66" s="232"/>
      <c r="BQ66" s="232"/>
      <c r="BR66" s="232"/>
      <c r="BS66" s="232"/>
      <c r="BT66" s="232"/>
      <c r="BU66" s="232"/>
      <c r="BV66" s="232"/>
    </row>
    <row r="67" spans="1:74" s="231" customFormat="1" ht="110.25" hidden="1" x14ac:dyDescent="0.25">
      <c r="A67" s="205" t="s">
        <v>438</v>
      </c>
      <c r="B67" s="205" t="s">
        <v>487</v>
      </c>
      <c r="C67" s="205" t="s">
        <v>524</v>
      </c>
      <c r="D67" s="205" t="s">
        <v>633</v>
      </c>
      <c r="E67" s="206" t="s">
        <v>634</v>
      </c>
      <c r="F67" s="458" t="s">
        <v>41</v>
      </c>
      <c r="G67" s="178">
        <v>1</v>
      </c>
      <c r="H67" s="458" t="s">
        <v>88</v>
      </c>
      <c r="I67" s="459" t="s">
        <v>605</v>
      </c>
      <c r="J67" s="207">
        <v>46056</v>
      </c>
      <c r="K67" s="208" t="s">
        <v>606</v>
      </c>
      <c r="L67" s="209" t="s">
        <v>446</v>
      </c>
      <c r="M67" s="207" t="s">
        <v>101</v>
      </c>
      <c r="N67" s="210">
        <v>710000</v>
      </c>
      <c r="O67" s="210" t="s">
        <v>450</v>
      </c>
      <c r="P67" s="210" t="s">
        <v>444</v>
      </c>
      <c r="Q67" s="211">
        <f>IF(O67="IVA Incluido",(N67/1.19),N67)</f>
        <v>710000</v>
      </c>
      <c r="R67" s="212">
        <f>IF(P67="Si tiene IVA",Q67*19%,0)</f>
        <v>134900</v>
      </c>
      <c r="S67" s="212">
        <f>Q67+R67</f>
        <v>844900</v>
      </c>
      <c r="T67" s="212">
        <f>IF(B67="","",(N67*G67))</f>
        <v>710000</v>
      </c>
      <c r="U67" s="212">
        <f>IF(B67="","",(S67*G67))</f>
        <v>844900</v>
      </c>
      <c r="V67" s="460" t="s">
        <v>605</v>
      </c>
      <c r="W67" s="213">
        <v>46105</v>
      </c>
      <c r="X67" s="214" t="s">
        <v>596</v>
      </c>
      <c r="Y67" s="215" t="s">
        <v>446</v>
      </c>
      <c r="Z67" s="216" t="s">
        <v>597</v>
      </c>
      <c r="AA67" s="217">
        <v>756303</v>
      </c>
      <c r="AB67" s="217" t="s">
        <v>450</v>
      </c>
      <c r="AC67" s="217" t="s">
        <v>444</v>
      </c>
      <c r="AD67" s="218">
        <f>IF(AB67="IVA Incluido",(AA67/1.19),AA67)</f>
        <v>756303</v>
      </c>
      <c r="AE67" s="219">
        <f>IF(AC67="Si tiene IVA",AD67*19%,0)</f>
        <v>143697.57</v>
      </c>
      <c r="AF67" s="219">
        <f>AD67+AE67</f>
        <v>900000.57000000007</v>
      </c>
      <c r="AG67" s="219">
        <f>IF(O67="","",(AA67*G67))</f>
        <v>756303</v>
      </c>
      <c r="AH67" s="219">
        <f>IF(O67="","",(AF67*G67))</f>
        <v>900000.57000000007</v>
      </c>
      <c r="AI67" s="461"/>
      <c r="AJ67" s="220"/>
      <c r="AK67" s="221"/>
      <c r="AL67" s="222"/>
      <c r="AM67" s="223"/>
      <c r="AN67" s="224"/>
      <c r="AO67" s="224"/>
      <c r="AP67" s="225"/>
      <c r="AQ67" s="226"/>
      <c r="AR67" s="227"/>
      <c r="AS67" s="227"/>
      <c r="AT67" s="227"/>
      <c r="AU67" s="227"/>
      <c r="AV67" s="228">
        <f>IF(A67="","",AVERAGE(S67,AF67,AS67))</f>
        <v>872450.28500000003</v>
      </c>
      <c r="AW67" s="228">
        <f>IF(A67="","",AVERAGE(U67,AH67,AU67))</f>
        <v>872450.28500000003</v>
      </c>
      <c r="AX67" s="228">
        <f>IF(N67="","",STDEV(U67,AH67,AU67))</f>
        <v>38961.986694244093</v>
      </c>
      <c r="AY67" s="229">
        <f>IF(N67="","",(AX67/AW67))</f>
        <v>4.465811675933385E-2</v>
      </c>
      <c r="AZ67" s="230"/>
      <c r="BA67" s="231">
        <f>COUNTA(M67,Z67,AM67)</f>
        <v>2</v>
      </c>
      <c r="BH67" s="231">
        <v>64</v>
      </c>
      <c r="BI67" s="232"/>
      <c r="BJ67" s="232"/>
      <c r="BK67" s="232"/>
      <c r="BL67" s="232"/>
      <c r="BM67" s="232"/>
      <c r="BN67" s="232"/>
      <c r="BO67" s="232"/>
      <c r="BP67" s="232"/>
      <c r="BQ67" s="232"/>
      <c r="BR67" s="232"/>
      <c r="BS67" s="232"/>
      <c r="BT67" s="232"/>
      <c r="BU67" s="232"/>
      <c r="BV67" s="232"/>
    </row>
    <row r="68" spans="1:74" s="231" customFormat="1" ht="378" hidden="1" x14ac:dyDescent="0.25">
      <c r="A68" s="205" t="s">
        <v>496</v>
      </c>
      <c r="B68" s="205" t="s">
        <v>496</v>
      </c>
      <c r="C68" s="205" t="s">
        <v>496</v>
      </c>
      <c r="D68" s="205" t="s">
        <v>635</v>
      </c>
      <c r="E68" s="206" t="s">
        <v>636</v>
      </c>
      <c r="F68" s="458" t="s">
        <v>499</v>
      </c>
      <c r="G68" s="178">
        <v>1</v>
      </c>
      <c r="H68" s="458"/>
      <c r="I68" s="459" t="s">
        <v>496</v>
      </c>
      <c r="J68" s="207" t="s">
        <v>496</v>
      </c>
      <c r="K68" s="208" t="s">
        <v>496</v>
      </c>
      <c r="L68" s="209" t="s">
        <v>496</v>
      </c>
      <c r="M68" s="207" t="s">
        <v>496</v>
      </c>
      <c r="N68" s="210"/>
      <c r="O68" s="210"/>
      <c r="P68" s="210"/>
      <c r="Q68" s="211" t="s">
        <v>500</v>
      </c>
      <c r="R68" s="212" t="s">
        <v>500</v>
      </c>
      <c r="S68" s="212" t="s">
        <v>500</v>
      </c>
      <c r="T68" s="212" t="s">
        <v>500</v>
      </c>
      <c r="U68" s="212" t="s">
        <v>500</v>
      </c>
      <c r="V68" s="460" t="s">
        <v>496</v>
      </c>
      <c r="W68" s="213" t="s">
        <v>496</v>
      </c>
      <c r="X68" s="214" t="s">
        <v>496</v>
      </c>
      <c r="Y68" s="215" t="s">
        <v>496</v>
      </c>
      <c r="Z68" s="216" t="s">
        <v>165</v>
      </c>
      <c r="AA68" s="217" t="s">
        <v>496</v>
      </c>
      <c r="AB68" s="217" t="s">
        <v>496</v>
      </c>
      <c r="AC68" s="217" t="s">
        <v>496</v>
      </c>
      <c r="AD68" s="218" t="s">
        <v>496</v>
      </c>
      <c r="AE68" s="219" t="s">
        <v>496</v>
      </c>
      <c r="AF68" s="219">
        <v>2226336</v>
      </c>
      <c r="AG68" s="219">
        <v>5.5599999999999997E-2</v>
      </c>
      <c r="AH68" s="219">
        <v>2350120</v>
      </c>
      <c r="AI68" s="461" t="s">
        <v>496</v>
      </c>
      <c r="AJ68" s="220" t="s">
        <v>496</v>
      </c>
      <c r="AK68" s="221" t="s">
        <v>496</v>
      </c>
      <c r="AL68" s="222" t="s">
        <v>496</v>
      </c>
      <c r="AM68" s="223" t="s">
        <v>166</v>
      </c>
      <c r="AN68" s="224" t="s">
        <v>496</v>
      </c>
      <c r="AO68" s="224" t="s">
        <v>496</v>
      </c>
      <c r="AP68" s="225" t="s">
        <v>496</v>
      </c>
      <c r="AQ68" s="226">
        <v>1945705</v>
      </c>
      <c r="AR68" s="227">
        <v>369684</v>
      </c>
      <c r="AS68" s="227">
        <v>2315389</v>
      </c>
      <c r="AT68" s="227">
        <v>1945705</v>
      </c>
      <c r="AU68" s="227">
        <v>2315389</v>
      </c>
      <c r="AV68" s="228">
        <v>2332754</v>
      </c>
      <c r="AW68" s="228">
        <v>2332754</v>
      </c>
      <c r="AX68" s="228">
        <v>24558.41</v>
      </c>
      <c r="AY68" s="229">
        <v>1.0500000000000001E-2</v>
      </c>
      <c r="AZ68" s="230"/>
      <c r="BI68" s="232"/>
      <c r="BJ68" s="232"/>
      <c r="BK68" s="232"/>
      <c r="BL68" s="232"/>
      <c r="BM68" s="232"/>
      <c r="BN68" s="232"/>
      <c r="BO68" s="232"/>
      <c r="BP68" s="232"/>
      <c r="BQ68" s="232"/>
      <c r="BR68" s="232"/>
      <c r="BS68" s="232"/>
      <c r="BT68" s="232"/>
      <c r="BU68" s="232"/>
      <c r="BV68" s="232"/>
    </row>
    <row r="69" spans="1:74" s="231" customFormat="1" ht="110.25" hidden="1" x14ac:dyDescent="0.25">
      <c r="A69" s="205" t="s">
        <v>438</v>
      </c>
      <c r="B69" s="205" t="s">
        <v>487</v>
      </c>
      <c r="C69" s="205" t="s">
        <v>524</v>
      </c>
      <c r="D69" s="205" t="s">
        <v>637</v>
      </c>
      <c r="E69" s="206" t="s">
        <v>638</v>
      </c>
      <c r="F69" s="458" t="s">
        <v>41</v>
      </c>
      <c r="G69" s="178">
        <v>1</v>
      </c>
      <c r="H69" s="458" t="s">
        <v>88</v>
      </c>
      <c r="I69" s="459" t="s">
        <v>605</v>
      </c>
      <c r="J69" s="207">
        <v>46056</v>
      </c>
      <c r="K69" s="208" t="s">
        <v>606</v>
      </c>
      <c r="L69" s="209" t="s">
        <v>446</v>
      </c>
      <c r="M69" s="207" t="s">
        <v>101</v>
      </c>
      <c r="N69" s="210">
        <v>890000</v>
      </c>
      <c r="O69" s="210" t="s">
        <v>450</v>
      </c>
      <c r="P69" s="210" t="s">
        <v>444</v>
      </c>
      <c r="Q69" s="211">
        <f>IF(O69="IVA Incluido",(N69/1.19),N69)</f>
        <v>890000</v>
      </c>
      <c r="R69" s="212">
        <f>IF(P69="Si tiene IVA",Q69*19%,0)</f>
        <v>169100</v>
      </c>
      <c r="S69" s="212">
        <f>Q69+R69</f>
        <v>1059100</v>
      </c>
      <c r="T69" s="212">
        <f>IF(B69="","",(N69*G69))</f>
        <v>890000</v>
      </c>
      <c r="U69" s="212">
        <f>IF(B69="","",(S69*G69))</f>
        <v>1059100</v>
      </c>
      <c r="V69" s="460" t="s">
        <v>616</v>
      </c>
      <c r="W69" s="213">
        <v>46105</v>
      </c>
      <c r="X69" s="214" t="s">
        <v>596</v>
      </c>
      <c r="Y69" s="215" t="s">
        <v>446</v>
      </c>
      <c r="Z69" s="216" t="s">
        <v>597</v>
      </c>
      <c r="AA69" s="217">
        <v>840336</v>
      </c>
      <c r="AB69" s="217" t="s">
        <v>450</v>
      </c>
      <c r="AC69" s="217" t="s">
        <v>444</v>
      </c>
      <c r="AD69" s="218">
        <f>IF(AB69="IVA Incluido",(AA69/1.19),AA69)</f>
        <v>840336</v>
      </c>
      <c r="AE69" s="219">
        <f>IF(AC69="Si tiene IVA",AD69*19%,0)</f>
        <v>159663.84</v>
      </c>
      <c r="AF69" s="219">
        <f>AD69+AE69</f>
        <v>999999.84</v>
      </c>
      <c r="AG69" s="219">
        <f>IF(O69="","",(AA69*G69))</f>
        <v>840336</v>
      </c>
      <c r="AH69" s="219">
        <f>IF(O69="","",(AF69*G69))</f>
        <v>999999.84</v>
      </c>
      <c r="AI69" s="461" t="s">
        <v>616</v>
      </c>
      <c r="AJ69" s="220">
        <v>46070</v>
      </c>
      <c r="AK69" s="221" t="s">
        <v>639</v>
      </c>
      <c r="AL69" s="222" t="s">
        <v>446</v>
      </c>
      <c r="AM69" s="223" t="s">
        <v>640</v>
      </c>
      <c r="AN69" s="224">
        <v>650000</v>
      </c>
      <c r="AO69" s="224" t="s">
        <v>450</v>
      </c>
      <c r="AP69" s="225" t="s">
        <v>444</v>
      </c>
      <c r="AQ69" s="226">
        <f>IF(AO69="IVA Incluido",(AN69/1.19),AN69)</f>
        <v>650000</v>
      </c>
      <c r="AR69" s="227">
        <f>IF(AP69="Si tiene IVA",AQ69*19%,0)</f>
        <v>123500</v>
      </c>
      <c r="AS69" s="227">
        <f>AQ69+AR69</f>
        <v>773500</v>
      </c>
      <c r="AT69" s="227">
        <f>IF(AB69="","",(AN69*G69))</f>
        <v>650000</v>
      </c>
      <c r="AU69" s="227">
        <f>IF(AB69="","",(AS69*G69))</f>
        <v>773500</v>
      </c>
      <c r="AV69" s="228">
        <f>IF(A69="","",AVERAGE(S69,AF69,AS69))</f>
        <v>944199.94666666666</v>
      </c>
      <c r="AW69" s="228">
        <f>IF(A69="","",AVERAGE(U69,AH69,AU69))</f>
        <v>944199.94666666666</v>
      </c>
      <c r="AX69" s="228">
        <f>IF(N69="","",STDEV(U69,AH69,AU69))</f>
        <v>150754.97030615126</v>
      </c>
      <c r="AY69" s="229">
        <f>IF(N69="","",(AX69/AW69))</f>
        <v>0.15966424361531198</v>
      </c>
      <c r="AZ69" s="230"/>
      <c r="BA69" s="231">
        <f>COUNTA(M69,Z69,AM69)</f>
        <v>3</v>
      </c>
      <c r="BH69" s="231">
        <v>65</v>
      </c>
      <c r="BI69" s="232"/>
      <c r="BJ69" s="232"/>
      <c r="BK69" s="232"/>
      <c r="BL69" s="232"/>
      <c r="BM69" s="232"/>
      <c r="BN69" s="232"/>
      <c r="BO69" s="232"/>
      <c r="BP69" s="232"/>
      <c r="BQ69" s="232"/>
      <c r="BR69" s="232"/>
      <c r="BS69" s="232"/>
      <c r="BT69" s="232"/>
      <c r="BU69" s="232"/>
      <c r="BV69" s="232"/>
    </row>
    <row r="70" spans="1:74" s="231" customFormat="1" ht="378" hidden="1" x14ac:dyDescent="0.25">
      <c r="A70" s="205" t="s">
        <v>496</v>
      </c>
      <c r="B70" s="205" t="s">
        <v>496</v>
      </c>
      <c r="C70" s="205" t="s">
        <v>496</v>
      </c>
      <c r="D70" s="205" t="s">
        <v>641</v>
      </c>
      <c r="E70" s="206" t="s">
        <v>642</v>
      </c>
      <c r="F70" s="458" t="s">
        <v>499</v>
      </c>
      <c r="G70" s="178">
        <v>1</v>
      </c>
      <c r="H70" s="458"/>
      <c r="I70" s="459" t="s">
        <v>496</v>
      </c>
      <c r="J70" s="207" t="s">
        <v>496</v>
      </c>
      <c r="K70" s="208" t="s">
        <v>496</v>
      </c>
      <c r="L70" s="209" t="s">
        <v>496</v>
      </c>
      <c r="M70" s="207" t="s">
        <v>496</v>
      </c>
      <c r="N70" s="210"/>
      <c r="O70" s="210"/>
      <c r="P70" s="210"/>
      <c r="Q70" s="211" t="s">
        <v>500</v>
      </c>
      <c r="R70" s="212" t="s">
        <v>500</v>
      </c>
      <c r="S70" s="212" t="s">
        <v>500</v>
      </c>
      <c r="T70" s="212" t="s">
        <v>500</v>
      </c>
      <c r="U70" s="212" t="s">
        <v>500</v>
      </c>
      <c r="V70" s="460" t="s">
        <v>496</v>
      </c>
      <c r="W70" s="213" t="s">
        <v>496</v>
      </c>
      <c r="X70" s="214" t="s">
        <v>496</v>
      </c>
      <c r="Y70" s="215" t="s">
        <v>496</v>
      </c>
      <c r="Z70" s="216" t="s">
        <v>165</v>
      </c>
      <c r="AA70" s="217" t="s">
        <v>496</v>
      </c>
      <c r="AB70" s="217" t="s">
        <v>496</v>
      </c>
      <c r="AC70" s="217" t="s">
        <v>496</v>
      </c>
      <c r="AD70" s="218" t="s">
        <v>496</v>
      </c>
      <c r="AE70" s="219" t="s">
        <v>496</v>
      </c>
      <c r="AF70" s="219">
        <v>1373680</v>
      </c>
      <c r="AG70" s="219">
        <v>5.5599999999999997E-2</v>
      </c>
      <c r="AH70" s="219">
        <v>1450056</v>
      </c>
      <c r="AI70" s="461" t="s">
        <v>496</v>
      </c>
      <c r="AJ70" s="220" t="s">
        <v>496</v>
      </c>
      <c r="AK70" s="221" t="s">
        <v>496</v>
      </c>
      <c r="AL70" s="222" t="s">
        <v>496</v>
      </c>
      <c r="AM70" s="223" t="s">
        <v>166</v>
      </c>
      <c r="AN70" s="224" t="s">
        <v>496</v>
      </c>
      <c r="AO70" s="224" t="s">
        <v>496</v>
      </c>
      <c r="AP70" s="225" t="s">
        <v>496</v>
      </c>
      <c r="AQ70" s="226">
        <v>1200527</v>
      </c>
      <c r="AR70" s="227">
        <v>228100</v>
      </c>
      <c r="AS70" s="227">
        <v>1428627</v>
      </c>
      <c r="AT70" s="227">
        <v>1200527</v>
      </c>
      <c r="AU70" s="227">
        <v>1428627</v>
      </c>
      <c r="AV70" s="228">
        <v>1439341</v>
      </c>
      <c r="AW70" s="228">
        <v>1439341</v>
      </c>
      <c r="AX70" s="228">
        <v>15152.87</v>
      </c>
      <c r="AY70" s="229">
        <v>1.0500000000000001E-2</v>
      </c>
      <c r="AZ70" s="230"/>
      <c r="BI70" s="232"/>
      <c r="BJ70" s="232"/>
      <c r="BK70" s="232"/>
      <c r="BL70" s="232"/>
      <c r="BM70" s="232"/>
      <c r="BN70" s="232"/>
      <c r="BO70" s="232"/>
      <c r="BP70" s="232"/>
      <c r="BQ70" s="232"/>
      <c r="BR70" s="232"/>
      <c r="BS70" s="232"/>
      <c r="BT70" s="232"/>
      <c r="BU70" s="232"/>
      <c r="BV70" s="232"/>
    </row>
    <row r="71" spans="1:74" s="231" customFormat="1" ht="378" hidden="1" x14ac:dyDescent="0.25">
      <c r="A71" s="205" t="s">
        <v>496</v>
      </c>
      <c r="B71" s="205" t="s">
        <v>496</v>
      </c>
      <c r="C71" s="205" t="s">
        <v>496</v>
      </c>
      <c r="D71" s="205" t="s">
        <v>643</v>
      </c>
      <c r="E71" s="206" t="s">
        <v>644</v>
      </c>
      <c r="F71" s="458" t="s">
        <v>499</v>
      </c>
      <c r="G71" s="178">
        <v>1</v>
      </c>
      <c r="H71" s="458"/>
      <c r="I71" s="459" t="s">
        <v>496</v>
      </c>
      <c r="J71" s="207" t="s">
        <v>496</v>
      </c>
      <c r="K71" s="208" t="s">
        <v>496</v>
      </c>
      <c r="L71" s="209" t="s">
        <v>496</v>
      </c>
      <c r="M71" s="207" t="s">
        <v>496</v>
      </c>
      <c r="N71" s="210"/>
      <c r="O71" s="210"/>
      <c r="P71" s="210"/>
      <c r="Q71" s="211" t="s">
        <v>500</v>
      </c>
      <c r="R71" s="212" t="s">
        <v>500</v>
      </c>
      <c r="S71" s="212" t="s">
        <v>500</v>
      </c>
      <c r="T71" s="212" t="s">
        <v>500</v>
      </c>
      <c r="U71" s="212" t="s">
        <v>500</v>
      </c>
      <c r="V71" s="460" t="s">
        <v>496</v>
      </c>
      <c r="W71" s="213" t="s">
        <v>496</v>
      </c>
      <c r="X71" s="214" t="s">
        <v>496</v>
      </c>
      <c r="Y71" s="215" t="s">
        <v>496</v>
      </c>
      <c r="Z71" s="216" t="s">
        <v>165</v>
      </c>
      <c r="AA71" s="217" t="s">
        <v>496</v>
      </c>
      <c r="AB71" s="217" t="s">
        <v>496</v>
      </c>
      <c r="AC71" s="217" t="s">
        <v>496</v>
      </c>
      <c r="AD71" s="218" t="s">
        <v>496</v>
      </c>
      <c r="AE71" s="219" t="s">
        <v>496</v>
      </c>
      <c r="AF71" s="219">
        <v>1930000</v>
      </c>
      <c r="AG71" s="219">
        <v>5.5599999999999997E-2</v>
      </c>
      <c r="AH71" s="219">
        <v>2037308</v>
      </c>
      <c r="AI71" s="461" t="s">
        <v>496</v>
      </c>
      <c r="AJ71" s="220" t="s">
        <v>496</v>
      </c>
      <c r="AK71" s="221" t="s">
        <v>496</v>
      </c>
      <c r="AL71" s="222" t="s">
        <v>496</v>
      </c>
      <c r="AM71" s="223" t="s">
        <v>166</v>
      </c>
      <c r="AN71" s="224" t="s">
        <v>496</v>
      </c>
      <c r="AO71" s="224" t="s">
        <v>496</v>
      </c>
      <c r="AP71" s="225" t="s">
        <v>496</v>
      </c>
      <c r="AQ71" s="226">
        <v>1686723</v>
      </c>
      <c r="AR71" s="227">
        <v>320477</v>
      </c>
      <c r="AS71" s="227">
        <v>2007200</v>
      </c>
      <c r="AT71" s="227">
        <v>1686723</v>
      </c>
      <c r="AU71" s="227">
        <v>2007200</v>
      </c>
      <c r="AV71" s="228">
        <v>2022254</v>
      </c>
      <c r="AW71" s="228">
        <v>2022254</v>
      </c>
      <c r="AX71" s="228">
        <v>21289.57</v>
      </c>
      <c r="AY71" s="229">
        <v>1.0500000000000001E-2</v>
      </c>
      <c r="AZ71" s="230"/>
      <c r="BI71" s="232"/>
      <c r="BJ71" s="232"/>
      <c r="BK71" s="232"/>
      <c r="BL71" s="232"/>
      <c r="BM71" s="232"/>
      <c r="BN71" s="232"/>
      <c r="BO71" s="232"/>
      <c r="BP71" s="232"/>
      <c r="BQ71" s="232"/>
      <c r="BR71" s="232"/>
      <c r="BS71" s="232"/>
      <c r="BT71" s="232"/>
      <c r="BU71" s="232"/>
      <c r="BV71" s="232"/>
    </row>
    <row r="72" spans="1:74" s="231" customFormat="1" ht="110.25" hidden="1" x14ac:dyDescent="0.25">
      <c r="A72" s="205" t="s">
        <v>438</v>
      </c>
      <c r="B72" s="205" t="s">
        <v>487</v>
      </c>
      <c r="C72" s="205" t="s">
        <v>524</v>
      </c>
      <c r="D72" s="205" t="s">
        <v>370</v>
      </c>
      <c r="E72" s="206" t="s">
        <v>180</v>
      </c>
      <c r="F72" s="458" t="s">
        <v>41</v>
      </c>
      <c r="G72" s="178">
        <v>1</v>
      </c>
      <c r="H72" s="458" t="s">
        <v>88</v>
      </c>
      <c r="I72" s="459" t="s">
        <v>605</v>
      </c>
      <c r="J72" s="207">
        <v>46071</v>
      </c>
      <c r="K72" s="208" t="s">
        <v>527</v>
      </c>
      <c r="L72" s="209" t="s">
        <v>446</v>
      </c>
      <c r="M72" s="207" t="s">
        <v>528</v>
      </c>
      <c r="N72" s="210">
        <v>1650000</v>
      </c>
      <c r="O72" s="210" t="s">
        <v>450</v>
      </c>
      <c r="P72" s="210" t="s">
        <v>444</v>
      </c>
      <c r="Q72" s="211">
        <v>1250000</v>
      </c>
      <c r="R72" s="212">
        <f>IF(P72="Si tiene IVA",Q72*19%,0)</f>
        <v>237500</v>
      </c>
      <c r="S72" s="212">
        <f>Q72+R72</f>
        <v>1487500</v>
      </c>
      <c r="T72" s="212">
        <f>IF(B72="","",(N72*G72))</f>
        <v>1650000</v>
      </c>
      <c r="U72" s="212">
        <f>IF(B72="","",(S72*G72))</f>
        <v>1487500</v>
      </c>
      <c r="V72" s="460" t="s">
        <v>440</v>
      </c>
      <c r="W72" s="213">
        <v>46105</v>
      </c>
      <c r="X72" s="214" t="s">
        <v>596</v>
      </c>
      <c r="Y72" s="215" t="s">
        <v>446</v>
      </c>
      <c r="Z72" s="216" t="s">
        <v>597</v>
      </c>
      <c r="AA72" s="217">
        <v>1008403</v>
      </c>
      <c r="AB72" s="217" t="s">
        <v>450</v>
      </c>
      <c r="AC72" s="217" t="s">
        <v>444</v>
      </c>
      <c r="AD72" s="218">
        <f>IF(AB72="IVA Incluido",(AA72/1.19),AA72)</f>
        <v>1008403</v>
      </c>
      <c r="AE72" s="219">
        <f>IF(AC72="Si tiene IVA",AD72*19%,0)</f>
        <v>191596.57</v>
      </c>
      <c r="AF72" s="219">
        <f>AD72+AE72</f>
        <v>1199999.57</v>
      </c>
      <c r="AG72" s="219">
        <f>IF(O72="","",(AA72*G72))</f>
        <v>1008403</v>
      </c>
      <c r="AH72" s="219">
        <f>IF(O72="","",(AF72*G72))</f>
        <v>1199999.57</v>
      </c>
      <c r="AI72" s="461" t="s">
        <v>598</v>
      </c>
      <c r="AJ72" s="220">
        <v>46071</v>
      </c>
      <c r="AK72" s="221" t="s">
        <v>531</v>
      </c>
      <c r="AL72" s="222" t="s">
        <v>446</v>
      </c>
      <c r="AM72" s="223" t="s">
        <v>640</v>
      </c>
      <c r="AN72" s="224">
        <v>1100000</v>
      </c>
      <c r="AO72" s="224" t="s">
        <v>450</v>
      </c>
      <c r="AP72" s="225" t="s">
        <v>444</v>
      </c>
      <c r="AQ72" s="226">
        <f>IF(AO72="IVA Incluido",(AN72/1.19),AN72)</f>
        <v>1100000</v>
      </c>
      <c r="AR72" s="227">
        <f>IF(AP72="Si tiene IVA",AQ72*19%,0)</f>
        <v>209000</v>
      </c>
      <c r="AS72" s="227">
        <f>AQ72+AR72</f>
        <v>1309000</v>
      </c>
      <c r="AT72" s="227">
        <f>IF(AB72="","",(AN72*G72))</f>
        <v>1100000</v>
      </c>
      <c r="AU72" s="227">
        <f>IF(AB72="","",(AS72*G72))</f>
        <v>1309000</v>
      </c>
      <c r="AV72" s="228">
        <f>IF(A72="","",AVERAGE(S72,AF72,AS72))</f>
        <v>1332166.5233333334</v>
      </c>
      <c r="AW72" s="228">
        <f>IF(A72="","",AVERAGE(U72,AH72,AU72))</f>
        <v>1332166.5233333334</v>
      </c>
      <c r="AX72" s="228">
        <f>IF(N72="","",STDEV(U72,AH72,AU72))</f>
        <v>145143.51575272533</v>
      </c>
      <c r="AY72" s="229">
        <f>IF(N72="","",(AX72/AW72))</f>
        <v>0.10895298238657786</v>
      </c>
      <c r="AZ72" s="230"/>
      <c r="BA72" s="231">
        <f>COUNTA(M72,Z72,AM72)</f>
        <v>3</v>
      </c>
      <c r="BH72" s="231">
        <v>66</v>
      </c>
      <c r="BI72" s="232"/>
      <c r="BJ72" s="232"/>
      <c r="BK72" s="232"/>
      <c r="BL72" s="232"/>
      <c r="BM72" s="232"/>
      <c r="BN72" s="232"/>
      <c r="BO72" s="232"/>
      <c r="BP72" s="232"/>
      <c r="BQ72" s="232"/>
      <c r="BR72" s="232"/>
      <c r="BS72" s="232"/>
      <c r="BT72" s="232"/>
      <c r="BU72" s="232"/>
      <c r="BV72" s="232"/>
    </row>
    <row r="73" spans="1:74" s="231" customFormat="1" ht="110.25" hidden="1" x14ac:dyDescent="0.25">
      <c r="A73" s="205" t="s">
        <v>438</v>
      </c>
      <c r="B73" s="205" t="s">
        <v>487</v>
      </c>
      <c r="C73" s="205" t="s">
        <v>524</v>
      </c>
      <c r="D73" s="205" t="s">
        <v>645</v>
      </c>
      <c r="E73" s="206" t="s">
        <v>646</v>
      </c>
      <c r="F73" s="458" t="s">
        <v>41</v>
      </c>
      <c r="G73" s="178">
        <v>1</v>
      </c>
      <c r="H73" s="458" t="s">
        <v>88</v>
      </c>
      <c r="I73" s="459" t="s">
        <v>605</v>
      </c>
      <c r="J73" s="207">
        <v>46056</v>
      </c>
      <c r="K73" s="208" t="s">
        <v>606</v>
      </c>
      <c r="L73" s="209" t="s">
        <v>446</v>
      </c>
      <c r="M73" s="207" t="s">
        <v>101</v>
      </c>
      <c r="N73" s="210">
        <v>987500</v>
      </c>
      <c r="O73" s="210" t="s">
        <v>450</v>
      </c>
      <c r="P73" s="210" t="s">
        <v>444</v>
      </c>
      <c r="Q73" s="211">
        <f>IF(O73="IVA Incluido",(N73/1.19),N73)</f>
        <v>987500</v>
      </c>
      <c r="R73" s="212">
        <f>IF(P73="Si tiene IVA",Q73*19%,0)</f>
        <v>187625</v>
      </c>
      <c r="S73" s="212">
        <f>Q73+R73</f>
        <v>1175125</v>
      </c>
      <c r="T73" s="212">
        <f>IF(B73="","",(N73*G73))</f>
        <v>987500</v>
      </c>
      <c r="U73" s="212">
        <f>IF(B73="","",(S73*G73))</f>
        <v>1175125</v>
      </c>
      <c r="V73" s="460" t="s">
        <v>605</v>
      </c>
      <c r="W73" s="213">
        <v>46105</v>
      </c>
      <c r="X73" s="214" t="s">
        <v>596</v>
      </c>
      <c r="Y73" s="215" t="s">
        <v>446</v>
      </c>
      <c r="Z73" s="216" t="s">
        <v>597</v>
      </c>
      <c r="AA73" s="217">
        <v>1008403</v>
      </c>
      <c r="AB73" s="217" t="s">
        <v>450</v>
      </c>
      <c r="AC73" s="217" t="s">
        <v>444</v>
      </c>
      <c r="AD73" s="218">
        <f>IF(AB73="IVA Incluido",(AA73/1.19),AA73)</f>
        <v>1008403</v>
      </c>
      <c r="AE73" s="219">
        <f>IF(AC73="Si tiene IVA",AD73*19%,0)</f>
        <v>191596.57</v>
      </c>
      <c r="AF73" s="219">
        <f>AD73+AE73</f>
        <v>1199999.57</v>
      </c>
      <c r="AG73" s="219">
        <f>IF(O73="","",(AA73*G73))</f>
        <v>1008403</v>
      </c>
      <c r="AH73" s="219">
        <f>IF(O73="","",(AF73*G73))</f>
        <v>1199999.57</v>
      </c>
      <c r="AI73" s="461"/>
      <c r="AJ73" s="220"/>
      <c r="AK73" s="221"/>
      <c r="AL73" s="222"/>
      <c r="AM73" s="223"/>
      <c r="AN73" s="224"/>
      <c r="AO73" s="224"/>
      <c r="AP73" s="225"/>
      <c r="AQ73" s="226"/>
      <c r="AR73" s="227"/>
      <c r="AS73" s="227"/>
      <c r="AT73" s="227"/>
      <c r="AU73" s="227"/>
      <c r="AV73" s="228">
        <f>IF(A73="","",AVERAGE(S73,AF73,AS73))</f>
        <v>1187562.2850000001</v>
      </c>
      <c r="AW73" s="228">
        <f>IF(A73="","",AVERAGE(U73,AH73,AU73))</f>
        <v>1187562.2850000001</v>
      </c>
      <c r="AX73" s="228">
        <f>IF(N73="","",STDEV(U73,AH73,AU73))</f>
        <v>17588.977126099508</v>
      </c>
      <c r="AY73" s="229">
        <f>IF(N73="","",(AX73/AW73))</f>
        <v>1.4810993367054853E-2</v>
      </c>
      <c r="AZ73" s="230"/>
      <c r="BA73" s="231">
        <f>COUNTA(M73,Z73,AM73)</f>
        <v>2</v>
      </c>
      <c r="BH73" s="231">
        <v>67</v>
      </c>
      <c r="BI73" s="232"/>
      <c r="BJ73" s="232"/>
      <c r="BK73" s="232"/>
      <c r="BL73" s="232"/>
      <c r="BM73" s="232"/>
      <c r="BN73" s="232"/>
      <c r="BO73" s="232"/>
      <c r="BP73" s="232"/>
      <c r="BQ73" s="232"/>
      <c r="BR73" s="232"/>
      <c r="BS73" s="232"/>
      <c r="BT73" s="232"/>
      <c r="BU73" s="232"/>
      <c r="BV73" s="232"/>
    </row>
    <row r="74" spans="1:74" s="231" customFormat="1" ht="94.5" hidden="1" x14ac:dyDescent="0.25">
      <c r="A74" s="205" t="s">
        <v>438</v>
      </c>
      <c r="B74" s="205" t="s">
        <v>487</v>
      </c>
      <c r="C74" s="205" t="s">
        <v>524</v>
      </c>
      <c r="D74" s="205" t="s">
        <v>647</v>
      </c>
      <c r="E74" s="206" t="s">
        <v>648</v>
      </c>
      <c r="F74" s="458" t="s">
        <v>41</v>
      </c>
      <c r="G74" s="178">
        <v>1</v>
      </c>
      <c r="H74" s="458" t="s">
        <v>88</v>
      </c>
      <c r="I74" s="459" t="s">
        <v>605</v>
      </c>
      <c r="J74" s="207">
        <v>46070</v>
      </c>
      <c r="K74" s="208" t="s">
        <v>607</v>
      </c>
      <c r="L74" s="209" t="s">
        <v>446</v>
      </c>
      <c r="M74" s="207" t="s">
        <v>177</v>
      </c>
      <c r="N74" s="210">
        <v>3800000</v>
      </c>
      <c r="O74" s="210" t="s">
        <v>450</v>
      </c>
      <c r="P74" s="210" t="s">
        <v>444</v>
      </c>
      <c r="Q74" s="211">
        <f>IF(O74="IVA Incluido",(N74/1.19),N74)</f>
        <v>3800000</v>
      </c>
      <c r="R74" s="212">
        <f>IF(P74="Si tiene IVA",Q74*19%,0)</f>
        <v>722000</v>
      </c>
      <c r="S74" s="212">
        <f>Q74+R74</f>
        <v>4522000</v>
      </c>
      <c r="T74" s="212">
        <f>IF(B74="","",(N74*G74))</f>
        <v>3800000</v>
      </c>
      <c r="U74" s="212">
        <f>IF(B74="","",(S74*G74))</f>
        <v>4522000</v>
      </c>
      <c r="V74" s="460" t="s">
        <v>605</v>
      </c>
      <c r="W74" s="213">
        <v>46105</v>
      </c>
      <c r="X74" s="214" t="s">
        <v>596</v>
      </c>
      <c r="Y74" s="215" t="s">
        <v>446</v>
      </c>
      <c r="Z74" s="216" t="s">
        <v>597</v>
      </c>
      <c r="AA74" s="217">
        <v>2941177</v>
      </c>
      <c r="AB74" s="217" t="s">
        <v>450</v>
      </c>
      <c r="AC74" s="217" t="s">
        <v>444</v>
      </c>
      <c r="AD74" s="218">
        <f>IF(AB74="IVA Incluido",(AA74/1.19),AA74)</f>
        <v>2941177</v>
      </c>
      <c r="AE74" s="219">
        <f>IF(AC74="Si tiene IVA",AD74*19%,0)</f>
        <v>558823.63</v>
      </c>
      <c r="AF74" s="219">
        <f>AD74+AE74</f>
        <v>3500000.63</v>
      </c>
      <c r="AG74" s="219">
        <f>IF(O74="","",(AA74*G74))</f>
        <v>2941177</v>
      </c>
      <c r="AH74" s="219">
        <f>IF(O74="","",(AF74*G74))</f>
        <v>3500000.63</v>
      </c>
      <c r="AI74" s="461"/>
      <c r="AJ74" s="220"/>
      <c r="AK74" s="221"/>
      <c r="AL74" s="222"/>
      <c r="AM74" s="223"/>
      <c r="AN74" s="224"/>
      <c r="AO74" s="224"/>
      <c r="AP74" s="225"/>
      <c r="AQ74" s="226"/>
      <c r="AR74" s="227"/>
      <c r="AS74" s="227"/>
      <c r="AT74" s="227"/>
      <c r="AU74" s="227"/>
      <c r="AV74" s="228">
        <f>IF(A74="","",AVERAGE(S74,AF74,AS74))</f>
        <v>4011000.3149999999</v>
      </c>
      <c r="AW74" s="228">
        <f>IF(A74="","",AVERAGE(U74,AH74,AU74))</f>
        <v>4011000.3149999999</v>
      </c>
      <c r="AX74" s="228">
        <f>IF(N74="","",STDEV(U74,AH74,AU74))</f>
        <v>722662.68489537993</v>
      </c>
      <c r="AY74" s="229">
        <f>IF(N74="","",(AX74/AW74))</f>
        <v>0.18017018901564957</v>
      </c>
      <c r="AZ74" s="230"/>
      <c r="BA74" s="231">
        <f>COUNTA(M74,Z74,AM74)</f>
        <v>2</v>
      </c>
      <c r="BH74" s="231">
        <v>68</v>
      </c>
      <c r="BI74" s="232"/>
      <c r="BJ74" s="232"/>
      <c r="BK74" s="232"/>
      <c r="BL74" s="232"/>
      <c r="BM74" s="232"/>
      <c r="BN74" s="232"/>
      <c r="BO74" s="232"/>
      <c r="BP74" s="232"/>
      <c r="BQ74" s="232"/>
      <c r="BR74" s="232"/>
      <c r="BS74" s="232"/>
      <c r="BT74" s="232"/>
      <c r="BU74" s="232"/>
      <c r="BV74" s="232"/>
    </row>
    <row r="75" spans="1:74" s="231" customFormat="1" ht="94.5" hidden="1" x14ac:dyDescent="0.25">
      <c r="A75" s="205" t="s">
        <v>438</v>
      </c>
      <c r="B75" s="205" t="s">
        <v>487</v>
      </c>
      <c r="C75" s="205" t="s">
        <v>524</v>
      </c>
      <c r="D75" s="205" t="s">
        <v>649</v>
      </c>
      <c r="E75" s="206" t="s">
        <v>650</v>
      </c>
      <c r="F75" s="458" t="s">
        <v>41</v>
      </c>
      <c r="G75" s="178">
        <v>1</v>
      </c>
      <c r="H75" s="458" t="s">
        <v>88</v>
      </c>
      <c r="I75" s="459" t="s">
        <v>605</v>
      </c>
      <c r="J75" s="207">
        <v>46070</v>
      </c>
      <c r="K75" s="208" t="s">
        <v>607</v>
      </c>
      <c r="L75" s="209" t="s">
        <v>446</v>
      </c>
      <c r="M75" s="207" t="s">
        <v>177</v>
      </c>
      <c r="N75" s="210">
        <v>3800000</v>
      </c>
      <c r="O75" s="210" t="s">
        <v>450</v>
      </c>
      <c r="P75" s="210" t="s">
        <v>444</v>
      </c>
      <c r="Q75" s="211">
        <f>IF(O75="IVA Incluido",(N75/1.19),N75)</f>
        <v>3800000</v>
      </c>
      <c r="R75" s="212">
        <f>IF(P75="Si tiene IVA",Q75*19%,0)</f>
        <v>722000</v>
      </c>
      <c r="S75" s="212">
        <f>Q75+R75</f>
        <v>4522000</v>
      </c>
      <c r="T75" s="212">
        <f>IF(B75="","",(N75*G75))</f>
        <v>3800000</v>
      </c>
      <c r="U75" s="212">
        <f>IF(B75="","",(S75*G75))</f>
        <v>4522000</v>
      </c>
      <c r="V75" s="460" t="s">
        <v>605</v>
      </c>
      <c r="W75" s="213">
        <v>46105</v>
      </c>
      <c r="X75" s="214" t="s">
        <v>596</v>
      </c>
      <c r="Y75" s="215" t="s">
        <v>446</v>
      </c>
      <c r="Z75" s="216" t="s">
        <v>597</v>
      </c>
      <c r="AA75" s="217">
        <v>2941177</v>
      </c>
      <c r="AB75" s="217" t="s">
        <v>450</v>
      </c>
      <c r="AC75" s="217" t="s">
        <v>444</v>
      </c>
      <c r="AD75" s="218">
        <f>IF(AB75="IVA Incluido",(AA75/1.19),AA75)</f>
        <v>2941177</v>
      </c>
      <c r="AE75" s="219">
        <f>IF(AC75="Si tiene IVA",AD75*19%,0)</f>
        <v>558823.63</v>
      </c>
      <c r="AF75" s="219">
        <f>AD75+AE75</f>
        <v>3500000.63</v>
      </c>
      <c r="AG75" s="219">
        <f>IF(O75="","",(AA75*G75))</f>
        <v>2941177</v>
      </c>
      <c r="AH75" s="219">
        <f>IF(O75="","",(AF75*G75))</f>
        <v>3500000.63</v>
      </c>
      <c r="AI75" s="461"/>
      <c r="AJ75" s="220"/>
      <c r="AK75" s="221"/>
      <c r="AL75" s="222"/>
      <c r="AM75" s="223"/>
      <c r="AN75" s="224"/>
      <c r="AO75" s="224"/>
      <c r="AP75" s="225"/>
      <c r="AQ75" s="226"/>
      <c r="AR75" s="227"/>
      <c r="AS75" s="227"/>
      <c r="AT75" s="227"/>
      <c r="AU75" s="227"/>
      <c r="AV75" s="228">
        <f>IF(A75="","",AVERAGE(S75,AF75,AS75))</f>
        <v>4011000.3149999999</v>
      </c>
      <c r="AW75" s="228">
        <f>IF(A75="","",AVERAGE(U75,AH75,AU75))</f>
        <v>4011000.3149999999</v>
      </c>
      <c r="AX75" s="228">
        <f>IF(N75="","",STDEV(U75,AH75,AU75))</f>
        <v>722662.68489537993</v>
      </c>
      <c r="AY75" s="229">
        <f>IF(N75="","",(AX75/AW75))</f>
        <v>0.18017018901564957</v>
      </c>
      <c r="AZ75" s="230"/>
      <c r="BA75" s="231">
        <f>COUNTA(M75,Z75,AM75)</f>
        <v>2</v>
      </c>
      <c r="BH75" s="231">
        <v>69</v>
      </c>
      <c r="BI75" s="232"/>
      <c r="BJ75" s="232"/>
      <c r="BK75" s="232"/>
      <c r="BL75" s="232"/>
      <c r="BM75" s="232"/>
      <c r="BN75" s="232"/>
      <c r="BO75" s="232"/>
      <c r="BP75" s="232"/>
      <c r="BQ75" s="232"/>
      <c r="BR75" s="232"/>
      <c r="BS75" s="232"/>
      <c r="BT75" s="232"/>
      <c r="BU75" s="232"/>
      <c r="BV75" s="232"/>
    </row>
    <row r="76" spans="1:74" s="231" customFormat="1" ht="378" hidden="1" x14ac:dyDescent="0.25">
      <c r="A76" s="205" t="s">
        <v>496</v>
      </c>
      <c r="B76" s="205" t="s">
        <v>496</v>
      </c>
      <c r="C76" s="205" t="s">
        <v>496</v>
      </c>
      <c r="D76" s="205" t="s">
        <v>651</v>
      </c>
      <c r="E76" s="206" t="s">
        <v>652</v>
      </c>
      <c r="F76" s="458" t="s">
        <v>499</v>
      </c>
      <c r="G76" s="178">
        <v>1</v>
      </c>
      <c r="H76" s="458"/>
      <c r="I76" s="459" t="s">
        <v>496</v>
      </c>
      <c r="J76" s="207" t="s">
        <v>496</v>
      </c>
      <c r="K76" s="208" t="s">
        <v>496</v>
      </c>
      <c r="L76" s="209" t="s">
        <v>496</v>
      </c>
      <c r="M76" s="207" t="s">
        <v>496</v>
      </c>
      <c r="N76" s="210"/>
      <c r="O76" s="210"/>
      <c r="P76" s="210"/>
      <c r="Q76" s="211" t="s">
        <v>500</v>
      </c>
      <c r="R76" s="212" t="s">
        <v>500</v>
      </c>
      <c r="S76" s="212" t="s">
        <v>500</v>
      </c>
      <c r="T76" s="212" t="s">
        <v>500</v>
      </c>
      <c r="U76" s="212" t="s">
        <v>500</v>
      </c>
      <c r="V76" s="460" t="s">
        <v>496</v>
      </c>
      <c r="W76" s="213" t="s">
        <v>496</v>
      </c>
      <c r="X76" s="214" t="s">
        <v>496</v>
      </c>
      <c r="Y76" s="215" t="s">
        <v>496</v>
      </c>
      <c r="Z76" s="216" t="s">
        <v>165</v>
      </c>
      <c r="AA76" s="217" t="s">
        <v>496</v>
      </c>
      <c r="AB76" s="217" t="s">
        <v>496</v>
      </c>
      <c r="AC76" s="217" t="s">
        <v>496</v>
      </c>
      <c r="AD76" s="218" t="s">
        <v>496</v>
      </c>
      <c r="AE76" s="219" t="s">
        <v>496</v>
      </c>
      <c r="AF76" s="219">
        <v>4973014</v>
      </c>
      <c r="AG76" s="219">
        <v>5.5599999999999997E-2</v>
      </c>
      <c r="AH76" s="219">
        <v>5249514</v>
      </c>
      <c r="AI76" s="461" t="s">
        <v>496</v>
      </c>
      <c r="AJ76" s="220" t="s">
        <v>496</v>
      </c>
      <c r="AK76" s="221" t="s">
        <v>496</v>
      </c>
      <c r="AL76" s="222" t="s">
        <v>496</v>
      </c>
      <c r="AM76" s="223" t="s">
        <v>166</v>
      </c>
      <c r="AN76" s="224" t="s">
        <v>496</v>
      </c>
      <c r="AO76" s="224" t="s">
        <v>496</v>
      </c>
      <c r="AP76" s="225" t="s">
        <v>496</v>
      </c>
      <c r="AQ76" s="226">
        <v>4387954</v>
      </c>
      <c r="AR76" s="227">
        <v>833711</v>
      </c>
      <c r="AS76" s="227">
        <v>5221665</v>
      </c>
      <c r="AT76" s="227">
        <v>4387954</v>
      </c>
      <c r="AU76" s="227">
        <v>5221665</v>
      </c>
      <c r="AV76" s="228">
        <v>5235589</v>
      </c>
      <c r="AW76" s="228">
        <v>5235589</v>
      </c>
      <c r="AX76" s="228">
        <v>19692.13</v>
      </c>
      <c r="AY76" s="229">
        <v>3.8E-3</v>
      </c>
      <c r="AZ76" s="230"/>
      <c r="BI76" s="232"/>
      <c r="BJ76" s="232"/>
      <c r="BK76" s="232"/>
      <c r="BL76" s="232"/>
      <c r="BM76" s="232"/>
      <c r="BN76" s="232"/>
      <c r="BO76" s="232"/>
      <c r="BP76" s="232"/>
      <c r="BQ76" s="232"/>
      <c r="BR76" s="232"/>
      <c r="BS76" s="232"/>
      <c r="BT76" s="232"/>
      <c r="BU76" s="232"/>
      <c r="BV76" s="232"/>
    </row>
    <row r="77" spans="1:74" s="231" customFormat="1" ht="378" hidden="1" x14ac:dyDescent="0.25">
      <c r="A77" s="205" t="s">
        <v>496</v>
      </c>
      <c r="B77" s="205" t="s">
        <v>496</v>
      </c>
      <c r="C77" s="205" t="s">
        <v>496</v>
      </c>
      <c r="D77" s="205" t="s">
        <v>653</v>
      </c>
      <c r="E77" s="206" t="s">
        <v>654</v>
      </c>
      <c r="F77" s="458" t="s">
        <v>499</v>
      </c>
      <c r="G77" s="178">
        <v>1</v>
      </c>
      <c r="H77" s="458"/>
      <c r="I77" s="459" t="s">
        <v>496</v>
      </c>
      <c r="J77" s="207" t="s">
        <v>496</v>
      </c>
      <c r="K77" s="208" t="s">
        <v>496</v>
      </c>
      <c r="L77" s="209" t="s">
        <v>496</v>
      </c>
      <c r="M77" s="207" t="s">
        <v>496</v>
      </c>
      <c r="N77" s="210"/>
      <c r="O77" s="210"/>
      <c r="P77" s="210"/>
      <c r="Q77" s="211" t="s">
        <v>500</v>
      </c>
      <c r="R77" s="212" t="s">
        <v>500</v>
      </c>
      <c r="S77" s="212" t="s">
        <v>500</v>
      </c>
      <c r="T77" s="212" t="s">
        <v>500</v>
      </c>
      <c r="U77" s="212" t="s">
        <v>500</v>
      </c>
      <c r="V77" s="460" t="s">
        <v>496</v>
      </c>
      <c r="W77" s="213" t="s">
        <v>496</v>
      </c>
      <c r="X77" s="214" t="s">
        <v>496</v>
      </c>
      <c r="Y77" s="215" t="s">
        <v>496</v>
      </c>
      <c r="Z77" s="216" t="s">
        <v>165</v>
      </c>
      <c r="AA77" s="217" t="s">
        <v>496</v>
      </c>
      <c r="AB77" s="217" t="s">
        <v>496</v>
      </c>
      <c r="AC77" s="217" t="s">
        <v>496</v>
      </c>
      <c r="AD77" s="218" t="s">
        <v>496</v>
      </c>
      <c r="AE77" s="219" t="s">
        <v>496</v>
      </c>
      <c r="AF77" s="219">
        <v>3638000</v>
      </c>
      <c r="AG77" s="219">
        <v>5.5599999999999997E-2</v>
      </c>
      <c r="AH77" s="219">
        <v>3840273</v>
      </c>
      <c r="AI77" s="461" t="s">
        <v>496</v>
      </c>
      <c r="AJ77" s="220" t="s">
        <v>496</v>
      </c>
      <c r="AK77" s="221" t="s">
        <v>496</v>
      </c>
      <c r="AL77" s="222" t="s">
        <v>496</v>
      </c>
      <c r="AM77" s="223" t="s">
        <v>166</v>
      </c>
      <c r="AN77" s="224" t="s">
        <v>496</v>
      </c>
      <c r="AO77" s="224" t="s">
        <v>496</v>
      </c>
      <c r="AP77" s="225" t="s">
        <v>496</v>
      </c>
      <c r="AQ77" s="226">
        <v>3210000</v>
      </c>
      <c r="AR77" s="227">
        <v>609900</v>
      </c>
      <c r="AS77" s="227">
        <v>3819900</v>
      </c>
      <c r="AT77" s="227">
        <v>3210000</v>
      </c>
      <c r="AU77" s="227">
        <v>3819900</v>
      </c>
      <c r="AV77" s="228">
        <v>3830086</v>
      </c>
      <c r="AW77" s="228">
        <v>3830086</v>
      </c>
      <c r="AX77" s="228">
        <v>14405.75</v>
      </c>
      <c r="AY77" s="229">
        <v>3.8E-3</v>
      </c>
      <c r="AZ77" s="230"/>
      <c r="BI77" s="232"/>
      <c r="BJ77" s="232"/>
      <c r="BK77" s="232"/>
      <c r="BL77" s="232"/>
      <c r="BM77" s="232"/>
      <c r="BN77" s="232"/>
      <c r="BO77" s="232"/>
      <c r="BP77" s="232"/>
      <c r="BQ77" s="232"/>
      <c r="BR77" s="232"/>
      <c r="BS77" s="232"/>
      <c r="BT77" s="232"/>
      <c r="BU77" s="232"/>
      <c r="BV77" s="232"/>
    </row>
    <row r="78" spans="1:74" s="231" customFormat="1" ht="378" hidden="1" x14ac:dyDescent="0.25">
      <c r="A78" s="205" t="s">
        <v>496</v>
      </c>
      <c r="B78" s="205" t="s">
        <v>496</v>
      </c>
      <c r="C78" s="205" t="s">
        <v>496</v>
      </c>
      <c r="D78" s="205" t="s">
        <v>655</v>
      </c>
      <c r="E78" s="206" t="s">
        <v>656</v>
      </c>
      <c r="F78" s="458" t="s">
        <v>499</v>
      </c>
      <c r="G78" s="178">
        <v>1</v>
      </c>
      <c r="H78" s="458"/>
      <c r="I78" s="459" t="s">
        <v>496</v>
      </c>
      <c r="J78" s="207" t="s">
        <v>496</v>
      </c>
      <c r="K78" s="208" t="s">
        <v>496</v>
      </c>
      <c r="L78" s="209" t="s">
        <v>496</v>
      </c>
      <c r="M78" s="207" t="s">
        <v>496</v>
      </c>
      <c r="N78" s="210"/>
      <c r="O78" s="210"/>
      <c r="P78" s="210"/>
      <c r="Q78" s="211" t="s">
        <v>500</v>
      </c>
      <c r="R78" s="212" t="s">
        <v>500</v>
      </c>
      <c r="S78" s="212" t="s">
        <v>500</v>
      </c>
      <c r="T78" s="212" t="s">
        <v>500</v>
      </c>
      <c r="U78" s="212" t="s">
        <v>500</v>
      </c>
      <c r="V78" s="460" t="s">
        <v>496</v>
      </c>
      <c r="W78" s="213" t="s">
        <v>496</v>
      </c>
      <c r="X78" s="214" t="s">
        <v>496</v>
      </c>
      <c r="Y78" s="215" t="s">
        <v>496</v>
      </c>
      <c r="Z78" s="216" t="s">
        <v>165</v>
      </c>
      <c r="AA78" s="217" t="s">
        <v>496</v>
      </c>
      <c r="AB78" s="217" t="s">
        <v>496</v>
      </c>
      <c r="AC78" s="217" t="s">
        <v>496</v>
      </c>
      <c r="AD78" s="218" t="s">
        <v>496</v>
      </c>
      <c r="AE78" s="219" t="s">
        <v>496</v>
      </c>
      <c r="AF78" s="219">
        <v>37006</v>
      </c>
      <c r="AG78" s="219">
        <v>5.5599999999999997E-2</v>
      </c>
      <c r="AH78" s="219">
        <v>39064</v>
      </c>
      <c r="AI78" s="461" t="s">
        <v>496</v>
      </c>
      <c r="AJ78" s="220" t="s">
        <v>496</v>
      </c>
      <c r="AK78" s="221" t="s">
        <v>496</v>
      </c>
      <c r="AL78" s="222" t="s">
        <v>496</v>
      </c>
      <c r="AM78" s="223" t="s">
        <v>166</v>
      </c>
      <c r="AN78" s="224" t="s">
        <v>496</v>
      </c>
      <c r="AO78" s="224" t="s">
        <v>496</v>
      </c>
      <c r="AP78" s="225" t="s">
        <v>496</v>
      </c>
      <c r="AQ78" s="226">
        <v>31719</v>
      </c>
      <c r="AR78" s="227">
        <v>6027</v>
      </c>
      <c r="AS78" s="227">
        <v>37746</v>
      </c>
      <c r="AT78" s="227">
        <v>31719</v>
      </c>
      <c r="AU78" s="227">
        <v>37746</v>
      </c>
      <c r="AV78" s="228">
        <v>38405</v>
      </c>
      <c r="AW78" s="228">
        <v>38405</v>
      </c>
      <c r="AX78" s="228">
        <v>931.55</v>
      </c>
      <c r="AY78" s="229">
        <v>2.4299999999999999E-2</v>
      </c>
      <c r="AZ78" s="230"/>
      <c r="BI78" s="232"/>
      <c r="BJ78" s="232"/>
      <c r="BK78" s="232"/>
      <c r="BL78" s="232"/>
      <c r="BM78" s="232"/>
      <c r="BN78" s="232"/>
      <c r="BO78" s="232"/>
      <c r="BP78" s="232"/>
      <c r="BQ78" s="232"/>
      <c r="BR78" s="232"/>
      <c r="BS78" s="232"/>
      <c r="BT78" s="232"/>
      <c r="BU78" s="232"/>
      <c r="BV78" s="232"/>
    </row>
    <row r="79" spans="1:74" s="231" customFormat="1" ht="378" hidden="1" x14ac:dyDescent="0.25">
      <c r="A79" s="205" t="s">
        <v>496</v>
      </c>
      <c r="B79" s="205" t="s">
        <v>496</v>
      </c>
      <c r="C79" s="205" t="s">
        <v>496</v>
      </c>
      <c r="D79" s="205" t="s">
        <v>657</v>
      </c>
      <c r="E79" s="206" t="s">
        <v>658</v>
      </c>
      <c r="F79" s="458" t="s">
        <v>499</v>
      </c>
      <c r="G79" s="178">
        <v>1</v>
      </c>
      <c r="H79" s="458"/>
      <c r="I79" s="459" t="s">
        <v>496</v>
      </c>
      <c r="J79" s="207" t="s">
        <v>496</v>
      </c>
      <c r="K79" s="208" t="s">
        <v>496</v>
      </c>
      <c r="L79" s="209" t="s">
        <v>496</v>
      </c>
      <c r="M79" s="207" t="s">
        <v>496</v>
      </c>
      <c r="N79" s="210"/>
      <c r="O79" s="210"/>
      <c r="P79" s="210"/>
      <c r="Q79" s="211" t="s">
        <v>500</v>
      </c>
      <c r="R79" s="212" t="s">
        <v>500</v>
      </c>
      <c r="S79" s="212" t="s">
        <v>500</v>
      </c>
      <c r="T79" s="212" t="s">
        <v>500</v>
      </c>
      <c r="U79" s="212" t="s">
        <v>500</v>
      </c>
      <c r="V79" s="460" t="s">
        <v>496</v>
      </c>
      <c r="W79" s="213" t="s">
        <v>496</v>
      </c>
      <c r="X79" s="214" t="s">
        <v>496</v>
      </c>
      <c r="Y79" s="215" t="s">
        <v>496</v>
      </c>
      <c r="Z79" s="216" t="s">
        <v>165</v>
      </c>
      <c r="AA79" s="217" t="s">
        <v>496</v>
      </c>
      <c r="AB79" s="217" t="s">
        <v>496</v>
      </c>
      <c r="AC79" s="217" t="s">
        <v>496</v>
      </c>
      <c r="AD79" s="218" t="s">
        <v>496</v>
      </c>
      <c r="AE79" s="219" t="s">
        <v>496</v>
      </c>
      <c r="AF79" s="219">
        <v>1519303</v>
      </c>
      <c r="AG79" s="219">
        <v>5.5599999999999997E-2</v>
      </c>
      <c r="AH79" s="219">
        <v>1603776</v>
      </c>
      <c r="AI79" s="461" t="s">
        <v>496</v>
      </c>
      <c r="AJ79" s="220" t="s">
        <v>496</v>
      </c>
      <c r="AK79" s="221" t="s">
        <v>496</v>
      </c>
      <c r="AL79" s="222" t="s">
        <v>496</v>
      </c>
      <c r="AM79" s="223" t="s">
        <v>166</v>
      </c>
      <c r="AN79" s="224" t="s">
        <v>496</v>
      </c>
      <c r="AO79" s="224" t="s">
        <v>496</v>
      </c>
      <c r="AP79" s="225" t="s">
        <v>496</v>
      </c>
      <c r="AQ79" s="226">
        <v>1302260</v>
      </c>
      <c r="AR79" s="227">
        <v>247429</v>
      </c>
      <c r="AS79" s="227">
        <v>1549689</v>
      </c>
      <c r="AT79" s="227">
        <v>1302260</v>
      </c>
      <c r="AU79" s="227">
        <v>1549689</v>
      </c>
      <c r="AV79" s="228">
        <v>1576732</v>
      </c>
      <c r="AW79" s="228">
        <v>1576732</v>
      </c>
      <c r="AX79" s="228">
        <v>38245.410000000003</v>
      </c>
      <c r="AY79" s="229">
        <v>2.4299999999999999E-2</v>
      </c>
      <c r="AZ79" s="230"/>
      <c r="BI79" s="232"/>
      <c r="BJ79" s="232"/>
      <c r="BK79" s="232"/>
      <c r="BL79" s="232"/>
      <c r="BM79" s="232"/>
      <c r="BN79" s="232"/>
      <c r="BO79" s="232"/>
      <c r="BP79" s="232"/>
      <c r="BQ79" s="232"/>
      <c r="BR79" s="232"/>
      <c r="BS79" s="232"/>
      <c r="BT79" s="232"/>
      <c r="BU79" s="232"/>
      <c r="BV79" s="232"/>
    </row>
    <row r="80" spans="1:74" s="231" customFormat="1" ht="378" hidden="1" x14ac:dyDescent="0.25">
      <c r="A80" s="205" t="s">
        <v>496</v>
      </c>
      <c r="B80" s="205" t="s">
        <v>496</v>
      </c>
      <c r="C80" s="205" t="s">
        <v>496</v>
      </c>
      <c r="D80" s="205" t="s">
        <v>659</v>
      </c>
      <c r="E80" s="206" t="s">
        <v>660</v>
      </c>
      <c r="F80" s="458" t="s">
        <v>499</v>
      </c>
      <c r="G80" s="178">
        <v>1</v>
      </c>
      <c r="H80" s="458"/>
      <c r="I80" s="459" t="s">
        <v>496</v>
      </c>
      <c r="J80" s="207" t="s">
        <v>496</v>
      </c>
      <c r="K80" s="208" t="s">
        <v>496</v>
      </c>
      <c r="L80" s="209" t="s">
        <v>496</v>
      </c>
      <c r="M80" s="207" t="s">
        <v>496</v>
      </c>
      <c r="N80" s="210"/>
      <c r="O80" s="210"/>
      <c r="P80" s="210"/>
      <c r="Q80" s="211" t="s">
        <v>500</v>
      </c>
      <c r="R80" s="212" t="s">
        <v>500</v>
      </c>
      <c r="S80" s="212" t="s">
        <v>500</v>
      </c>
      <c r="T80" s="212" t="s">
        <v>500</v>
      </c>
      <c r="U80" s="212" t="s">
        <v>500</v>
      </c>
      <c r="V80" s="460" t="s">
        <v>496</v>
      </c>
      <c r="W80" s="213" t="s">
        <v>496</v>
      </c>
      <c r="X80" s="214" t="s">
        <v>496</v>
      </c>
      <c r="Y80" s="215" t="s">
        <v>496</v>
      </c>
      <c r="Z80" s="216" t="s">
        <v>165</v>
      </c>
      <c r="AA80" s="217" t="s">
        <v>496</v>
      </c>
      <c r="AB80" s="217" t="s">
        <v>496</v>
      </c>
      <c r="AC80" s="217" t="s">
        <v>496</v>
      </c>
      <c r="AD80" s="218" t="s">
        <v>496</v>
      </c>
      <c r="AE80" s="219" t="s">
        <v>496</v>
      </c>
      <c r="AF80" s="219">
        <v>136750</v>
      </c>
      <c r="AG80" s="219">
        <v>5.5599999999999997E-2</v>
      </c>
      <c r="AH80" s="219">
        <v>144353</v>
      </c>
      <c r="AI80" s="461" t="s">
        <v>496</v>
      </c>
      <c r="AJ80" s="220" t="s">
        <v>496</v>
      </c>
      <c r="AK80" s="221" t="s">
        <v>496</v>
      </c>
      <c r="AL80" s="222" t="s">
        <v>496</v>
      </c>
      <c r="AM80" s="223" t="s">
        <v>166</v>
      </c>
      <c r="AN80" s="224" t="s">
        <v>496</v>
      </c>
      <c r="AO80" s="224" t="s">
        <v>496</v>
      </c>
      <c r="AP80" s="225" t="s">
        <v>496</v>
      </c>
      <c r="AQ80" s="226">
        <v>117214</v>
      </c>
      <c r="AR80" s="227">
        <v>22271</v>
      </c>
      <c r="AS80" s="227">
        <v>139485</v>
      </c>
      <c r="AT80" s="227">
        <v>117214</v>
      </c>
      <c r="AU80" s="227">
        <v>139485</v>
      </c>
      <c r="AV80" s="228">
        <v>141919</v>
      </c>
      <c r="AW80" s="228">
        <v>141919</v>
      </c>
      <c r="AX80" s="228">
        <v>3442.41</v>
      </c>
      <c r="AY80" s="229">
        <v>2.4299999999999999E-2</v>
      </c>
      <c r="AZ80" s="230"/>
      <c r="BI80" s="232"/>
      <c r="BJ80" s="232"/>
      <c r="BK80" s="232"/>
      <c r="BL80" s="232"/>
      <c r="BM80" s="232"/>
      <c r="BN80" s="232"/>
      <c r="BO80" s="232"/>
      <c r="BP80" s="232"/>
      <c r="BQ80" s="232"/>
      <c r="BR80" s="232"/>
      <c r="BS80" s="232"/>
      <c r="BT80" s="232"/>
      <c r="BU80" s="232"/>
      <c r="BV80" s="232"/>
    </row>
    <row r="81" spans="1:74" s="231" customFormat="1" ht="378" hidden="1" x14ac:dyDescent="0.25">
      <c r="A81" s="205" t="s">
        <v>496</v>
      </c>
      <c r="B81" s="205" t="s">
        <v>496</v>
      </c>
      <c r="C81" s="205" t="s">
        <v>496</v>
      </c>
      <c r="D81" s="205" t="s">
        <v>661</v>
      </c>
      <c r="E81" s="206" t="s">
        <v>662</v>
      </c>
      <c r="F81" s="458" t="s">
        <v>499</v>
      </c>
      <c r="G81" s="178">
        <v>1</v>
      </c>
      <c r="H81" s="458"/>
      <c r="I81" s="459" t="s">
        <v>496</v>
      </c>
      <c r="J81" s="207" t="s">
        <v>496</v>
      </c>
      <c r="K81" s="208" t="s">
        <v>496</v>
      </c>
      <c r="L81" s="209" t="s">
        <v>496</v>
      </c>
      <c r="M81" s="207" t="s">
        <v>496</v>
      </c>
      <c r="N81" s="210"/>
      <c r="O81" s="210"/>
      <c r="P81" s="210"/>
      <c r="Q81" s="211" t="s">
        <v>500</v>
      </c>
      <c r="R81" s="212" t="s">
        <v>500</v>
      </c>
      <c r="S81" s="212" t="s">
        <v>500</v>
      </c>
      <c r="T81" s="212" t="s">
        <v>500</v>
      </c>
      <c r="U81" s="212" t="s">
        <v>500</v>
      </c>
      <c r="V81" s="460" t="s">
        <v>496</v>
      </c>
      <c r="W81" s="213" t="s">
        <v>496</v>
      </c>
      <c r="X81" s="214" t="s">
        <v>496</v>
      </c>
      <c r="Y81" s="215" t="s">
        <v>496</v>
      </c>
      <c r="Z81" s="216" t="s">
        <v>165</v>
      </c>
      <c r="AA81" s="217" t="s">
        <v>496</v>
      </c>
      <c r="AB81" s="217" t="s">
        <v>496</v>
      </c>
      <c r="AC81" s="217" t="s">
        <v>496</v>
      </c>
      <c r="AD81" s="218" t="s">
        <v>496</v>
      </c>
      <c r="AE81" s="219" t="s">
        <v>496</v>
      </c>
      <c r="AF81" s="219">
        <v>580284</v>
      </c>
      <c r="AG81" s="219">
        <v>5.5599999999999997E-2</v>
      </c>
      <c r="AH81" s="219">
        <v>612547</v>
      </c>
      <c r="AI81" s="461" t="s">
        <v>496</v>
      </c>
      <c r="AJ81" s="220" t="s">
        <v>496</v>
      </c>
      <c r="AK81" s="221" t="s">
        <v>496</v>
      </c>
      <c r="AL81" s="222" t="s">
        <v>496</v>
      </c>
      <c r="AM81" s="223" t="s">
        <v>166</v>
      </c>
      <c r="AN81" s="224" t="s">
        <v>496</v>
      </c>
      <c r="AO81" s="224" t="s">
        <v>496</v>
      </c>
      <c r="AP81" s="225" t="s">
        <v>496</v>
      </c>
      <c r="AQ81" s="226">
        <v>497386</v>
      </c>
      <c r="AR81" s="227">
        <v>94503</v>
      </c>
      <c r="AS81" s="227">
        <v>591889</v>
      </c>
      <c r="AT81" s="227">
        <v>497386</v>
      </c>
      <c r="AU81" s="227">
        <v>591889</v>
      </c>
      <c r="AV81" s="228">
        <v>602218</v>
      </c>
      <c r="AW81" s="228">
        <v>602218</v>
      </c>
      <c r="AX81" s="228">
        <v>14607.48</v>
      </c>
      <c r="AY81" s="229">
        <v>2.4299999999999999E-2</v>
      </c>
      <c r="AZ81" s="230"/>
      <c r="BI81" s="232"/>
      <c r="BJ81" s="232"/>
      <c r="BK81" s="232"/>
      <c r="BL81" s="232"/>
      <c r="BM81" s="232"/>
      <c r="BN81" s="232"/>
      <c r="BO81" s="232"/>
      <c r="BP81" s="232"/>
      <c r="BQ81" s="232"/>
      <c r="BR81" s="232"/>
      <c r="BS81" s="232"/>
      <c r="BT81" s="232"/>
      <c r="BU81" s="232"/>
      <c r="BV81" s="232"/>
    </row>
    <row r="82" spans="1:74" s="231" customFormat="1" ht="63" hidden="1" x14ac:dyDescent="0.25">
      <c r="A82" s="205" t="s">
        <v>438</v>
      </c>
      <c r="B82" s="205" t="s">
        <v>501</v>
      </c>
      <c r="C82" s="205">
        <v>11111808</v>
      </c>
      <c r="D82" s="205" t="s">
        <v>663</v>
      </c>
      <c r="E82" s="206" t="s">
        <v>664</v>
      </c>
      <c r="F82" s="458" t="s">
        <v>41</v>
      </c>
      <c r="G82" s="178">
        <v>1</v>
      </c>
      <c r="H82" s="458" t="s">
        <v>42</v>
      </c>
      <c r="I82" s="459" t="s">
        <v>452</v>
      </c>
      <c r="J82" s="207">
        <v>46070</v>
      </c>
      <c r="K82" s="208" t="s">
        <v>506</v>
      </c>
      <c r="L82" s="209" t="s">
        <v>446</v>
      </c>
      <c r="M82" s="207" t="s">
        <v>507</v>
      </c>
      <c r="N82" s="210">
        <v>4000</v>
      </c>
      <c r="O82" s="210" t="s">
        <v>450</v>
      </c>
      <c r="P82" s="210" t="s">
        <v>444</v>
      </c>
      <c r="Q82" s="211">
        <f>IF(O82="IVA Incluido",(N82/1.19),N82)</f>
        <v>4000</v>
      </c>
      <c r="R82" s="212">
        <f>IF(P82="Si tiene IVA",Q82*19%,0)</f>
        <v>760</v>
      </c>
      <c r="S82" s="212">
        <f>Q82+R82</f>
        <v>4760</v>
      </c>
      <c r="T82" s="212">
        <f>IF(B82="","",(N82*G82))</f>
        <v>4000</v>
      </c>
      <c r="U82" s="212">
        <f>IF(B82="","",(S82*G82))</f>
        <v>4760</v>
      </c>
      <c r="V82" s="460" t="s">
        <v>452</v>
      </c>
      <c r="W82" s="213">
        <v>46062</v>
      </c>
      <c r="X82" s="214" t="s">
        <v>665</v>
      </c>
      <c r="Y82" s="215" t="s">
        <v>446</v>
      </c>
      <c r="Z82" s="216" t="s">
        <v>666</v>
      </c>
      <c r="AA82" s="217">
        <v>5600</v>
      </c>
      <c r="AB82" s="217" t="s">
        <v>443</v>
      </c>
      <c r="AC82" s="217" t="s">
        <v>444</v>
      </c>
      <c r="AD82" s="218">
        <f>IF(AB82="IVA Incluido",(AA82/1.19),AA82)</f>
        <v>4705.8823529411766</v>
      </c>
      <c r="AE82" s="219">
        <f>IF(AC82="Si tiene IVA",AD82*19%,0)</f>
        <v>894.11764705882354</v>
      </c>
      <c r="AF82" s="219">
        <f>AD82+AE82</f>
        <v>5600</v>
      </c>
      <c r="AG82" s="219">
        <f>IF(O82="","",(AA82*G82))</f>
        <v>5600</v>
      </c>
      <c r="AH82" s="219">
        <f>IF(O82="","",(AF82*G82))</f>
        <v>5600</v>
      </c>
      <c r="AI82" s="461" t="s">
        <v>452</v>
      </c>
      <c r="AJ82" s="220">
        <v>46064</v>
      </c>
      <c r="AK82" s="221" t="s">
        <v>667</v>
      </c>
      <c r="AL82" s="222" t="s">
        <v>446</v>
      </c>
      <c r="AM82" s="223" t="s">
        <v>668</v>
      </c>
      <c r="AN82" s="224">
        <v>5500</v>
      </c>
      <c r="AO82" s="224" t="s">
        <v>443</v>
      </c>
      <c r="AP82" s="225" t="s">
        <v>444</v>
      </c>
      <c r="AQ82" s="226">
        <f>IF(AO82="IVA Incluido",(AN82/1.19),AN82)</f>
        <v>4621.8487394957983</v>
      </c>
      <c r="AR82" s="227">
        <f>IF(AP82="Si tiene IVA",AQ82*19%,0)</f>
        <v>878.15126050420167</v>
      </c>
      <c r="AS82" s="227">
        <f>AQ82+AR82</f>
        <v>5500</v>
      </c>
      <c r="AT82" s="227">
        <f>IF(AB82="","",(AN82*G82))</f>
        <v>5500</v>
      </c>
      <c r="AU82" s="227">
        <f>IF(AB82="","",(AS82*G82))</f>
        <v>5500</v>
      </c>
      <c r="AV82" s="228">
        <f>IF(A82="","",AVERAGE(S82,AF82,AS82))</f>
        <v>5286.666666666667</v>
      </c>
      <c r="AW82" s="228">
        <f>IF(A82="","",AVERAGE(U82,AH82,AU82))</f>
        <v>5286.666666666667</v>
      </c>
      <c r="AX82" s="228">
        <f>IF(N82="","",STDEV(U82,AH82,AU82))</f>
        <v>458.83911486852702</v>
      </c>
      <c r="AY82" s="229">
        <f>IF(N82="","",(AX82/AW82))</f>
        <v>8.6791761954954666E-2</v>
      </c>
      <c r="AZ82" s="230"/>
      <c r="BA82" s="231">
        <f>COUNTA(M82,Z82,AM82)</f>
        <v>3</v>
      </c>
      <c r="BH82" s="231">
        <v>6</v>
      </c>
      <c r="BI82" s="232"/>
      <c r="BJ82" s="232"/>
      <c r="BK82" s="232"/>
      <c r="BL82" s="232"/>
      <c r="BM82" s="232"/>
      <c r="BN82" s="232"/>
      <c r="BO82" s="232"/>
      <c r="BP82" s="232"/>
      <c r="BQ82" s="232"/>
      <c r="BR82" s="232"/>
      <c r="BS82" s="232"/>
      <c r="BT82" s="232"/>
      <c r="BU82" s="232"/>
      <c r="BV82" s="232"/>
    </row>
    <row r="83" spans="1:74" s="231" customFormat="1" ht="378" hidden="1" x14ac:dyDescent="0.25">
      <c r="A83" s="205" t="s">
        <v>496</v>
      </c>
      <c r="B83" s="205" t="s">
        <v>496</v>
      </c>
      <c r="C83" s="205" t="s">
        <v>496</v>
      </c>
      <c r="D83" s="205" t="s">
        <v>669</v>
      </c>
      <c r="E83" s="206" t="s">
        <v>670</v>
      </c>
      <c r="F83" s="458" t="s">
        <v>499</v>
      </c>
      <c r="G83" s="178">
        <v>1</v>
      </c>
      <c r="H83" s="458"/>
      <c r="I83" s="459" t="s">
        <v>496</v>
      </c>
      <c r="J83" s="207" t="s">
        <v>496</v>
      </c>
      <c r="K83" s="208" t="s">
        <v>496</v>
      </c>
      <c r="L83" s="209" t="s">
        <v>496</v>
      </c>
      <c r="M83" s="207" t="s">
        <v>496</v>
      </c>
      <c r="N83" s="210"/>
      <c r="O83" s="210"/>
      <c r="P83" s="210"/>
      <c r="Q83" s="211" t="s">
        <v>500</v>
      </c>
      <c r="R83" s="212" t="s">
        <v>500</v>
      </c>
      <c r="S83" s="212" t="s">
        <v>500</v>
      </c>
      <c r="T83" s="212" t="s">
        <v>500</v>
      </c>
      <c r="U83" s="212" t="s">
        <v>500</v>
      </c>
      <c r="V83" s="460" t="s">
        <v>496</v>
      </c>
      <c r="W83" s="213" t="s">
        <v>496</v>
      </c>
      <c r="X83" s="214" t="s">
        <v>496</v>
      </c>
      <c r="Y83" s="215" t="s">
        <v>496</v>
      </c>
      <c r="Z83" s="216" t="s">
        <v>165</v>
      </c>
      <c r="AA83" s="217" t="s">
        <v>496</v>
      </c>
      <c r="AB83" s="217" t="s">
        <v>496</v>
      </c>
      <c r="AC83" s="217" t="s">
        <v>496</v>
      </c>
      <c r="AD83" s="218" t="s">
        <v>496</v>
      </c>
      <c r="AE83" s="219" t="s">
        <v>496</v>
      </c>
      <c r="AF83" s="219">
        <v>3950000</v>
      </c>
      <c r="AG83" s="219">
        <v>5.5599999999999997E-2</v>
      </c>
      <c r="AH83" s="219">
        <v>4169620</v>
      </c>
      <c r="AI83" s="461" t="s">
        <v>496</v>
      </c>
      <c r="AJ83" s="220" t="s">
        <v>496</v>
      </c>
      <c r="AK83" s="221" t="s">
        <v>496</v>
      </c>
      <c r="AL83" s="222" t="s">
        <v>496</v>
      </c>
      <c r="AM83" s="223" t="s">
        <v>166</v>
      </c>
      <c r="AN83" s="224" t="s">
        <v>496</v>
      </c>
      <c r="AO83" s="224" t="s">
        <v>496</v>
      </c>
      <c r="AP83" s="225" t="s">
        <v>496</v>
      </c>
      <c r="AQ83" s="226">
        <v>3402311</v>
      </c>
      <c r="AR83" s="227">
        <v>646439</v>
      </c>
      <c r="AS83" s="227">
        <v>4048750</v>
      </c>
      <c r="AT83" s="227">
        <v>3402311</v>
      </c>
      <c r="AU83" s="227">
        <v>4048750</v>
      </c>
      <c r="AV83" s="228">
        <v>4109185</v>
      </c>
      <c r="AW83" s="228">
        <v>4109185</v>
      </c>
      <c r="AX83" s="228">
        <v>85468</v>
      </c>
      <c r="AY83" s="229">
        <v>2.0799999999999999E-2</v>
      </c>
      <c r="AZ83" s="230"/>
      <c r="BI83" s="232"/>
      <c r="BJ83" s="232"/>
      <c r="BK83" s="232"/>
      <c r="BL83" s="232"/>
      <c r="BM83" s="232"/>
      <c r="BN83" s="232"/>
      <c r="BO83" s="232"/>
      <c r="BP83" s="232"/>
      <c r="BQ83" s="232"/>
      <c r="BR83" s="232"/>
      <c r="BS83" s="232"/>
      <c r="BT83" s="232"/>
      <c r="BU83" s="232"/>
      <c r="BV83" s="232"/>
    </row>
    <row r="84" spans="1:74" s="231" customFormat="1" ht="378" hidden="1" x14ac:dyDescent="0.25">
      <c r="A84" s="205" t="s">
        <v>496</v>
      </c>
      <c r="B84" s="205" t="s">
        <v>496</v>
      </c>
      <c r="C84" s="205" t="s">
        <v>496</v>
      </c>
      <c r="D84" s="205" t="s">
        <v>671</v>
      </c>
      <c r="E84" s="206" t="s">
        <v>672</v>
      </c>
      <c r="F84" s="458" t="s">
        <v>499</v>
      </c>
      <c r="G84" s="178">
        <v>1</v>
      </c>
      <c r="H84" s="458"/>
      <c r="I84" s="459" t="s">
        <v>496</v>
      </c>
      <c r="J84" s="207" t="s">
        <v>496</v>
      </c>
      <c r="K84" s="208" t="s">
        <v>496</v>
      </c>
      <c r="L84" s="209" t="s">
        <v>496</v>
      </c>
      <c r="M84" s="207" t="s">
        <v>496</v>
      </c>
      <c r="N84" s="210"/>
      <c r="O84" s="210"/>
      <c r="P84" s="210"/>
      <c r="Q84" s="211" t="s">
        <v>500</v>
      </c>
      <c r="R84" s="212" t="s">
        <v>500</v>
      </c>
      <c r="S84" s="212" t="s">
        <v>500</v>
      </c>
      <c r="T84" s="212" t="s">
        <v>500</v>
      </c>
      <c r="U84" s="212" t="s">
        <v>500</v>
      </c>
      <c r="V84" s="460" t="s">
        <v>496</v>
      </c>
      <c r="W84" s="213" t="s">
        <v>496</v>
      </c>
      <c r="X84" s="214" t="s">
        <v>496</v>
      </c>
      <c r="Y84" s="215" t="s">
        <v>496</v>
      </c>
      <c r="Z84" s="216" t="s">
        <v>165</v>
      </c>
      <c r="AA84" s="217" t="s">
        <v>496</v>
      </c>
      <c r="AB84" s="217" t="s">
        <v>496</v>
      </c>
      <c r="AC84" s="217" t="s">
        <v>496</v>
      </c>
      <c r="AD84" s="218" t="s">
        <v>496</v>
      </c>
      <c r="AE84" s="219" t="s">
        <v>496</v>
      </c>
      <c r="AF84" s="219">
        <v>2593150</v>
      </c>
      <c r="AG84" s="219">
        <v>5.5599999999999997E-2</v>
      </c>
      <c r="AH84" s="219">
        <v>2737329</v>
      </c>
      <c r="AI84" s="461" t="s">
        <v>496</v>
      </c>
      <c r="AJ84" s="220" t="s">
        <v>496</v>
      </c>
      <c r="AK84" s="221" t="s">
        <v>496</v>
      </c>
      <c r="AL84" s="222" t="s">
        <v>496</v>
      </c>
      <c r="AM84" s="223" t="s">
        <v>166</v>
      </c>
      <c r="AN84" s="224" t="s">
        <v>496</v>
      </c>
      <c r="AO84" s="224" t="s">
        <v>496</v>
      </c>
      <c r="AP84" s="225" t="s">
        <v>496</v>
      </c>
      <c r="AQ84" s="226">
        <v>2233596</v>
      </c>
      <c r="AR84" s="227">
        <v>424383</v>
      </c>
      <c r="AS84" s="227">
        <v>2657979</v>
      </c>
      <c r="AT84" s="227">
        <v>2233596</v>
      </c>
      <c r="AU84" s="227">
        <v>2657979</v>
      </c>
      <c r="AV84" s="228">
        <v>2697654</v>
      </c>
      <c r="AW84" s="228">
        <v>2697654</v>
      </c>
      <c r="AX84" s="228">
        <v>56109.2</v>
      </c>
      <c r="AY84" s="229">
        <v>2.0799999999999999E-2</v>
      </c>
      <c r="AZ84" s="230"/>
      <c r="BI84" s="232"/>
      <c r="BJ84" s="232"/>
      <c r="BK84" s="232"/>
      <c r="BL84" s="232"/>
      <c r="BM84" s="232"/>
      <c r="BN84" s="232"/>
      <c r="BO84" s="232"/>
      <c r="BP84" s="232"/>
      <c r="BQ84" s="232"/>
      <c r="BR84" s="232"/>
      <c r="BS84" s="232"/>
      <c r="BT84" s="232"/>
      <c r="BU84" s="232"/>
      <c r="BV84" s="232"/>
    </row>
    <row r="85" spans="1:74" s="231" customFormat="1" ht="141.75" hidden="1" x14ac:dyDescent="0.25">
      <c r="A85" s="205" t="s">
        <v>438</v>
      </c>
      <c r="B85" s="205" t="s">
        <v>673</v>
      </c>
      <c r="C85" s="205" t="s">
        <v>674</v>
      </c>
      <c r="D85" s="205" t="s">
        <v>675</v>
      </c>
      <c r="E85" s="206" t="s">
        <v>676</v>
      </c>
      <c r="F85" s="458" t="s">
        <v>41</v>
      </c>
      <c r="G85" s="178">
        <v>1</v>
      </c>
      <c r="H85" s="458" t="s">
        <v>88</v>
      </c>
      <c r="I85" s="459" t="s">
        <v>677</v>
      </c>
      <c r="J85" s="207">
        <v>46149</v>
      </c>
      <c r="K85" s="208" t="s">
        <v>678</v>
      </c>
      <c r="L85" s="209" t="s">
        <v>441</v>
      </c>
      <c r="M85" s="207" t="s">
        <v>679</v>
      </c>
      <c r="N85" s="210">
        <v>2200000</v>
      </c>
      <c r="O85" s="210" t="s">
        <v>450</v>
      </c>
      <c r="P85" s="210" t="s">
        <v>444</v>
      </c>
      <c r="Q85" s="211">
        <f>IF(O85="IVA Incluido",(N85/1.19),N85)</f>
        <v>2200000</v>
      </c>
      <c r="R85" s="212">
        <f>IF(P85="Si tiene IVA",Q85*19%,0)</f>
        <v>418000</v>
      </c>
      <c r="S85" s="212">
        <f>Q85+R85</f>
        <v>2618000</v>
      </c>
      <c r="T85" s="212">
        <f>IF(B85="","",(N85*G85))</f>
        <v>2200000</v>
      </c>
      <c r="U85" s="212">
        <f>IF(B85="","",(S85*G85))</f>
        <v>2618000</v>
      </c>
      <c r="V85" s="460" t="s">
        <v>440</v>
      </c>
      <c r="W85" s="213">
        <v>46078</v>
      </c>
      <c r="X85" s="214" t="s">
        <v>680</v>
      </c>
      <c r="Y85" s="215" t="s">
        <v>441</v>
      </c>
      <c r="Z85" s="216" t="s">
        <v>681</v>
      </c>
      <c r="AA85" s="217">
        <v>1848742</v>
      </c>
      <c r="AB85" s="217" t="s">
        <v>450</v>
      </c>
      <c r="AC85" s="217" t="s">
        <v>444</v>
      </c>
      <c r="AD85" s="218">
        <f>IF(AB85="IVA Incluido",(AA85/1.19),AA85)</f>
        <v>1848742</v>
      </c>
      <c r="AE85" s="219">
        <f>IF(AC85="Si tiene IVA",AD85*19%,0)</f>
        <v>351260.98</v>
      </c>
      <c r="AF85" s="219">
        <f>AD85+AE85</f>
        <v>2200002.98</v>
      </c>
      <c r="AG85" s="219">
        <f>IF(O85="","",(AA85*G85))</f>
        <v>1848742</v>
      </c>
      <c r="AH85" s="219">
        <f>IF(O85="","",(AF85*G85))</f>
        <v>2200002.98</v>
      </c>
      <c r="AI85" s="461" t="s">
        <v>452</v>
      </c>
      <c r="AJ85" s="220">
        <v>46142</v>
      </c>
      <c r="AK85" s="221" t="s">
        <v>682</v>
      </c>
      <c r="AL85" s="222" t="s">
        <v>441</v>
      </c>
      <c r="AM85" s="223" t="s">
        <v>683</v>
      </c>
      <c r="AN85" s="224">
        <v>1583193</v>
      </c>
      <c r="AO85" s="224" t="s">
        <v>450</v>
      </c>
      <c r="AP85" s="225" t="s">
        <v>444</v>
      </c>
      <c r="AQ85" s="226">
        <f>IF(AO85="IVA Incluido",(AN85/1.19),AN85)</f>
        <v>1583193</v>
      </c>
      <c r="AR85" s="227">
        <f>IF(AP85="Si tiene IVA",AQ85*19%,0)</f>
        <v>300806.67</v>
      </c>
      <c r="AS85" s="227">
        <f>AQ85+AR85</f>
        <v>1883999.67</v>
      </c>
      <c r="AT85" s="227">
        <f>IF(AB85="","",(AN85*G85))</f>
        <v>1583193</v>
      </c>
      <c r="AU85" s="227">
        <f>IF(AB85="","",(AS85*G85))</f>
        <v>1883999.67</v>
      </c>
      <c r="AV85" s="228">
        <f>IF(A85="","",AVERAGE(S85,AF85,AS85))</f>
        <v>2234000.8833333333</v>
      </c>
      <c r="AW85" s="228">
        <f>IF(A85="","",AVERAGE(U85,AH85,AU85))</f>
        <v>2234000.8833333333</v>
      </c>
      <c r="AX85" s="228">
        <f>IF(N85="","",STDEV(U85,AH85,AU85))</f>
        <v>368179.32340548711</v>
      </c>
      <c r="AY85" s="229">
        <f>IF(N85="","",(AX85/AW85))</f>
        <v>0.16480715211541455</v>
      </c>
      <c r="AZ85" s="230"/>
      <c r="BA85" s="231">
        <f>COUNTA(M85,Z85,AM85)</f>
        <v>3</v>
      </c>
      <c r="BH85" s="231">
        <v>2</v>
      </c>
      <c r="BI85" s="232"/>
      <c r="BJ85" s="232"/>
      <c r="BK85" s="232"/>
      <c r="BL85" s="232"/>
      <c r="BM85" s="232"/>
      <c r="BN85" s="232"/>
      <c r="BO85" s="232"/>
      <c r="BP85" s="232"/>
      <c r="BQ85" s="232"/>
      <c r="BR85" s="232"/>
      <c r="BS85" s="232"/>
      <c r="BT85" s="232"/>
      <c r="BU85" s="232"/>
      <c r="BV85" s="232"/>
    </row>
    <row r="86" spans="1:74" s="231" customFormat="1" ht="378" hidden="1" x14ac:dyDescent="0.25">
      <c r="A86" s="205" t="s">
        <v>496</v>
      </c>
      <c r="B86" s="205" t="s">
        <v>496</v>
      </c>
      <c r="C86" s="205" t="s">
        <v>496</v>
      </c>
      <c r="D86" s="205" t="s">
        <v>684</v>
      </c>
      <c r="E86" s="206" t="s">
        <v>685</v>
      </c>
      <c r="F86" s="458" t="s">
        <v>499</v>
      </c>
      <c r="G86" s="178">
        <v>1</v>
      </c>
      <c r="H86" s="458"/>
      <c r="I86" s="459" t="s">
        <v>496</v>
      </c>
      <c r="J86" s="207" t="s">
        <v>496</v>
      </c>
      <c r="K86" s="208" t="s">
        <v>496</v>
      </c>
      <c r="L86" s="209" t="s">
        <v>496</v>
      </c>
      <c r="M86" s="207" t="s">
        <v>496</v>
      </c>
      <c r="N86" s="210"/>
      <c r="O86" s="210"/>
      <c r="P86" s="210"/>
      <c r="Q86" s="211" t="s">
        <v>500</v>
      </c>
      <c r="R86" s="212" t="s">
        <v>500</v>
      </c>
      <c r="S86" s="212" t="s">
        <v>500</v>
      </c>
      <c r="T86" s="212" t="s">
        <v>500</v>
      </c>
      <c r="U86" s="212" t="s">
        <v>500</v>
      </c>
      <c r="V86" s="460" t="s">
        <v>496</v>
      </c>
      <c r="W86" s="213" t="s">
        <v>496</v>
      </c>
      <c r="X86" s="214" t="s">
        <v>496</v>
      </c>
      <c r="Y86" s="215" t="s">
        <v>496</v>
      </c>
      <c r="Z86" s="216" t="s">
        <v>165</v>
      </c>
      <c r="AA86" s="217" t="s">
        <v>496</v>
      </c>
      <c r="AB86" s="217" t="s">
        <v>496</v>
      </c>
      <c r="AC86" s="217" t="s">
        <v>496</v>
      </c>
      <c r="AD86" s="218" t="s">
        <v>496</v>
      </c>
      <c r="AE86" s="219" t="s">
        <v>496</v>
      </c>
      <c r="AF86" s="219">
        <v>1762650</v>
      </c>
      <c r="AG86" s="219">
        <v>5.5599999999999997E-2</v>
      </c>
      <c r="AH86" s="219">
        <v>1860653</v>
      </c>
      <c r="AI86" s="461" t="s">
        <v>496</v>
      </c>
      <c r="AJ86" s="220" t="s">
        <v>496</v>
      </c>
      <c r="AK86" s="221" t="s">
        <v>496</v>
      </c>
      <c r="AL86" s="222" t="s">
        <v>496</v>
      </c>
      <c r="AM86" s="223" t="s">
        <v>166</v>
      </c>
      <c r="AN86" s="224" t="s">
        <v>496</v>
      </c>
      <c r="AO86" s="224" t="s">
        <v>496</v>
      </c>
      <c r="AP86" s="225" t="s">
        <v>496</v>
      </c>
      <c r="AQ86" s="226">
        <v>1518249</v>
      </c>
      <c r="AR86" s="227">
        <v>288467</v>
      </c>
      <c r="AS86" s="227">
        <v>1806716</v>
      </c>
      <c r="AT86" s="227">
        <v>1518249</v>
      </c>
      <c r="AU86" s="227">
        <v>1806716</v>
      </c>
      <c r="AV86" s="228">
        <v>1833685</v>
      </c>
      <c r="AW86" s="228">
        <v>1833685</v>
      </c>
      <c r="AX86" s="228">
        <v>38139.279999999999</v>
      </c>
      <c r="AY86" s="229">
        <v>2.0799999999999999E-2</v>
      </c>
      <c r="AZ86" s="230"/>
      <c r="BI86" s="232"/>
      <c r="BJ86" s="232"/>
      <c r="BK86" s="232"/>
      <c r="BL86" s="232"/>
      <c r="BM86" s="232"/>
      <c r="BN86" s="232"/>
      <c r="BO86" s="232"/>
      <c r="BP86" s="232"/>
      <c r="BQ86" s="232"/>
      <c r="BR86" s="232"/>
      <c r="BS86" s="232"/>
      <c r="BT86" s="232"/>
      <c r="BU86" s="232"/>
      <c r="BV86" s="232"/>
    </row>
    <row r="87" spans="1:74" s="231" customFormat="1" ht="157.5" hidden="1" x14ac:dyDescent="0.25">
      <c r="A87" s="205" t="s">
        <v>438</v>
      </c>
      <c r="B87" s="205" t="s">
        <v>673</v>
      </c>
      <c r="C87" s="205" t="s">
        <v>674</v>
      </c>
      <c r="D87" s="205" t="s">
        <v>686</v>
      </c>
      <c r="E87" s="206" t="s">
        <v>687</v>
      </c>
      <c r="F87" s="458" t="s">
        <v>41</v>
      </c>
      <c r="G87" s="178">
        <v>1</v>
      </c>
      <c r="H87" s="458" t="s">
        <v>88</v>
      </c>
      <c r="I87" s="459" t="s">
        <v>605</v>
      </c>
      <c r="J87" s="207">
        <v>46056</v>
      </c>
      <c r="K87" s="208" t="s">
        <v>606</v>
      </c>
      <c r="L87" s="209" t="s">
        <v>446</v>
      </c>
      <c r="M87" s="207" t="s">
        <v>101</v>
      </c>
      <c r="N87" s="210">
        <v>3150000</v>
      </c>
      <c r="O87" s="210" t="s">
        <v>450</v>
      </c>
      <c r="P87" s="210" t="s">
        <v>444</v>
      </c>
      <c r="Q87" s="211">
        <f t="shared" ref="Q87:Q104" si="26">IF(O87="IVA Incluido",(N87/1.19),N87)</f>
        <v>3150000</v>
      </c>
      <c r="R87" s="212">
        <f t="shared" ref="R87:R95" si="27">IF(P87="Si tiene IVA",Q87*19%,0)</f>
        <v>598500</v>
      </c>
      <c r="S87" s="212">
        <f t="shared" ref="S87:S104" si="28">Q87+R87</f>
        <v>3748500</v>
      </c>
      <c r="T87" s="212">
        <f t="shared" ref="T87:T104" si="29">IF(B87="","",(N87*G87))</f>
        <v>3150000</v>
      </c>
      <c r="U87" s="212">
        <f t="shared" ref="U87:U104" si="30">IF(B87="","",(S87*G87))</f>
        <v>3748500</v>
      </c>
      <c r="V87" s="460" t="s">
        <v>452</v>
      </c>
      <c r="W87" s="213">
        <v>46142</v>
      </c>
      <c r="X87" s="214" t="s">
        <v>596</v>
      </c>
      <c r="Y87" s="215" t="s">
        <v>441</v>
      </c>
      <c r="Z87" s="216" t="s">
        <v>178</v>
      </c>
      <c r="AA87" s="217">
        <v>3200000</v>
      </c>
      <c r="AB87" s="217" t="s">
        <v>450</v>
      </c>
      <c r="AC87" s="217" t="s">
        <v>444</v>
      </c>
      <c r="AD87" s="218">
        <f t="shared" ref="AD87:AD104" si="31">IF(AB87="IVA Incluido",(AA87/1.19),AA87)</f>
        <v>3200000</v>
      </c>
      <c r="AE87" s="219">
        <f t="shared" ref="AE87:AE104" si="32">IF(AC87="Si tiene IVA",AD87*19%,0)</f>
        <v>608000</v>
      </c>
      <c r="AF87" s="219">
        <f t="shared" ref="AF87:AF104" si="33">AD87+AE87</f>
        <v>3808000</v>
      </c>
      <c r="AG87" s="219">
        <f t="shared" ref="AG87:AG104" si="34">IF(O87="","",(AA87*G87))</f>
        <v>3200000</v>
      </c>
      <c r="AH87" s="219">
        <f t="shared" ref="AH87:AH104" si="35">IF(O87="","",(AF87*G87))</f>
        <v>3808000</v>
      </c>
      <c r="AI87" s="461" t="s">
        <v>688</v>
      </c>
      <c r="AJ87" s="220">
        <v>46132</v>
      </c>
      <c r="AK87" s="221" t="s">
        <v>689</v>
      </c>
      <c r="AL87" s="222" t="s">
        <v>441</v>
      </c>
      <c r="AM87" s="223" t="s">
        <v>690</v>
      </c>
      <c r="AN87" s="224">
        <v>2865546.22</v>
      </c>
      <c r="AO87" s="224" t="s">
        <v>450</v>
      </c>
      <c r="AP87" s="225" t="s">
        <v>444</v>
      </c>
      <c r="AQ87" s="226">
        <f t="shared" ref="AQ87:AQ104" si="36">IF(AO87="IVA Incluido",(AN87/1.19),AN87)</f>
        <v>2865546.22</v>
      </c>
      <c r="AR87" s="227">
        <f t="shared" ref="AR87:AR104" si="37">IF(AP87="Si tiene IVA",AQ87*19%,0)</f>
        <v>544453.7818</v>
      </c>
      <c r="AS87" s="227">
        <f t="shared" ref="AS87:AS104" si="38">AQ87+AR87</f>
        <v>3410000.0018000002</v>
      </c>
      <c r="AT87" s="227">
        <f t="shared" ref="AT87:AT104" si="39">IF(AB87="","",(AN87*G87))</f>
        <v>2865546.22</v>
      </c>
      <c r="AU87" s="227">
        <f t="shared" ref="AU87:AU104" si="40">IF(AB87="","",(AS87*G87))</f>
        <v>3410000.0018000002</v>
      </c>
      <c r="AV87" s="228">
        <f t="shared" ref="AV87:AV104" si="41">IF(A87="","",AVERAGE(S87,AF87,AS87))</f>
        <v>3655500.0006000004</v>
      </c>
      <c r="AW87" s="228">
        <f t="shared" ref="AW87:AW104" si="42">IF(A87="","",AVERAGE(U87,AH87,AU87))</f>
        <v>3655500.0006000004</v>
      </c>
      <c r="AX87" s="228">
        <f t="shared" ref="AX87:AX104" si="43">IF(N87="","",STDEV(U87,AH87,AU87))</f>
        <v>214680.57564227824</v>
      </c>
      <c r="AY87" s="229">
        <f t="shared" ref="AY87:AY104" si="44">IF(N87="","",(AX87/AW87))</f>
        <v>5.872810165696659E-2</v>
      </c>
      <c r="AZ87" s="230"/>
      <c r="BA87" s="231">
        <f t="shared" ref="BA87:BA104" si="45">COUNTA(M87,Z87,AM87)</f>
        <v>3</v>
      </c>
      <c r="BH87" s="231">
        <v>4</v>
      </c>
      <c r="BI87" s="232"/>
      <c r="BJ87" s="232"/>
      <c r="BK87" s="232"/>
      <c r="BL87" s="232"/>
      <c r="BM87" s="232"/>
      <c r="BN87" s="232"/>
      <c r="BO87" s="232"/>
      <c r="BP87" s="232"/>
      <c r="BQ87" s="232"/>
      <c r="BR87" s="232"/>
      <c r="BS87" s="232"/>
      <c r="BT87" s="232"/>
      <c r="BU87" s="232"/>
      <c r="BV87" s="232"/>
    </row>
    <row r="88" spans="1:74" s="231" customFormat="1" ht="110.25" hidden="1" x14ac:dyDescent="0.25">
      <c r="A88" s="205" t="s">
        <v>438</v>
      </c>
      <c r="B88" s="205" t="s">
        <v>501</v>
      </c>
      <c r="C88" s="205"/>
      <c r="D88" s="205" t="s">
        <v>691</v>
      </c>
      <c r="E88" s="206" t="s">
        <v>692</v>
      </c>
      <c r="F88" s="458" t="s">
        <v>41</v>
      </c>
      <c r="G88" s="178">
        <v>1</v>
      </c>
      <c r="H88" s="458" t="s">
        <v>42</v>
      </c>
      <c r="I88" s="459" t="s">
        <v>452</v>
      </c>
      <c r="J88" s="207">
        <v>46069</v>
      </c>
      <c r="K88" s="208" t="s">
        <v>693</v>
      </c>
      <c r="L88" s="209" t="s">
        <v>446</v>
      </c>
      <c r="M88" s="207" t="s">
        <v>694</v>
      </c>
      <c r="N88" s="210">
        <v>10990</v>
      </c>
      <c r="O88" s="210" t="s">
        <v>443</v>
      </c>
      <c r="P88" s="210" t="s">
        <v>444</v>
      </c>
      <c r="Q88" s="211">
        <f t="shared" si="26"/>
        <v>9235.2941176470595</v>
      </c>
      <c r="R88" s="212">
        <f t="shared" si="27"/>
        <v>1754.7058823529412</v>
      </c>
      <c r="S88" s="212">
        <f t="shared" si="28"/>
        <v>10990</v>
      </c>
      <c r="T88" s="212">
        <f t="shared" si="29"/>
        <v>10990</v>
      </c>
      <c r="U88" s="212">
        <f t="shared" si="30"/>
        <v>10990</v>
      </c>
      <c r="V88" s="460" t="s">
        <v>452</v>
      </c>
      <c r="W88" s="213">
        <v>46069</v>
      </c>
      <c r="X88" s="214" t="s">
        <v>695</v>
      </c>
      <c r="Y88" s="215" t="s">
        <v>446</v>
      </c>
      <c r="Z88" s="216" t="s">
        <v>696</v>
      </c>
      <c r="AA88" s="217">
        <v>10725</v>
      </c>
      <c r="AB88" s="217" t="s">
        <v>443</v>
      </c>
      <c r="AC88" s="217" t="s">
        <v>444</v>
      </c>
      <c r="AD88" s="218">
        <f t="shared" si="31"/>
        <v>9012.6050420168067</v>
      </c>
      <c r="AE88" s="219">
        <f t="shared" si="32"/>
        <v>1712.3949579831933</v>
      </c>
      <c r="AF88" s="219">
        <f t="shared" si="33"/>
        <v>10725</v>
      </c>
      <c r="AG88" s="219">
        <f t="shared" si="34"/>
        <v>10725</v>
      </c>
      <c r="AH88" s="219">
        <f t="shared" si="35"/>
        <v>10725</v>
      </c>
      <c r="AI88" s="461" t="s">
        <v>452</v>
      </c>
      <c r="AJ88" s="220">
        <v>46069</v>
      </c>
      <c r="AK88" s="221" t="s">
        <v>697</v>
      </c>
      <c r="AL88" s="222" t="s">
        <v>446</v>
      </c>
      <c r="AM88" s="223" t="s">
        <v>698</v>
      </c>
      <c r="AN88" s="224">
        <v>9990</v>
      </c>
      <c r="AO88" s="224" t="s">
        <v>443</v>
      </c>
      <c r="AP88" s="225" t="s">
        <v>444</v>
      </c>
      <c r="AQ88" s="226">
        <f t="shared" si="36"/>
        <v>8394.957983193277</v>
      </c>
      <c r="AR88" s="227">
        <f t="shared" si="37"/>
        <v>1595.0420168067226</v>
      </c>
      <c r="AS88" s="227">
        <f t="shared" si="38"/>
        <v>9990</v>
      </c>
      <c r="AT88" s="227">
        <f t="shared" si="39"/>
        <v>9990</v>
      </c>
      <c r="AU88" s="227">
        <f t="shared" si="40"/>
        <v>9990</v>
      </c>
      <c r="AV88" s="228">
        <f t="shared" si="41"/>
        <v>10568.333333333334</v>
      </c>
      <c r="AW88" s="228">
        <f t="shared" si="42"/>
        <v>10568.333333333334</v>
      </c>
      <c r="AX88" s="228">
        <f t="shared" si="43"/>
        <v>518.0813964362485</v>
      </c>
      <c r="AY88" s="229">
        <f t="shared" si="44"/>
        <v>4.9022052966684923E-2</v>
      </c>
      <c r="AZ88" s="230"/>
      <c r="BA88" s="231">
        <f t="shared" si="45"/>
        <v>3</v>
      </c>
      <c r="BH88" s="231">
        <v>7</v>
      </c>
      <c r="BI88" s="232"/>
      <c r="BJ88" s="232"/>
      <c r="BK88" s="232"/>
      <c r="BL88" s="232"/>
      <c r="BM88" s="232"/>
      <c r="BN88" s="232"/>
      <c r="BO88" s="232"/>
      <c r="BP88" s="232"/>
      <c r="BQ88" s="232"/>
      <c r="BR88" s="232"/>
      <c r="BS88" s="232"/>
      <c r="BT88" s="232"/>
      <c r="BU88" s="232"/>
      <c r="BV88" s="232"/>
    </row>
    <row r="89" spans="1:74" s="231" customFormat="1" ht="63" hidden="1" x14ac:dyDescent="0.25">
      <c r="A89" s="205" t="s">
        <v>438</v>
      </c>
      <c r="B89" s="205" t="s">
        <v>501</v>
      </c>
      <c r="C89" s="205">
        <v>14111531</v>
      </c>
      <c r="D89" s="205" t="s">
        <v>398</v>
      </c>
      <c r="E89" s="206" t="s">
        <v>399</v>
      </c>
      <c r="F89" s="458" t="s">
        <v>41</v>
      </c>
      <c r="G89" s="178">
        <v>1</v>
      </c>
      <c r="H89" s="458" t="s">
        <v>42</v>
      </c>
      <c r="I89" s="459" t="s">
        <v>452</v>
      </c>
      <c r="J89" s="207">
        <v>46069</v>
      </c>
      <c r="K89" s="208" t="s">
        <v>667</v>
      </c>
      <c r="L89" s="209" t="s">
        <v>446</v>
      </c>
      <c r="M89" s="207" t="s">
        <v>699</v>
      </c>
      <c r="N89" s="210">
        <v>11000</v>
      </c>
      <c r="O89" s="210" t="s">
        <v>443</v>
      </c>
      <c r="P89" s="210" t="s">
        <v>444</v>
      </c>
      <c r="Q89" s="211">
        <f t="shared" si="26"/>
        <v>9243.6974789915967</v>
      </c>
      <c r="R89" s="212">
        <f t="shared" si="27"/>
        <v>1756.3025210084033</v>
      </c>
      <c r="S89" s="212">
        <f t="shared" si="28"/>
        <v>11000</v>
      </c>
      <c r="T89" s="212">
        <f t="shared" si="29"/>
        <v>11000</v>
      </c>
      <c r="U89" s="212">
        <f t="shared" si="30"/>
        <v>11000</v>
      </c>
      <c r="V89" s="460" t="s">
        <v>452</v>
      </c>
      <c r="W89" s="213">
        <v>46069</v>
      </c>
      <c r="X89" s="214" t="s">
        <v>665</v>
      </c>
      <c r="Y89" s="215" t="s">
        <v>446</v>
      </c>
      <c r="Z89" s="216" t="s">
        <v>700</v>
      </c>
      <c r="AA89" s="217">
        <v>9400</v>
      </c>
      <c r="AB89" s="217" t="s">
        <v>443</v>
      </c>
      <c r="AC89" s="217" t="s">
        <v>444</v>
      </c>
      <c r="AD89" s="218">
        <f t="shared" si="31"/>
        <v>7899.1596638655465</v>
      </c>
      <c r="AE89" s="219">
        <f t="shared" si="32"/>
        <v>1500.8403361344538</v>
      </c>
      <c r="AF89" s="219">
        <f t="shared" si="33"/>
        <v>9400</v>
      </c>
      <c r="AG89" s="219">
        <f t="shared" si="34"/>
        <v>9400</v>
      </c>
      <c r="AH89" s="219">
        <f t="shared" si="35"/>
        <v>9400</v>
      </c>
      <c r="AI89" s="461" t="s">
        <v>452</v>
      </c>
      <c r="AJ89" s="220">
        <v>46069</v>
      </c>
      <c r="AK89" s="221" t="s">
        <v>701</v>
      </c>
      <c r="AL89" s="222" t="s">
        <v>446</v>
      </c>
      <c r="AM89" s="223" t="s">
        <v>702</v>
      </c>
      <c r="AN89" s="224">
        <v>11900</v>
      </c>
      <c r="AO89" s="224" t="s">
        <v>443</v>
      </c>
      <c r="AP89" s="225" t="s">
        <v>444</v>
      </c>
      <c r="AQ89" s="226">
        <f t="shared" si="36"/>
        <v>10000</v>
      </c>
      <c r="AR89" s="227">
        <f t="shared" si="37"/>
        <v>1900</v>
      </c>
      <c r="AS89" s="227">
        <f t="shared" si="38"/>
        <v>11900</v>
      </c>
      <c r="AT89" s="227">
        <f t="shared" si="39"/>
        <v>11900</v>
      </c>
      <c r="AU89" s="227">
        <f t="shared" si="40"/>
        <v>11900</v>
      </c>
      <c r="AV89" s="228">
        <f t="shared" si="41"/>
        <v>10766.666666666666</v>
      </c>
      <c r="AW89" s="228">
        <f t="shared" si="42"/>
        <v>10766.666666666666</v>
      </c>
      <c r="AX89" s="228">
        <f t="shared" si="43"/>
        <v>1266.2279942148386</v>
      </c>
      <c r="AY89" s="229">
        <f t="shared" si="44"/>
        <v>0.1176063152521522</v>
      </c>
      <c r="AZ89" s="230"/>
      <c r="BA89" s="231">
        <f t="shared" si="45"/>
        <v>3</v>
      </c>
      <c r="BH89" s="231">
        <v>8</v>
      </c>
      <c r="BI89" s="232"/>
      <c r="BJ89" s="232"/>
      <c r="BK89" s="232"/>
      <c r="BL89" s="232"/>
      <c r="BM89" s="232"/>
      <c r="BN89" s="232"/>
      <c r="BO89" s="232"/>
      <c r="BP89" s="232"/>
      <c r="BQ89" s="232"/>
      <c r="BR89" s="232"/>
      <c r="BS89" s="232"/>
      <c r="BT89" s="232"/>
      <c r="BU89" s="232"/>
      <c r="BV89" s="232"/>
    </row>
    <row r="90" spans="1:74" s="231" customFormat="1" ht="63" hidden="1" x14ac:dyDescent="0.25">
      <c r="A90" s="205" t="s">
        <v>438</v>
      </c>
      <c r="B90" s="205" t="s">
        <v>501</v>
      </c>
      <c r="C90" s="205">
        <v>14111514</v>
      </c>
      <c r="D90" s="205" t="s">
        <v>703</v>
      </c>
      <c r="E90" s="206" t="s">
        <v>704</v>
      </c>
      <c r="F90" s="458" t="s">
        <v>41</v>
      </c>
      <c r="G90" s="178">
        <v>1</v>
      </c>
      <c r="H90" s="458" t="s">
        <v>42</v>
      </c>
      <c r="I90" s="459" t="s">
        <v>452</v>
      </c>
      <c r="J90" s="207">
        <v>46070</v>
      </c>
      <c r="K90" s="208" t="s">
        <v>506</v>
      </c>
      <c r="L90" s="209" t="s">
        <v>446</v>
      </c>
      <c r="M90" s="207" t="s">
        <v>507</v>
      </c>
      <c r="N90" s="210">
        <v>2700</v>
      </c>
      <c r="O90" s="210" t="s">
        <v>450</v>
      </c>
      <c r="P90" s="210" t="s">
        <v>444</v>
      </c>
      <c r="Q90" s="211">
        <f t="shared" si="26"/>
        <v>2700</v>
      </c>
      <c r="R90" s="212">
        <f t="shared" si="27"/>
        <v>513</v>
      </c>
      <c r="S90" s="212">
        <f t="shared" si="28"/>
        <v>3213</v>
      </c>
      <c r="T90" s="212">
        <f t="shared" si="29"/>
        <v>2700</v>
      </c>
      <c r="U90" s="212">
        <f t="shared" si="30"/>
        <v>3213</v>
      </c>
      <c r="V90" s="460" t="s">
        <v>452</v>
      </c>
      <c r="W90" s="213">
        <v>46070</v>
      </c>
      <c r="X90" s="214" t="s">
        <v>705</v>
      </c>
      <c r="Y90" s="215" t="s">
        <v>446</v>
      </c>
      <c r="Z90" s="216" t="s">
        <v>706</v>
      </c>
      <c r="AA90" s="217">
        <v>2706</v>
      </c>
      <c r="AB90" s="217" t="s">
        <v>443</v>
      </c>
      <c r="AC90" s="217" t="s">
        <v>444</v>
      </c>
      <c r="AD90" s="218">
        <f t="shared" si="31"/>
        <v>2273.9495798319331</v>
      </c>
      <c r="AE90" s="219">
        <f t="shared" si="32"/>
        <v>432.05042016806726</v>
      </c>
      <c r="AF90" s="219">
        <f t="shared" si="33"/>
        <v>2706.0000000000005</v>
      </c>
      <c r="AG90" s="219">
        <f t="shared" si="34"/>
        <v>2706</v>
      </c>
      <c r="AH90" s="219">
        <f t="shared" si="35"/>
        <v>2706.0000000000005</v>
      </c>
      <c r="AI90" s="461" t="s">
        <v>452</v>
      </c>
      <c r="AJ90" s="220">
        <v>46070</v>
      </c>
      <c r="AK90" s="221" t="s">
        <v>707</v>
      </c>
      <c r="AL90" s="222" t="s">
        <v>446</v>
      </c>
      <c r="AM90" s="223" t="s">
        <v>708</v>
      </c>
      <c r="AN90" s="224">
        <v>3026</v>
      </c>
      <c r="AO90" s="224" t="s">
        <v>450</v>
      </c>
      <c r="AP90" s="225" t="s">
        <v>444</v>
      </c>
      <c r="AQ90" s="226">
        <f t="shared" si="36"/>
        <v>3026</v>
      </c>
      <c r="AR90" s="227">
        <f t="shared" si="37"/>
        <v>574.94000000000005</v>
      </c>
      <c r="AS90" s="227">
        <f t="shared" si="38"/>
        <v>3600.94</v>
      </c>
      <c r="AT90" s="227">
        <f t="shared" si="39"/>
        <v>3026</v>
      </c>
      <c r="AU90" s="227">
        <f t="shared" si="40"/>
        <v>3600.94</v>
      </c>
      <c r="AV90" s="228">
        <f t="shared" si="41"/>
        <v>3173.3133333333335</v>
      </c>
      <c r="AW90" s="228">
        <f t="shared" si="42"/>
        <v>3173.3133333333335</v>
      </c>
      <c r="AX90" s="228">
        <f t="shared" si="43"/>
        <v>448.78800622714243</v>
      </c>
      <c r="AY90" s="229">
        <f t="shared" si="44"/>
        <v>0.14142568321664079</v>
      </c>
      <c r="AZ90" s="230"/>
      <c r="BA90" s="231">
        <f t="shared" si="45"/>
        <v>3</v>
      </c>
      <c r="BH90" s="231">
        <v>9</v>
      </c>
      <c r="BI90" s="232"/>
      <c r="BJ90" s="232"/>
      <c r="BK90" s="232"/>
      <c r="BL90" s="232"/>
      <c r="BM90" s="232"/>
      <c r="BN90" s="232"/>
      <c r="BO90" s="232"/>
      <c r="BP90" s="232"/>
      <c r="BQ90" s="232"/>
      <c r="BR90" s="232"/>
      <c r="BS90" s="232"/>
      <c r="BT90" s="232"/>
      <c r="BU90" s="232"/>
      <c r="BV90" s="232"/>
    </row>
    <row r="91" spans="1:74" s="231" customFormat="1" ht="63" hidden="1" x14ac:dyDescent="0.25">
      <c r="A91" s="205" t="s">
        <v>438</v>
      </c>
      <c r="B91" s="205" t="s">
        <v>501</v>
      </c>
      <c r="C91" s="205">
        <v>14111514</v>
      </c>
      <c r="D91" s="205" t="s">
        <v>709</v>
      </c>
      <c r="E91" s="206" t="s">
        <v>710</v>
      </c>
      <c r="F91" s="458" t="s">
        <v>41</v>
      </c>
      <c r="G91" s="178">
        <v>1</v>
      </c>
      <c r="H91" s="458" t="s">
        <v>42</v>
      </c>
      <c r="I91" s="459" t="s">
        <v>452</v>
      </c>
      <c r="J91" s="207">
        <v>46070</v>
      </c>
      <c r="K91" s="208" t="s">
        <v>705</v>
      </c>
      <c r="L91" s="209" t="s">
        <v>446</v>
      </c>
      <c r="M91" s="207" t="s">
        <v>706</v>
      </c>
      <c r="N91" s="210">
        <v>2898</v>
      </c>
      <c r="O91" s="210" t="s">
        <v>450</v>
      </c>
      <c r="P91" s="210" t="s">
        <v>444</v>
      </c>
      <c r="Q91" s="211">
        <f t="shared" si="26"/>
        <v>2898</v>
      </c>
      <c r="R91" s="212">
        <f t="shared" si="27"/>
        <v>550.62</v>
      </c>
      <c r="S91" s="212">
        <f t="shared" si="28"/>
        <v>3448.62</v>
      </c>
      <c r="T91" s="212">
        <f t="shared" si="29"/>
        <v>2898</v>
      </c>
      <c r="U91" s="212">
        <f t="shared" si="30"/>
        <v>3448.62</v>
      </c>
      <c r="V91" s="460" t="s">
        <v>452</v>
      </c>
      <c r="W91" s="213">
        <v>46070</v>
      </c>
      <c r="X91" s="214" t="s">
        <v>506</v>
      </c>
      <c r="Y91" s="215" t="s">
        <v>446</v>
      </c>
      <c r="Z91" s="216" t="s">
        <v>507</v>
      </c>
      <c r="AA91" s="217">
        <v>3400</v>
      </c>
      <c r="AB91" s="217" t="s">
        <v>450</v>
      </c>
      <c r="AC91" s="217" t="s">
        <v>444</v>
      </c>
      <c r="AD91" s="218">
        <f t="shared" si="31"/>
        <v>3400</v>
      </c>
      <c r="AE91" s="219">
        <f t="shared" si="32"/>
        <v>646</v>
      </c>
      <c r="AF91" s="219">
        <f t="shared" si="33"/>
        <v>4046</v>
      </c>
      <c r="AG91" s="219">
        <f t="shared" si="34"/>
        <v>3400</v>
      </c>
      <c r="AH91" s="219">
        <f t="shared" si="35"/>
        <v>4046</v>
      </c>
      <c r="AI91" s="461" t="s">
        <v>452</v>
      </c>
      <c r="AJ91" s="220">
        <v>46070</v>
      </c>
      <c r="AK91" s="221" t="s">
        <v>707</v>
      </c>
      <c r="AL91" s="222" t="s">
        <v>446</v>
      </c>
      <c r="AM91" s="223" t="s">
        <v>708</v>
      </c>
      <c r="AN91" s="224">
        <v>3361</v>
      </c>
      <c r="AO91" s="224" t="s">
        <v>450</v>
      </c>
      <c r="AP91" s="225" t="s">
        <v>444</v>
      </c>
      <c r="AQ91" s="226">
        <f t="shared" si="36"/>
        <v>3361</v>
      </c>
      <c r="AR91" s="227">
        <f t="shared" si="37"/>
        <v>638.59</v>
      </c>
      <c r="AS91" s="227">
        <f t="shared" si="38"/>
        <v>3999.59</v>
      </c>
      <c r="AT91" s="227">
        <f t="shared" si="39"/>
        <v>3361</v>
      </c>
      <c r="AU91" s="227">
        <f t="shared" si="40"/>
        <v>3999.59</v>
      </c>
      <c r="AV91" s="228">
        <f t="shared" si="41"/>
        <v>3831.4033333333332</v>
      </c>
      <c r="AW91" s="228">
        <f t="shared" si="42"/>
        <v>3831.4033333333332</v>
      </c>
      <c r="AX91" s="228">
        <f t="shared" si="43"/>
        <v>332.31127310600431</v>
      </c>
      <c r="AY91" s="229">
        <f t="shared" si="44"/>
        <v>8.6733565796867557E-2</v>
      </c>
      <c r="AZ91" s="230"/>
      <c r="BA91" s="231">
        <f t="shared" si="45"/>
        <v>3</v>
      </c>
      <c r="BH91" s="231">
        <v>10</v>
      </c>
      <c r="BI91" s="232"/>
      <c r="BJ91" s="232"/>
      <c r="BK91" s="232"/>
      <c r="BL91" s="232"/>
      <c r="BM91" s="232"/>
      <c r="BN91" s="232"/>
      <c r="BO91" s="232"/>
      <c r="BP91" s="232"/>
      <c r="BQ91" s="232"/>
      <c r="BR91" s="232"/>
      <c r="BS91" s="232"/>
      <c r="BT91" s="232"/>
      <c r="BU91" s="232"/>
      <c r="BV91" s="232"/>
    </row>
    <row r="92" spans="1:74" s="231" customFormat="1" ht="63" hidden="1" x14ac:dyDescent="0.25">
      <c r="A92" s="205" t="s">
        <v>438</v>
      </c>
      <c r="B92" s="205" t="s">
        <v>501</v>
      </c>
      <c r="C92" s="205">
        <v>60121109</v>
      </c>
      <c r="D92" s="205" t="s">
        <v>711</v>
      </c>
      <c r="E92" s="206" t="s">
        <v>712</v>
      </c>
      <c r="F92" s="458" t="s">
        <v>41</v>
      </c>
      <c r="G92" s="178">
        <v>1</v>
      </c>
      <c r="H92" s="458" t="s">
        <v>42</v>
      </c>
      <c r="I92" s="459" t="s">
        <v>452</v>
      </c>
      <c r="J92" s="207">
        <v>46069</v>
      </c>
      <c r="K92" s="208" t="s">
        <v>713</v>
      </c>
      <c r="L92" s="209" t="s">
        <v>446</v>
      </c>
      <c r="M92" s="207" t="s">
        <v>706</v>
      </c>
      <c r="N92" s="210">
        <v>49411</v>
      </c>
      <c r="O92" s="210" t="s">
        <v>450</v>
      </c>
      <c r="P92" s="210" t="s">
        <v>444</v>
      </c>
      <c r="Q92" s="211">
        <f t="shared" si="26"/>
        <v>49411</v>
      </c>
      <c r="R92" s="212">
        <f t="shared" si="27"/>
        <v>9388.09</v>
      </c>
      <c r="S92" s="212">
        <f t="shared" si="28"/>
        <v>58799.09</v>
      </c>
      <c r="T92" s="212">
        <f t="shared" si="29"/>
        <v>49411</v>
      </c>
      <c r="U92" s="212">
        <f t="shared" si="30"/>
        <v>58799.09</v>
      </c>
      <c r="V92" s="460" t="s">
        <v>452</v>
      </c>
      <c r="W92" s="213">
        <v>46069</v>
      </c>
      <c r="X92" s="214" t="s">
        <v>506</v>
      </c>
      <c r="Y92" s="215" t="s">
        <v>446</v>
      </c>
      <c r="Z92" s="216" t="s">
        <v>714</v>
      </c>
      <c r="AA92" s="217">
        <v>45900</v>
      </c>
      <c r="AB92" s="217" t="s">
        <v>450</v>
      </c>
      <c r="AC92" s="217" t="s">
        <v>444</v>
      </c>
      <c r="AD92" s="218">
        <f t="shared" si="31"/>
        <v>45900</v>
      </c>
      <c r="AE92" s="219">
        <f t="shared" si="32"/>
        <v>8721</v>
      </c>
      <c r="AF92" s="219">
        <f t="shared" si="33"/>
        <v>54621</v>
      </c>
      <c r="AG92" s="219">
        <f t="shared" si="34"/>
        <v>45900</v>
      </c>
      <c r="AH92" s="219">
        <f t="shared" si="35"/>
        <v>54621</v>
      </c>
      <c r="AI92" s="461" t="s">
        <v>452</v>
      </c>
      <c r="AJ92" s="220">
        <v>46069</v>
      </c>
      <c r="AK92" s="221" t="s">
        <v>667</v>
      </c>
      <c r="AL92" s="222" t="s">
        <v>446</v>
      </c>
      <c r="AM92" s="223" t="s">
        <v>699</v>
      </c>
      <c r="AN92" s="224">
        <v>49000</v>
      </c>
      <c r="AO92" s="224" t="s">
        <v>443</v>
      </c>
      <c r="AP92" s="225" t="s">
        <v>444</v>
      </c>
      <c r="AQ92" s="226">
        <f t="shared" si="36"/>
        <v>41176.470588235294</v>
      </c>
      <c r="AR92" s="227">
        <f t="shared" si="37"/>
        <v>7823.5294117647063</v>
      </c>
      <c r="AS92" s="227">
        <f t="shared" si="38"/>
        <v>49000</v>
      </c>
      <c r="AT92" s="227">
        <f t="shared" si="39"/>
        <v>49000</v>
      </c>
      <c r="AU92" s="227">
        <f t="shared" si="40"/>
        <v>49000</v>
      </c>
      <c r="AV92" s="228">
        <f t="shared" si="41"/>
        <v>54140.03</v>
      </c>
      <c r="AW92" s="228">
        <f t="shared" si="42"/>
        <v>54140.03</v>
      </c>
      <c r="AX92" s="228">
        <f t="shared" si="43"/>
        <v>4917.2187578650573</v>
      </c>
      <c r="AY92" s="229">
        <f t="shared" si="44"/>
        <v>9.0824086315893393E-2</v>
      </c>
      <c r="AZ92" s="230"/>
      <c r="BA92" s="231">
        <f t="shared" si="45"/>
        <v>3</v>
      </c>
      <c r="BH92" s="231">
        <v>11</v>
      </c>
      <c r="BI92" s="232"/>
      <c r="BJ92" s="232"/>
      <c r="BK92" s="232"/>
      <c r="BL92" s="232"/>
      <c r="BM92" s="232"/>
      <c r="BN92" s="232"/>
      <c r="BO92" s="232"/>
      <c r="BP92" s="232"/>
      <c r="BQ92" s="232"/>
      <c r="BR92" s="232"/>
      <c r="BS92" s="232"/>
      <c r="BT92" s="232"/>
      <c r="BU92" s="232"/>
      <c r="BV92" s="232"/>
    </row>
    <row r="93" spans="1:74" s="231" customFormat="1" ht="143.25" hidden="1" customHeight="1" x14ac:dyDescent="0.25">
      <c r="A93" s="205" t="s">
        <v>438</v>
      </c>
      <c r="B93" s="205" t="s">
        <v>501</v>
      </c>
      <c r="C93" s="205">
        <v>14111514</v>
      </c>
      <c r="D93" s="205" t="s">
        <v>715</v>
      </c>
      <c r="E93" s="206" t="s">
        <v>716</v>
      </c>
      <c r="F93" s="458" t="s">
        <v>41</v>
      </c>
      <c r="G93" s="178">
        <v>1</v>
      </c>
      <c r="H93" s="458" t="s">
        <v>42</v>
      </c>
      <c r="I93" s="459" t="s">
        <v>452</v>
      </c>
      <c r="J93" s="207">
        <v>46070</v>
      </c>
      <c r="K93" s="208" t="s">
        <v>667</v>
      </c>
      <c r="L93" s="209" t="s">
        <v>446</v>
      </c>
      <c r="M93" s="207" t="s">
        <v>699</v>
      </c>
      <c r="N93" s="210">
        <v>5000</v>
      </c>
      <c r="O93" s="210" t="s">
        <v>443</v>
      </c>
      <c r="P93" s="210" t="s">
        <v>444</v>
      </c>
      <c r="Q93" s="211">
        <f t="shared" si="26"/>
        <v>4201.680672268908</v>
      </c>
      <c r="R93" s="212">
        <f t="shared" si="27"/>
        <v>798.31932773109247</v>
      </c>
      <c r="S93" s="212">
        <f t="shared" si="28"/>
        <v>5000</v>
      </c>
      <c r="T93" s="212">
        <f t="shared" si="29"/>
        <v>5000</v>
      </c>
      <c r="U93" s="212">
        <f t="shared" si="30"/>
        <v>5000</v>
      </c>
      <c r="V93" s="460" t="s">
        <v>452</v>
      </c>
      <c r="W93" s="213">
        <v>46070</v>
      </c>
      <c r="X93" s="214" t="s">
        <v>506</v>
      </c>
      <c r="Y93" s="215" t="s">
        <v>446</v>
      </c>
      <c r="Z93" s="216" t="s">
        <v>507</v>
      </c>
      <c r="AA93" s="217">
        <v>4875</v>
      </c>
      <c r="AB93" s="217" t="s">
        <v>443</v>
      </c>
      <c r="AC93" s="217" t="s">
        <v>444</v>
      </c>
      <c r="AD93" s="218">
        <f t="shared" si="31"/>
        <v>4096.6386554621849</v>
      </c>
      <c r="AE93" s="219">
        <f t="shared" si="32"/>
        <v>778.36134453781517</v>
      </c>
      <c r="AF93" s="219">
        <f t="shared" si="33"/>
        <v>4875</v>
      </c>
      <c r="AG93" s="219">
        <f t="shared" si="34"/>
        <v>4875</v>
      </c>
      <c r="AH93" s="219">
        <f t="shared" si="35"/>
        <v>4875</v>
      </c>
      <c r="AI93" s="461" t="s">
        <v>452</v>
      </c>
      <c r="AJ93" s="220">
        <v>46070</v>
      </c>
      <c r="AK93" s="221" t="s">
        <v>508</v>
      </c>
      <c r="AL93" s="222" t="s">
        <v>446</v>
      </c>
      <c r="AM93" s="223" t="s">
        <v>509</v>
      </c>
      <c r="AN93" s="224">
        <v>6200</v>
      </c>
      <c r="AO93" s="224" t="s">
        <v>443</v>
      </c>
      <c r="AP93" s="225" t="s">
        <v>444</v>
      </c>
      <c r="AQ93" s="226">
        <f t="shared" si="36"/>
        <v>5210.0840336134452</v>
      </c>
      <c r="AR93" s="227">
        <f t="shared" si="37"/>
        <v>989.9159663865546</v>
      </c>
      <c r="AS93" s="227">
        <f t="shared" si="38"/>
        <v>6200</v>
      </c>
      <c r="AT93" s="227">
        <f t="shared" si="39"/>
        <v>6200</v>
      </c>
      <c r="AU93" s="227">
        <f t="shared" si="40"/>
        <v>6200</v>
      </c>
      <c r="AV93" s="228">
        <f t="shared" si="41"/>
        <v>5358.333333333333</v>
      </c>
      <c r="AW93" s="228">
        <f t="shared" si="42"/>
        <v>5358.333333333333</v>
      </c>
      <c r="AX93" s="228">
        <f t="shared" si="43"/>
        <v>731.57934178962148</v>
      </c>
      <c r="AY93" s="229">
        <f t="shared" si="44"/>
        <v>0.13653113688142238</v>
      </c>
      <c r="AZ93" s="230"/>
      <c r="BA93" s="231">
        <f t="shared" si="45"/>
        <v>3</v>
      </c>
      <c r="BH93" s="231">
        <v>12</v>
      </c>
      <c r="BI93" s="232"/>
      <c r="BJ93" s="232"/>
      <c r="BK93" s="232"/>
      <c r="BL93" s="232"/>
      <c r="BM93" s="232"/>
      <c r="BN93" s="232"/>
      <c r="BO93" s="232"/>
      <c r="BP93" s="232"/>
      <c r="BQ93" s="232"/>
      <c r="BR93" s="232"/>
      <c r="BS93" s="232"/>
      <c r="BT93" s="232"/>
      <c r="BU93" s="232"/>
      <c r="BV93" s="232"/>
    </row>
    <row r="94" spans="1:74" s="231" customFormat="1" ht="78" hidden="1" customHeight="1" x14ac:dyDescent="0.25">
      <c r="A94" s="205" t="s">
        <v>438</v>
      </c>
      <c r="B94" s="205" t="s">
        <v>501</v>
      </c>
      <c r="C94" s="205">
        <v>14111514</v>
      </c>
      <c r="D94" s="205" t="s">
        <v>717</v>
      </c>
      <c r="E94" s="206" t="s">
        <v>718</v>
      </c>
      <c r="F94" s="458" t="s">
        <v>41</v>
      </c>
      <c r="G94" s="178">
        <v>1</v>
      </c>
      <c r="H94" s="458" t="s">
        <v>42</v>
      </c>
      <c r="I94" s="459" t="s">
        <v>452</v>
      </c>
      <c r="J94" s="207">
        <v>46069</v>
      </c>
      <c r="K94" s="208" t="s">
        <v>667</v>
      </c>
      <c r="L94" s="209" t="s">
        <v>446</v>
      </c>
      <c r="M94" s="207" t="s">
        <v>699</v>
      </c>
      <c r="N94" s="210">
        <v>4400</v>
      </c>
      <c r="O94" s="210" t="s">
        <v>443</v>
      </c>
      <c r="P94" s="210" t="s">
        <v>444</v>
      </c>
      <c r="Q94" s="211">
        <f t="shared" si="26"/>
        <v>3697.4789915966389</v>
      </c>
      <c r="R94" s="212">
        <f t="shared" si="27"/>
        <v>702.52100840336141</v>
      </c>
      <c r="S94" s="212">
        <f t="shared" si="28"/>
        <v>4400</v>
      </c>
      <c r="T94" s="212">
        <f t="shared" si="29"/>
        <v>4400</v>
      </c>
      <c r="U94" s="212">
        <f t="shared" si="30"/>
        <v>4400</v>
      </c>
      <c r="V94" s="460" t="s">
        <v>452</v>
      </c>
      <c r="W94" s="213">
        <v>46069</v>
      </c>
      <c r="X94" s="214" t="s">
        <v>707</v>
      </c>
      <c r="Y94" s="215" t="s">
        <v>446</v>
      </c>
      <c r="Z94" s="216" t="s">
        <v>708</v>
      </c>
      <c r="AA94" s="217">
        <v>3950</v>
      </c>
      <c r="AB94" s="217" t="s">
        <v>450</v>
      </c>
      <c r="AC94" s="217" t="s">
        <v>444</v>
      </c>
      <c r="AD94" s="218">
        <f t="shared" si="31"/>
        <v>3950</v>
      </c>
      <c r="AE94" s="219">
        <f t="shared" si="32"/>
        <v>750.5</v>
      </c>
      <c r="AF94" s="219">
        <f t="shared" si="33"/>
        <v>4700.5</v>
      </c>
      <c r="AG94" s="219">
        <f t="shared" si="34"/>
        <v>3950</v>
      </c>
      <c r="AH94" s="219">
        <f t="shared" si="35"/>
        <v>4700.5</v>
      </c>
      <c r="AI94" s="461" t="s">
        <v>452</v>
      </c>
      <c r="AJ94" s="220">
        <v>46069</v>
      </c>
      <c r="AK94" s="221" t="s">
        <v>719</v>
      </c>
      <c r="AL94" s="222" t="s">
        <v>446</v>
      </c>
      <c r="AM94" s="223" t="s">
        <v>720</v>
      </c>
      <c r="AN94" s="224">
        <v>4900</v>
      </c>
      <c r="AO94" s="224" t="s">
        <v>443</v>
      </c>
      <c r="AP94" s="225" t="s">
        <v>444</v>
      </c>
      <c r="AQ94" s="226">
        <f t="shared" si="36"/>
        <v>4117.6470588235297</v>
      </c>
      <c r="AR94" s="227">
        <f t="shared" si="37"/>
        <v>782.35294117647061</v>
      </c>
      <c r="AS94" s="227">
        <f t="shared" si="38"/>
        <v>4900</v>
      </c>
      <c r="AT94" s="227">
        <f t="shared" si="39"/>
        <v>4900</v>
      </c>
      <c r="AU94" s="227">
        <f t="shared" si="40"/>
        <v>4900</v>
      </c>
      <c r="AV94" s="228">
        <f t="shared" si="41"/>
        <v>4666.833333333333</v>
      </c>
      <c r="AW94" s="228">
        <f t="shared" si="42"/>
        <v>4666.833333333333</v>
      </c>
      <c r="AX94" s="228">
        <f t="shared" si="43"/>
        <v>251.6944245177738</v>
      </c>
      <c r="AY94" s="229">
        <f t="shared" si="44"/>
        <v>5.3932593375473833E-2</v>
      </c>
      <c r="AZ94" s="230"/>
      <c r="BA94" s="231">
        <f t="shared" si="45"/>
        <v>3</v>
      </c>
      <c r="BH94" s="231">
        <v>13</v>
      </c>
      <c r="BI94" s="232"/>
      <c r="BJ94" s="232"/>
      <c r="BK94" s="232"/>
      <c r="BL94" s="232"/>
      <c r="BM94" s="232"/>
      <c r="BN94" s="232"/>
      <c r="BO94" s="232"/>
      <c r="BP94" s="232"/>
      <c r="BQ94" s="232"/>
      <c r="BR94" s="232"/>
      <c r="BS94" s="232"/>
      <c r="BT94" s="232"/>
      <c r="BU94" s="232"/>
      <c r="BV94" s="232"/>
    </row>
    <row r="95" spans="1:74" s="231" customFormat="1" ht="78" hidden="1" customHeight="1" x14ac:dyDescent="0.25">
      <c r="A95" s="205" t="s">
        <v>438</v>
      </c>
      <c r="B95" s="205" t="s">
        <v>501</v>
      </c>
      <c r="C95" s="205"/>
      <c r="D95" s="205" t="s">
        <v>721</v>
      </c>
      <c r="E95" s="206" t="s">
        <v>722</v>
      </c>
      <c r="F95" s="458" t="s">
        <v>41</v>
      </c>
      <c r="G95" s="178">
        <v>1</v>
      </c>
      <c r="H95" s="458" t="s">
        <v>42</v>
      </c>
      <c r="I95" s="459" t="s">
        <v>452</v>
      </c>
      <c r="J95" s="207">
        <v>46070</v>
      </c>
      <c r="K95" s="208" t="s">
        <v>667</v>
      </c>
      <c r="L95" s="209" t="s">
        <v>446</v>
      </c>
      <c r="M95" s="207" t="s">
        <v>699</v>
      </c>
      <c r="N95" s="210">
        <v>5600</v>
      </c>
      <c r="O95" s="210" t="s">
        <v>443</v>
      </c>
      <c r="P95" s="210" t="s">
        <v>444</v>
      </c>
      <c r="Q95" s="211">
        <f t="shared" si="26"/>
        <v>4705.8823529411766</v>
      </c>
      <c r="R95" s="212">
        <f t="shared" si="27"/>
        <v>894.11764705882354</v>
      </c>
      <c r="S95" s="212">
        <f t="shared" si="28"/>
        <v>5600</v>
      </c>
      <c r="T95" s="212">
        <f t="shared" si="29"/>
        <v>5600</v>
      </c>
      <c r="U95" s="212">
        <f t="shared" si="30"/>
        <v>5600</v>
      </c>
      <c r="V95" s="460" t="s">
        <v>452</v>
      </c>
      <c r="W95" s="213">
        <v>46070</v>
      </c>
      <c r="X95" s="214" t="s">
        <v>508</v>
      </c>
      <c r="Y95" s="215" t="s">
        <v>446</v>
      </c>
      <c r="Z95" s="216" t="s">
        <v>723</v>
      </c>
      <c r="AA95" s="217">
        <v>5600</v>
      </c>
      <c r="AB95" s="217" t="s">
        <v>443</v>
      </c>
      <c r="AC95" s="217" t="s">
        <v>444</v>
      </c>
      <c r="AD95" s="218">
        <f t="shared" si="31"/>
        <v>4705.8823529411766</v>
      </c>
      <c r="AE95" s="219">
        <f t="shared" si="32"/>
        <v>894.11764705882354</v>
      </c>
      <c r="AF95" s="219">
        <f t="shared" si="33"/>
        <v>5600</v>
      </c>
      <c r="AG95" s="219">
        <f t="shared" si="34"/>
        <v>5600</v>
      </c>
      <c r="AH95" s="219">
        <f t="shared" si="35"/>
        <v>5600</v>
      </c>
      <c r="AI95" s="461" t="s">
        <v>452</v>
      </c>
      <c r="AJ95" s="220">
        <v>46070</v>
      </c>
      <c r="AK95" s="221" t="s">
        <v>724</v>
      </c>
      <c r="AL95" s="222" t="s">
        <v>446</v>
      </c>
      <c r="AM95" s="223" t="s">
        <v>725</v>
      </c>
      <c r="AN95" s="224">
        <v>5000</v>
      </c>
      <c r="AO95" s="224" t="s">
        <v>443</v>
      </c>
      <c r="AP95" s="225" t="s">
        <v>444</v>
      </c>
      <c r="AQ95" s="226">
        <f t="shared" si="36"/>
        <v>4201.680672268908</v>
      </c>
      <c r="AR95" s="227">
        <f t="shared" si="37"/>
        <v>798.31932773109247</v>
      </c>
      <c r="AS95" s="227">
        <f t="shared" si="38"/>
        <v>5000</v>
      </c>
      <c r="AT95" s="227">
        <f t="shared" si="39"/>
        <v>5000</v>
      </c>
      <c r="AU95" s="227">
        <f t="shared" si="40"/>
        <v>5000</v>
      </c>
      <c r="AV95" s="228">
        <f t="shared" si="41"/>
        <v>5400</v>
      </c>
      <c r="AW95" s="228">
        <f t="shared" si="42"/>
        <v>5400</v>
      </c>
      <c r="AX95" s="228">
        <f t="shared" si="43"/>
        <v>346.41016151377545</v>
      </c>
      <c r="AY95" s="229">
        <f t="shared" si="44"/>
        <v>6.4150029909958411E-2</v>
      </c>
      <c r="AZ95" s="230"/>
      <c r="BA95" s="231">
        <f t="shared" si="45"/>
        <v>3</v>
      </c>
      <c r="BH95" s="231">
        <v>14</v>
      </c>
      <c r="BI95" s="232"/>
      <c r="BJ95" s="232"/>
      <c r="BK95" s="232"/>
      <c r="BL95" s="232"/>
      <c r="BM95" s="232"/>
      <c r="BN95" s="232"/>
      <c r="BO95" s="232"/>
      <c r="BP95" s="232"/>
      <c r="BQ95" s="232"/>
      <c r="BR95" s="232"/>
      <c r="BS95" s="232"/>
      <c r="BT95" s="232"/>
      <c r="BU95" s="232"/>
      <c r="BV95" s="232"/>
    </row>
    <row r="96" spans="1:74" s="231" customFormat="1" ht="78" hidden="1" customHeight="1" x14ac:dyDescent="0.25">
      <c r="A96" s="205" t="s">
        <v>438</v>
      </c>
      <c r="B96" s="205" t="s">
        <v>501</v>
      </c>
      <c r="C96" s="205">
        <v>60123001</v>
      </c>
      <c r="D96" s="205" t="s">
        <v>726</v>
      </c>
      <c r="E96" s="206" t="s">
        <v>727</v>
      </c>
      <c r="F96" s="458" t="s">
        <v>41</v>
      </c>
      <c r="G96" s="178">
        <v>1</v>
      </c>
      <c r="H96" s="458" t="s">
        <v>42</v>
      </c>
      <c r="I96" s="459" t="s">
        <v>452</v>
      </c>
      <c r="J96" s="207">
        <v>46070</v>
      </c>
      <c r="K96" s="208" t="s">
        <v>705</v>
      </c>
      <c r="L96" s="209" t="s">
        <v>446</v>
      </c>
      <c r="M96" s="207" t="s">
        <v>706</v>
      </c>
      <c r="N96" s="210">
        <v>990</v>
      </c>
      <c r="O96" s="210" t="s">
        <v>450</v>
      </c>
      <c r="P96" s="210" t="s">
        <v>443</v>
      </c>
      <c r="Q96" s="211">
        <f t="shared" si="26"/>
        <v>990</v>
      </c>
      <c r="R96" s="212">
        <v>188</v>
      </c>
      <c r="S96" s="212">
        <f t="shared" si="28"/>
        <v>1178</v>
      </c>
      <c r="T96" s="212">
        <f t="shared" si="29"/>
        <v>990</v>
      </c>
      <c r="U96" s="212">
        <f t="shared" si="30"/>
        <v>1178</v>
      </c>
      <c r="V96" s="460" t="s">
        <v>452</v>
      </c>
      <c r="W96" s="213">
        <v>46070</v>
      </c>
      <c r="X96" s="214" t="s">
        <v>508</v>
      </c>
      <c r="Y96" s="215" t="s">
        <v>446</v>
      </c>
      <c r="Z96" s="216" t="s">
        <v>723</v>
      </c>
      <c r="AA96" s="217">
        <v>1200</v>
      </c>
      <c r="AB96" s="217" t="s">
        <v>443</v>
      </c>
      <c r="AC96" s="217" t="s">
        <v>444</v>
      </c>
      <c r="AD96" s="218">
        <f t="shared" si="31"/>
        <v>1008.4033613445379</v>
      </c>
      <c r="AE96" s="219">
        <f t="shared" si="32"/>
        <v>191.59663865546219</v>
      </c>
      <c r="AF96" s="219">
        <f t="shared" si="33"/>
        <v>1200</v>
      </c>
      <c r="AG96" s="219">
        <f t="shared" si="34"/>
        <v>1200</v>
      </c>
      <c r="AH96" s="219">
        <f t="shared" si="35"/>
        <v>1200</v>
      </c>
      <c r="AI96" s="461" t="s">
        <v>452</v>
      </c>
      <c r="AJ96" s="220">
        <v>46070</v>
      </c>
      <c r="AK96" s="221" t="s">
        <v>665</v>
      </c>
      <c r="AL96" s="222" t="s">
        <v>446</v>
      </c>
      <c r="AM96" s="223" t="s">
        <v>728</v>
      </c>
      <c r="AN96" s="224">
        <v>1000</v>
      </c>
      <c r="AO96" s="224" t="s">
        <v>443</v>
      </c>
      <c r="AP96" s="225" t="s">
        <v>444</v>
      </c>
      <c r="AQ96" s="226">
        <f t="shared" si="36"/>
        <v>840.3361344537816</v>
      </c>
      <c r="AR96" s="227">
        <f t="shared" si="37"/>
        <v>159.66386554621852</v>
      </c>
      <c r="AS96" s="227">
        <f t="shared" si="38"/>
        <v>1000.0000000000001</v>
      </c>
      <c r="AT96" s="227">
        <f t="shared" si="39"/>
        <v>1000</v>
      </c>
      <c r="AU96" s="227">
        <f t="shared" si="40"/>
        <v>1000.0000000000001</v>
      </c>
      <c r="AV96" s="228">
        <f t="shared" si="41"/>
        <v>1126</v>
      </c>
      <c r="AW96" s="228">
        <f t="shared" si="42"/>
        <v>1126</v>
      </c>
      <c r="AX96" s="228">
        <f t="shared" si="43"/>
        <v>109.67223896684149</v>
      </c>
      <c r="AY96" s="229">
        <f t="shared" si="44"/>
        <v>9.7399856986537733E-2</v>
      </c>
      <c r="AZ96" s="230"/>
      <c r="BA96" s="231">
        <f t="shared" si="45"/>
        <v>3</v>
      </c>
      <c r="BH96" s="231">
        <v>15</v>
      </c>
      <c r="BI96" s="232"/>
      <c r="BJ96" s="232"/>
      <c r="BK96" s="232"/>
      <c r="BL96" s="232"/>
      <c r="BM96" s="232"/>
      <c r="BN96" s="232"/>
      <c r="BO96" s="232"/>
      <c r="BP96" s="232"/>
      <c r="BQ96" s="232"/>
      <c r="BR96" s="232"/>
      <c r="BS96" s="232"/>
      <c r="BT96" s="232"/>
      <c r="BU96" s="232"/>
      <c r="BV96" s="232"/>
    </row>
    <row r="97" spans="1:74" s="231" customFormat="1" ht="78" hidden="1" customHeight="1" x14ac:dyDescent="0.25">
      <c r="A97" s="205" t="s">
        <v>438</v>
      </c>
      <c r="B97" s="205" t="s">
        <v>501</v>
      </c>
      <c r="C97" s="205">
        <v>60123001</v>
      </c>
      <c r="D97" s="205" t="s">
        <v>729</v>
      </c>
      <c r="E97" s="206" t="s">
        <v>730</v>
      </c>
      <c r="F97" s="458" t="s">
        <v>41</v>
      </c>
      <c r="G97" s="178">
        <v>1</v>
      </c>
      <c r="H97" s="458" t="s">
        <v>42</v>
      </c>
      <c r="I97" s="459" t="s">
        <v>452</v>
      </c>
      <c r="J97" s="207">
        <v>46070</v>
      </c>
      <c r="K97" s="208" t="s">
        <v>508</v>
      </c>
      <c r="L97" s="209" t="s">
        <v>446</v>
      </c>
      <c r="M97" s="207" t="s">
        <v>731</v>
      </c>
      <c r="N97" s="210">
        <v>2200</v>
      </c>
      <c r="O97" s="210" t="s">
        <v>443</v>
      </c>
      <c r="P97" s="210" t="s">
        <v>444</v>
      </c>
      <c r="Q97" s="211">
        <f t="shared" si="26"/>
        <v>1848.7394957983195</v>
      </c>
      <c r="R97" s="212">
        <f t="shared" ref="R97:R104" si="46">IF(P97="Si tiene IVA",Q97*19%,0)</f>
        <v>351.2605042016807</v>
      </c>
      <c r="S97" s="212">
        <f t="shared" si="28"/>
        <v>2200</v>
      </c>
      <c r="T97" s="212">
        <f t="shared" si="29"/>
        <v>2200</v>
      </c>
      <c r="U97" s="212">
        <f t="shared" si="30"/>
        <v>2200</v>
      </c>
      <c r="V97" s="460" t="s">
        <v>452</v>
      </c>
      <c r="W97" s="213">
        <v>46070</v>
      </c>
      <c r="X97" s="214" t="s">
        <v>705</v>
      </c>
      <c r="Y97" s="215" t="s">
        <v>446</v>
      </c>
      <c r="Z97" s="216" t="s">
        <v>706</v>
      </c>
      <c r="AA97" s="217">
        <v>1990</v>
      </c>
      <c r="AB97" s="217" t="s">
        <v>450</v>
      </c>
      <c r="AC97" s="217" t="s">
        <v>444</v>
      </c>
      <c r="AD97" s="218">
        <f t="shared" si="31"/>
        <v>1990</v>
      </c>
      <c r="AE97" s="219">
        <f t="shared" si="32"/>
        <v>378.1</v>
      </c>
      <c r="AF97" s="219">
        <f t="shared" si="33"/>
        <v>2368.1</v>
      </c>
      <c r="AG97" s="219">
        <f t="shared" si="34"/>
        <v>1990</v>
      </c>
      <c r="AH97" s="219">
        <f t="shared" si="35"/>
        <v>2368.1</v>
      </c>
      <c r="AI97" s="461" t="s">
        <v>452</v>
      </c>
      <c r="AJ97" s="220">
        <v>46070</v>
      </c>
      <c r="AK97" s="221" t="s">
        <v>707</v>
      </c>
      <c r="AL97" s="222" t="s">
        <v>446</v>
      </c>
      <c r="AM97" s="223" t="s">
        <v>708</v>
      </c>
      <c r="AN97" s="224">
        <v>2100</v>
      </c>
      <c r="AO97" s="224" t="s">
        <v>450</v>
      </c>
      <c r="AP97" s="225" t="s">
        <v>444</v>
      </c>
      <c r="AQ97" s="226">
        <f t="shared" si="36"/>
        <v>2100</v>
      </c>
      <c r="AR97" s="227">
        <f t="shared" si="37"/>
        <v>399</v>
      </c>
      <c r="AS97" s="227">
        <f t="shared" si="38"/>
        <v>2499</v>
      </c>
      <c r="AT97" s="227">
        <f t="shared" si="39"/>
        <v>2100</v>
      </c>
      <c r="AU97" s="227">
        <f t="shared" si="40"/>
        <v>2499</v>
      </c>
      <c r="AV97" s="228">
        <f t="shared" si="41"/>
        <v>2355.7000000000003</v>
      </c>
      <c r="AW97" s="228">
        <f t="shared" si="42"/>
        <v>2355.7000000000003</v>
      </c>
      <c r="AX97" s="228">
        <f t="shared" si="43"/>
        <v>149.88518939508333</v>
      </c>
      <c r="AY97" s="229">
        <f t="shared" si="44"/>
        <v>6.3626603300540527E-2</v>
      </c>
      <c r="AZ97" s="230"/>
      <c r="BA97" s="231">
        <f t="shared" si="45"/>
        <v>3</v>
      </c>
      <c r="BH97" s="231">
        <v>16</v>
      </c>
      <c r="BI97" s="232"/>
      <c r="BJ97" s="232"/>
      <c r="BK97" s="232"/>
      <c r="BL97" s="232"/>
      <c r="BM97" s="232"/>
      <c r="BN97" s="232"/>
      <c r="BO97" s="232"/>
      <c r="BP97" s="232"/>
      <c r="BQ97" s="232"/>
      <c r="BR97" s="232"/>
      <c r="BS97" s="232"/>
      <c r="BT97" s="232"/>
      <c r="BU97" s="232"/>
      <c r="BV97" s="232"/>
    </row>
    <row r="98" spans="1:74" s="231" customFormat="1" ht="78" hidden="1" customHeight="1" x14ac:dyDescent="0.25">
      <c r="A98" s="205" t="s">
        <v>438</v>
      </c>
      <c r="B98" s="205" t="s">
        <v>501</v>
      </c>
      <c r="C98" s="205">
        <v>44121804</v>
      </c>
      <c r="D98" s="205" t="s">
        <v>732</v>
      </c>
      <c r="E98" s="206" t="s">
        <v>733</v>
      </c>
      <c r="F98" s="458" t="s">
        <v>41</v>
      </c>
      <c r="G98" s="178">
        <v>1</v>
      </c>
      <c r="H98" s="458" t="s">
        <v>42</v>
      </c>
      <c r="I98" s="459" t="s">
        <v>452</v>
      </c>
      <c r="J98" s="207">
        <v>46070</v>
      </c>
      <c r="K98" s="208" t="s">
        <v>667</v>
      </c>
      <c r="L98" s="209" t="s">
        <v>446</v>
      </c>
      <c r="M98" s="207" t="s">
        <v>699</v>
      </c>
      <c r="N98" s="210">
        <v>20000</v>
      </c>
      <c r="O98" s="210" t="s">
        <v>443</v>
      </c>
      <c r="P98" s="210" t="s">
        <v>444</v>
      </c>
      <c r="Q98" s="211">
        <f t="shared" si="26"/>
        <v>16806.722689075632</v>
      </c>
      <c r="R98" s="212">
        <f t="shared" si="46"/>
        <v>3193.2773109243699</v>
      </c>
      <c r="S98" s="212">
        <f t="shared" si="28"/>
        <v>20000</v>
      </c>
      <c r="T98" s="212">
        <f t="shared" si="29"/>
        <v>20000</v>
      </c>
      <c r="U98" s="212">
        <f t="shared" si="30"/>
        <v>20000</v>
      </c>
      <c r="V98" s="460" t="s">
        <v>452</v>
      </c>
      <c r="W98" s="213">
        <v>46070</v>
      </c>
      <c r="X98" s="214" t="s">
        <v>707</v>
      </c>
      <c r="Y98" s="215" t="s">
        <v>446</v>
      </c>
      <c r="Z98" s="216" t="s">
        <v>708</v>
      </c>
      <c r="AA98" s="217">
        <v>15126</v>
      </c>
      <c r="AB98" s="217" t="s">
        <v>450</v>
      </c>
      <c r="AC98" s="217" t="s">
        <v>444</v>
      </c>
      <c r="AD98" s="218">
        <f t="shared" si="31"/>
        <v>15126</v>
      </c>
      <c r="AE98" s="219">
        <f t="shared" si="32"/>
        <v>2873.94</v>
      </c>
      <c r="AF98" s="219">
        <f t="shared" si="33"/>
        <v>17999.939999999999</v>
      </c>
      <c r="AG98" s="219">
        <f t="shared" si="34"/>
        <v>15126</v>
      </c>
      <c r="AH98" s="219">
        <f t="shared" si="35"/>
        <v>17999.939999999999</v>
      </c>
      <c r="AI98" s="461" t="s">
        <v>452</v>
      </c>
      <c r="AJ98" s="220">
        <v>46070</v>
      </c>
      <c r="AK98" s="221" t="s">
        <v>665</v>
      </c>
      <c r="AL98" s="222" t="s">
        <v>446</v>
      </c>
      <c r="AM98" s="223" t="s">
        <v>728</v>
      </c>
      <c r="AN98" s="224">
        <v>22000</v>
      </c>
      <c r="AO98" s="224" t="s">
        <v>443</v>
      </c>
      <c r="AP98" s="225" t="s">
        <v>444</v>
      </c>
      <c r="AQ98" s="226">
        <f t="shared" si="36"/>
        <v>18487.394957983193</v>
      </c>
      <c r="AR98" s="227">
        <f t="shared" si="37"/>
        <v>3512.6050420168067</v>
      </c>
      <c r="AS98" s="227">
        <f t="shared" si="38"/>
        <v>22000</v>
      </c>
      <c r="AT98" s="227">
        <f t="shared" si="39"/>
        <v>22000</v>
      </c>
      <c r="AU98" s="227">
        <f t="shared" si="40"/>
        <v>22000</v>
      </c>
      <c r="AV98" s="228">
        <f t="shared" si="41"/>
        <v>19999.98</v>
      </c>
      <c r="AW98" s="228">
        <f t="shared" si="42"/>
        <v>19999.98</v>
      </c>
      <c r="AX98" s="228">
        <f t="shared" si="43"/>
        <v>2000.0300000749996</v>
      </c>
      <c r="AY98" s="229">
        <f t="shared" si="44"/>
        <v>0.10000160000534999</v>
      </c>
      <c r="AZ98" s="230"/>
      <c r="BA98" s="231">
        <f t="shared" si="45"/>
        <v>3</v>
      </c>
      <c r="BH98" s="231">
        <v>17</v>
      </c>
      <c r="BI98" s="232"/>
      <c r="BJ98" s="232"/>
      <c r="BK98" s="232"/>
      <c r="BL98" s="232"/>
      <c r="BM98" s="232"/>
      <c r="BN98" s="232"/>
      <c r="BO98" s="232"/>
      <c r="BP98" s="232"/>
      <c r="BQ98" s="232"/>
      <c r="BR98" s="232"/>
      <c r="BS98" s="232"/>
      <c r="BT98" s="232"/>
      <c r="BU98" s="232"/>
      <c r="BV98" s="232"/>
    </row>
    <row r="99" spans="1:74" s="231" customFormat="1" ht="78" hidden="1" customHeight="1" x14ac:dyDescent="0.25">
      <c r="A99" s="205" t="s">
        <v>438</v>
      </c>
      <c r="B99" s="205" t="s">
        <v>501</v>
      </c>
      <c r="C99" s="205">
        <v>44121804</v>
      </c>
      <c r="D99" s="205" t="s">
        <v>734</v>
      </c>
      <c r="E99" s="206" t="s">
        <v>735</v>
      </c>
      <c r="F99" s="458" t="s">
        <v>41</v>
      </c>
      <c r="G99" s="178">
        <v>1</v>
      </c>
      <c r="H99" s="458" t="s">
        <v>42</v>
      </c>
      <c r="I99" s="459" t="s">
        <v>452</v>
      </c>
      <c r="J99" s="207">
        <v>46070</v>
      </c>
      <c r="K99" s="208" t="s">
        <v>506</v>
      </c>
      <c r="L99" s="209" t="s">
        <v>446</v>
      </c>
      <c r="M99" s="207" t="s">
        <v>507</v>
      </c>
      <c r="N99" s="210">
        <v>11500</v>
      </c>
      <c r="O99" s="210" t="s">
        <v>450</v>
      </c>
      <c r="P99" s="210" t="s">
        <v>444</v>
      </c>
      <c r="Q99" s="211">
        <f t="shared" si="26"/>
        <v>11500</v>
      </c>
      <c r="R99" s="212">
        <f t="shared" si="46"/>
        <v>2185</v>
      </c>
      <c r="S99" s="212">
        <f t="shared" si="28"/>
        <v>13685</v>
      </c>
      <c r="T99" s="212">
        <f t="shared" si="29"/>
        <v>11500</v>
      </c>
      <c r="U99" s="212">
        <f t="shared" si="30"/>
        <v>13685</v>
      </c>
      <c r="V99" s="460" t="s">
        <v>452</v>
      </c>
      <c r="W99" s="213">
        <v>46070</v>
      </c>
      <c r="X99" s="214" t="s">
        <v>724</v>
      </c>
      <c r="Y99" s="215" t="s">
        <v>446</v>
      </c>
      <c r="Z99" s="216" t="s">
        <v>736</v>
      </c>
      <c r="AA99" s="217">
        <v>18000</v>
      </c>
      <c r="AB99" s="217" t="s">
        <v>443</v>
      </c>
      <c r="AC99" s="217" t="s">
        <v>444</v>
      </c>
      <c r="AD99" s="218">
        <f t="shared" si="31"/>
        <v>15126.050420168069</v>
      </c>
      <c r="AE99" s="219">
        <f t="shared" si="32"/>
        <v>2873.9495798319331</v>
      </c>
      <c r="AF99" s="219">
        <f t="shared" si="33"/>
        <v>18000</v>
      </c>
      <c r="AG99" s="219">
        <f t="shared" si="34"/>
        <v>18000</v>
      </c>
      <c r="AH99" s="219">
        <f t="shared" si="35"/>
        <v>18000</v>
      </c>
      <c r="AI99" s="461" t="s">
        <v>452</v>
      </c>
      <c r="AJ99" s="220">
        <v>46070</v>
      </c>
      <c r="AK99" s="221" t="s">
        <v>705</v>
      </c>
      <c r="AL99" s="222" t="s">
        <v>446</v>
      </c>
      <c r="AM99" s="223" t="s">
        <v>706</v>
      </c>
      <c r="AN99" s="224">
        <v>13940</v>
      </c>
      <c r="AO99" s="224" t="s">
        <v>450</v>
      </c>
      <c r="AP99" s="225" t="s">
        <v>444</v>
      </c>
      <c r="AQ99" s="226">
        <f t="shared" si="36"/>
        <v>13940</v>
      </c>
      <c r="AR99" s="227">
        <f t="shared" si="37"/>
        <v>2648.6</v>
      </c>
      <c r="AS99" s="227">
        <f t="shared" si="38"/>
        <v>16588.599999999999</v>
      </c>
      <c r="AT99" s="227">
        <f t="shared" si="39"/>
        <v>13940</v>
      </c>
      <c r="AU99" s="227">
        <f t="shared" si="40"/>
        <v>16588.599999999999</v>
      </c>
      <c r="AV99" s="228">
        <f t="shared" si="41"/>
        <v>16091.199999999999</v>
      </c>
      <c r="AW99" s="228">
        <f t="shared" si="42"/>
        <v>16091.199999999999</v>
      </c>
      <c r="AX99" s="228">
        <f t="shared" si="43"/>
        <v>2200.0821166492838</v>
      </c>
      <c r="AY99" s="229">
        <f t="shared" si="44"/>
        <v>0.13672579525761186</v>
      </c>
      <c r="AZ99" s="230"/>
      <c r="BA99" s="231">
        <f t="shared" si="45"/>
        <v>3</v>
      </c>
      <c r="BH99" s="231">
        <v>18</v>
      </c>
      <c r="BI99" s="232"/>
      <c r="BJ99" s="232"/>
      <c r="BK99" s="232"/>
      <c r="BL99" s="232"/>
      <c r="BM99" s="232"/>
      <c r="BN99" s="232"/>
      <c r="BO99" s="232"/>
      <c r="BP99" s="232"/>
      <c r="BQ99" s="232"/>
      <c r="BR99" s="232"/>
      <c r="BS99" s="232"/>
      <c r="BT99" s="232"/>
      <c r="BU99" s="232"/>
      <c r="BV99" s="232"/>
    </row>
    <row r="100" spans="1:74" s="231" customFormat="1" ht="78" hidden="1" customHeight="1" x14ac:dyDescent="0.25">
      <c r="A100" s="205" t="s">
        <v>438</v>
      </c>
      <c r="B100" s="205" t="s">
        <v>501</v>
      </c>
      <c r="C100" s="205">
        <v>44111912</v>
      </c>
      <c r="D100" s="205" t="s">
        <v>737</v>
      </c>
      <c r="E100" s="206" t="s">
        <v>738</v>
      </c>
      <c r="F100" s="458" t="s">
        <v>41</v>
      </c>
      <c r="G100" s="178">
        <v>1</v>
      </c>
      <c r="H100" s="458" t="s">
        <v>42</v>
      </c>
      <c r="I100" s="459" t="s">
        <v>452</v>
      </c>
      <c r="J100" s="207">
        <v>46070</v>
      </c>
      <c r="K100" s="208" t="s">
        <v>739</v>
      </c>
      <c r="L100" s="209" t="s">
        <v>446</v>
      </c>
      <c r="M100" s="207" t="s">
        <v>740</v>
      </c>
      <c r="N100" s="210">
        <v>1900</v>
      </c>
      <c r="O100" s="210" t="s">
        <v>443</v>
      </c>
      <c r="P100" s="210" t="s">
        <v>444</v>
      </c>
      <c r="Q100" s="211">
        <f t="shared" si="26"/>
        <v>1596.6386554621849</v>
      </c>
      <c r="R100" s="212">
        <f t="shared" si="46"/>
        <v>303.36134453781517</v>
      </c>
      <c r="S100" s="212">
        <f t="shared" si="28"/>
        <v>1900</v>
      </c>
      <c r="T100" s="212">
        <f t="shared" si="29"/>
        <v>1900</v>
      </c>
      <c r="U100" s="212">
        <f t="shared" si="30"/>
        <v>1900</v>
      </c>
      <c r="V100" s="460" t="s">
        <v>452</v>
      </c>
      <c r="W100" s="213">
        <v>46070</v>
      </c>
      <c r="X100" s="214" t="s">
        <v>705</v>
      </c>
      <c r="Y100" s="215" t="s">
        <v>446</v>
      </c>
      <c r="Z100" s="216" t="s">
        <v>706</v>
      </c>
      <c r="AA100" s="217">
        <v>1633</v>
      </c>
      <c r="AB100" s="217" t="s">
        <v>450</v>
      </c>
      <c r="AC100" s="217" t="s">
        <v>444</v>
      </c>
      <c r="AD100" s="218">
        <f t="shared" si="31"/>
        <v>1633</v>
      </c>
      <c r="AE100" s="219">
        <f t="shared" si="32"/>
        <v>310.27</v>
      </c>
      <c r="AF100" s="219">
        <f t="shared" si="33"/>
        <v>1943.27</v>
      </c>
      <c r="AG100" s="219">
        <f t="shared" si="34"/>
        <v>1633</v>
      </c>
      <c r="AH100" s="219">
        <f t="shared" si="35"/>
        <v>1943.27</v>
      </c>
      <c r="AI100" s="461" t="s">
        <v>452</v>
      </c>
      <c r="AJ100" s="220">
        <v>46070</v>
      </c>
      <c r="AK100" s="221" t="s">
        <v>724</v>
      </c>
      <c r="AL100" s="222" t="s">
        <v>446</v>
      </c>
      <c r="AM100" s="223" t="s">
        <v>741</v>
      </c>
      <c r="AN100" s="224">
        <v>1900</v>
      </c>
      <c r="AO100" s="224" t="s">
        <v>443</v>
      </c>
      <c r="AP100" s="225" t="s">
        <v>444</v>
      </c>
      <c r="AQ100" s="226">
        <f t="shared" si="36"/>
        <v>1596.6386554621849</v>
      </c>
      <c r="AR100" s="227">
        <f t="shared" si="37"/>
        <v>303.36134453781517</v>
      </c>
      <c r="AS100" s="227">
        <f t="shared" si="38"/>
        <v>1900</v>
      </c>
      <c r="AT100" s="227">
        <f t="shared" si="39"/>
        <v>1900</v>
      </c>
      <c r="AU100" s="227">
        <f t="shared" si="40"/>
        <v>1900</v>
      </c>
      <c r="AV100" s="228">
        <f t="shared" si="41"/>
        <v>1914.4233333333334</v>
      </c>
      <c r="AW100" s="228">
        <f t="shared" si="42"/>
        <v>1914.4233333333334</v>
      </c>
      <c r="AX100" s="228">
        <f t="shared" si="43"/>
        <v>24.981946147835096</v>
      </c>
      <c r="AY100" s="229">
        <f t="shared" si="44"/>
        <v>1.3049332252097721E-2</v>
      </c>
      <c r="AZ100" s="230"/>
      <c r="BA100" s="231">
        <f t="shared" si="45"/>
        <v>3</v>
      </c>
      <c r="BH100" s="231">
        <v>19</v>
      </c>
      <c r="BI100" s="232"/>
      <c r="BJ100" s="232"/>
      <c r="BK100" s="232"/>
      <c r="BL100" s="232"/>
      <c r="BM100" s="232"/>
      <c r="BN100" s="232"/>
      <c r="BO100" s="232"/>
      <c r="BP100" s="232"/>
      <c r="BQ100" s="232"/>
      <c r="BR100" s="232"/>
      <c r="BS100" s="232"/>
      <c r="BT100" s="232"/>
      <c r="BU100" s="232"/>
      <c r="BV100" s="232"/>
    </row>
    <row r="101" spans="1:74" s="231" customFormat="1" ht="78" hidden="1" customHeight="1" x14ac:dyDescent="0.25">
      <c r="A101" s="205" t="s">
        <v>438</v>
      </c>
      <c r="B101" s="205" t="s">
        <v>487</v>
      </c>
      <c r="C101" s="205">
        <v>24122000</v>
      </c>
      <c r="D101" s="205" t="s">
        <v>66</v>
      </c>
      <c r="E101" s="206" t="s">
        <v>67</v>
      </c>
      <c r="F101" s="458" t="s">
        <v>41</v>
      </c>
      <c r="G101" s="178">
        <v>1</v>
      </c>
      <c r="H101" s="458" t="s">
        <v>42</v>
      </c>
      <c r="I101" s="459" t="s">
        <v>440</v>
      </c>
      <c r="J101" s="207">
        <v>46086</v>
      </c>
      <c r="K101" s="208" t="s">
        <v>742</v>
      </c>
      <c r="L101" s="209" t="s">
        <v>446</v>
      </c>
      <c r="M101" s="207" t="s">
        <v>743</v>
      </c>
      <c r="N101" s="210">
        <v>23000</v>
      </c>
      <c r="O101" s="210" t="s">
        <v>443</v>
      </c>
      <c r="P101" s="210" t="s">
        <v>444</v>
      </c>
      <c r="Q101" s="211">
        <f t="shared" si="26"/>
        <v>19327.731092436974</v>
      </c>
      <c r="R101" s="212">
        <f t="shared" si="46"/>
        <v>3672.2689075630251</v>
      </c>
      <c r="S101" s="212">
        <f t="shared" si="28"/>
        <v>23000</v>
      </c>
      <c r="T101" s="212">
        <f t="shared" si="29"/>
        <v>23000</v>
      </c>
      <c r="U101" s="212">
        <f t="shared" si="30"/>
        <v>23000</v>
      </c>
      <c r="V101" s="460" t="s">
        <v>440</v>
      </c>
      <c r="W101" s="213">
        <v>46152</v>
      </c>
      <c r="X101" s="214" t="s">
        <v>744</v>
      </c>
      <c r="Y101" s="215" t="s">
        <v>441</v>
      </c>
      <c r="Z101" s="216" t="s">
        <v>745</v>
      </c>
      <c r="AA101" s="217">
        <v>19099</v>
      </c>
      <c r="AB101" s="217" t="s">
        <v>450</v>
      </c>
      <c r="AC101" s="217" t="s">
        <v>444</v>
      </c>
      <c r="AD101" s="218">
        <f t="shared" si="31"/>
        <v>19099</v>
      </c>
      <c r="AE101" s="219">
        <f t="shared" si="32"/>
        <v>3628.81</v>
      </c>
      <c r="AF101" s="219">
        <f t="shared" si="33"/>
        <v>22727.81</v>
      </c>
      <c r="AG101" s="219">
        <f t="shared" si="34"/>
        <v>19099</v>
      </c>
      <c r="AH101" s="219">
        <f t="shared" si="35"/>
        <v>22727.81</v>
      </c>
      <c r="AI101" s="461" t="s">
        <v>440</v>
      </c>
      <c r="AJ101" s="220">
        <v>46086</v>
      </c>
      <c r="AK101" s="221" t="s">
        <v>746</v>
      </c>
      <c r="AL101" s="222" t="s">
        <v>446</v>
      </c>
      <c r="AM101" s="223" t="s">
        <v>747</v>
      </c>
      <c r="AN101" s="224">
        <v>23600</v>
      </c>
      <c r="AO101" s="224" t="s">
        <v>450</v>
      </c>
      <c r="AP101" s="225" t="s">
        <v>444</v>
      </c>
      <c r="AQ101" s="226">
        <f t="shared" si="36"/>
        <v>23600</v>
      </c>
      <c r="AR101" s="227">
        <f t="shared" si="37"/>
        <v>4484</v>
      </c>
      <c r="AS101" s="227">
        <f t="shared" si="38"/>
        <v>28084</v>
      </c>
      <c r="AT101" s="227">
        <f t="shared" si="39"/>
        <v>23600</v>
      </c>
      <c r="AU101" s="227">
        <f t="shared" si="40"/>
        <v>28084</v>
      </c>
      <c r="AV101" s="228">
        <f t="shared" si="41"/>
        <v>24603.936666666665</v>
      </c>
      <c r="AW101" s="228">
        <f t="shared" si="42"/>
        <v>24603.936666666665</v>
      </c>
      <c r="AX101" s="228">
        <f t="shared" si="43"/>
        <v>3016.8945046244708</v>
      </c>
      <c r="AY101" s="229">
        <f t="shared" si="44"/>
        <v>0.12261836573135672</v>
      </c>
      <c r="AZ101" s="230"/>
      <c r="BA101" s="231">
        <f t="shared" si="45"/>
        <v>3</v>
      </c>
      <c r="BH101" s="231">
        <v>35</v>
      </c>
      <c r="BI101" s="232"/>
      <c r="BJ101" s="232"/>
      <c r="BK101" s="232"/>
      <c r="BL101" s="232"/>
      <c r="BM101" s="232"/>
      <c r="BN101" s="232"/>
      <c r="BO101" s="232"/>
      <c r="BP101" s="232"/>
      <c r="BQ101" s="232"/>
      <c r="BR101" s="232"/>
      <c r="BS101" s="232"/>
      <c r="BT101" s="232"/>
      <c r="BU101" s="232"/>
      <c r="BV101" s="232"/>
    </row>
    <row r="102" spans="1:74" s="231" customFormat="1" ht="78" hidden="1" customHeight="1" x14ac:dyDescent="0.25">
      <c r="A102" s="205" t="s">
        <v>438</v>
      </c>
      <c r="B102" s="205" t="s">
        <v>487</v>
      </c>
      <c r="C102" s="205" t="s">
        <v>748</v>
      </c>
      <c r="D102" s="205" t="s">
        <v>749</v>
      </c>
      <c r="E102" s="206" t="s">
        <v>750</v>
      </c>
      <c r="F102" s="458" t="s">
        <v>41</v>
      </c>
      <c r="G102" s="178">
        <v>180</v>
      </c>
      <c r="H102" s="458" t="s">
        <v>42</v>
      </c>
      <c r="I102" s="459" t="s">
        <v>440</v>
      </c>
      <c r="J102" s="207">
        <v>46152</v>
      </c>
      <c r="K102" s="208" t="s">
        <v>751</v>
      </c>
      <c r="L102" s="209" t="s">
        <v>446</v>
      </c>
      <c r="M102" s="207" t="s">
        <v>752</v>
      </c>
      <c r="N102" s="210">
        <v>23000</v>
      </c>
      <c r="O102" s="210" t="s">
        <v>443</v>
      </c>
      <c r="P102" s="210" t="s">
        <v>444</v>
      </c>
      <c r="Q102" s="211">
        <f t="shared" si="26"/>
        <v>19327.731092436974</v>
      </c>
      <c r="R102" s="212">
        <f t="shared" si="46"/>
        <v>3672.2689075630251</v>
      </c>
      <c r="S102" s="212">
        <f t="shared" si="28"/>
        <v>23000</v>
      </c>
      <c r="T102" s="212">
        <f t="shared" si="29"/>
        <v>4140000</v>
      </c>
      <c r="U102" s="212">
        <f t="shared" si="30"/>
        <v>4140000</v>
      </c>
      <c r="V102" s="460" t="s">
        <v>482</v>
      </c>
      <c r="W102" s="213">
        <v>46107</v>
      </c>
      <c r="X102" s="214" t="s">
        <v>753</v>
      </c>
      <c r="Y102" s="215" t="s">
        <v>446</v>
      </c>
      <c r="Z102" s="216" t="s">
        <v>745</v>
      </c>
      <c r="AA102" s="217">
        <v>21507</v>
      </c>
      <c r="AB102" s="217" t="s">
        <v>450</v>
      </c>
      <c r="AC102" s="217" t="s">
        <v>444</v>
      </c>
      <c r="AD102" s="218">
        <f t="shared" si="31"/>
        <v>21507</v>
      </c>
      <c r="AE102" s="219">
        <f t="shared" si="32"/>
        <v>4086.33</v>
      </c>
      <c r="AF102" s="219">
        <f t="shared" si="33"/>
        <v>25593.33</v>
      </c>
      <c r="AG102" s="219">
        <f t="shared" si="34"/>
        <v>3871260</v>
      </c>
      <c r="AH102" s="219">
        <f t="shared" si="35"/>
        <v>4606799.4000000004</v>
      </c>
      <c r="AI102" s="461" t="s">
        <v>440</v>
      </c>
      <c r="AJ102" s="220">
        <v>46152</v>
      </c>
      <c r="AK102" s="221" t="s">
        <v>754</v>
      </c>
      <c r="AL102" s="222" t="s">
        <v>446</v>
      </c>
      <c r="AM102" s="223" t="s">
        <v>755</v>
      </c>
      <c r="AN102" s="224">
        <v>22682</v>
      </c>
      <c r="AO102" s="224" t="s">
        <v>450</v>
      </c>
      <c r="AP102" s="225" t="s">
        <v>444</v>
      </c>
      <c r="AQ102" s="226">
        <f t="shared" si="36"/>
        <v>22682</v>
      </c>
      <c r="AR102" s="227">
        <f t="shared" si="37"/>
        <v>4309.58</v>
      </c>
      <c r="AS102" s="227">
        <f t="shared" si="38"/>
        <v>26991.58</v>
      </c>
      <c r="AT102" s="227">
        <f t="shared" si="39"/>
        <v>4082760</v>
      </c>
      <c r="AU102" s="227">
        <f t="shared" si="40"/>
        <v>4858484.4000000004</v>
      </c>
      <c r="AV102" s="228">
        <f t="shared" si="41"/>
        <v>25194.97</v>
      </c>
      <c r="AW102" s="228">
        <f t="shared" si="42"/>
        <v>4535094.6000000006</v>
      </c>
      <c r="AX102" s="228">
        <f t="shared" si="43"/>
        <v>364569.80404048844</v>
      </c>
      <c r="AY102" s="229">
        <f t="shared" si="44"/>
        <v>8.0388577570242606E-2</v>
      </c>
      <c r="AZ102" s="230"/>
      <c r="BA102" s="231">
        <f t="shared" si="45"/>
        <v>3</v>
      </c>
      <c r="BH102" s="231">
        <v>36</v>
      </c>
      <c r="BI102" s="232"/>
      <c r="BJ102" s="232"/>
      <c r="BK102" s="232"/>
      <c r="BL102" s="232"/>
      <c r="BM102" s="232"/>
      <c r="BN102" s="232"/>
      <c r="BO102" s="232"/>
      <c r="BP102" s="232"/>
      <c r="BQ102" s="232"/>
      <c r="BR102" s="232"/>
      <c r="BS102" s="232"/>
      <c r="BT102" s="232"/>
      <c r="BU102" s="232"/>
      <c r="BV102" s="232"/>
    </row>
    <row r="103" spans="1:74" s="231" customFormat="1" ht="78" hidden="1" customHeight="1" x14ac:dyDescent="0.25">
      <c r="A103" s="205" t="s">
        <v>438</v>
      </c>
      <c r="B103" s="205" t="s">
        <v>487</v>
      </c>
      <c r="C103" s="205">
        <v>80141607</v>
      </c>
      <c r="D103" s="205" t="s">
        <v>756</v>
      </c>
      <c r="E103" s="206" t="s">
        <v>757</v>
      </c>
      <c r="F103" s="458" t="s">
        <v>41</v>
      </c>
      <c r="G103" s="178">
        <v>1</v>
      </c>
      <c r="H103" s="458" t="s">
        <v>42</v>
      </c>
      <c r="I103" s="459" t="s">
        <v>440</v>
      </c>
      <c r="J103" s="207">
        <v>46153</v>
      </c>
      <c r="K103" s="208" t="s">
        <v>758</v>
      </c>
      <c r="L103" s="209" t="s">
        <v>446</v>
      </c>
      <c r="M103" s="207" t="s">
        <v>494</v>
      </c>
      <c r="N103" s="210">
        <v>14290</v>
      </c>
      <c r="O103" s="210" t="s">
        <v>450</v>
      </c>
      <c r="P103" s="210" t="s">
        <v>468</v>
      </c>
      <c r="Q103" s="211">
        <f t="shared" si="26"/>
        <v>14290</v>
      </c>
      <c r="R103" s="212">
        <f t="shared" si="46"/>
        <v>0</v>
      </c>
      <c r="S103" s="212">
        <f t="shared" si="28"/>
        <v>14290</v>
      </c>
      <c r="T103" s="212">
        <f t="shared" si="29"/>
        <v>14290</v>
      </c>
      <c r="U103" s="212">
        <f t="shared" si="30"/>
        <v>14290</v>
      </c>
      <c r="V103" s="460" t="s">
        <v>440</v>
      </c>
      <c r="W103" s="213">
        <v>46153</v>
      </c>
      <c r="X103" s="214" t="s">
        <v>759</v>
      </c>
      <c r="Y103" s="215" t="s">
        <v>446</v>
      </c>
      <c r="Z103" s="216" t="s">
        <v>760</v>
      </c>
      <c r="AA103" s="217">
        <v>17250</v>
      </c>
      <c r="AB103" s="217" t="s">
        <v>450</v>
      </c>
      <c r="AC103" s="217" t="s">
        <v>468</v>
      </c>
      <c r="AD103" s="218">
        <f t="shared" si="31"/>
        <v>17250</v>
      </c>
      <c r="AE103" s="219">
        <f t="shared" si="32"/>
        <v>0</v>
      </c>
      <c r="AF103" s="219">
        <f t="shared" si="33"/>
        <v>17250</v>
      </c>
      <c r="AG103" s="219">
        <f t="shared" si="34"/>
        <v>17250</v>
      </c>
      <c r="AH103" s="219">
        <f t="shared" si="35"/>
        <v>17250</v>
      </c>
      <c r="AI103" s="461" t="s">
        <v>440</v>
      </c>
      <c r="AJ103" s="220">
        <v>46086</v>
      </c>
      <c r="AK103" s="221" t="s">
        <v>758</v>
      </c>
      <c r="AL103" s="222" t="s">
        <v>446</v>
      </c>
      <c r="AM103" s="223" t="s">
        <v>494</v>
      </c>
      <c r="AN103" s="224">
        <v>14290</v>
      </c>
      <c r="AO103" s="224" t="s">
        <v>450</v>
      </c>
      <c r="AP103" s="225" t="s">
        <v>468</v>
      </c>
      <c r="AQ103" s="226">
        <f t="shared" si="36"/>
        <v>14290</v>
      </c>
      <c r="AR103" s="227">
        <f t="shared" si="37"/>
        <v>0</v>
      </c>
      <c r="AS103" s="227">
        <f t="shared" si="38"/>
        <v>14290</v>
      </c>
      <c r="AT103" s="227">
        <f t="shared" si="39"/>
        <v>14290</v>
      </c>
      <c r="AU103" s="227">
        <f t="shared" si="40"/>
        <v>14290</v>
      </c>
      <c r="AV103" s="228">
        <f t="shared" si="41"/>
        <v>15276.666666666666</v>
      </c>
      <c r="AW103" s="228">
        <f t="shared" si="42"/>
        <v>15276.666666666666</v>
      </c>
      <c r="AX103" s="228">
        <f t="shared" si="43"/>
        <v>1708.9567968012923</v>
      </c>
      <c r="AY103" s="229">
        <f t="shared" si="44"/>
        <v>0.11186712612707565</v>
      </c>
      <c r="AZ103" s="230"/>
      <c r="BA103" s="231">
        <f t="shared" si="45"/>
        <v>3</v>
      </c>
      <c r="BH103" s="231">
        <v>37</v>
      </c>
      <c r="BI103" s="232"/>
      <c r="BJ103" s="232"/>
      <c r="BK103" s="232"/>
      <c r="BL103" s="232"/>
      <c r="BM103" s="232"/>
      <c r="BN103" s="232"/>
      <c r="BO103" s="232"/>
      <c r="BP103" s="232"/>
      <c r="BQ103" s="232"/>
      <c r="BR103" s="232"/>
      <c r="BS103" s="232"/>
      <c r="BT103" s="232"/>
      <c r="BU103" s="232"/>
      <c r="BV103" s="232"/>
    </row>
    <row r="104" spans="1:74" s="231" customFormat="1" ht="78" hidden="1" customHeight="1" x14ac:dyDescent="0.25">
      <c r="A104" s="205" t="s">
        <v>438</v>
      </c>
      <c r="B104" s="205" t="s">
        <v>439</v>
      </c>
      <c r="C104" s="205">
        <v>60101402</v>
      </c>
      <c r="D104" s="205" t="s">
        <v>761</v>
      </c>
      <c r="E104" s="206" t="s">
        <v>762</v>
      </c>
      <c r="F104" s="458" t="s">
        <v>41</v>
      </c>
      <c r="G104" s="178">
        <v>1</v>
      </c>
      <c r="H104" s="458" t="s">
        <v>42</v>
      </c>
      <c r="I104" s="459" t="s">
        <v>482</v>
      </c>
      <c r="J104" s="207">
        <v>46070</v>
      </c>
      <c r="K104" s="208" t="s">
        <v>472</v>
      </c>
      <c r="L104" s="209" t="s">
        <v>446</v>
      </c>
      <c r="M104" s="207" t="s">
        <v>763</v>
      </c>
      <c r="N104" s="210">
        <v>2500</v>
      </c>
      <c r="O104" s="210" t="s">
        <v>450</v>
      </c>
      <c r="P104" s="210" t="s">
        <v>444</v>
      </c>
      <c r="Q104" s="211">
        <f t="shared" si="26"/>
        <v>2500</v>
      </c>
      <c r="R104" s="212">
        <f t="shared" si="46"/>
        <v>475</v>
      </c>
      <c r="S104" s="212">
        <f t="shared" si="28"/>
        <v>2975</v>
      </c>
      <c r="T104" s="212">
        <f t="shared" si="29"/>
        <v>2500</v>
      </c>
      <c r="U104" s="212">
        <f t="shared" si="30"/>
        <v>2975</v>
      </c>
      <c r="V104" s="460" t="s">
        <v>482</v>
      </c>
      <c r="W104" s="213">
        <v>46070</v>
      </c>
      <c r="X104" s="214" t="s">
        <v>483</v>
      </c>
      <c r="Y104" s="215" t="s">
        <v>446</v>
      </c>
      <c r="Z104" s="216" t="s">
        <v>462</v>
      </c>
      <c r="AA104" s="217">
        <v>2500</v>
      </c>
      <c r="AB104" s="217" t="s">
        <v>450</v>
      </c>
      <c r="AC104" s="217" t="s">
        <v>444</v>
      </c>
      <c r="AD104" s="218">
        <f t="shared" si="31"/>
        <v>2500</v>
      </c>
      <c r="AE104" s="219">
        <f t="shared" si="32"/>
        <v>475</v>
      </c>
      <c r="AF104" s="219">
        <f t="shared" si="33"/>
        <v>2975</v>
      </c>
      <c r="AG104" s="219">
        <f t="shared" si="34"/>
        <v>2500</v>
      </c>
      <c r="AH104" s="219">
        <f t="shared" si="35"/>
        <v>2975</v>
      </c>
      <c r="AI104" s="461" t="s">
        <v>482</v>
      </c>
      <c r="AJ104" s="220">
        <v>46071</v>
      </c>
      <c r="AK104" s="221" t="s">
        <v>445</v>
      </c>
      <c r="AL104" s="222" t="s">
        <v>446</v>
      </c>
      <c r="AM104" s="223" t="s">
        <v>457</v>
      </c>
      <c r="AN104" s="224">
        <v>2700</v>
      </c>
      <c r="AO104" s="224" t="s">
        <v>450</v>
      </c>
      <c r="AP104" s="225" t="s">
        <v>468</v>
      </c>
      <c r="AQ104" s="226">
        <f t="shared" si="36"/>
        <v>2700</v>
      </c>
      <c r="AR104" s="227">
        <f t="shared" si="37"/>
        <v>0</v>
      </c>
      <c r="AS104" s="227">
        <f t="shared" si="38"/>
        <v>2700</v>
      </c>
      <c r="AT104" s="227">
        <f t="shared" si="39"/>
        <v>2700</v>
      </c>
      <c r="AU104" s="227">
        <f t="shared" si="40"/>
        <v>2700</v>
      </c>
      <c r="AV104" s="228">
        <f t="shared" si="41"/>
        <v>2883.3333333333335</v>
      </c>
      <c r="AW104" s="228">
        <f t="shared" si="42"/>
        <v>2883.3333333333335</v>
      </c>
      <c r="AX104" s="228">
        <f t="shared" si="43"/>
        <v>158.7713240271471</v>
      </c>
      <c r="AY104" s="229">
        <f t="shared" si="44"/>
        <v>5.5065199084559688E-2</v>
      </c>
      <c r="AZ104" s="230"/>
      <c r="BA104" s="231">
        <f t="shared" si="45"/>
        <v>3</v>
      </c>
      <c r="BH104" s="231">
        <v>80</v>
      </c>
      <c r="BI104" s="232"/>
      <c r="BJ104" s="232"/>
      <c r="BK104" s="232"/>
      <c r="BL104" s="232"/>
      <c r="BM104" s="232"/>
      <c r="BN104" s="232"/>
      <c r="BO104" s="232"/>
      <c r="BP104" s="232"/>
      <c r="BQ104" s="232"/>
      <c r="BR104" s="232"/>
      <c r="BS104" s="232"/>
      <c r="BT104" s="232"/>
      <c r="BU104" s="232"/>
      <c r="BV104" s="232"/>
    </row>
    <row r="105" spans="1:74" s="231" customFormat="1" ht="78" hidden="1" customHeight="1" x14ac:dyDescent="0.25">
      <c r="A105" s="205" t="s">
        <v>496</v>
      </c>
      <c r="B105" s="205" t="s">
        <v>496</v>
      </c>
      <c r="C105" s="205" t="s">
        <v>496</v>
      </c>
      <c r="D105" s="205" t="s">
        <v>764</v>
      </c>
      <c r="E105" s="206" t="s">
        <v>765</v>
      </c>
      <c r="F105" s="458" t="s">
        <v>499</v>
      </c>
      <c r="G105" s="178">
        <v>1</v>
      </c>
      <c r="H105" s="458"/>
      <c r="I105" s="459" t="s">
        <v>496</v>
      </c>
      <c r="J105" s="207" t="s">
        <v>496</v>
      </c>
      <c r="K105" s="208" t="s">
        <v>496</v>
      </c>
      <c r="L105" s="209" t="s">
        <v>496</v>
      </c>
      <c r="M105" s="207" t="s">
        <v>496</v>
      </c>
      <c r="N105" s="210"/>
      <c r="O105" s="210"/>
      <c r="P105" s="210"/>
      <c r="Q105" s="211" t="s">
        <v>500</v>
      </c>
      <c r="R105" s="212" t="s">
        <v>500</v>
      </c>
      <c r="S105" s="212" t="s">
        <v>500</v>
      </c>
      <c r="T105" s="212" t="s">
        <v>500</v>
      </c>
      <c r="U105" s="212" t="s">
        <v>500</v>
      </c>
      <c r="V105" s="460" t="s">
        <v>496</v>
      </c>
      <c r="W105" s="213" t="s">
        <v>496</v>
      </c>
      <c r="X105" s="214" t="s">
        <v>496</v>
      </c>
      <c r="Y105" s="215" t="s">
        <v>496</v>
      </c>
      <c r="Z105" s="216" t="s">
        <v>165</v>
      </c>
      <c r="AA105" s="217" t="s">
        <v>496</v>
      </c>
      <c r="AB105" s="217" t="s">
        <v>496</v>
      </c>
      <c r="AC105" s="217" t="s">
        <v>496</v>
      </c>
      <c r="AD105" s="218" t="s">
        <v>496</v>
      </c>
      <c r="AE105" s="219" t="s">
        <v>496</v>
      </c>
      <c r="AF105" s="219">
        <v>563629</v>
      </c>
      <c r="AG105" s="219">
        <v>5.5599999999999997E-2</v>
      </c>
      <c r="AH105" s="219">
        <v>594966</v>
      </c>
      <c r="AI105" s="461" t="s">
        <v>496</v>
      </c>
      <c r="AJ105" s="220" t="s">
        <v>496</v>
      </c>
      <c r="AK105" s="221" t="s">
        <v>496</v>
      </c>
      <c r="AL105" s="222" t="s">
        <v>496</v>
      </c>
      <c r="AM105" s="223" t="s">
        <v>166</v>
      </c>
      <c r="AN105" s="224" t="s">
        <v>496</v>
      </c>
      <c r="AO105" s="224" t="s">
        <v>496</v>
      </c>
      <c r="AP105" s="225" t="s">
        <v>496</v>
      </c>
      <c r="AQ105" s="226">
        <v>485478</v>
      </c>
      <c r="AR105" s="227">
        <v>92241</v>
      </c>
      <c r="AS105" s="227">
        <v>577719</v>
      </c>
      <c r="AT105" s="227">
        <v>485478</v>
      </c>
      <c r="AU105" s="227">
        <v>577719</v>
      </c>
      <c r="AV105" s="228">
        <v>586343</v>
      </c>
      <c r="AW105" s="228">
        <v>586343</v>
      </c>
      <c r="AX105" s="228">
        <v>12195.49</v>
      </c>
      <c r="AY105" s="229">
        <v>2.0799999999999999E-2</v>
      </c>
      <c r="AZ105" s="230"/>
      <c r="BI105" s="232"/>
      <c r="BJ105" s="232"/>
      <c r="BK105" s="232"/>
      <c r="BL105" s="232"/>
      <c r="BM105" s="232"/>
      <c r="BN105" s="232"/>
      <c r="BO105" s="232"/>
      <c r="BP105" s="232"/>
      <c r="BQ105" s="232"/>
      <c r="BR105" s="232"/>
      <c r="BS105" s="232"/>
      <c r="BT105" s="232"/>
      <c r="BU105" s="232"/>
      <c r="BV105" s="232"/>
    </row>
    <row r="106" spans="1:74" s="231" customFormat="1" ht="78" hidden="1" customHeight="1" x14ac:dyDescent="0.25">
      <c r="A106" s="205" t="s">
        <v>496</v>
      </c>
      <c r="B106" s="205" t="s">
        <v>496</v>
      </c>
      <c r="C106" s="205" t="s">
        <v>496</v>
      </c>
      <c r="D106" s="205" t="s">
        <v>766</v>
      </c>
      <c r="E106" s="206" t="s">
        <v>767</v>
      </c>
      <c r="F106" s="458" t="s">
        <v>499</v>
      </c>
      <c r="G106" s="178">
        <v>1</v>
      </c>
      <c r="H106" s="458"/>
      <c r="I106" s="459" t="s">
        <v>496</v>
      </c>
      <c r="J106" s="207" t="s">
        <v>496</v>
      </c>
      <c r="K106" s="208" t="s">
        <v>496</v>
      </c>
      <c r="L106" s="209" t="s">
        <v>496</v>
      </c>
      <c r="M106" s="207" t="s">
        <v>496</v>
      </c>
      <c r="N106" s="210"/>
      <c r="O106" s="210"/>
      <c r="P106" s="210"/>
      <c r="Q106" s="211" t="s">
        <v>500</v>
      </c>
      <c r="R106" s="212" t="s">
        <v>500</v>
      </c>
      <c r="S106" s="212" t="s">
        <v>500</v>
      </c>
      <c r="T106" s="212" t="s">
        <v>500</v>
      </c>
      <c r="U106" s="212" t="s">
        <v>500</v>
      </c>
      <c r="V106" s="460" t="s">
        <v>496</v>
      </c>
      <c r="W106" s="213" t="s">
        <v>496</v>
      </c>
      <c r="X106" s="214" t="s">
        <v>496</v>
      </c>
      <c r="Y106" s="215" t="s">
        <v>496</v>
      </c>
      <c r="Z106" s="216" t="s">
        <v>165</v>
      </c>
      <c r="AA106" s="217" t="s">
        <v>496</v>
      </c>
      <c r="AB106" s="217" t="s">
        <v>496</v>
      </c>
      <c r="AC106" s="217" t="s">
        <v>496</v>
      </c>
      <c r="AD106" s="218" t="s">
        <v>496</v>
      </c>
      <c r="AE106" s="219" t="s">
        <v>496</v>
      </c>
      <c r="AF106" s="219">
        <v>381263</v>
      </c>
      <c r="AG106" s="219">
        <v>5.5599999999999997E-2</v>
      </c>
      <c r="AH106" s="219">
        <v>402461</v>
      </c>
      <c r="AI106" s="461" t="s">
        <v>496</v>
      </c>
      <c r="AJ106" s="220" t="s">
        <v>496</v>
      </c>
      <c r="AK106" s="221" t="s">
        <v>496</v>
      </c>
      <c r="AL106" s="222" t="s">
        <v>496</v>
      </c>
      <c r="AM106" s="223" t="s">
        <v>166</v>
      </c>
      <c r="AN106" s="224" t="s">
        <v>496</v>
      </c>
      <c r="AO106" s="224" t="s">
        <v>496</v>
      </c>
      <c r="AP106" s="225" t="s">
        <v>496</v>
      </c>
      <c r="AQ106" s="226">
        <v>326796</v>
      </c>
      <c r="AR106" s="227">
        <v>62091</v>
      </c>
      <c r="AS106" s="227">
        <v>388888</v>
      </c>
      <c r="AT106" s="227">
        <v>326796</v>
      </c>
      <c r="AU106" s="227">
        <v>388888</v>
      </c>
      <c r="AV106" s="228">
        <v>395674</v>
      </c>
      <c r="AW106" s="228">
        <v>395674</v>
      </c>
      <c r="AX106" s="228">
        <v>9597.52</v>
      </c>
      <c r="AY106" s="229">
        <v>2.4299999999999999E-2</v>
      </c>
      <c r="AZ106" s="230"/>
      <c r="BI106" s="232"/>
      <c r="BJ106" s="232"/>
      <c r="BK106" s="232"/>
      <c r="BL106" s="232"/>
      <c r="BM106" s="232"/>
      <c r="BN106" s="232"/>
      <c r="BO106" s="232"/>
      <c r="BP106" s="232"/>
      <c r="BQ106" s="232"/>
      <c r="BR106" s="232"/>
      <c r="BS106" s="232"/>
      <c r="BT106" s="232"/>
      <c r="BU106" s="232"/>
      <c r="BV106" s="232"/>
    </row>
    <row r="107" spans="1:74" s="231" customFormat="1" ht="153" hidden="1" customHeight="1" x14ac:dyDescent="0.25">
      <c r="A107" s="205" t="s">
        <v>438</v>
      </c>
      <c r="B107" s="205" t="s">
        <v>439</v>
      </c>
      <c r="C107" s="205">
        <v>53103000</v>
      </c>
      <c r="D107" s="205" t="s">
        <v>71</v>
      </c>
      <c r="E107" s="206" t="s">
        <v>355</v>
      </c>
      <c r="F107" s="458" t="s">
        <v>41</v>
      </c>
      <c r="G107" s="178">
        <v>1</v>
      </c>
      <c r="H107" s="458" t="s">
        <v>42</v>
      </c>
      <c r="I107" s="459" t="s">
        <v>482</v>
      </c>
      <c r="J107" s="207">
        <v>46070</v>
      </c>
      <c r="K107" s="208" t="s">
        <v>453</v>
      </c>
      <c r="L107" s="209" t="s">
        <v>446</v>
      </c>
      <c r="M107" s="207" t="s">
        <v>449</v>
      </c>
      <c r="N107" s="210">
        <v>38000</v>
      </c>
      <c r="O107" s="210" t="s">
        <v>450</v>
      </c>
      <c r="P107" s="210" t="s">
        <v>444</v>
      </c>
      <c r="Q107" s="211">
        <f>IF(O107="IVA Incluido",(N107/1.19),N107)</f>
        <v>38000</v>
      </c>
      <c r="R107" s="212">
        <f>IF(P107="Si tiene IVA",Q107*19%,0)</f>
        <v>7220</v>
      </c>
      <c r="S107" s="212">
        <f>Q107+R107</f>
        <v>45220</v>
      </c>
      <c r="T107" s="212">
        <f>IF(B107="","",(N107*G107))</f>
        <v>38000</v>
      </c>
      <c r="U107" s="212">
        <f>IF(B107="","",(S107*G107))</f>
        <v>45220</v>
      </c>
      <c r="V107" s="460" t="s">
        <v>482</v>
      </c>
      <c r="W107" s="213">
        <v>46070</v>
      </c>
      <c r="X107" s="214" t="s">
        <v>472</v>
      </c>
      <c r="Y107" s="215" t="s">
        <v>446</v>
      </c>
      <c r="Z107" s="216" t="s">
        <v>763</v>
      </c>
      <c r="AA107" s="217">
        <v>38000</v>
      </c>
      <c r="AB107" s="217" t="s">
        <v>450</v>
      </c>
      <c r="AC107" s="217" t="s">
        <v>444</v>
      </c>
      <c r="AD107" s="218">
        <f>IF(AB107="IVA Incluido",(AA107/1.19),AA107)</f>
        <v>38000</v>
      </c>
      <c r="AE107" s="219">
        <f>IF(AC107="Si tiene IVA",AD107*19%,0)</f>
        <v>7220</v>
      </c>
      <c r="AF107" s="219">
        <f>AD107+AE107</f>
        <v>45220</v>
      </c>
      <c r="AG107" s="219">
        <f>IF(O107="","",(AA107*G107))</f>
        <v>38000</v>
      </c>
      <c r="AH107" s="219">
        <f>IF(O107="","",(AF107*G107))</f>
        <v>45220</v>
      </c>
      <c r="AI107" s="461" t="s">
        <v>482</v>
      </c>
      <c r="AJ107" s="220">
        <v>46071</v>
      </c>
      <c r="AK107" s="221" t="s">
        <v>466</v>
      </c>
      <c r="AL107" s="222" t="s">
        <v>446</v>
      </c>
      <c r="AM107" s="223" t="s">
        <v>768</v>
      </c>
      <c r="AN107" s="224">
        <v>38000</v>
      </c>
      <c r="AO107" s="224" t="s">
        <v>450</v>
      </c>
      <c r="AP107" s="225" t="s">
        <v>468</v>
      </c>
      <c r="AQ107" s="226">
        <f>IF(AO107="IVA Incluido",(AN107/1.19),AN107)</f>
        <v>38000</v>
      </c>
      <c r="AR107" s="227">
        <f>IF(AP107="Si tiene IVA",AQ107*19%,0)</f>
        <v>0</v>
      </c>
      <c r="AS107" s="227">
        <f>AQ107+AR107</f>
        <v>38000</v>
      </c>
      <c r="AT107" s="227">
        <f>IF(AB107="","",(AN107*G107))</f>
        <v>38000</v>
      </c>
      <c r="AU107" s="227">
        <f>IF(AB107="","",(AS107*G107))</f>
        <v>38000</v>
      </c>
      <c r="AV107" s="228">
        <f>IF(A107="","",AVERAGE(S107,AF107,AS107))</f>
        <v>42813.333333333336</v>
      </c>
      <c r="AW107" s="228">
        <f>IF(A107="","",AVERAGE(U107,AH107,AU107))</f>
        <v>42813.333333333336</v>
      </c>
      <c r="AX107" s="228">
        <f>IF(N107="","",STDEV(U107,AH107,AU107))</f>
        <v>4168.4689435490982</v>
      </c>
      <c r="AY107" s="229">
        <f>IF(N107="","",(AX107/AW107))</f>
        <v>9.7363802792333337E-2</v>
      </c>
      <c r="AZ107" s="230"/>
      <c r="BA107" s="231">
        <f>COUNTA(M107,Z107,AM107)</f>
        <v>3</v>
      </c>
      <c r="BH107" s="231">
        <v>81</v>
      </c>
      <c r="BI107" s="232"/>
      <c r="BJ107" s="232"/>
      <c r="BK107" s="232"/>
      <c r="BL107" s="232"/>
      <c r="BM107" s="232"/>
      <c r="BN107" s="232"/>
      <c r="BO107" s="232"/>
      <c r="BP107" s="232"/>
      <c r="BQ107" s="232"/>
      <c r="BR107" s="232"/>
      <c r="BS107" s="232"/>
      <c r="BT107" s="232"/>
      <c r="BU107" s="232"/>
      <c r="BV107" s="232"/>
    </row>
    <row r="108" spans="1:74" s="231" customFormat="1" ht="78" hidden="1" customHeight="1" x14ac:dyDescent="0.25">
      <c r="A108" s="205" t="s">
        <v>438</v>
      </c>
      <c r="B108" s="205" t="s">
        <v>439</v>
      </c>
      <c r="C108" s="205">
        <v>53103000</v>
      </c>
      <c r="D108" s="205" t="s">
        <v>769</v>
      </c>
      <c r="E108" s="206" t="s">
        <v>770</v>
      </c>
      <c r="F108" s="458" t="s">
        <v>41</v>
      </c>
      <c r="G108" s="178">
        <v>1</v>
      </c>
      <c r="H108" s="458" t="s">
        <v>42</v>
      </c>
      <c r="I108" s="459" t="s">
        <v>482</v>
      </c>
      <c r="J108" s="207">
        <v>46072</v>
      </c>
      <c r="K108" s="208" t="s">
        <v>484</v>
      </c>
      <c r="L108" s="209" t="s">
        <v>446</v>
      </c>
      <c r="M108" s="207" t="s">
        <v>485</v>
      </c>
      <c r="N108" s="210">
        <v>22000</v>
      </c>
      <c r="O108" s="210" t="s">
        <v>450</v>
      </c>
      <c r="P108" s="210" t="s">
        <v>468</v>
      </c>
      <c r="Q108" s="211">
        <f>IF(O108="IVA Incluido",(N108/1.19),N108)</f>
        <v>22000</v>
      </c>
      <c r="R108" s="212">
        <f>IF(P108="Si tiene IVA",Q108*19%,0)</f>
        <v>0</v>
      </c>
      <c r="S108" s="212">
        <f>Q108+R108</f>
        <v>22000</v>
      </c>
      <c r="T108" s="212">
        <f>IF(B108="","",(N108*G108))</f>
        <v>22000</v>
      </c>
      <c r="U108" s="212">
        <f>IF(B108="","",(S108*G108))</f>
        <v>22000</v>
      </c>
      <c r="V108" s="460" t="s">
        <v>482</v>
      </c>
      <c r="W108" s="213">
        <v>46072</v>
      </c>
      <c r="X108" s="214" t="s">
        <v>466</v>
      </c>
      <c r="Y108" s="215" t="s">
        <v>446</v>
      </c>
      <c r="Z108" s="216" t="s">
        <v>467</v>
      </c>
      <c r="AA108" s="217">
        <v>28000</v>
      </c>
      <c r="AB108" s="217" t="s">
        <v>450</v>
      </c>
      <c r="AC108" s="217"/>
      <c r="AD108" s="218">
        <f>IF(AB108="IVA Incluido",(AA108/1.19),AA108)</f>
        <v>28000</v>
      </c>
      <c r="AE108" s="219">
        <f>IF(AC108="Si tiene IVA",AD108*19%,0)</f>
        <v>0</v>
      </c>
      <c r="AF108" s="219">
        <f>AD108+AE108</f>
        <v>28000</v>
      </c>
      <c r="AG108" s="219">
        <f>IF(O108="","",(AA108*G108))</f>
        <v>28000</v>
      </c>
      <c r="AH108" s="219">
        <f>IF(O108="","",(AF108*G108))</f>
        <v>28000</v>
      </c>
      <c r="AI108" s="461" t="s">
        <v>482</v>
      </c>
      <c r="AJ108" s="220">
        <v>46072</v>
      </c>
      <c r="AK108" s="221" t="s">
        <v>483</v>
      </c>
      <c r="AL108" s="222" t="s">
        <v>446</v>
      </c>
      <c r="AM108" s="223" t="s">
        <v>462</v>
      </c>
      <c r="AN108" s="224">
        <v>25000</v>
      </c>
      <c r="AO108" s="224" t="s">
        <v>450</v>
      </c>
      <c r="AP108" s="225" t="s">
        <v>444</v>
      </c>
      <c r="AQ108" s="226">
        <f>IF(AO108="IVA Incluido",(AN108/1.19),AN108)</f>
        <v>25000</v>
      </c>
      <c r="AR108" s="227">
        <f>IF(AP108="Si tiene IVA",AQ108*19%,0)</f>
        <v>4750</v>
      </c>
      <c r="AS108" s="227">
        <f>AQ108+AR108</f>
        <v>29750</v>
      </c>
      <c r="AT108" s="227">
        <f>IF(AB108="","",(AN108*G108))</f>
        <v>25000</v>
      </c>
      <c r="AU108" s="227">
        <f>IF(AB108="","",(AS108*G108))</f>
        <v>29750</v>
      </c>
      <c r="AV108" s="228">
        <f>IF(A108="","",AVERAGE(S108,AF108,AS108))</f>
        <v>26583.333333333332</v>
      </c>
      <c r="AW108" s="228">
        <f>IF(A108="","",AVERAGE(U108,AH108,AU108))</f>
        <v>26583.333333333332</v>
      </c>
      <c r="AX108" s="228">
        <f>IF(N108="","",STDEV(U108,AH108,AU108))</f>
        <v>4064.5827994190713</v>
      </c>
      <c r="AY108" s="229">
        <f>IF(N108="","",(AX108/AW108))</f>
        <v>0.15289966643582714</v>
      </c>
      <c r="AZ108" s="230"/>
      <c r="BA108" s="231">
        <f>COUNTA(M108,Z108,AM108)</f>
        <v>3</v>
      </c>
      <c r="BH108" s="231">
        <v>82</v>
      </c>
      <c r="BI108" s="232"/>
      <c r="BJ108" s="232"/>
      <c r="BK108" s="232"/>
      <c r="BL108" s="232"/>
      <c r="BM108" s="232"/>
      <c r="BN108" s="232"/>
      <c r="BO108" s="232"/>
      <c r="BP108" s="232"/>
      <c r="BQ108" s="232"/>
      <c r="BR108" s="232"/>
      <c r="BS108" s="232"/>
      <c r="BT108" s="232"/>
      <c r="BU108" s="232"/>
      <c r="BV108" s="232"/>
    </row>
    <row r="109" spans="1:74" s="231" customFormat="1" ht="78" hidden="1" customHeight="1" x14ac:dyDescent="0.25">
      <c r="A109" s="205" t="s">
        <v>496</v>
      </c>
      <c r="B109" s="205" t="s">
        <v>496</v>
      </c>
      <c r="C109" s="205" t="s">
        <v>496</v>
      </c>
      <c r="D109" s="205" t="s">
        <v>771</v>
      </c>
      <c r="E109" s="206" t="s">
        <v>772</v>
      </c>
      <c r="F109" s="458" t="s">
        <v>499</v>
      </c>
      <c r="G109" s="178">
        <v>1</v>
      </c>
      <c r="H109" s="458"/>
      <c r="I109" s="459" t="s">
        <v>496</v>
      </c>
      <c r="J109" s="207" t="s">
        <v>496</v>
      </c>
      <c r="K109" s="208" t="s">
        <v>496</v>
      </c>
      <c r="L109" s="209" t="s">
        <v>496</v>
      </c>
      <c r="M109" s="207" t="s">
        <v>496</v>
      </c>
      <c r="N109" s="210"/>
      <c r="O109" s="210"/>
      <c r="P109" s="210"/>
      <c r="Q109" s="211">
        <v>5000000</v>
      </c>
      <c r="R109" s="212">
        <v>950000</v>
      </c>
      <c r="S109" s="212">
        <v>5950000</v>
      </c>
      <c r="T109" s="212">
        <v>5000000</v>
      </c>
      <c r="U109" s="212">
        <v>5950000</v>
      </c>
      <c r="V109" s="460" t="s">
        <v>496</v>
      </c>
      <c r="W109" s="213" t="s">
        <v>496</v>
      </c>
      <c r="X109" s="214" t="s">
        <v>496</v>
      </c>
      <c r="Y109" s="215" t="s">
        <v>496</v>
      </c>
      <c r="Z109" s="216" t="s">
        <v>165</v>
      </c>
      <c r="AA109" s="217" t="s">
        <v>496</v>
      </c>
      <c r="AB109" s="217" t="s">
        <v>496</v>
      </c>
      <c r="AC109" s="217" t="s">
        <v>496</v>
      </c>
      <c r="AD109" s="218" t="s">
        <v>496</v>
      </c>
      <c r="AE109" s="219" t="s">
        <v>496</v>
      </c>
      <c r="AF109" s="219">
        <v>5707232</v>
      </c>
      <c r="AG109" s="219">
        <v>5.5599999999999997E-2</v>
      </c>
      <c r="AH109" s="219">
        <v>6024554</v>
      </c>
      <c r="AI109" s="461" t="s">
        <v>496</v>
      </c>
      <c r="AJ109" s="220" t="s">
        <v>496</v>
      </c>
      <c r="AK109" s="221" t="s">
        <v>496</v>
      </c>
      <c r="AL109" s="222" t="s">
        <v>496</v>
      </c>
      <c r="AM109" s="223" t="s">
        <v>166</v>
      </c>
      <c r="AN109" s="224" t="s">
        <v>496</v>
      </c>
      <c r="AO109" s="224" t="s">
        <v>496</v>
      </c>
      <c r="AP109" s="225" t="s">
        <v>496</v>
      </c>
      <c r="AQ109" s="226">
        <v>4987833</v>
      </c>
      <c r="AR109" s="227">
        <v>947688</v>
      </c>
      <c r="AS109" s="227">
        <v>5935521</v>
      </c>
      <c r="AT109" s="227">
        <v>4987833</v>
      </c>
      <c r="AU109" s="227">
        <v>5935521</v>
      </c>
      <c r="AV109" s="228">
        <v>5980037</v>
      </c>
      <c r="AW109" s="228">
        <v>5980037</v>
      </c>
      <c r="AX109" s="228">
        <v>47775.07</v>
      </c>
      <c r="AY109" s="229">
        <v>8.0000000000000002E-3</v>
      </c>
      <c r="AZ109" s="230"/>
      <c r="BI109" s="232"/>
      <c r="BJ109" s="232"/>
      <c r="BK109" s="232"/>
      <c r="BL109" s="232"/>
      <c r="BM109" s="232"/>
      <c r="BN109" s="232"/>
      <c r="BO109" s="232"/>
      <c r="BP109" s="232"/>
      <c r="BQ109" s="232"/>
      <c r="BR109" s="232"/>
      <c r="BS109" s="232"/>
      <c r="BT109" s="232"/>
      <c r="BU109" s="232"/>
      <c r="BV109" s="232"/>
    </row>
    <row r="110" spans="1:74" s="232" customFormat="1" ht="78" hidden="1" customHeight="1" x14ac:dyDescent="0.25">
      <c r="A110" s="205" t="s">
        <v>438</v>
      </c>
      <c r="B110" s="205" t="s">
        <v>501</v>
      </c>
      <c r="C110" s="205">
        <v>60121148</v>
      </c>
      <c r="D110" s="205" t="s">
        <v>371</v>
      </c>
      <c r="E110" s="206" t="s">
        <v>372</v>
      </c>
      <c r="F110" s="458" t="s">
        <v>41</v>
      </c>
      <c r="G110" s="178">
        <v>1</v>
      </c>
      <c r="H110" s="458" t="s">
        <v>42</v>
      </c>
      <c r="I110" s="459" t="s">
        <v>452</v>
      </c>
      <c r="J110" s="207">
        <v>46069</v>
      </c>
      <c r="K110" s="208" t="s">
        <v>705</v>
      </c>
      <c r="L110" s="209" t="s">
        <v>446</v>
      </c>
      <c r="M110" s="207" t="s">
        <v>706</v>
      </c>
      <c r="N110" s="210">
        <v>2171</v>
      </c>
      <c r="O110" s="210" t="s">
        <v>450</v>
      </c>
      <c r="P110" s="210" t="s">
        <v>444</v>
      </c>
      <c r="Q110" s="211">
        <f t="shared" ref="Q110:Q119" si="47">IF(O110="IVA Incluido",(N110/1.19),N110)</f>
        <v>2171</v>
      </c>
      <c r="R110" s="212">
        <f t="shared" ref="R110:R119" si="48">IF(P110="Si tiene IVA",Q110*19%,0)</f>
        <v>412.49</v>
      </c>
      <c r="S110" s="212">
        <f t="shared" ref="S110:S119" si="49">Q110+R110</f>
        <v>2583.4899999999998</v>
      </c>
      <c r="T110" s="212">
        <f t="shared" ref="T110:T119" si="50">IF(B110="","",(N110*G110))</f>
        <v>2171</v>
      </c>
      <c r="U110" s="212">
        <f>S110*G110</f>
        <v>2583.4899999999998</v>
      </c>
      <c r="V110" s="460" t="s">
        <v>452</v>
      </c>
      <c r="W110" s="213">
        <v>46069</v>
      </c>
      <c r="X110" s="214" t="s">
        <v>707</v>
      </c>
      <c r="Y110" s="215" t="s">
        <v>446</v>
      </c>
      <c r="Z110" s="216" t="s">
        <v>708</v>
      </c>
      <c r="AA110" s="217">
        <v>2185</v>
      </c>
      <c r="AB110" s="217" t="s">
        <v>450</v>
      </c>
      <c r="AC110" s="217" t="s">
        <v>444</v>
      </c>
      <c r="AD110" s="218">
        <v>2185</v>
      </c>
      <c r="AE110" s="219">
        <f t="shared" ref="AE110:AE119" si="51">IF(AC110="Si tiene IVA",AD110*19%,0)</f>
        <v>415.15</v>
      </c>
      <c r="AF110" s="219">
        <f t="shared" ref="AF110:AF119" si="52">AD110+AE110</f>
        <v>2600.15</v>
      </c>
      <c r="AG110" s="219">
        <f t="shared" ref="AG110:AG119" si="53">IF(O110="","",(AA110*G110))</f>
        <v>2185</v>
      </c>
      <c r="AH110" s="219">
        <f t="shared" ref="AH110:AH119" si="54">IF(O110="","",(AF110*G110))</f>
        <v>2600.15</v>
      </c>
      <c r="AI110" s="461" t="s">
        <v>452</v>
      </c>
      <c r="AJ110" s="220">
        <v>46069</v>
      </c>
      <c r="AK110" s="221" t="s">
        <v>773</v>
      </c>
      <c r="AL110" s="222" t="s">
        <v>446</v>
      </c>
      <c r="AM110" s="223" t="s">
        <v>774</v>
      </c>
      <c r="AN110" s="224">
        <v>2800</v>
      </c>
      <c r="AO110" s="224" t="s">
        <v>443</v>
      </c>
      <c r="AP110" s="225" t="s">
        <v>444</v>
      </c>
      <c r="AQ110" s="226">
        <f t="shared" ref="AQ110:AQ119" si="55">IF(AO110="IVA Incluido",(AN110/1.19),AN110)</f>
        <v>2352.9411764705883</v>
      </c>
      <c r="AR110" s="227">
        <f t="shared" ref="AR110:AR119" si="56">IF(AP110="Si tiene IVA",AQ110*19%,0)</f>
        <v>447.05882352941177</v>
      </c>
      <c r="AS110" s="227">
        <f t="shared" ref="AS110:AS119" si="57">AQ110+AR110</f>
        <v>2800</v>
      </c>
      <c r="AT110" s="227">
        <f t="shared" ref="AT110:AT119" si="58">IF(AB110="","",(AN110*G110))</f>
        <v>2800</v>
      </c>
      <c r="AU110" s="227">
        <f t="shared" ref="AU110:AU119" si="59">IF(AB110="","",(AS110*G110))</f>
        <v>2800</v>
      </c>
      <c r="AV110" s="228">
        <f t="shared" ref="AV110:AV119" si="60">IF(A110="","",AVERAGE(S110,AF110,AS110))</f>
        <v>2661.2133333333331</v>
      </c>
      <c r="AW110" s="228">
        <f t="shared" ref="AW110:AW119" si="61">IF(A110="","",AVERAGE(U110,AH110,AU110))</f>
        <v>2661.2133333333331</v>
      </c>
      <c r="AX110" s="228">
        <f>IF(N110="","",STDEV(U110,AH110,AU110))</f>
        <v>120.48108994084235</v>
      </c>
      <c r="AY110" s="229">
        <f t="shared" ref="AY110:AY119" si="62">IF(N110="","",(AX110/AW110))</f>
        <v>4.5272991996448624E-2</v>
      </c>
      <c r="AZ110" s="230"/>
      <c r="BA110" s="231">
        <f t="shared" ref="BA110:BA119" si="63">COUNTA(M110,Z110,AM110)</f>
        <v>3</v>
      </c>
      <c r="BB110" s="231"/>
      <c r="BC110" s="231"/>
      <c r="BD110" s="231"/>
      <c r="BE110" s="231"/>
      <c r="BF110" s="231"/>
      <c r="BG110" s="231"/>
      <c r="BH110" s="231">
        <v>20</v>
      </c>
    </row>
    <row r="111" spans="1:74" s="231" customFormat="1" ht="78" hidden="1" customHeight="1" x14ac:dyDescent="0.25">
      <c r="A111" s="205" t="s">
        <v>438</v>
      </c>
      <c r="B111" s="205" t="s">
        <v>501</v>
      </c>
      <c r="C111" s="205">
        <v>60121148</v>
      </c>
      <c r="D111" s="205" t="s">
        <v>775</v>
      </c>
      <c r="E111" s="206" t="s">
        <v>776</v>
      </c>
      <c r="F111" s="458" t="s">
        <v>41</v>
      </c>
      <c r="G111" s="178">
        <v>1</v>
      </c>
      <c r="H111" s="458" t="s">
        <v>42</v>
      </c>
      <c r="I111" s="459" t="s">
        <v>452</v>
      </c>
      <c r="J111" s="207">
        <v>46069</v>
      </c>
      <c r="K111" s="208" t="s">
        <v>667</v>
      </c>
      <c r="L111" s="209" t="s">
        <v>446</v>
      </c>
      <c r="M111" s="207" t="s">
        <v>699</v>
      </c>
      <c r="N111" s="210">
        <v>9000</v>
      </c>
      <c r="O111" s="210" t="s">
        <v>443</v>
      </c>
      <c r="P111" s="210" t="s">
        <v>444</v>
      </c>
      <c r="Q111" s="211">
        <f t="shared" si="47"/>
        <v>7563.0252100840344</v>
      </c>
      <c r="R111" s="212">
        <f t="shared" si="48"/>
        <v>1436.9747899159665</v>
      </c>
      <c r="S111" s="212">
        <f t="shared" si="49"/>
        <v>9000</v>
      </c>
      <c r="T111" s="212">
        <f t="shared" si="50"/>
        <v>9000</v>
      </c>
      <c r="U111" s="212">
        <f t="shared" ref="U111:U119" si="64">IF(B111="","",(S111*G111))</f>
        <v>9000</v>
      </c>
      <c r="V111" s="460" t="s">
        <v>452</v>
      </c>
      <c r="W111" s="213">
        <v>46069</v>
      </c>
      <c r="X111" s="214" t="s">
        <v>707</v>
      </c>
      <c r="Y111" s="215" t="s">
        <v>446</v>
      </c>
      <c r="Z111" s="216" t="s">
        <v>708</v>
      </c>
      <c r="AA111" s="217">
        <v>6050</v>
      </c>
      <c r="AB111" s="217" t="s">
        <v>450</v>
      </c>
      <c r="AC111" s="217" t="s">
        <v>444</v>
      </c>
      <c r="AD111" s="218">
        <f t="shared" ref="AD111:AD119" si="65">IF(AB111="IVA Incluido",(AA111/1.19),AA111)</f>
        <v>6050</v>
      </c>
      <c r="AE111" s="219">
        <f t="shared" si="51"/>
        <v>1149.5</v>
      </c>
      <c r="AF111" s="219">
        <f t="shared" si="52"/>
        <v>7199.5</v>
      </c>
      <c r="AG111" s="219">
        <f t="shared" si="53"/>
        <v>6050</v>
      </c>
      <c r="AH111" s="219">
        <f t="shared" si="54"/>
        <v>7199.5</v>
      </c>
      <c r="AI111" s="461" t="s">
        <v>452</v>
      </c>
      <c r="AJ111" s="220">
        <v>46069</v>
      </c>
      <c r="AK111" s="221" t="s">
        <v>665</v>
      </c>
      <c r="AL111" s="222" t="s">
        <v>446</v>
      </c>
      <c r="AM111" s="223" t="s">
        <v>728</v>
      </c>
      <c r="AN111" s="224">
        <v>10000</v>
      </c>
      <c r="AO111" s="224" t="s">
        <v>443</v>
      </c>
      <c r="AP111" s="225" t="s">
        <v>444</v>
      </c>
      <c r="AQ111" s="226">
        <f t="shared" si="55"/>
        <v>8403.361344537816</v>
      </c>
      <c r="AR111" s="227">
        <f t="shared" si="56"/>
        <v>1596.6386554621849</v>
      </c>
      <c r="AS111" s="227">
        <f t="shared" si="57"/>
        <v>10000</v>
      </c>
      <c r="AT111" s="227">
        <f t="shared" si="58"/>
        <v>10000</v>
      </c>
      <c r="AU111" s="227">
        <f t="shared" si="59"/>
        <v>10000</v>
      </c>
      <c r="AV111" s="228">
        <f t="shared" si="60"/>
        <v>8733.1666666666661</v>
      </c>
      <c r="AW111" s="228">
        <f t="shared" si="61"/>
        <v>8733.1666666666661</v>
      </c>
      <c r="AX111" s="228">
        <f t="shared" ref="AX111:AX119" si="66">IF(N111="","",STDEV(U111,AH111,AU111))</f>
        <v>1419.189939131943</v>
      </c>
      <c r="AY111" s="229">
        <f t="shared" si="62"/>
        <v>0.16250576604117747</v>
      </c>
      <c r="AZ111" s="230"/>
      <c r="BA111" s="231">
        <f t="shared" si="63"/>
        <v>3</v>
      </c>
      <c r="BH111" s="231">
        <v>21</v>
      </c>
      <c r="BI111" s="232"/>
      <c r="BJ111" s="232"/>
      <c r="BK111" s="232"/>
      <c r="BL111" s="232"/>
      <c r="BM111" s="232"/>
      <c r="BN111" s="232"/>
      <c r="BO111" s="232"/>
      <c r="BP111" s="232"/>
      <c r="BQ111" s="232"/>
      <c r="BR111" s="232"/>
      <c r="BS111" s="232"/>
      <c r="BT111" s="232"/>
      <c r="BU111" s="232"/>
      <c r="BV111" s="232"/>
    </row>
    <row r="112" spans="1:74" s="231" customFormat="1" ht="78" hidden="1" customHeight="1" x14ac:dyDescent="0.25">
      <c r="A112" s="205" t="s">
        <v>438</v>
      </c>
      <c r="B112" s="205" t="s">
        <v>501</v>
      </c>
      <c r="C112" s="205"/>
      <c r="D112" s="205" t="s">
        <v>777</v>
      </c>
      <c r="E112" s="206" t="s">
        <v>778</v>
      </c>
      <c r="F112" s="458" t="s">
        <v>41</v>
      </c>
      <c r="G112" s="178">
        <v>1</v>
      </c>
      <c r="H112" s="458" t="s">
        <v>42</v>
      </c>
      <c r="I112" s="459" t="s">
        <v>452</v>
      </c>
      <c r="J112" s="207">
        <v>46070</v>
      </c>
      <c r="K112" s="208" t="s">
        <v>724</v>
      </c>
      <c r="L112" s="209" t="s">
        <v>446</v>
      </c>
      <c r="M112" s="207" t="s">
        <v>779</v>
      </c>
      <c r="N112" s="210">
        <v>2000</v>
      </c>
      <c r="O112" s="210" t="s">
        <v>443</v>
      </c>
      <c r="P112" s="210" t="s">
        <v>444</v>
      </c>
      <c r="Q112" s="211">
        <f t="shared" si="47"/>
        <v>1680.6722689075632</v>
      </c>
      <c r="R112" s="212">
        <f t="shared" si="48"/>
        <v>319.32773109243703</v>
      </c>
      <c r="S112" s="212">
        <f t="shared" si="49"/>
        <v>2000.0000000000002</v>
      </c>
      <c r="T112" s="212">
        <f t="shared" si="50"/>
        <v>2000</v>
      </c>
      <c r="U112" s="212">
        <f t="shared" si="64"/>
        <v>2000.0000000000002</v>
      </c>
      <c r="V112" s="460" t="s">
        <v>452</v>
      </c>
      <c r="W112" s="213">
        <v>46070</v>
      </c>
      <c r="X112" s="214" t="s">
        <v>780</v>
      </c>
      <c r="Y112" s="215" t="s">
        <v>446</v>
      </c>
      <c r="Z112" s="216" t="s">
        <v>781</v>
      </c>
      <c r="AA112" s="217">
        <v>2400</v>
      </c>
      <c r="AB112" s="217" t="s">
        <v>443</v>
      </c>
      <c r="AC112" s="217" t="s">
        <v>444</v>
      </c>
      <c r="AD112" s="218">
        <f t="shared" si="65"/>
        <v>2016.8067226890757</v>
      </c>
      <c r="AE112" s="219">
        <f t="shared" si="51"/>
        <v>383.19327731092437</v>
      </c>
      <c r="AF112" s="219">
        <f t="shared" si="52"/>
        <v>2400</v>
      </c>
      <c r="AG112" s="219">
        <f t="shared" si="53"/>
        <v>2400</v>
      </c>
      <c r="AH112" s="219">
        <f t="shared" si="54"/>
        <v>2400</v>
      </c>
      <c r="AI112" s="461" t="s">
        <v>452</v>
      </c>
      <c r="AJ112" s="220">
        <v>46070</v>
      </c>
      <c r="AK112" s="221" t="s">
        <v>782</v>
      </c>
      <c r="AL112" s="222" t="s">
        <v>446</v>
      </c>
      <c r="AM112" s="223" t="s">
        <v>783</v>
      </c>
      <c r="AN112" s="224">
        <v>2800</v>
      </c>
      <c r="AO112" s="224" t="s">
        <v>443</v>
      </c>
      <c r="AP112" s="225" t="s">
        <v>444</v>
      </c>
      <c r="AQ112" s="226">
        <f t="shared" si="55"/>
        <v>2352.9411764705883</v>
      </c>
      <c r="AR112" s="227">
        <f t="shared" si="56"/>
        <v>447.05882352941177</v>
      </c>
      <c r="AS112" s="227">
        <f t="shared" si="57"/>
        <v>2800</v>
      </c>
      <c r="AT112" s="227">
        <f t="shared" si="58"/>
        <v>2800</v>
      </c>
      <c r="AU112" s="227">
        <f t="shared" si="59"/>
        <v>2800</v>
      </c>
      <c r="AV112" s="228">
        <f t="shared" si="60"/>
        <v>2400</v>
      </c>
      <c r="AW112" s="228">
        <f t="shared" si="61"/>
        <v>2400</v>
      </c>
      <c r="AX112" s="228">
        <f t="shared" si="66"/>
        <v>400</v>
      </c>
      <c r="AY112" s="229">
        <f t="shared" si="62"/>
        <v>0.16666666666666666</v>
      </c>
      <c r="AZ112" s="230"/>
      <c r="BA112" s="231">
        <f t="shared" si="63"/>
        <v>3</v>
      </c>
      <c r="BH112" s="231">
        <v>22</v>
      </c>
      <c r="BI112" s="232"/>
      <c r="BJ112" s="232"/>
      <c r="BK112" s="232"/>
      <c r="BL112" s="232"/>
      <c r="BM112" s="232"/>
      <c r="BN112" s="232"/>
      <c r="BO112" s="232"/>
      <c r="BP112" s="232"/>
      <c r="BQ112" s="232"/>
      <c r="BR112" s="232"/>
      <c r="BS112" s="232"/>
      <c r="BT112" s="232"/>
      <c r="BU112" s="232"/>
      <c r="BV112" s="232"/>
    </row>
    <row r="113" spans="1:74" s="231" customFormat="1" ht="78" hidden="1" customHeight="1" x14ac:dyDescent="0.25">
      <c r="A113" s="205" t="s">
        <v>438</v>
      </c>
      <c r="B113" s="205" t="s">
        <v>501</v>
      </c>
      <c r="C113" s="205">
        <v>14111519</v>
      </c>
      <c r="D113" s="205" t="s">
        <v>784</v>
      </c>
      <c r="E113" s="206" t="s">
        <v>785</v>
      </c>
      <c r="F113" s="458" t="s">
        <v>41</v>
      </c>
      <c r="G113" s="178">
        <v>1</v>
      </c>
      <c r="H113" s="458" t="s">
        <v>42</v>
      </c>
      <c r="I113" s="459" t="s">
        <v>452</v>
      </c>
      <c r="J113" s="207">
        <v>46070</v>
      </c>
      <c r="K113" s="208" t="s">
        <v>705</v>
      </c>
      <c r="L113" s="209" t="s">
        <v>446</v>
      </c>
      <c r="M113" s="207" t="s">
        <v>706</v>
      </c>
      <c r="N113" s="210">
        <v>7990</v>
      </c>
      <c r="O113" s="210" t="s">
        <v>450</v>
      </c>
      <c r="P113" s="210" t="s">
        <v>444</v>
      </c>
      <c r="Q113" s="211">
        <f t="shared" si="47"/>
        <v>7990</v>
      </c>
      <c r="R113" s="212">
        <f t="shared" si="48"/>
        <v>1518.1</v>
      </c>
      <c r="S113" s="212">
        <f t="shared" si="49"/>
        <v>9508.1</v>
      </c>
      <c r="T113" s="212">
        <f t="shared" si="50"/>
        <v>7990</v>
      </c>
      <c r="U113" s="212">
        <f t="shared" si="64"/>
        <v>9508.1</v>
      </c>
      <c r="V113" s="460" t="s">
        <v>452</v>
      </c>
      <c r="W113" s="213">
        <v>46070</v>
      </c>
      <c r="X113" s="214" t="s">
        <v>506</v>
      </c>
      <c r="Y113" s="215" t="s">
        <v>446</v>
      </c>
      <c r="Z113" s="216" t="s">
        <v>507</v>
      </c>
      <c r="AA113" s="217">
        <v>7774</v>
      </c>
      <c r="AB113" s="217" t="s">
        <v>450</v>
      </c>
      <c r="AC113" s="217" t="s">
        <v>444</v>
      </c>
      <c r="AD113" s="218">
        <f t="shared" si="65"/>
        <v>7774</v>
      </c>
      <c r="AE113" s="219">
        <f t="shared" si="51"/>
        <v>1477.06</v>
      </c>
      <c r="AF113" s="219">
        <f t="shared" si="52"/>
        <v>9251.06</v>
      </c>
      <c r="AG113" s="219">
        <f t="shared" si="53"/>
        <v>7774</v>
      </c>
      <c r="AH113" s="219">
        <f t="shared" si="54"/>
        <v>9251.06</v>
      </c>
      <c r="AI113" s="461" t="s">
        <v>452</v>
      </c>
      <c r="AJ113" s="220">
        <v>46070</v>
      </c>
      <c r="AK113" s="221" t="s">
        <v>786</v>
      </c>
      <c r="AL113" s="222" t="s">
        <v>446</v>
      </c>
      <c r="AM113" s="223" t="s">
        <v>787</v>
      </c>
      <c r="AN113" s="224">
        <v>11000</v>
      </c>
      <c r="AO113" s="224" t="s">
        <v>443</v>
      </c>
      <c r="AP113" s="225" t="s">
        <v>444</v>
      </c>
      <c r="AQ113" s="226">
        <f t="shared" si="55"/>
        <v>9243.6974789915967</v>
      </c>
      <c r="AR113" s="227">
        <f t="shared" si="56"/>
        <v>1756.3025210084033</v>
      </c>
      <c r="AS113" s="227">
        <f t="shared" si="57"/>
        <v>11000</v>
      </c>
      <c r="AT113" s="227">
        <f t="shared" si="58"/>
        <v>11000</v>
      </c>
      <c r="AU113" s="227">
        <f t="shared" si="59"/>
        <v>11000</v>
      </c>
      <c r="AV113" s="228">
        <f t="shared" si="60"/>
        <v>9919.7199999999993</v>
      </c>
      <c r="AW113" s="228">
        <f t="shared" si="61"/>
        <v>9919.7199999999993</v>
      </c>
      <c r="AX113" s="228">
        <f t="shared" si="66"/>
        <v>944.33630090132624</v>
      </c>
      <c r="AY113" s="229">
        <f t="shared" si="62"/>
        <v>9.5197878660015237E-2</v>
      </c>
      <c r="AZ113" s="230"/>
      <c r="BA113" s="231">
        <f t="shared" si="63"/>
        <v>3</v>
      </c>
      <c r="BH113" s="231">
        <v>23</v>
      </c>
      <c r="BI113" s="232"/>
      <c r="BJ113" s="232"/>
      <c r="BK113" s="232"/>
      <c r="BL113" s="232"/>
      <c r="BM113" s="232"/>
      <c r="BN113" s="232"/>
      <c r="BO113" s="232"/>
      <c r="BP113" s="232"/>
      <c r="BQ113" s="232"/>
      <c r="BR113" s="232"/>
      <c r="BS113" s="232"/>
      <c r="BT113" s="232"/>
      <c r="BU113" s="232"/>
      <c r="BV113" s="232"/>
    </row>
    <row r="114" spans="1:74" s="231" customFormat="1" ht="78" hidden="1" customHeight="1" x14ac:dyDescent="0.25">
      <c r="A114" s="205" t="s">
        <v>438</v>
      </c>
      <c r="B114" s="205" t="s">
        <v>501</v>
      </c>
      <c r="C114" s="205">
        <v>14111519</v>
      </c>
      <c r="D114" s="205" t="s">
        <v>788</v>
      </c>
      <c r="E114" s="206" t="s">
        <v>789</v>
      </c>
      <c r="F114" s="458" t="s">
        <v>41</v>
      </c>
      <c r="G114" s="178">
        <v>1</v>
      </c>
      <c r="H114" s="458" t="s">
        <v>42</v>
      </c>
      <c r="I114" s="459" t="s">
        <v>452</v>
      </c>
      <c r="J114" s="207">
        <v>46070</v>
      </c>
      <c r="K114" s="208" t="s">
        <v>665</v>
      </c>
      <c r="L114" s="209" t="s">
        <v>446</v>
      </c>
      <c r="M114" s="207" t="s">
        <v>728</v>
      </c>
      <c r="N114" s="210">
        <v>1200</v>
      </c>
      <c r="O114" s="210" t="s">
        <v>443</v>
      </c>
      <c r="P114" s="210" t="s">
        <v>444</v>
      </c>
      <c r="Q114" s="211">
        <f t="shared" si="47"/>
        <v>1008.4033613445379</v>
      </c>
      <c r="R114" s="212">
        <f t="shared" si="48"/>
        <v>191.59663865546219</v>
      </c>
      <c r="S114" s="212">
        <f t="shared" si="49"/>
        <v>1200</v>
      </c>
      <c r="T114" s="212">
        <f t="shared" si="50"/>
        <v>1200</v>
      </c>
      <c r="U114" s="212">
        <f t="shared" si="64"/>
        <v>1200</v>
      </c>
      <c r="V114" s="460" t="s">
        <v>452</v>
      </c>
      <c r="W114" s="213">
        <v>46070</v>
      </c>
      <c r="X114" s="214" t="s">
        <v>508</v>
      </c>
      <c r="Y114" s="215" t="s">
        <v>446</v>
      </c>
      <c r="Z114" s="216" t="s">
        <v>723</v>
      </c>
      <c r="AA114" s="217">
        <v>1500</v>
      </c>
      <c r="AB114" s="217" t="s">
        <v>443</v>
      </c>
      <c r="AC114" s="217" t="s">
        <v>444</v>
      </c>
      <c r="AD114" s="218">
        <f t="shared" si="65"/>
        <v>1260.5042016806724</v>
      </c>
      <c r="AE114" s="219">
        <f t="shared" si="51"/>
        <v>239.49579831932775</v>
      </c>
      <c r="AF114" s="219">
        <f t="shared" si="52"/>
        <v>1500.0000000000002</v>
      </c>
      <c r="AG114" s="219">
        <f t="shared" si="53"/>
        <v>1500</v>
      </c>
      <c r="AH114" s="219">
        <f t="shared" si="54"/>
        <v>1500.0000000000002</v>
      </c>
      <c r="AI114" s="461" t="s">
        <v>452</v>
      </c>
      <c r="AJ114" s="220">
        <v>46070</v>
      </c>
      <c r="AK114" s="221" t="s">
        <v>705</v>
      </c>
      <c r="AL114" s="222" t="s">
        <v>446</v>
      </c>
      <c r="AM114" s="223" t="s">
        <v>706</v>
      </c>
      <c r="AN114" s="224">
        <v>1050</v>
      </c>
      <c r="AO114" s="224" t="s">
        <v>450</v>
      </c>
      <c r="AP114" s="225" t="s">
        <v>444</v>
      </c>
      <c r="AQ114" s="226">
        <f t="shared" si="55"/>
        <v>1050</v>
      </c>
      <c r="AR114" s="227">
        <f t="shared" si="56"/>
        <v>199.5</v>
      </c>
      <c r="AS114" s="227">
        <f t="shared" si="57"/>
        <v>1249.5</v>
      </c>
      <c r="AT114" s="227">
        <f t="shared" si="58"/>
        <v>1050</v>
      </c>
      <c r="AU114" s="227">
        <f t="shared" si="59"/>
        <v>1249.5</v>
      </c>
      <c r="AV114" s="228">
        <f t="shared" si="60"/>
        <v>1316.5</v>
      </c>
      <c r="AW114" s="228">
        <f t="shared" si="61"/>
        <v>1316.5</v>
      </c>
      <c r="AX114" s="228">
        <f t="shared" si="66"/>
        <v>160.83143349482413</v>
      </c>
      <c r="AY114" s="229">
        <f t="shared" si="62"/>
        <v>0.12216591985934229</v>
      </c>
      <c r="AZ114" s="230"/>
      <c r="BA114" s="231">
        <f t="shared" si="63"/>
        <v>3</v>
      </c>
      <c r="BH114" s="231">
        <v>24</v>
      </c>
      <c r="BI114" s="232"/>
      <c r="BJ114" s="232"/>
      <c r="BK114" s="232"/>
      <c r="BL114" s="232"/>
      <c r="BM114" s="232"/>
      <c r="BN114" s="232"/>
      <c r="BO114" s="232"/>
      <c r="BP114" s="232"/>
      <c r="BQ114" s="232"/>
      <c r="BR114" s="232"/>
      <c r="BS114" s="232"/>
      <c r="BT114" s="232"/>
      <c r="BU114" s="232"/>
      <c r="BV114" s="232"/>
    </row>
    <row r="115" spans="1:74" s="232" customFormat="1" ht="78" hidden="1" customHeight="1" x14ac:dyDescent="0.25">
      <c r="A115" s="205" t="s">
        <v>438</v>
      </c>
      <c r="B115" s="205" t="s">
        <v>501</v>
      </c>
      <c r="C115" s="205">
        <v>14111519</v>
      </c>
      <c r="D115" s="205" t="s">
        <v>373</v>
      </c>
      <c r="E115" s="206" t="s">
        <v>374</v>
      </c>
      <c r="F115" s="458" t="s">
        <v>41</v>
      </c>
      <c r="G115" s="178">
        <v>1</v>
      </c>
      <c r="H115" s="458" t="s">
        <v>42</v>
      </c>
      <c r="I115" s="459" t="s">
        <v>452</v>
      </c>
      <c r="J115" s="207">
        <v>46071</v>
      </c>
      <c r="K115" s="208" t="s">
        <v>508</v>
      </c>
      <c r="L115" s="209" t="s">
        <v>446</v>
      </c>
      <c r="M115" s="207" t="s">
        <v>731</v>
      </c>
      <c r="N115" s="210">
        <v>2000</v>
      </c>
      <c r="O115" s="210" t="s">
        <v>443</v>
      </c>
      <c r="P115" s="210" t="s">
        <v>444</v>
      </c>
      <c r="Q115" s="211">
        <f t="shared" si="47"/>
        <v>1680.6722689075632</v>
      </c>
      <c r="R115" s="212">
        <f t="shared" si="48"/>
        <v>319.32773109243703</v>
      </c>
      <c r="S115" s="212">
        <f t="shared" si="49"/>
        <v>2000.0000000000002</v>
      </c>
      <c r="T115" s="212">
        <f t="shared" si="50"/>
        <v>2000</v>
      </c>
      <c r="U115" s="212">
        <f t="shared" si="64"/>
        <v>2000.0000000000002</v>
      </c>
      <c r="V115" s="460" t="s">
        <v>440</v>
      </c>
      <c r="W115" s="213">
        <v>46139</v>
      </c>
      <c r="X115" s="214" t="s">
        <v>707</v>
      </c>
      <c r="Y115" s="215" t="s">
        <v>446</v>
      </c>
      <c r="Z115" s="216" t="s">
        <v>790</v>
      </c>
      <c r="AA115" s="217">
        <v>1681</v>
      </c>
      <c r="AB115" s="217" t="s">
        <v>450</v>
      </c>
      <c r="AC115" s="217" t="s">
        <v>444</v>
      </c>
      <c r="AD115" s="218">
        <f t="shared" si="65"/>
        <v>1681</v>
      </c>
      <c r="AE115" s="219">
        <f t="shared" si="51"/>
        <v>319.39</v>
      </c>
      <c r="AF115" s="219">
        <f t="shared" si="52"/>
        <v>2000.3899999999999</v>
      </c>
      <c r="AG115" s="219">
        <f t="shared" si="53"/>
        <v>1681</v>
      </c>
      <c r="AH115" s="219">
        <f t="shared" si="54"/>
        <v>2000.3899999999999</v>
      </c>
      <c r="AI115" s="461" t="s">
        <v>440</v>
      </c>
      <c r="AJ115" s="220">
        <v>46139</v>
      </c>
      <c r="AK115" s="221" t="s">
        <v>705</v>
      </c>
      <c r="AL115" s="222" t="s">
        <v>446</v>
      </c>
      <c r="AM115" s="223" t="s">
        <v>706</v>
      </c>
      <c r="AN115" s="224">
        <v>1694</v>
      </c>
      <c r="AO115" s="224" t="s">
        <v>450</v>
      </c>
      <c r="AP115" s="225" t="s">
        <v>444</v>
      </c>
      <c r="AQ115" s="226">
        <f t="shared" si="55"/>
        <v>1694</v>
      </c>
      <c r="AR115" s="227">
        <f t="shared" si="56"/>
        <v>321.86</v>
      </c>
      <c r="AS115" s="227">
        <f t="shared" si="57"/>
        <v>2015.8600000000001</v>
      </c>
      <c r="AT115" s="227">
        <f t="shared" si="58"/>
        <v>1694</v>
      </c>
      <c r="AU115" s="227">
        <f t="shared" si="59"/>
        <v>2015.8600000000001</v>
      </c>
      <c r="AV115" s="228">
        <f t="shared" si="60"/>
        <v>2005.4166666666667</v>
      </c>
      <c r="AW115" s="228">
        <f t="shared" si="61"/>
        <v>2005.4166666666667</v>
      </c>
      <c r="AX115" s="228">
        <f t="shared" si="66"/>
        <v>9.0462939004508396</v>
      </c>
      <c r="AY115" s="229">
        <f t="shared" si="62"/>
        <v>4.5109298485522574E-3</v>
      </c>
      <c r="AZ115" s="230"/>
      <c r="BA115" s="231">
        <f t="shared" si="63"/>
        <v>3</v>
      </c>
      <c r="BB115" s="231"/>
      <c r="BC115" s="231"/>
      <c r="BD115" s="231"/>
      <c r="BE115" s="231"/>
      <c r="BF115" s="231"/>
      <c r="BG115" s="231"/>
      <c r="BH115" s="231">
        <v>25</v>
      </c>
    </row>
    <row r="116" spans="1:74" s="232" customFormat="1" ht="78" hidden="1" customHeight="1" x14ac:dyDescent="0.25">
      <c r="A116" s="205" t="s">
        <v>438</v>
      </c>
      <c r="B116" s="205" t="s">
        <v>501</v>
      </c>
      <c r="C116" s="205">
        <v>14111519</v>
      </c>
      <c r="D116" s="205" t="s">
        <v>122</v>
      </c>
      <c r="E116" s="206" t="s">
        <v>123</v>
      </c>
      <c r="F116" s="458" t="s">
        <v>41</v>
      </c>
      <c r="G116" s="178">
        <v>1</v>
      </c>
      <c r="H116" s="458" t="s">
        <v>42</v>
      </c>
      <c r="I116" s="459" t="s">
        <v>452</v>
      </c>
      <c r="J116" s="207">
        <v>46071</v>
      </c>
      <c r="K116" s="208" t="s">
        <v>705</v>
      </c>
      <c r="L116" s="209" t="s">
        <v>446</v>
      </c>
      <c r="M116" s="207" t="s">
        <v>706</v>
      </c>
      <c r="N116" s="210">
        <v>13043</v>
      </c>
      <c r="O116" s="210" t="s">
        <v>450</v>
      </c>
      <c r="P116" s="210" t="s">
        <v>444</v>
      </c>
      <c r="Q116" s="211">
        <f t="shared" si="47"/>
        <v>13043</v>
      </c>
      <c r="R116" s="212">
        <f t="shared" si="48"/>
        <v>2478.17</v>
      </c>
      <c r="S116" s="212">
        <f t="shared" si="49"/>
        <v>15521.17</v>
      </c>
      <c r="T116" s="212">
        <f t="shared" si="50"/>
        <v>13043</v>
      </c>
      <c r="U116" s="212">
        <f t="shared" si="64"/>
        <v>15521.17</v>
      </c>
      <c r="V116" s="460" t="s">
        <v>452</v>
      </c>
      <c r="W116" s="213">
        <v>46071</v>
      </c>
      <c r="X116" s="214" t="s">
        <v>791</v>
      </c>
      <c r="Y116" s="215" t="s">
        <v>446</v>
      </c>
      <c r="Z116" s="216" t="s">
        <v>792</v>
      </c>
      <c r="AA116" s="217">
        <v>16700</v>
      </c>
      <c r="AB116" s="217" t="s">
        <v>443</v>
      </c>
      <c r="AC116" s="217" t="s">
        <v>444</v>
      </c>
      <c r="AD116" s="218">
        <f t="shared" si="65"/>
        <v>14033.613445378152</v>
      </c>
      <c r="AE116" s="219">
        <f t="shared" si="51"/>
        <v>2666.386554621849</v>
      </c>
      <c r="AF116" s="219">
        <f t="shared" si="52"/>
        <v>16700</v>
      </c>
      <c r="AG116" s="219">
        <f t="shared" si="53"/>
        <v>16700</v>
      </c>
      <c r="AH116" s="219">
        <f t="shared" si="54"/>
        <v>16700</v>
      </c>
      <c r="AI116" s="461" t="s">
        <v>452</v>
      </c>
      <c r="AJ116" s="220">
        <v>46071</v>
      </c>
      <c r="AK116" s="221" t="s">
        <v>793</v>
      </c>
      <c r="AL116" s="222" t="s">
        <v>446</v>
      </c>
      <c r="AM116" s="223" t="s">
        <v>490</v>
      </c>
      <c r="AN116" s="224">
        <v>14390</v>
      </c>
      <c r="AO116" s="224" t="s">
        <v>443</v>
      </c>
      <c r="AP116" s="225" t="s">
        <v>444</v>
      </c>
      <c r="AQ116" s="226">
        <f t="shared" si="55"/>
        <v>12092.436974789916</v>
      </c>
      <c r="AR116" s="227">
        <f t="shared" si="56"/>
        <v>2297.5630252100841</v>
      </c>
      <c r="AS116" s="227">
        <f t="shared" si="57"/>
        <v>14390</v>
      </c>
      <c r="AT116" s="227">
        <f t="shared" si="58"/>
        <v>14390</v>
      </c>
      <c r="AU116" s="227">
        <f t="shared" si="59"/>
        <v>14390</v>
      </c>
      <c r="AV116" s="228">
        <f t="shared" si="60"/>
        <v>15537.056666666665</v>
      </c>
      <c r="AW116" s="228">
        <f t="shared" si="61"/>
        <v>15537.056666666665</v>
      </c>
      <c r="AX116" s="228">
        <f t="shared" si="66"/>
        <v>1155.0819406576024</v>
      </c>
      <c r="AY116" s="229">
        <f t="shared" si="62"/>
        <v>7.4343678177844652E-2</v>
      </c>
      <c r="AZ116" s="230"/>
      <c r="BA116" s="231">
        <f t="shared" si="63"/>
        <v>3</v>
      </c>
      <c r="BB116" s="231"/>
      <c r="BC116" s="231"/>
      <c r="BD116" s="231"/>
      <c r="BE116" s="231"/>
      <c r="BF116" s="231"/>
      <c r="BG116" s="231"/>
      <c r="BH116" s="231">
        <v>26</v>
      </c>
    </row>
    <row r="117" spans="1:74" s="231" customFormat="1" ht="78" hidden="1" customHeight="1" x14ac:dyDescent="0.25">
      <c r="A117" s="205" t="s">
        <v>438</v>
      </c>
      <c r="B117" s="205" t="s">
        <v>439</v>
      </c>
      <c r="C117" s="205">
        <v>60101606</v>
      </c>
      <c r="D117" s="205" t="s">
        <v>81</v>
      </c>
      <c r="E117" s="206" t="s">
        <v>794</v>
      </c>
      <c r="F117" s="458" t="s">
        <v>41</v>
      </c>
      <c r="G117" s="178">
        <v>1</v>
      </c>
      <c r="H117" s="458" t="s">
        <v>42</v>
      </c>
      <c r="I117" s="459" t="s">
        <v>440</v>
      </c>
      <c r="J117" s="207">
        <v>46146</v>
      </c>
      <c r="K117" s="208" t="s">
        <v>795</v>
      </c>
      <c r="L117" s="209" t="s">
        <v>441</v>
      </c>
      <c r="M117" s="207" t="s">
        <v>55</v>
      </c>
      <c r="N117" s="210">
        <v>2200</v>
      </c>
      <c r="O117" s="210" t="s">
        <v>450</v>
      </c>
      <c r="P117" s="210" t="s">
        <v>444</v>
      </c>
      <c r="Q117" s="211">
        <f t="shared" si="47"/>
        <v>2200</v>
      </c>
      <c r="R117" s="212">
        <f t="shared" si="48"/>
        <v>418</v>
      </c>
      <c r="S117" s="212">
        <f t="shared" si="49"/>
        <v>2618</v>
      </c>
      <c r="T117" s="212">
        <f t="shared" si="50"/>
        <v>2200</v>
      </c>
      <c r="U117" s="212">
        <f t="shared" si="64"/>
        <v>2618</v>
      </c>
      <c r="V117" s="460" t="s">
        <v>440</v>
      </c>
      <c r="W117" s="213">
        <v>46146</v>
      </c>
      <c r="X117" s="214" t="s">
        <v>460</v>
      </c>
      <c r="Y117" s="215" t="s">
        <v>441</v>
      </c>
      <c r="Z117" s="216" t="s">
        <v>457</v>
      </c>
      <c r="AA117" s="217">
        <v>3200</v>
      </c>
      <c r="AB117" s="217" t="s">
        <v>443</v>
      </c>
      <c r="AC117" s="217" t="s">
        <v>444</v>
      </c>
      <c r="AD117" s="218">
        <f t="shared" si="65"/>
        <v>2689.0756302521008</v>
      </c>
      <c r="AE117" s="219">
        <f t="shared" si="51"/>
        <v>510.92436974789916</v>
      </c>
      <c r="AF117" s="219">
        <f t="shared" si="52"/>
        <v>3200</v>
      </c>
      <c r="AG117" s="219">
        <f t="shared" si="53"/>
        <v>3200</v>
      </c>
      <c r="AH117" s="219">
        <f t="shared" si="54"/>
        <v>3200</v>
      </c>
      <c r="AI117" s="461" t="s">
        <v>440</v>
      </c>
      <c r="AJ117" s="220">
        <v>46146</v>
      </c>
      <c r="AK117" s="221" t="s">
        <v>796</v>
      </c>
      <c r="AL117" s="222" t="s">
        <v>446</v>
      </c>
      <c r="AM117" s="223" t="s">
        <v>84</v>
      </c>
      <c r="AN117" s="224">
        <v>3800</v>
      </c>
      <c r="AO117" s="224" t="s">
        <v>450</v>
      </c>
      <c r="AP117" s="225" t="s">
        <v>468</v>
      </c>
      <c r="AQ117" s="226">
        <f t="shared" si="55"/>
        <v>3800</v>
      </c>
      <c r="AR117" s="227">
        <f t="shared" si="56"/>
        <v>0</v>
      </c>
      <c r="AS117" s="227">
        <f t="shared" si="57"/>
        <v>3800</v>
      </c>
      <c r="AT117" s="227">
        <f t="shared" si="58"/>
        <v>3800</v>
      </c>
      <c r="AU117" s="227">
        <f t="shared" si="59"/>
        <v>3800</v>
      </c>
      <c r="AV117" s="228">
        <f t="shared" si="60"/>
        <v>3206</v>
      </c>
      <c r="AW117" s="228">
        <f t="shared" si="61"/>
        <v>3206</v>
      </c>
      <c r="AX117" s="228">
        <f t="shared" si="66"/>
        <v>591.0228421981675</v>
      </c>
      <c r="AY117" s="229">
        <f t="shared" si="62"/>
        <v>0.18434898384222317</v>
      </c>
      <c r="AZ117" s="230"/>
      <c r="BA117" s="231">
        <f t="shared" si="63"/>
        <v>3</v>
      </c>
      <c r="BH117" s="231">
        <v>83</v>
      </c>
      <c r="BI117" s="232"/>
      <c r="BJ117" s="232"/>
      <c r="BK117" s="232"/>
      <c r="BL117" s="232"/>
      <c r="BM117" s="232"/>
      <c r="BN117" s="232"/>
      <c r="BO117" s="232"/>
      <c r="BP117" s="232"/>
      <c r="BQ117" s="232"/>
      <c r="BR117" s="232"/>
      <c r="BS117" s="232"/>
      <c r="BT117" s="232"/>
      <c r="BU117" s="232"/>
      <c r="BV117" s="232"/>
    </row>
    <row r="118" spans="1:74" s="231" customFormat="1" ht="78" hidden="1" customHeight="1" x14ac:dyDescent="0.25">
      <c r="A118" s="205" t="s">
        <v>438</v>
      </c>
      <c r="B118" s="205" t="s">
        <v>501</v>
      </c>
      <c r="C118" s="205"/>
      <c r="D118" s="205" t="s">
        <v>797</v>
      </c>
      <c r="E118" s="206" t="s">
        <v>798</v>
      </c>
      <c r="F118" s="458" t="s">
        <v>41</v>
      </c>
      <c r="G118" s="178">
        <v>1</v>
      </c>
      <c r="H118" s="458" t="s">
        <v>42</v>
      </c>
      <c r="I118" s="459" t="s">
        <v>452</v>
      </c>
      <c r="J118" s="207">
        <v>46071</v>
      </c>
      <c r="K118" s="208" t="s">
        <v>705</v>
      </c>
      <c r="L118" s="209" t="s">
        <v>446</v>
      </c>
      <c r="M118" s="207" t="s">
        <v>706</v>
      </c>
      <c r="N118" s="210">
        <v>4547</v>
      </c>
      <c r="O118" s="210" t="s">
        <v>450</v>
      </c>
      <c r="P118" s="210" t="s">
        <v>444</v>
      </c>
      <c r="Q118" s="211">
        <f t="shared" si="47"/>
        <v>4547</v>
      </c>
      <c r="R118" s="212">
        <f t="shared" si="48"/>
        <v>863.93000000000006</v>
      </c>
      <c r="S118" s="212">
        <f t="shared" si="49"/>
        <v>5410.93</v>
      </c>
      <c r="T118" s="212">
        <f t="shared" si="50"/>
        <v>4547</v>
      </c>
      <c r="U118" s="212">
        <f t="shared" si="64"/>
        <v>5410.93</v>
      </c>
      <c r="V118" s="460" t="s">
        <v>452</v>
      </c>
      <c r="W118" s="213">
        <v>46071</v>
      </c>
      <c r="X118" s="214" t="s">
        <v>508</v>
      </c>
      <c r="Y118" s="215" t="s">
        <v>446</v>
      </c>
      <c r="Z118" s="216" t="s">
        <v>723</v>
      </c>
      <c r="AA118" s="217">
        <v>6500</v>
      </c>
      <c r="AB118" s="217" t="s">
        <v>443</v>
      </c>
      <c r="AC118" s="217" t="s">
        <v>444</v>
      </c>
      <c r="AD118" s="218">
        <f t="shared" si="65"/>
        <v>5462.1848739495799</v>
      </c>
      <c r="AE118" s="219">
        <f t="shared" si="51"/>
        <v>1037.8151260504203</v>
      </c>
      <c r="AF118" s="219">
        <f t="shared" si="52"/>
        <v>6500</v>
      </c>
      <c r="AG118" s="219">
        <f t="shared" si="53"/>
        <v>6500</v>
      </c>
      <c r="AH118" s="219">
        <f t="shared" si="54"/>
        <v>6500</v>
      </c>
      <c r="AI118" s="461" t="s">
        <v>452</v>
      </c>
      <c r="AJ118" s="220">
        <v>46071</v>
      </c>
      <c r="AK118" s="221" t="s">
        <v>506</v>
      </c>
      <c r="AL118" s="222" t="s">
        <v>446</v>
      </c>
      <c r="AM118" s="223" t="s">
        <v>507</v>
      </c>
      <c r="AN118" s="224">
        <v>5850</v>
      </c>
      <c r="AO118" s="224" t="s">
        <v>450</v>
      </c>
      <c r="AP118" s="225" t="s">
        <v>444</v>
      </c>
      <c r="AQ118" s="226">
        <f t="shared" si="55"/>
        <v>5850</v>
      </c>
      <c r="AR118" s="227">
        <f t="shared" si="56"/>
        <v>1111.5</v>
      </c>
      <c r="AS118" s="227">
        <f t="shared" si="57"/>
        <v>6961.5</v>
      </c>
      <c r="AT118" s="227">
        <f t="shared" si="58"/>
        <v>5850</v>
      </c>
      <c r="AU118" s="227">
        <f t="shared" si="59"/>
        <v>6961.5</v>
      </c>
      <c r="AV118" s="228">
        <f t="shared" si="60"/>
        <v>6290.81</v>
      </c>
      <c r="AW118" s="228">
        <f t="shared" si="61"/>
        <v>6290.81</v>
      </c>
      <c r="AX118" s="228">
        <f t="shared" si="66"/>
        <v>796.17031676645547</v>
      </c>
      <c r="AY118" s="229">
        <f t="shared" si="62"/>
        <v>0.12656085889837007</v>
      </c>
      <c r="AZ118" s="230"/>
      <c r="BA118" s="231">
        <f t="shared" si="63"/>
        <v>3</v>
      </c>
      <c r="BH118" s="231">
        <v>27</v>
      </c>
      <c r="BI118" s="232"/>
      <c r="BJ118" s="232"/>
      <c r="BK118" s="232"/>
      <c r="BL118" s="232"/>
      <c r="BM118" s="232"/>
      <c r="BN118" s="232"/>
      <c r="BO118" s="232"/>
      <c r="BP118" s="232"/>
      <c r="BQ118" s="232"/>
      <c r="BR118" s="232"/>
      <c r="BS118" s="232"/>
      <c r="BT118" s="232"/>
      <c r="BU118" s="232"/>
      <c r="BV118" s="232"/>
    </row>
    <row r="119" spans="1:74" s="231" customFormat="1" ht="78" hidden="1" customHeight="1" x14ac:dyDescent="0.25">
      <c r="A119" s="205" t="s">
        <v>438</v>
      </c>
      <c r="B119" s="205" t="s">
        <v>501</v>
      </c>
      <c r="C119" s="205">
        <v>31201512</v>
      </c>
      <c r="D119" s="205" t="s">
        <v>377</v>
      </c>
      <c r="E119" s="206" t="s">
        <v>378</v>
      </c>
      <c r="F119" s="458" t="s">
        <v>41</v>
      </c>
      <c r="G119" s="178">
        <v>1</v>
      </c>
      <c r="H119" s="458" t="s">
        <v>42</v>
      </c>
      <c r="I119" s="459" t="s">
        <v>452</v>
      </c>
      <c r="J119" s="207">
        <v>46071</v>
      </c>
      <c r="K119" s="208" t="s">
        <v>667</v>
      </c>
      <c r="L119" s="209" t="s">
        <v>446</v>
      </c>
      <c r="M119" s="207" t="s">
        <v>699</v>
      </c>
      <c r="N119" s="210">
        <v>6000</v>
      </c>
      <c r="O119" s="210" t="s">
        <v>443</v>
      </c>
      <c r="P119" s="210" t="s">
        <v>444</v>
      </c>
      <c r="Q119" s="211">
        <f t="shared" si="47"/>
        <v>5042.0168067226896</v>
      </c>
      <c r="R119" s="212">
        <f t="shared" si="48"/>
        <v>957.98319327731099</v>
      </c>
      <c r="S119" s="212">
        <f t="shared" si="49"/>
        <v>6000.0000000000009</v>
      </c>
      <c r="T119" s="212">
        <f t="shared" si="50"/>
        <v>6000</v>
      </c>
      <c r="U119" s="212">
        <f t="shared" si="64"/>
        <v>6000.0000000000009</v>
      </c>
      <c r="V119" s="460" t="s">
        <v>452</v>
      </c>
      <c r="W119" s="213">
        <v>46071</v>
      </c>
      <c r="X119" s="214" t="s">
        <v>508</v>
      </c>
      <c r="Y119" s="215" t="s">
        <v>446</v>
      </c>
      <c r="Z119" s="216" t="s">
        <v>723</v>
      </c>
      <c r="AA119" s="217">
        <v>7100</v>
      </c>
      <c r="AB119" s="217" t="s">
        <v>443</v>
      </c>
      <c r="AC119" s="217" t="s">
        <v>444</v>
      </c>
      <c r="AD119" s="218">
        <f t="shared" si="65"/>
        <v>5966.3865546218494</v>
      </c>
      <c r="AE119" s="219">
        <f t="shared" si="51"/>
        <v>1133.6134453781515</v>
      </c>
      <c r="AF119" s="219">
        <f t="shared" si="52"/>
        <v>7100.0000000000009</v>
      </c>
      <c r="AG119" s="219">
        <f t="shared" si="53"/>
        <v>7100</v>
      </c>
      <c r="AH119" s="219">
        <f t="shared" si="54"/>
        <v>7100.0000000000009</v>
      </c>
      <c r="AI119" s="461" t="s">
        <v>452</v>
      </c>
      <c r="AJ119" s="220">
        <v>46071</v>
      </c>
      <c r="AK119" s="221" t="s">
        <v>724</v>
      </c>
      <c r="AL119" s="222" t="s">
        <v>446</v>
      </c>
      <c r="AM119" s="223" t="s">
        <v>736</v>
      </c>
      <c r="AN119" s="224">
        <v>6500</v>
      </c>
      <c r="AO119" s="224" t="s">
        <v>443</v>
      </c>
      <c r="AP119" s="225" t="s">
        <v>444</v>
      </c>
      <c r="AQ119" s="226">
        <f t="shared" si="55"/>
        <v>5462.1848739495799</v>
      </c>
      <c r="AR119" s="227">
        <f t="shared" si="56"/>
        <v>1037.8151260504203</v>
      </c>
      <c r="AS119" s="227">
        <f t="shared" si="57"/>
        <v>6500</v>
      </c>
      <c r="AT119" s="227">
        <f t="shared" si="58"/>
        <v>6500</v>
      </c>
      <c r="AU119" s="227">
        <f t="shared" si="59"/>
        <v>6500</v>
      </c>
      <c r="AV119" s="228">
        <f t="shared" si="60"/>
        <v>6533.333333333333</v>
      </c>
      <c r="AW119" s="228">
        <f t="shared" si="61"/>
        <v>6533.333333333333</v>
      </c>
      <c r="AX119" s="228">
        <f t="shared" si="66"/>
        <v>550.75705472861023</v>
      </c>
      <c r="AY119" s="229">
        <f t="shared" si="62"/>
        <v>8.4299549193154633E-2</v>
      </c>
      <c r="AZ119" s="230"/>
      <c r="BA119" s="231">
        <f t="shared" si="63"/>
        <v>3</v>
      </c>
      <c r="BH119" s="231">
        <v>28</v>
      </c>
      <c r="BI119" s="232"/>
      <c r="BJ119" s="232"/>
      <c r="BK119" s="232"/>
      <c r="BL119" s="232"/>
      <c r="BM119" s="232"/>
      <c r="BN119" s="232"/>
      <c r="BO119" s="232"/>
      <c r="BP119" s="232"/>
      <c r="BQ119" s="232"/>
      <c r="BR119" s="232"/>
      <c r="BS119" s="232"/>
      <c r="BT119" s="232"/>
      <c r="BU119" s="232"/>
      <c r="BV119" s="232"/>
    </row>
    <row r="120" spans="1:74" s="231" customFormat="1" ht="78" hidden="1" customHeight="1" x14ac:dyDescent="0.25">
      <c r="A120" s="205" t="s">
        <v>496</v>
      </c>
      <c r="B120" s="205" t="s">
        <v>496</v>
      </c>
      <c r="C120" s="205" t="s">
        <v>496</v>
      </c>
      <c r="D120" s="205" t="s">
        <v>799</v>
      </c>
      <c r="E120" s="206" t="s">
        <v>800</v>
      </c>
      <c r="F120" s="458" t="s">
        <v>499</v>
      </c>
      <c r="G120" s="178">
        <v>1</v>
      </c>
      <c r="H120" s="458"/>
      <c r="I120" s="459" t="s">
        <v>496</v>
      </c>
      <c r="J120" s="207" t="s">
        <v>496</v>
      </c>
      <c r="K120" s="208" t="s">
        <v>496</v>
      </c>
      <c r="L120" s="209" t="s">
        <v>496</v>
      </c>
      <c r="M120" s="207" t="s">
        <v>496</v>
      </c>
      <c r="N120" s="210"/>
      <c r="O120" s="210"/>
      <c r="P120" s="210"/>
      <c r="Q120" s="211" t="s">
        <v>500</v>
      </c>
      <c r="R120" s="212" t="s">
        <v>500</v>
      </c>
      <c r="S120" s="212" t="s">
        <v>500</v>
      </c>
      <c r="T120" s="212" t="s">
        <v>500</v>
      </c>
      <c r="U120" s="212" t="s">
        <v>500</v>
      </c>
      <c r="V120" s="460" t="s">
        <v>496</v>
      </c>
      <c r="W120" s="213" t="s">
        <v>496</v>
      </c>
      <c r="X120" s="214" t="s">
        <v>496</v>
      </c>
      <c r="Y120" s="215" t="s">
        <v>496</v>
      </c>
      <c r="Z120" s="216" t="s">
        <v>165</v>
      </c>
      <c r="AA120" s="217" t="s">
        <v>496</v>
      </c>
      <c r="AB120" s="217" t="s">
        <v>496</v>
      </c>
      <c r="AC120" s="217" t="s">
        <v>496</v>
      </c>
      <c r="AD120" s="218" t="s">
        <v>496</v>
      </c>
      <c r="AE120" s="219" t="s">
        <v>496</v>
      </c>
      <c r="AF120" s="219">
        <v>4030114</v>
      </c>
      <c r="AG120" s="219">
        <v>5.5599999999999997E-2</v>
      </c>
      <c r="AH120" s="219">
        <v>4254188</v>
      </c>
      <c r="AI120" s="461" t="s">
        <v>496</v>
      </c>
      <c r="AJ120" s="220" t="s">
        <v>496</v>
      </c>
      <c r="AK120" s="221" t="s">
        <v>496</v>
      </c>
      <c r="AL120" s="222" t="s">
        <v>496</v>
      </c>
      <c r="AM120" s="223" t="s">
        <v>166</v>
      </c>
      <c r="AN120" s="224" t="s">
        <v>496</v>
      </c>
      <c r="AO120" s="224" t="s">
        <v>496</v>
      </c>
      <c r="AP120" s="225" t="s">
        <v>496</v>
      </c>
      <c r="AQ120" s="226">
        <v>3454383</v>
      </c>
      <c r="AR120" s="227">
        <v>656333</v>
      </c>
      <c r="AS120" s="227">
        <v>4110716</v>
      </c>
      <c r="AT120" s="227">
        <v>3454383</v>
      </c>
      <c r="AU120" s="227">
        <v>4110716</v>
      </c>
      <c r="AV120" s="228">
        <v>4182452</v>
      </c>
      <c r="AW120" s="228">
        <v>4182452</v>
      </c>
      <c r="AX120" s="228">
        <v>101450.05</v>
      </c>
      <c r="AY120" s="229">
        <v>2.4299999999999999E-2</v>
      </c>
      <c r="AZ120" s="230"/>
      <c r="BI120" s="232"/>
      <c r="BJ120" s="232"/>
      <c r="BK120" s="232"/>
      <c r="BL120" s="232"/>
      <c r="BM120" s="232"/>
      <c r="BN120" s="232"/>
      <c r="BO120" s="232"/>
      <c r="BP120" s="232"/>
      <c r="BQ120" s="232"/>
      <c r="BR120" s="232"/>
      <c r="BS120" s="232"/>
      <c r="BT120" s="232"/>
      <c r="BU120" s="232"/>
      <c r="BV120" s="232"/>
    </row>
    <row r="121" spans="1:74" s="231" customFormat="1" ht="78" hidden="1" customHeight="1" x14ac:dyDescent="0.25">
      <c r="A121" s="205" t="s">
        <v>496</v>
      </c>
      <c r="B121" s="205" t="s">
        <v>496</v>
      </c>
      <c r="C121" s="205" t="s">
        <v>496</v>
      </c>
      <c r="D121" s="205" t="s">
        <v>801</v>
      </c>
      <c r="E121" s="206" t="s">
        <v>802</v>
      </c>
      <c r="F121" s="458" t="s">
        <v>499</v>
      </c>
      <c r="G121" s="178">
        <v>1</v>
      </c>
      <c r="H121" s="458"/>
      <c r="I121" s="459" t="s">
        <v>496</v>
      </c>
      <c r="J121" s="207" t="s">
        <v>496</v>
      </c>
      <c r="K121" s="208" t="s">
        <v>496</v>
      </c>
      <c r="L121" s="209" t="s">
        <v>496</v>
      </c>
      <c r="M121" s="207" t="s">
        <v>496</v>
      </c>
      <c r="N121" s="210"/>
      <c r="O121" s="210"/>
      <c r="P121" s="210"/>
      <c r="Q121" s="211" t="s">
        <v>500</v>
      </c>
      <c r="R121" s="212" t="s">
        <v>500</v>
      </c>
      <c r="S121" s="212" t="s">
        <v>500</v>
      </c>
      <c r="T121" s="212" t="s">
        <v>500</v>
      </c>
      <c r="U121" s="212" t="s">
        <v>500</v>
      </c>
      <c r="V121" s="460" t="s">
        <v>496</v>
      </c>
      <c r="W121" s="213" t="s">
        <v>496</v>
      </c>
      <c r="X121" s="214" t="s">
        <v>496</v>
      </c>
      <c r="Y121" s="215" t="s">
        <v>496</v>
      </c>
      <c r="Z121" s="216" t="s">
        <v>165</v>
      </c>
      <c r="AA121" s="217" t="s">
        <v>496</v>
      </c>
      <c r="AB121" s="217" t="s">
        <v>496</v>
      </c>
      <c r="AC121" s="217" t="s">
        <v>496</v>
      </c>
      <c r="AD121" s="218" t="s">
        <v>496</v>
      </c>
      <c r="AE121" s="219" t="s">
        <v>496</v>
      </c>
      <c r="AF121" s="219">
        <v>4692675</v>
      </c>
      <c r="AG121" s="219">
        <v>5.5599999999999997E-2</v>
      </c>
      <c r="AH121" s="219">
        <v>4953588</v>
      </c>
      <c r="AI121" s="461" t="s">
        <v>496</v>
      </c>
      <c r="AJ121" s="220" t="s">
        <v>496</v>
      </c>
      <c r="AK121" s="221" t="s">
        <v>496</v>
      </c>
      <c r="AL121" s="222" t="s">
        <v>496</v>
      </c>
      <c r="AM121" s="223" t="s">
        <v>166</v>
      </c>
      <c r="AN121" s="224" t="s">
        <v>496</v>
      </c>
      <c r="AO121" s="224" t="s">
        <v>496</v>
      </c>
      <c r="AP121" s="225" t="s">
        <v>496</v>
      </c>
      <c r="AQ121" s="226">
        <v>4022293</v>
      </c>
      <c r="AR121" s="227">
        <v>764236</v>
      </c>
      <c r="AS121" s="227">
        <v>4786529</v>
      </c>
      <c r="AT121" s="227">
        <v>4022293</v>
      </c>
      <c r="AU121" s="227">
        <v>4786529</v>
      </c>
      <c r="AV121" s="228">
        <v>4870058</v>
      </c>
      <c r="AW121" s="228">
        <v>4870058</v>
      </c>
      <c r="AX121" s="228">
        <v>118128.71</v>
      </c>
      <c r="AY121" s="229">
        <v>2.4299999999999999E-2</v>
      </c>
      <c r="AZ121" s="230"/>
      <c r="BI121" s="232"/>
      <c r="BJ121" s="232"/>
      <c r="BK121" s="232"/>
      <c r="BL121" s="232"/>
      <c r="BM121" s="232"/>
      <c r="BN121" s="232"/>
      <c r="BO121" s="232"/>
      <c r="BP121" s="232"/>
      <c r="BQ121" s="232"/>
      <c r="BR121" s="232"/>
      <c r="BS121" s="232"/>
      <c r="BT121" s="232"/>
      <c r="BU121" s="232"/>
      <c r="BV121" s="232"/>
    </row>
    <row r="122" spans="1:74" s="231" customFormat="1" ht="78" hidden="1" customHeight="1" x14ac:dyDescent="0.25">
      <c r="A122" s="205" t="s">
        <v>438</v>
      </c>
      <c r="B122" s="205" t="s">
        <v>501</v>
      </c>
      <c r="C122" s="205">
        <v>44121707</v>
      </c>
      <c r="D122" s="205" t="s">
        <v>803</v>
      </c>
      <c r="E122" s="206" t="s">
        <v>804</v>
      </c>
      <c r="F122" s="458" t="s">
        <v>41</v>
      </c>
      <c r="G122" s="178">
        <v>1</v>
      </c>
      <c r="H122" s="458" t="s">
        <v>42</v>
      </c>
      <c r="I122" s="459" t="s">
        <v>452</v>
      </c>
      <c r="J122" s="207">
        <v>46071</v>
      </c>
      <c r="K122" s="208" t="s">
        <v>805</v>
      </c>
      <c r="L122" s="209" t="s">
        <v>446</v>
      </c>
      <c r="M122" s="207" t="s">
        <v>699</v>
      </c>
      <c r="N122" s="210">
        <v>7500</v>
      </c>
      <c r="O122" s="210" t="s">
        <v>443</v>
      </c>
      <c r="P122" s="210" t="s">
        <v>444</v>
      </c>
      <c r="Q122" s="211">
        <f t="shared" ref="Q122:Q128" si="67">IF(O122="IVA Incluido",(N122/1.19),N122)</f>
        <v>6302.5210084033615</v>
      </c>
      <c r="R122" s="212">
        <f t="shared" ref="R122:R128" si="68">IF(P122="Si tiene IVA",Q122*19%,0)</f>
        <v>1197.4789915966387</v>
      </c>
      <c r="S122" s="212">
        <f t="shared" ref="S122:S128" si="69">Q122+R122</f>
        <v>7500</v>
      </c>
      <c r="T122" s="212">
        <f t="shared" ref="T122:T128" si="70">IF(B122="","",(N122*G122))</f>
        <v>7500</v>
      </c>
      <c r="U122" s="212">
        <f t="shared" ref="U122:U128" si="71">IF(B122="","",(S122*G122))</f>
        <v>7500</v>
      </c>
      <c r="V122" s="460" t="s">
        <v>452</v>
      </c>
      <c r="W122" s="213">
        <v>46071</v>
      </c>
      <c r="X122" s="214" t="s">
        <v>508</v>
      </c>
      <c r="Y122" s="215" t="s">
        <v>446</v>
      </c>
      <c r="Z122" s="216" t="s">
        <v>723</v>
      </c>
      <c r="AA122" s="217">
        <v>8500</v>
      </c>
      <c r="AB122" s="217" t="s">
        <v>443</v>
      </c>
      <c r="AC122" s="217" t="s">
        <v>444</v>
      </c>
      <c r="AD122" s="218">
        <f t="shared" ref="AD122:AD128" si="72">IF(AB122="IVA Incluido",(AA122/1.19),AA122)</f>
        <v>7142.8571428571431</v>
      </c>
      <c r="AE122" s="219">
        <f t="shared" ref="AE122:AE128" si="73">IF(AC122="Si tiene IVA",AD122*19%,0)</f>
        <v>1357.1428571428571</v>
      </c>
      <c r="AF122" s="219">
        <f t="shared" ref="AF122:AF128" si="74">AD122+AE122</f>
        <v>8500</v>
      </c>
      <c r="AG122" s="219">
        <f t="shared" ref="AG122:AG128" si="75">IF(O122="","",(AA122*G122))</f>
        <v>8500</v>
      </c>
      <c r="AH122" s="219">
        <f t="shared" ref="AH122:AH128" si="76">IF(O122="","",(AF122*G122))</f>
        <v>8500</v>
      </c>
      <c r="AI122" s="461" t="s">
        <v>452</v>
      </c>
      <c r="AJ122" s="220">
        <v>46071</v>
      </c>
      <c r="AK122" s="221" t="s">
        <v>707</v>
      </c>
      <c r="AL122" s="222" t="s">
        <v>446</v>
      </c>
      <c r="AM122" s="223" t="s">
        <v>806</v>
      </c>
      <c r="AN122" s="224">
        <v>7400</v>
      </c>
      <c r="AO122" s="224" t="s">
        <v>450</v>
      </c>
      <c r="AP122" s="225" t="s">
        <v>444</v>
      </c>
      <c r="AQ122" s="226">
        <f t="shared" ref="AQ122:AQ128" si="77">IF(AO122="IVA Incluido",(AN122/1.19),AN122)</f>
        <v>7400</v>
      </c>
      <c r="AR122" s="227">
        <f t="shared" ref="AR122:AR128" si="78">IF(AP122="Si tiene IVA",AQ122*19%,0)</f>
        <v>1406</v>
      </c>
      <c r="AS122" s="227">
        <f t="shared" ref="AS122:AS128" si="79">AQ122+AR122</f>
        <v>8806</v>
      </c>
      <c r="AT122" s="227">
        <f t="shared" ref="AT122:AT128" si="80">IF(AB122="","",(AN122*G122))</f>
        <v>7400</v>
      </c>
      <c r="AU122" s="227">
        <f t="shared" ref="AU122:AU128" si="81">IF(AB122="","",(AS122*G122))</f>
        <v>8806</v>
      </c>
      <c r="AV122" s="228">
        <f>IF(A122="","",AVERAGE(S122,AF122,AS122))</f>
        <v>8268.6666666666661</v>
      </c>
      <c r="AW122" s="228">
        <f>IF(A122="","",AVERAGE(U122,AH122,AU122))</f>
        <v>8268.6666666666661</v>
      </c>
      <c r="AX122" s="228">
        <f>IF(N122="","",STDEV(U122,AH122,AU122))</f>
        <v>683.04123838413545</v>
      </c>
      <c r="AY122" s="229">
        <f t="shared" ref="AY122:AY128" si="82">IF(N122="","",(AX122/AW122))</f>
        <v>8.2605970940595283E-2</v>
      </c>
      <c r="AZ122" s="230"/>
      <c r="BA122" s="231">
        <f>COUNTA(M122,Z122,AM122)</f>
        <v>3</v>
      </c>
      <c r="BH122" s="231">
        <v>29</v>
      </c>
      <c r="BI122" s="232"/>
      <c r="BJ122" s="232"/>
      <c r="BK122" s="232"/>
      <c r="BL122" s="232"/>
      <c r="BM122" s="232"/>
      <c r="BN122" s="232"/>
      <c r="BO122" s="232"/>
      <c r="BP122" s="232"/>
      <c r="BQ122" s="232"/>
      <c r="BR122" s="232"/>
      <c r="BS122" s="232"/>
      <c r="BT122" s="232"/>
      <c r="BU122" s="232"/>
      <c r="BV122" s="232"/>
    </row>
    <row r="123" spans="1:74" s="231" customFormat="1" ht="78" hidden="1" customHeight="1" x14ac:dyDescent="0.25">
      <c r="A123" s="205" t="s">
        <v>438</v>
      </c>
      <c r="B123" s="205" t="s">
        <v>501</v>
      </c>
      <c r="C123" s="205">
        <v>44121707</v>
      </c>
      <c r="D123" s="205" t="s">
        <v>807</v>
      </c>
      <c r="E123" s="206" t="s">
        <v>808</v>
      </c>
      <c r="F123" s="458" t="s">
        <v>41</v>
      </c>
      <c r="G123" s="178">
        <v>1</v>
      </c>
      <c r="H123" s="458" t="s">
        <v>42</v>
      </c>
      <c r="I123" s="459" t="s">
        <v>452</v>
      </c>
      <c r="J123" s="207">
        <v>46071</v>
      </c>
      <c r="K123" s="208" t="s">
        <v>707</v>
      </c>
      <c r="L123" s="209" t="s">
        <v>446</v>
      </c>
      <c r="M123" s="207" t="s">
        <v>806</v>
      </c>
      <c r="N123" s="210">
        <v>7000</v>
      </c>
      <c r="O123" s="210" t="s">
        <v>450</v>
      </c>
      <c r="P123" s="210" t="s">
        <v>444</v>
      </c>
      <c r="Q123" s="211">
        <f t="shared" si="67"/>
        <v>7000</v>
      </c>
      <c r="R123" s="212">
        <f t="shared" si="68"/>
        <v>1330</v>
      </c>
      <c r="S123" s="212">
        <f t="shared" si="69"/>
        <v>8330</v>
      </c>
      <c r="T123" s="212">
        <f t="shared" si="70"/>
        <v>7000</v>
      </c>
      <c r="U123" s="212">
        <f t="shared" si="71"/>
        <v>8330</v>
      </c>
      <c r="V123" s="460" t="s">
        <v>452</v>
      </c>
      <c r="W123" s="213">
        <v>46071</v>
      </c>
      <c r="X123" s="214" t="s">
        <v>809</v>
      </c>
      <c r="Y123" s="215" t="s">
        <v>441</v>
      </c>
      <c r="Z123" s="216" t="s">
        <v>810</v>
      </c>
      <c r="AA123" s="217">
        <v>7183</v>
      </c>
      <c r="AB123" s="217" t="s">
        <v>450</v>
      </c>
      <c r="AC123" s="217" t="s">
        <v>468</v>
      </c>
      <c r="AD123" s="218">
        <f t="shared" si="72"/>
        <v>7183</v>
      </c>
      <c r="AE123" s="219">
        <f t="shared" si="73"/>
        <v>0</v>
      </c>
      <c r="AF123" s="219">
        <f t="shared" si="74"/>
        <v>7183</v>
      </c>
      <c r="AG123" s="219">
        <f t="shared" si="75"/>
        <v>7183</v>
      </c>
      <c r="AH123" s="219">
        <f t="shared" si="76"/>
        <v>7183</v>
      </c>
      <c r="AI123" s="461" t="s">
        <v>452</v>
      </c>
      <c r="AJ123" s="220">
        <v>46071</v>
      </c>
      <c r="AK123" s="221" t="s">
        <v>811</v>
      </c>
      <c r="AL123" s="222" t="s">
        <v>446</v>
      </c>
      <c r="AM123" s="223" t="s">
        <v>774</v>
      </c>
      <c r="AN123" s="224">
        <v>8600</v>
      </c>
      <c r="AO123" s="224" t="s">
        <v>443</v>
      </c>
      <c r="AP123" s="225" t="s">
        <v>444</v>
      </c>
      <c r="AQ123" s="226">
        <f t="shared" si="77"/>
        <v>7226.8907563025214</v>
      </c>
      <c r="AR123" s="227">
        <f t="shared" si="78"/>
        <v>1373.1092436974791</v>
      </c>
      <c r="AS123" s="227">
        <f t="shared" si="79"/>
        <v>8600</v>
      </c>
      <c r="AT123" s="227">
        <f t="shared" si="80"/>
        <v>8600</v>
      </c>
      <c r="AU123" s="227">
        <f t="shared" si="81"/>
        <v>8600</v>
      </c>
      <c r="AV123" s="228">
        <f>IF(A123="","",AVERAGE(S123,AF123,AS123))</f>
        <v>8037.666666666667</v>
      </c>
      <c r="AW123" s="228">
        <f>IF(A123="","",AVERAGE(U123,AH123,AU123))</f>
        <v>8037.666666666667</v>
      </c>
      <c r="AX123" s="228">
        <f>IF(N123="","",STDEV(U123,AH123,AU123))</f>
        <v>752.3737989412798</v>
      </c>
      <c r="AY123" s="229">
        <f t="shared" si="82"/>
        <v>9.3605996633510533E-2</v>
      </c>
      <c r="AZ123" s="230"/>
      <c r="BA123" s="231">
        <f>COUNTA(M123,Z123,AM123)</f>
        <v>3</v>
      </c>
      <c r="BH123" s="231">
        <v>30</v>
      </c>
      <c r="BI123" s="232"/>
      <c r="BJ123" s="232"/>
      <c r="BK123" s="232"/>
      <c r="BL123" s="232"/>
      <c r="BM123" s="232"/>
      <c r="BN123" s="232"/>
      <c r="BO123" s="232"/>
      <c r="BP123" s="232"/>
      <c r="BQ123" s="232"/>
      <c r="BR123" s="232"/>
      <c r="BS123" s="232"/>
      <c r="BT123" s="232"/>
      <c r="BU123" s="232"/>
      <c r="BV123" s="232"/>
    </row>
    <row r="124" spans="1:74" s="231" customFormat="1" ht="78" hidden="1" customHeight="1" x14ac:dyDescent="0.25">
      <c r="A124" s="205" t="s">
        <v>438</v>
      </c>
      <c r="B124" s="205" t="s">
        <v>487</v>
      </c>
      <c r="C124" s="205" t="s">
        <v>812</v>
      </c>
      <c r="D124" s="205" t="s">
        <v>813</v>
      </c>
      <c r="E124" s="206" t="s">
        <v>814</v>
      </c>
      <c r="F124" s="458" t="s">
        <v>41</v>
      </c>
      <c r="G124" s="178">
        <v>1</v>
      </c>
      <c r="H124" s="458" t="s">
        <v>42</v>
      </c>
      <c r="I124" s="459" t="s">
        <v>482</v>
      </c>
      <c r="J124" s="207">
        <v>46139</v>
      </c>
      <c r="K124" s="208" t="s">
        <v>517</v>
      </c>
      <c r="L124" s="209" t="s">
        <v>441</v>
      </c>
      <c r="M124" s="207" t="s">
        <v>101</v>
      </c>
      <c r="N124" s="210">
        <v>1957500</v>
      </c>
      <c r="O124" s="210" t="s">
        <v>450</v>
      </c>
      <c r="P124" s="210" t="s">
        <v>444</v>
      </c>
      <c r="Q124" s="211">
        <f t="shared" si="67"/>
        <v>1957500</v>
      </c>
      <c r="R124" s="212">
        <f t="shared" si="68"/>
        <v>371925</v>
      </c>
      <c r="S124" s="212">
        <f t="shared" si="69"/>
        <v>2329425</v>
      </c>
      <c r="T124" s="212">
        <f t="shared" si="70"/>
        <v>1957500</v>
      </c>
      <c r="U124" s="212">
        <f t="shared" si="71"/>
        <v>2329425</v>
      </c>
      <c r="V124" s="460" t="s">
        <v>688</v>
      </c>
      <c r="W124" s="213">
        <v>46139</v>
      </c>
      <c r="X124" s="214" t="s">
        <v>815</v>
      </c>
      <c r="Y124" s="215" t="s">
        <v>446</v>
      </c>
      <c r="Z124" s="216" t="s">
        <v>816</v>
      </c>
      <c r="AA124" s="217">
        <v>1850000</v>
      </c>
      <c r="AB124" s="217" t="s">
        <v>450</v>
      </c>
      <c r="AC124" s="217" t="s">
        <v>444</v>
      </c>
      <c r="AD124" s="218">
        <f t="shared" si="72"/>
        <v>1850000</v>
      </c>
      <c r="AE124" s="219">
        <f t="shared" si="73"/>
        <v>351500</v>
      </c>
      <c r="AF124" s="219">
        <f t="shared" si="74"/>
        <v>2201500</v>
      </c>
      <c r="AG124" s="219">
        <f t="shared" si="75"/>
        <v>1850000</v>
      </c>
      <c r="AH124" s="219">
        <f t="shared" si="76"/>
        <v>2201500</v>
      </c>
      <c r="AI124" s="461" t="s">
        <v>440</v>
      </c>
      <c r="AJ124" s="220">
        <v>46144</v>
      </c>
      <c r="AK124" s="221" t="s">
        <v>817</v>
      </c>
      <c r="AL124" s="222" t="s">
        <v>440</v>
      </c>
      <c r="AM124" s="223" t="s">
        <v>818</v>
      </c>
      <c r="AN124" s="224">
        <v>1100000</v>
      </c>
      <c r="AO124" s="224" t="s">
        <v>450</v>
      </c>
      <c r="AP124" s="225" t="s">
        <v>444</v>
      </c>
      <c r="AQ124" s="226">
        <f t="shared" si="77"/>
        <v>1100000</v>
      </c>
      <c r="AR124" s="227">
        <f t="shared" si="78"/>
        <v>209000</v>
      </c>
      <c r="AS124" s="227">
        <f t="shared" si="79"/>
        <v>1309000</v>
      </c>
      <c r="AT124" s="227">
        <f t="shared" si="80"/>
        <v>1100000</v>
      </c>
      <c r="AU124" s="227">
        <f t="shared" si="81"/>
        <v>1309000</v>
      </c>
      <c r="AV124" s="228">
        <f>IF(A124="","",AVERAGE(S124,AF124))</f>
        <v>2265462.5</v>
      </c>
      <c r="AW124" s="228">
        <f>IF(A124="","",AVERAGE(U124,AH124))</f>
        <v>2265462.5</v>
      </c>
      <c r="AX124" s="228">
        <f>IF(N124="","",STDEV(U124,AH124))</f>
        <v>90456.634983289099</v>
      </c>
      <c r="AY124" s="229">
        <f t="shared" si="82"/>
        <v>3.9928551005937681E-2</v>
      </c>
      <c r="AZ124" s="230"/>
      <c r="BA124" s="231">
        <f>COUNTA(M124,Z124,AM124)</f>
        <v>3</v>
      </c>
      <c r="BH124" s="231">
        <v>43</v>
      </c>
      <c r="BI124" s="232"/>
      <c r="BJ124" s="232"/>
      <c r="BK124" s="232"/>
      <c r="BL124" s="232"/>
      <c r="BM124" s="232"/>
      <c r="BN124" s="232"/>
      <c r="BO124" s="232"/>
      <c r="BP124" s="232"/>
      <c r="BQ124" s="232"/>
      <c r="BR124" s="232"/>
      <c r="BS124" s="232"/>
      <c r="BT124" s="232"/>
      <c r="BU124" s="232"/>
      <c r="BV124" s="232"/>
    </row>
    <row r="125" spans="1:74" s="231" customFormat="1" ht="78" hidden="1" customHeight="1" x14ac:dyDescent="0.25">
      <c r="A125" s="205" t="s">
        <v>438</v>
      </c>
      <c r="B125" s="205" t="s">
        <v>487</v>
      </c>
      <c r="C125" s="205">
        <v>49121503</v>
      </c>
      <c r="D125" s="205" t="s">
        <v>819</v>
      </c>
      <c r="E125" s="206" t="s">
        <v>820</v>
      </c>
      <c r="F125" s="458" t="s">
        <v>41</v>
      </c>
      <c r="G125" s="178">
        <v>1</v>
      </c>
      <c r="H125" s="458" t="s">
        <v>42</v>
      </c>
      <c r="I125" s="459" t="s">
        <v>440</v>
      </c>
      <c r="J125" s="207">
        <v>46153</v>
      </c>
      <c r="K125" s="208" t="s">
        <v>821</v>
      </c>
      <c r="L125" s="209" t="s">
        <v>446</v>
      </c>
      <c r="M125" s="207" t="s">
        <v>822</v>
      </c>
      <c r="N125" s="210">
        <v>1590000</v>
      </c>
      <c r="O125" s="210" t="s">
        <v>443</v>
      </c>
      <c r="P125" s="210" t="s">
        <v>444</v>
      </c>
      <c r="Q125" s="211">
        <f t="shared" si="67"/>
        <v>1336134.4537815126</v>
      </c>
      <c r="R125" s="212">
        <f t="shared" si="68"/>
        <v>253865.5462184874</v>
      </c>
      <c r="S125" s="212">
        <f t="shared" si="69"/>
        <v>1590000</v>
      </c>
      <c r="T125" s="212">
        <f t="shared" si="70"/>
        <v>1590000</v>
      </c>
      <c r="U125" s="212">
        <f t="shared" si="71"/>
        <v>1590000</v>
      </c>
      <c r="V125" s="460" t="s">
        <v>440</v>
      </c>
      <c r="W125" s="213">
        <v>46153</v>
      </c>
      <c r="X125" s="214" t="s">
        <v>823</v>
      </c>
      <c r="Y125" s="215" t="s">
        <v>446</v>
      </c>
      <c r="Z125" s="216" t="s">
        <v>823</v>
      </c>
      <c r="AA125" s="217">
        <v>1400000</v>
      </c>
      <c r="AB125" s="217" t="s">
        <v>450</v>
      </c>
      <c r="AC125" s="217" t="s">
        <v>444</v>
      </c>
      <c r="AD125" s="218">
        <f t="shared" si="72"/>
        <v>1400000</v>
      </c>
      <c r="AE125" s="219">
        <f t="shared" si="73"/>
        <v>266000</v>
      </c>
      <c r="AF125" s="219">
        <f t="shared" si="74"/>
        <v>1666000</v>
      </c>
      <c r="AG125" s="219">
        <f t="shared" si="75"/>
        <v>1400000</v>
      </c>
      <c r="AH125" s="219">
        <f t="shared" si="76"/>
        <v>1666000</v>
      </c>
      <c r="AI125" s="461" t="s">
        <v>440</v>
      </c>
      <c r="AJ125" s="220">
        <v>46153</v>
      </c>
      <c r="AK125" s="221" t="s">
        <v>824</v>
      </c>
      <c r="AL125" s="222" t="s">
        <v>446</v>
      </c>
      <c r="AM125" s="223" t="s">
        <v>825</v>
      </c>
      <c r="AN125" s="224">
        <v>1590000</v>
      </c>
      <c r="AO125" s="224" t="s">
        <v>443</v>
      </c>
      <c r="AP125" s="225" t="s">
        <v>444</v>
      </c>
      <c r="AQ125" s="226">
        <f t="shared" si="77"/>
        <v>1336134.4537815126</v>
      </c>
      <c r="AR125" s="227">
        <f t="shared" si="78"/>
        <v>253865.5462184874</v>
      </c>
      <c r="AS125" s="227">
        <f t="shared" si="79"/>
        <v>1590000</v>
      </c>
      <c r="AT125" s="227">
        <f t="shared" si="80"/>
        <v>1590000</v>
      </c>
      <c r="AU125" s="227">
        <f t="shared" si="81"/>
        <v>1590000</v>
      </c>
      <c r="AV125" s="228">
        <f>IF(A125="","",AVERAGE(S125,AF125,AS125))</f>
        <v>1615333.3333333333</v>
      </c>
      <c r="AW125" s="228">
        <f>IF(A125="","",AVERAGE(U125,AH125,AU125))</f>
        <v>1615333.3333333333</v>
      </c>
      <c r="AX125" s="228">
        <f>IF(N125="","",STDEV(U125,AH125,AU125))</f>
        <v>43878.620458411555</v>
      </c>
      <c r="AY125" s="229">
        <f t="shared" si="82"/>
        <v>2.7163817865298118E-2</v>
      </c>
      <c r="AZ125" s="230"/>
      <c r="BI125" s="232"/>
      <c r="BJ125" s="232"/>
      <c r="BK125" s="232"/>
      <c r="BL125" s="232"/>
      <c r="BM125" s="232"/>
      <c r="BN125" s="232"/>
      <c r="BO125" s="232"/>
      <c r="BP125" s="232"/>
      <c r="BQ125" s="232"/>
      <c r="BR125" s="232"/>
      <c r="BS125" s="232"/>
      <c r="BT125" s="232"/>
      <c r="BU125" s="232"/>
      <c r="BV125" s="232"/>
    </row>
    <row r="126" spans="1:74" s="231" customFormat="1" ht="78" hidden="1" customHeight="1" x14ac:dyDescent="0.25">
      <c r="A126" s="205" t="s">
        <v>438</v>
      </c>
      <c r="B126" s="205" t="s">
        <v>501</v>
      </c>
      <c r="C126" s="205">
        <v>44121709</v>
      </c>
      <c r="D126" s="205" t="s">
        <v>826</v>
      </c>
      <c r="E126" s="206" t="s">
        <v>827</v>
      </c>
      <c r="F126" s="458" t="s">
        <v>41</v>
      </c>
      <c r="G126" s="178">
        <v>1</v>
      </c>
      <c r="H126" s="458" t="s">
        <v>42</v>
      </c>
      <c r="I126" s="459" t="s">
        <v>452</v>
      </c>
      <c r="J126" s="207">
        <v>46071</v>
      </c>
      <c r="K126" s="208" t="s">
        <v>506</v>
      </c>
      <c r="L126" s="209" t="s">
        <v>446</v>
      </c>
      <c r="M126" s="207" t="s">
        <v>507</v>
      </c>
      <c r="N126" s="210">
        <v>8600</v>
      </c>
      <c r="O126" s="210" t="s">
        <v>450</v>
      </c>
      <c r="P126" s="210" t="s">
        <v>444</v>
      </c>
      <c r="Q126" s="211">
        <f t="shared" si="67"/>
        <v>8600</v>
      </c>
      <c r="R126" s="212">
        <f t="shared" si="68"/>
        <v>1634</v>
      </c>
      <c r="S126" s="212">
        <f t="shared" si="69"/>
        <v>10234</v>
      </c>
      <c r="T126" s="212">
        <f t="shared" si="70"/>
        <v>8600</v>
      </c>
      <c r="U126" s="212">
        <f t="shared" si="71"/>
        <v>10234</v>
      </c>
      <c r="V126" s="460" t="s">
        <v>452</v>
      </c>
      <c r="W126" s="213">
        <v>46071</v>
      </c>
      <c r="X126" s="214" t="s">
        <v>705</v>
      </c>
      <c r="Y126" s="215" t="s">
        <v>446</v>
      </c>
      <c r="Z126" s="216" t="s">
        <v>706</v>
      </c>
      <c r="AA126" s="217">
        <v>10018</v>
      </c>
      <c r="AB126" s="217" t="s">
        <v>450</v>
      </c>
      <c r="AC126" s="217" t="s">
        <v>444</v>
      </c>
      <c r="AD126" s="218">
        <f t="shared" si="72"/>
        <v>10018</v>
      </c>
      <c r="AE126" s="219">
        <f t="shared" si="73"/>
        <v>1903.42</v>
      </c>
      <c r="AF126" s="219">
        <f t="shared" si="74"/>
        <v>11921.42</v>
      </c>
      <c r="AG126" s="219">
        <f t="shared" si="75"/>
        <v>10018</v>
      </c>
      <c r="AH126" s="219">
        <f t="shared" si="76"/>
        <v>11921.42</v>
      </c>
      <c r="AI126" s="461" t="s">
        <v>452</v>
      </c>
      <c r="AJ126" s="220">
        <v>46071</v>
      </c>
      <c r="AK126" s="221" t="s">
        <v>707</v>
      </c>
      <c r="AL126" s="222" t="s">
        <v>446</v>
      </c>
      <c r="AM126" s="223" t="s">
        <v>708</v>
      </c>
      <c r="AN126" s="224">
        <v>8151</v>
      </c>
      <c r="AO126" s="224" t="s">
        <v>450</v>
      </c>
      <c r="AP126" s="225" t="s">
        <v>444</v>
      </c>
      <c r="AQ126" s="226">
        <f t="shared" si="77"/>
        <v>8151</v>
      </c>
      <c r="AR126" s="227">
        <f t="shared" si="78"/>
        <v>1548.69</v>
      </c>
      <c r="AS126" s="227">
        <f t="shared" si="79"/>
        <v>9699.69</v>
      </c>
      <c r="AT126" s="227">
        <f t="shared" si="80"/>
        <v>8151</v>
      </c>
      <c r="AU126" s="227">
        <f t="shared" si="81"/>
        <v>9699.69</v>
      </c>
      <c r="AV126" s="228">
        <f>IF(A126="","",AVERAGE(S126,AF126,AS126))</f>
        <v>10618.37</v>
      </c>
      <c r="AW126" s="228">
        <f>IF(A126="","",AVERAGE(U126,AH126,AU126))</f>
        <v>10618.37</v>
      </c>
      <c r="AX126" s="228">
        <f>IF(N126="","",STDEV(U126,AH126,AU126))</f>
        <v>1159.666448122045</v>
      </c>
      <c r="AY126" s="229">
        <f t="shared" si="82"/>
        <v>0.10921322652366088</v>
      </c>
      <c r="AZ126" s="230"/>
      <c r="BA126" s="231">
        <f>COUNTA(M126,Z126,AM126)</f>
        <v>3</v>
      </c>
      <c r="BH126" s="231">
        <v>31</v>
      </c>
      <c r="BI126" s="232"/>
      <c r="BJ126" s="232"/>
      <c r="BK126" s="232"/>
      <c r="BL126" s="232"/>
      <c r="BM126" s="232"/>
      <c r="BN126" s="232"/>
      <c r="BO126" s="232"/>
      <c r="BP126" s="232"/>
      <c r="BQ126" s="232"/>
      <c r="BR126" s="232"/>
      <c r="BS126" s="232"/>
      <c r="BT126" s="232"/>
      <c r="BU126" s="232"/>
      <c r="BV126" s="232"/>
    </row>
    <row r="127" spans="1:74" s="231" customFormat="1" ht="78" hidden="1" customHeight="1" x14ac:dyDescent="0.25">
      <c r="A127" s="205" t="s">
        <v>438</v>
      </c>
      <c r="B127" s="205" t="s">
        <v>501</v>
      </c>
      <c r="C127" s="205">
        <v>14111531</v>
      </c>
      <c r="D127" s="205" t="s">
        <v>39</v>
      </c>
      <c r="E127" s="206" t="s">
        <v>40</v>
      </c>
      <c r="F127" s="458" t="s">
        <v>41</v>
      </c>
      <c r="G127" s="178">
        <v>1</v>
      </c>
      <c r="H127" s="458" t="s">
        <v>42</v>
      </c>
      <c r="I127" s="459" t="s">
        <v>452</v>
      </c>
      <c r="J127" s="207">
        <v>46071</v>
      </c>
      <c r="K127" s="208" t="s">
        <v>828</v>
      </c>
      <c r="L127" s="209" t="s">
        <v>446</v>
      </c>
      <c r="M127" s="207" t="s">
        <v>490</v>
      </c>
      <c r="N127" s="210">
        <v>5990</v>
      </c>
      <c r="O127" s="210" t="s">
        <v>443</v>
      </c>
      <c r="P127" s="210" t="s">
        <v>444</v>
      </c>
      <c r="Q127" s="211">
        <f t="shared" si="67"/>
        <v>5033.6134453781515</v>
      </c>
      <c r="R127" s="212">
        <f t="shared" si="68"/>
        <v>956.38655462184875</v>
      </c>
      <c r="S127" s="212">
        <f t="shared" si="69"/>
        <v>5990</v>
      </c>
      <c r="T127" s="212">
        <f t="shared" si="70"/>
        <v>5990</v>
      </c>
      <c r="U127" s="212">
        <f t="shared" si="71"/>
        <v>5990</v>
      </c>
      <c r="V127" s="460" t="s">
        <v>829</v>
      </c>
      <c r="W127" s="213">
        <v>46071</v>
      </c>
      <c r="X127" s="214" t="s">
        <v>830</v>
      </c>
      <c r="Y127" s="215" t="s">
        <v>446</v>
      </c>
      <c r="Z127" s="216" t="s">
        <v>831</v>
      </c>
      <c r="AA127" s="217">
        <v>6500</v>
      </c>
      <c r="AB127" s="217" t="s">
        <v>443</v>
      </c>
      <c r="AC127" s="217" t="s">
        <v>444</v>
      </c>
      <c r="AD127" s="218">
        <f t="shared" si="72"/>
        <v>5462.1848739495799</v>
      </c>
      <c r="AE127" s="219">
        <f t="shared" si="73"/>
        <v>1037.8151260504203</v>
      </c>
      <c r="AF127" s="219">
        <f t="shared" si="74"/>
        <v>6500</v>
      </c>
      <c r="AG127" s="219">
        <f t="shared" si="75"/>
        <v>6500</v>
      </c>
      <c r="AH127" s="219">
        <f t="shared" si="76"/>
        <v>6500</v>
      </c>
      <c r="AI127" s="461" t="s">
        <v>452</v>
      </c>
      <c r="AJ127" s="220">
        <v>46071</v>
      </c>
      <c r="AK127" s="221" t="s">
        <v>667</v>
      </c>
      <c r="AL127" s="222" t="s">
        <v>446</v>
      </c>
      <c r="AM127" s="223" t="s">
        <v>699</v>
      </c>
      <c r="AN127" s="224">
        <v>5000</v>
      </c>
      <c r="AO127" s="224" t="s">
        <v>443</v>
      </c>
      <c r="AP127" s="225" t="s">
        <v>444</v>
      </c>
      <c r="AQ127" s="226">
        <f t="shared" si="77"/>
        <v>4201.680672268908</v>
      </c>
      <c r="AR127" s="227">
        <f t="shared" si="78"/>
        <v>798.31932773109247</v>
      </c>
      <c r="AS127" s="227">
        <f t="shared" si="79"/>
        <v>5000</v>
      </c>
      <c r="AT127" s="227">
        <f t="shared" si="80"/>
        <v>5000</v>
      </c>
      <c r="AU127" s="227">
        <f t="shared" si="81"/>
        <v>5000</v>
      </c>
      <c r="AV127" s="228">
        <f>IF(A127="","",AVERAGE(S127,AF127,AS127))</f>
        <v>5830</v>
      </c>
      <c r="AW127" s="228">
        <f>IF(A127="","",AVERAGE(U127,AH127,AU127))</f>
        <v>5830</v>
      </c>
      <c r="AX127" s="228">
        <f>IF(N127="","",STDEV(U127,AH127,AU127))</f>
        <v>762.6925986267338</v>
      </c>
      <c r="AY127" s="229">
        <f t="shared" si="82"/>
        <v>0.13082205808348779</v>
      </c>
      <c r="AZ127" s="230"/>
      <c r="BA127" s="231">
        <f>COUNTA(M127,Z127,AM127)</f>
        <v>3</v>
      </c>
      <c r="BH127" s="231">
        <v>32</v>
      </c>
      <c r="BI127" s="232"/>
      <c r="BJ127" s="232"/>
      <c r="BK127" s="232"/>
      <c r="BL127" s="232"/>
      <c r="BM127" s="232"/>
      <c r="BN127" s="232"/>
      <c r="BO127" s="232"/>
      <c r="BP127" s="232"/>
      <c r="BQ127" s="232"/>
      <c r="BR127" s="232"/>
      <c r="BS127" s="232"/>
      <c r="BT127" s="232"/>
      <c r="BU127" s="232"/>
      <c r="BV127" s="232"/>
    </row>
    <row r="128" spans="1:74" s="231" customFormat="1" ht="78" hidden="1" customHeight="1" x14ac:dyDescent="0.25">
      <c r="A128" s="205" t="s">
        <v>438</v>
      </c>
      <c r="B128" s="205" t="s">
        <v>501</v>
      </c>
      <c r="C128" s="205">
        <v>14111531</v>
      </c>
      <c r="D128" s="205" t="s">
        <v>832</v>
      </c>
      <c r="E128" s="206" t="s">
        <v>833</v>
      </c>
      <c r="F128" s="458" t="s">
        <v>41</v>
      </c>
      <c r="G128" s="178">
        <v>1</v>
      </c>
      <c r="H128" s="458" t="s">
        <v>42</v>
      </c>
      <c r="I128" s="459" t="s">
        <v>452</v>
      </c>
      <c r="J128" s="207">
        <v>46071</v>
      </c>
      <c r="K128" s="208" t="s">
        <v>705</v>
      </c>
      <c r="L128" s="209" t="s">
        <v>446</v>
      </c>
      <c r="M128" s="207" t="s">
        <v>706</v>
      </c>
      <c r="N128" s="210">
        <v>18890</v>
      </c>
      <c r="O128" s="210" t="s">
        <v>450</v>
      </c>
      <c r="P128" s="210" t="s">
        <v>450</v>
      </c>
      <c r="Q128" s="211">
        <f t="shared" si="67"/>
        <v>18890</v>
      </c>
      <c r="R128" s="212">
        <f t="shared" si="68"/>
        <v>0</v>
      </c>
      <c r="S128" s="212">
        <f t="shared" si="69"/>
        <v>18890</v>
      </c>
      <c r="T128" s="212">
        <f t="shared" si="70"/>
        <v>18890</v>
      </c>
      <c r="U128" s="212">
        <f t="shared" si="71"/>
        <v>18890</v>
      </c>
      <c r="V128" s="460" t="s">
        <v>452</v>
      </c>
      <c r="W128" s="213">
        <v>46071</v>
      </c>
      <c r="X128" s="214" t="s">
        <v>508</v>
      </c>
      <c r="Y128" s="215" t="s">
        <v>446</v>
      </c>
      <c r="Z128" s="216" t="s">
        <v>723</v>
      </c>
      <c r="AA128" s="217">
        <v>21200</v>
      </c>
      <c r="AB128" s="217" t="s">
        <v>443</v>
      </c>
      <c r="AC128" s="217" t="s">
        <v>444</v>
      </c>
      <c r="AD128" s="218">
        <f t="shared" si="72"/>
        <v>17815.126050420167</v>
      </c>
      <c r="AE128" s="219">
        <f t="shared" si="73"/>
        <v>3384.8739495798318</v>
      </c>
      <c r="AF128" s="219">
        <f t="shared" si="74"/>
        <v>21200</v>
      </c>
      <c r="AG128" s="219">
        <f t="shared" si="75"/>
        <v>21200</v>
      </c>
      <c r="AH128" s="219">
        <f t="shared" si="76"/>
        <v>21200</v>
      </c>
      <c r="AI128" s="461" t="s">
        <v>452</v>
      </c>
      <c r="AJ128" s="220">
        <v>46071</v>
      </c>
      <c r="AK128" s="221" t="s">
        <v>834</v>
      </c>
      <c r="AL128" s="222" t="s">
        <v>446</v>
      </c>
      <c r="AM128" s="223" t="s">
        <v>835</v>
      </c>
      <c r="AN128" s="224">
        <v>19900</v>
      </c>
      <c r="AO128" s="224" t="s">
        <v>443</v>
      </c>
      <c r="AP128" s="225" t="s">
        <v>444</v>
      </c>
      <c r="AQ128" s="226">
        <f t="shared" si="77"/>
        <v>16722.689075630253</v>
      </c>
      <c r="AR128" s="227">
        <f t="shared" si="78"/>
        <v>3177.3109243697481</v>
      </c>
      <c r="AS128" s="227">
        <f t="shared" si="79"/>
        <v>19900</v>
      </c>
      <c r="AT128" s="227">
        <f t="shared" si="80"/>
        <v>19900</v>
      </c>
      <c r="AU128" s="227">
        <f t="shared" si="81"/>
        <v>19900</v>
      </c>
      <c r="AV128" s="228">
        <f>IF(A128="","",AVERAGE(S128,AF128,AS128))</f>
        <v>19996.666666666668</v>
      </c>
      <c r="AW128" s="228">
        <f>IF(A128="","",AVERAGE(U128,AH128,AU128))</f>
        <v>19996.666666666668</v>
      </c>
      <c r="AX128" s="228">
        <f>IF(N128="","",STDEV(U128,AH128,AU128))</f>
        <v>1158.0299362854714</v>
      </c>
      <c r="AY128" s="229">
        <f t="shared" si="82"/>
        <v>5.7911148672385629E-2</v>
      </c>
      <c r="AZ128" s="230"/>
      <c r="BA128" s="231">
        <f>COUNTA(M128,Z128,AM128)</f>
        <v>3</v>
      </c>
      <c r="BH128" s="231">
        <v>33</v>
      </c>
      <c r="BI128" s="232"/>
      <c r="BJ128" s="232"/>
      <c r="BK128" s="232"/>
      <c r="BL128" s="232"/>
      <c r="BM128" s="232"/>
      <c r="BN128" s="232"/>
      <c r="BO128" s="232"/>
      <c r="BP128" s="232"/>
      <c r="BQ128" s="232"/>
      <c r="BR128" s="232"/>
      <c r="BS128" s="232"/>
      <c r="BT128" s="232"/>
      <c r="BU128" s="232"/>
      <c r="BV128" s="232"/>
    </row>
    <row r="129" spans="1:74" s="231" customFormat="1" ht="78" hidden="1" customHeight="1" x14ac:dyDescent="0.25">
      <c r="A129" s="205" t="s">
        <v>496</v>
      </c>
      <c r="B129" s="205" t="s">
        <v>496</v>
      </c>
      <c r="C129" s="205" t="s">
        <v>496</v>
      </c>
      <c r="D129" s="205" t="s">
        <v>836</v>
      </c>
      <c r="E129" s="206" t="s">
        <v>837</v>
      </c>
      <c r="F129" s="458" t="s">
        <v>499</v>
      </c>
      <c r="G129" s="178">
        <v>1</v>
      </c>
      <c r="H129" s="458"/>
      <c r="I129" s="459" t="s">
        <v>496</v>
      </c>
      <c r="J129" s="207" t="s">
        <v>496</v>
      </c>
      <c r="K129" s="208" t="s">
        <v>496</v>
      </c>
      <c r="L129" s="209" t="s">
        <v>496</v>
      </c>
      <c r="M129" s="207" t="s">
        <v>496</v>
      </c>
      <c r="N129" s="210"/>
      <c r="O129" s="210"/>
      <c r="P129" s="210"/>
      <c r="Q129" s="211" t="s">
        <v>500</v>
      </c>
      <c r="R129" s="212" t="s">
        <v>500</v>
      </c>
      <c r="S129" s="212" t="s">
        <v>500</v>
      </c>
      <c r="T129" s="212" t="s">
        <v>500</v>
      </c>
      <c r="U129" s="212" t="s">
        <v>500</v>
      </c>
      <c r="V129" s="460" t="s">
        <v>496</v>
      </c>
      <c r="W129" s="213" t="s">
        <v>496</v>
      </c>
      <c r="X129" s="214" t="s">
        <v>496</v>
      </c>
      <c r="Y129" s="215" t="s">
        <v>496</v>
      </c>
      <c r="Z129" s="216" t="s">
        <v>165</v>
      </c>
      <c r="AA129" s="217" t="s">
        <v>496</v>
      </c>
      <c r="AB129" s="217" t="s">
        <v>496</v>
      </c>
      <c r="AC129" s="217" t="s">
        <v>496</v>
      </c>
      <c r="AD129" s="218" t="s">
        <v>496</v>
      </c>
      <c r="AE129" s="219" t="s">
        <v>496</v>
      </c>
      <c r="AF129" s="219">
        <v>18760</v>
      </c>
      <c r="AG129" s="219">
        <v>5.5599999999999997E-2</v>
      </c>
      <c r="AH129" s="219">
        <v>19803</v>
      </c>
      <c r="AI129" s="461" t="s">
        <v>496</v>
      </c>
      <c r="AJ129" s="220" t="s">
        <v>496</v>
      </c>
      <c r="AK129" s="221" t="s">
        <v>496</v>
      </c>
      <c r="AL129" s="222" t="s">
        <v>496</v>
      </c>
      <c r="AM129" s="223" t="s">
        <v>166</v>
      </c>
      <c r="AN129" s="224" t="s">
        <v>496</v>
      </c>
      <c r="AO129" s="224" t="s">
        <v>496</v>
      </c>
      <c r="AP129" s="225" t="s">
        <v>496</v>
      </c>
      <c r="AQ129" s="226">
        <v>16395</v>
      </c>
      <c r="AR129" s="227">
        <v>3115</v>
      </c>
      <c r="AS129" s="227">
        <v>19510</v>
      </c>
      <c r="AT129" s="227">
        <v>16395</v>
      </c>
      <c r="AU129" s="227">
        <v>19510</v>
      </c>
      <c r="AV129" s="228">
        <v>19657</v>
      </c>
      <c r="AW129" s="228">
        <v>19657</v>
      </c>
      <c r="AX129" s="228">
        <v>206.94</v>
      </c>
      <c r="AY129" s="229">
        <v>1.0500000000000001E-2</v>
      </c>
      <c r="AZ129" s="230"/>
      <c r="BI129" s="232"/>
      <c r="BJ129" s="232"/>
      <c r="BK129" s="232"/>
      <c r="BL129" s="232"/>
      <c r="BM129" s="232"/>
      <c r="BN129" s="232"/>
      <c r="BO129" s="232"/>
      <c r="BP129" s="232"/>
      <c r="BQ129" s="232"/>
      <c r="BR129" s="232"/>
      <c r="BS129" s="232"/>
      <c r="BT129" s="232"/>
      <c r="BU129" s="232"/>
      <c r="BV129" s="232"/>
    </row>
    <row r="130" spans="1:74" s="231" customFormat="1" ht="78" hidden="1" customHeight="1" x14ac:dyDescent="0.25">
      <c r="A130" s="205" t="s">
        <v>496</v>
      </c>
      <c r="B130" s="205" t="s">
        <v>496</v>
      </c>
      <c r="C130" s="205" t="s">
        <v>496</v>
      </c>
      <c r="D130" s="205" t="s">
        <v>838</v>
      </c>
      <c r="E130" s="206" t="s">
        <v>839</v>
      </c>
      <c r="F130" s="458" t="s">
        <v>499</v>
      </c>
      <c r="G130" s="178">
        <v>1</v>
      </c>
      <c r="H130" s="458"/>
      <c r="I130" s="459" t="s">
        <v>496</v>
      </c>
      <c r="J130" s="207" t="s">
        <v>496</v>
      </c>
      <c r="K130" s="208" t="s">
        <v>496</v>
      </c>
      <c r="L130" s="209" t="s">
        <v>496</v>
      </c>
      <c r="M130" s="207" t="s">
        <v>496</v>
      </c>
      <c r="N130" s="210"/>
      <c r="O130" s="210"/>
      <c r="P130" s="210"/>
      <c r="Q130" s="211" t="s">
        <v>500</v>
      </c>
      <c r="R130" s="212" t="s">
        <v>500</v>
      </c>
      <c r="S130" s="212" t="s">
        <v>500</v>
      </c>
      <c r="T130" s="212" t="s">
        <v>500</v>
      </c>
      <c r="U130" s="212" t="s">
        <v>500</v>
      </c>
      <c r="V130" s="460" t="s">
        <v>496</v>
      </c>
      <c r="W130" s="213" t="s">
        <v>496</v>
      </c>
      <c r="X130" s="214" t="s">
        <v>496</v>
      </c>
      <c r="Y130" s="215" t="s">
        <v>496</v>
      </c>
      <c r="Z130" s="216" t="s">
        <v>165</v>
      </c>
      <c r="AA130" s="217" t="s">
        <v>496</v>
      </c>
      <c r="AB130" s="217" t="s">
        <v>496</v>
      </c>
      <c r="AC130" s="217" t="s">
        <v>496</v>
      </c>
      <c r="AD130" s="218" t="s">
        <v>496</v>
      </c>
      <c r="AE130" s="219" t="s">
        <v>496</v>
      </c>
      <c r="AF130" s="219">
        <v>1343608</v>
      </c>
      <c r="AG130" s="219">
        <v>5.5599999999999997E-2</v>
      </c>
      <c r="AH130" s="219">
        <v>1418313</v>
      </c>
      <c r="AI130" s="461" t="s">
        <v>496</v>
      </c>
      <c r="AJ130" s="220" t="s">
        <v>496</v>
      </c>
      <c r="AK130" s="221" t="s">
        <v>496</v>
      </c>
      <c r="AL130" s="222" t="s">
        <v>496</v>
      </c>
      <c r="AM130" s="223" t="s">
        <v>166</v>
      </c>
      <c r="AN130" s="224" t="s">
        <v>496</v>
      </c>
      <c r="AO130" s="224" t="s">
        <v>496</v>
      </c>
      <c r="AP130" s="225" t="s">
        <v>496</v>
      </c>
      <c r="AQ130" s="226">
        <v>1157309</v>
      </c>
      <c r="AR130" s="227">
        <v>219889</v>
      </c>
      <c r="AS130" s="227">
        <v>1377198</v>
      </c>
      <c r="AT130" s="227">
        <v>1157309</v>
      </c>
      <c r="AU130" s="227">
        <v>1377198</v>
      </c>
      <c r="AV130" s="228">
        <v>1397755</v>
      </c>
      <c r="AW130" s="228">
        <v>1397755</v>
      </c>
      <c r="AX130" s="228">
        <v>29072.27</v>
      </c>
      <c r="AY130" s="229">
        <v>2.0799999999999999E-2</v>
      </c>
      <c r="AZ130" s="230"/>
      <c r="BI130" s="232"/>
      <c r="BJ130" s="232"/>
      <c r="BK130" s="232"/>
      <c r="BL130" s="232"/>
      <c r="BM130" s="232"/>
      <c r="BN130" s="232"/>
      <c r="BO130" s="232"/>
      <c r="BP130" s="232"/>
      <c r="BQ130" s="232"/>
      <c r="BR130" s="232"/>
      <c r="BS130" s="232"/>
      <c r="BT130" s="232"/>
      <c r="BU130" s="232"/>
      <c r="BV130" s="232"/>
    </row>
    <row r="131" spans="1:74" s="231" customFormat="1" ht="78" hidden="1" customHeight="1" x14ac:dyDescent="0.25">
      <c r="A131" s="205" t="s">
        <v>496</v>
      </c>
      <c r="B131" s="205" t="s">
        <v>496</v>
      </c>
      <c r="C131" s="205" t="s">
        <v>496</v>
      </c>
      <c r="D131" s="205" t="s">
        <v>840</v>
      </c>
      <c r="E131" s="206" t="s">
        <v>841</v>
      </c>
      <c r="F131" s="458" t="s">
        <v>499</v>
      </c>
      <c r="G131" s="178">
        <v>1</v>
      </c>
      <c r="H131" s="458"/>
      <c r="I131" s="459" t="s">
        <v>496</v>
      </c>
      <c r="J131" s="207" t="s">
        <v>496</v>
      </c>
      <c r="K131" s="208" t="s">
        <v>496</v>
      </c>
      <c r="L131" s="209" t="s">
        <v>496</v>
      </c>
      <c r="M131" s="207" t="s">
        <v>496</v>
      </c>
      <c r="N131" s="210"/>
      <c r="O131" s="210"/>
      <c r="P131" s="210"/>
      <c r="Q131" s="211" t="s">
        <v>500</v>
      </c>
      <c r="R131" s="212" t="s">
        <v>500</v>
      </c>
      <c r="S131" s="212" t="s">
        <v>500</v>
      </c>
      <c r="T131" s="212" t="s">
        <v>500</v>
      </c>
      <c r="U131" s="212" t="s">
        <v>500</v>
      </c>
      <c r="V131" s="460" t="s">
        <v>496</v>
      </c>
      <c r="W131" s="213" t="s">
        <v>496</v>
      </c>
      <c r="X131" s="214" t="s">
        <v>496</v>
      </c>
      <c r="Y131" s="215" t="s">
        <v>496</v>
      </c>
      <c r="Z131" s="216" t="s">
        <v>165</v>
      </c>
      <c r="AA131" s="217" t="s">
        <v>496</v>
      </c>
      <c r="AB131" s="217" t="s">
        <v>496</v>
      </c>
      <c r="AC131" s="217" t="s">
        <v>496</v>
      </c>
      <c r="AD131" s="218" t="s">
        <v>496</v>
      </c>
      <c r="AE131" s="219" t="s">
        <v>496</v>
      </c>
      <c r="AF131" s="219">
        <v>1458334</v>
      </c>
      <c r="AG131" s="219">
        <v>5.5599999999999997E-2</v>
      </c>
      <c r="AH131" s="219">
        <v>1539417</v>
      </c>
      <c r="AI131" s="461" t="s">
        <v>496</v>
      </c>
      <c r="AJ131" s="220" t="s">
        <v>496</v>
      </c>
      <c r="AK131" s="221" t="s">
        <v>496</v>
      </c>
      <c r="AL131" s="222" t="s">
        <v>496</v>
      </c>
      <c r="AM131" s="223" t="s">
        <v>166</v>
      </c>
      <c r="AN131" s="224" t="s">
        <v>496</v>
      </c>
      <c r="AO131" s="224" t="s">
        <v>496</v>
      </c>
      <c r="AP131" s="225" t="s">
        <v>496</v>
      </c>
      <c r="AQ131" s="226">
        <v>1256128</v>
      </c>
      <c r="AR131" s="227">
        <v>238664</v>
      </c>
      <c r="AS131" s="227">
        <v>1494792</v>
      </c>
      <c r="AT131" s="227">
        <v>1256128</v>
      </c>
      <c r="AU131" s="227">
        <v>1494792</v>
      </c>
      <c r="AV131" s="228">
        <v>1517105</v>
      </c>
      <c r="AW131" s="228">
        <v>1517105</v>
      </c>
      <c r="AX131" s="228">
        <v>31554.65</v>
      </c>
      <c r="AY131" s="229">
        <v>2.0799999999999999E-2</v>
      </c>
      <c r="AZ131" s="230"/>
      <c r="BI131" s="232"/>
      <c r="BJ131" s="232"/>
      <c r="BK131" s="232"/>
      <c r="BL131" s="232"/>
      <c r="BM131" s="232"/>
      <c r="BN131" s="232"/>
      <c r="BO131" s="232"/>
      <c r="BP131" s="232"/>
      <c r="BQ131" s="232"/>
      <c r="BR131" s="232"/>
      <c r="BS131" s="232"/>
      <c r="BT131" s="232"/>
      <c r="BU131" s="232"/>
      <c r="BV131" s="232"/>
    </row>
    <row r="132" spans="1:74" ht="78" hidden="1" customHeight="1" x14ac:dyDescent="0.25">
      <c r="A132" s="205" t="s">
        <v>496</v>
      </c>
      <c r="B132" s="205" t="s">
        <v>496</v>
      </c>
      <c r="C132" s="205" t="s">
        <v>496</v>
      </c>
      <c r="D132" s="205" t="s">
        <v>842</v>
      </c>
      <c r="E132" s="206" t="s">
        <v>843</v>
      </c>
      <c r="F132" s="458" t="s">
        <v>499</v>
      </c>
      <c r="G132" s="178">
        <v>1</v>
      </c>
      <c r="H132" s="458"/>
      <c r="I132" s="459" t="s">
        <v>496</v>
      </c>
      <c r="J132" s="207" t="s">
        <v>496</v>
      </c>
      <c r="K132" s="208" t="s">
        <v>496</v>
      </c>
      <c r="L132" s="209" t="s">
        <v>496</v>
      </c>
      <c r="M132" s="207" t="s">
        <v>496</v>
      </c>
      <c r="N132" s="210"/>
      <c r="O132" s="210"/>
      <c r="P132" s="210"/>
      <c r="Q132" s="211" t="s">
        <v>500</v>
      </c>
      <c r="R132" s="212" t="s">
        <v>500</v>
      </c>
      <c r="S132" s="212" t="s">
        <v>500</v>
      </c>
      <c r="T132" s="212" t="s">
        <v>500</v>
      </c>
      <c r="U132" s="212" t="s">
        <v>500</v>
      </c>
      <c r="V132" s="460" t="s">
        <v>496</v>
      </c>
      <c r="W132" s="213" t="s">
        <v>496</v>
      </c>
      <c r="X132" s="214" t="s">
        <v>496</v>
      </c>
      <c r="Y132" s="215" t="s">
        <v>496</v>
      </c>
      <c r="Z132" s="216" t="s">
        <v>165</v>
      </c>
      <c r="AA132" s="217" t="s">
        <v>496</v>
      </c>
      <c r="AB132" s="217" t="s">
        <v>496</v>
      </c>
      <c r="AC132" s="217" t="s">
        <v>496</v>
      </c>
      <c r="AD132" s="218" t="s">
        <v>496</v>
      </c>
      <c r="AE132" s="219" t="s">
        <v>496</v>
      </c>
      <c r="AF132" s="219">
        <v>2988899</v>
      </c>
      <c r="AG132" s="219">
        <v>5.5599999999999997E-2</v>
      </c>
      <c r="AH132" s="219">
        <v>3155082</v>
      </c>
      <c r="AI132" s="461" t="s">
        <v>496</v>
      </c>
      <c r="AJ132" s="220" t="s">
        <v>496</v>
      </c>
      <c r="AK132" s="221" t="s">
        <v>496</v>
      </c>
      <c r="AL132" s="222" t="s">
        <v>496</v>
      </c>
      <c r="AM132" s="223" t="s">
        <v>166</v>
      </c>
      <c r="AN132" s="224" t="s">
        <v>496</v>
      </c>
      <c r="AO132" s="224" t="s">
        <v>496</v>
      </c>
      <c r="AP132" s="225" t="s">
        <v>496</v>
      </c>
      <c r="AQ132" s="226">
        <v>2561913</v>
      </c>
      <c r="AR132" s="227">
        <v>486764</v>
      </c>
      <c r="AS132" s="227">
        <v>3048677</v>
      </c>
      <c r="AT132" s="227">
        <v>2561913</v>
      </c>
      <c r="AU132" s="227">
        <v>3048677</v>
      </c>
      <c r="AV132" s="228">
        <v>3101879</v>
      </c>
      <c r="AW132" s="228">
        <v>3101879</v>
      </c>
      <c r="AX132" s="228">
        <v>75239.56</v>
      </c>
      <c r="AY132" s="229">
        <v>2.4299999999999999E-2</v>
      </c>
      <c r="AZ132" s="230"/>
      <c r="BA132" s="231"/>
      <c r="BB132" s="231"/>
      <c r="BC132" s="231"/>
      <c r="BD132" s="231"/>
      <c r="BE132" s="231"/>
      <c r="BF132" s="231"/>
      <c r="BG132" s="231"/>
      <c r="BH132" s="231"/>
      <c r="BI132" s="232"/>
      <c r="BJ132" s="232"/>
      <c r="BK132" s="232"/>
      <c r="BL132" s="232"/>
      <c r="BM132" s="232"/>
      <c r="BN132" s="232"/>
      <c r="BO132" s="232"/>
      <c r="BP132" s="232"/>
      <c r="BQ132" s="232"/>
      <c r="BR132" s="232"/>
      <c r="BS132" s="232"/>
      <c r="BT132" s="232"/>
      <c r="BU132" s="232"/>
      <c r="BV132" s="232"/>
    </row>
    <row r="133" spans="1:74" ht="78" hidden="1" customHeight="1" x14ac:dyDescent="0.25">
      <c r="A133" s="205" t="s">
        <v>438</v>
      </c>
      <c r="B133" s="205" t="s">
        <v>439</v>
      </c>
      <c r="C133" s="205">
        <v>60101405</v>
      </c>
      <c r="D133" s="205" t="s">
        <v>844</v>
      </c>
      <c r="E133" s="206" t="s">
        <v>845</v>
      </c>
      <c r="F133" s="458" t="s">
        <v>846</v>
      </c>
      <c r="G133" s="178">
        <v>1</v>
      </c>
      <c r="H133" s="458" t="s">
        <v>42</v>
      </c>
      <c r="I133" s="459" t="s">
        <v>440</v>
      </c>
      <c r="J133" s="207">
        <v>46153</v>
      </c>
      <c r="K133" s="208" t="s">
        <v>463</v>
      </c>
      <c r="L133" s="209" t="s">
        <v>441</v>
      </c>
      <c r="M133" s="207" t="s">
        <v>763</v>
      </c>
      <c r="N133" s="210">
        <v>70000</v>
      </c>
      <c r="O133" s="210" t="s">
        <v>450</v>
      </c>
      <c r="P133" s="210" t="s">
        <v>444</v>
      </c>
      <c r="Q133" s="211">
        <f>IF(O133="IVA Incluido",(N133/1.19),N133)</f>
        <v>70000</v>
      </c>
      <c r="R133" s="212">
        <f>IF(P133="Si tiene IVA",Q133*19%,0)</f>
        <v>13300</v>
      </c>
      <c r="S133" s="212">
        <f>Q133+R133</f>
        <v>83300</v>
      </c>
      <c r="T133" s="212">
        <f>IF(B133="","",(N133*G133))</f>
        <v>70000</v>
      </c>
      <c r="U133" s="212">
        <f>IF(B133="","",(S133*G133))</f>
        <v>83300</v>
      </c>
      <c r="V133" s="460" t="s">
        <v>440</v>
      </c>
      <c r="W133" s="213">
        <v>46153</v>
      </c>
      <c r="X133" s="214" t="s">
        <v>460</v>
      </c>
      <c r="Y133" s="215" t="s">
        <v>441</v>
      </c>
      <c r="Z133" s="216" t="s">
        <v>457</v>
      </c>
      <c r="AA133" s="217">
        <v>70000</v>
      </c>
      <c r="AB133" s="217" t="s">
        <v>443</v>
      </c>
      <c r="AC133" s="217" t="s">
        <v>444</v>
      </c>
      <c r="AD133" s="218">
        <f>IF(AB133="IVA Incluido",(AA133/1.19),AA133)</f>
        <v>58823.529411764706</v>
      </c>
      <c r="AE133" s="219">
        <f>IF(AC133="Si tiene IVA",AD133*19%,0)</f>
        <v>11176.470588235294</v>
      </c>
      <c r="AF133" s="219">
        <f>AD133+AE133</f>
        <v>70000</v>
      </c>
      <c r="AG133" s="219">
        <f>IF(O133="","",(AA133*G133))</f>
        <v>70000</v>
      </c>
      <c r="AH133" s="219">
        <f>IF(O133="","",(AF133*G133))</f>
        <v>70000</v>
      </c>
      <c r="AI133" s="461" t="s">
        <v>440</v>
      </c>
      <c r="AJ133" s="220">
        <v>46153</v>
      </c>
      <c r="AK133" s="221" t="s">
        <v>847</v>
      </c>
      <c r="AL133" s="222" t="s">
        <v>446</v>
      </c>
      <c r="AM133" s="223" t="s">
        <v>467</v>
      </c>
      <c r="AN133" s="224">
        <v>80000</v>
      </c>
      <c r="AO133" s="224" t="s">
        <v>450</v>
      </c>
      <c r="AP133" s="225" t="s">
        <v>468</v>
      </c>
      <c r="AQ133" s="226">
        <f>IF(AO133="IVA Incluido",(AN133/1.19),AN133)</f>
        <v>80000</v>
      </c>
      <c r="AR133" s="227">
        <f>IF(AP133="Si tiene IVA",AQ133*19%,0)</f>
        <v>0</v>
      </c>
      <c r="AS133" s="227">
        <f>AQ133+AR133</f>
        <v>80000</v>
      </c>
      <c r="AT133" s="227">
        <f>IF(AB133="","",(AN133*G133))</f>
        <v>80000</v>
      </c>
      <c r="AU133" s="227">
        <f>IF(AB133="","",(AS133*G133))</f>
        <v>80000</v>
      </c>
      <c r="AV133" s="228">
        <f>IF(A133="","",AVERAGE(S133,AF133,AS133))</f>
        <v>77766.666666666672</v>
      </c>
      <c r="AW133" s="228">
        <f>IF(A133="","",AVERAGE(U133,AH133,AU133))</f>
        <v>77766.666666666672</v>
      </c>
      <c r="AX133" s="228">
        <f>IF(N133="","",STDEV(U133,AH133,AU133))</f>
        <v>6925.5565360000737</v>
      </c>
      <c r="AY133" s="229">
        <f>IF(N133="","",(AX133/AW133))</f>
        <v>8.9055591975997508E-2</v>
      </c>
      <c r="AZ133" s="230" t="s">
        <v>848</v>
      </c>
      <c r="BA133" s="231">
        <f>COUNTA(M133,Z133,AM133)</f>
        <v>3</v>
      </c>
      <c r="BB133" s="231"/>
      <c r="BC133" s="231"/>
      <c r="BD133" s="231"/>
      <c r="BE133" s="231"/>
      <c r="BF133" s="231"/>
      <c r="BG133" s="231"/>
      <c r="BH133" s="231">
        <v>84</v>
      </c>
      <c r="BI133" s="232"/>
      <c r="BJ133" s="232"/>
      <c r="BK133" s="232"/>
      <c r="BL133" s="232"/>
      <c r="BM133" s="232"/>
      <c r="BN133" s="232"/>
      <c r="BO133" s="232"/>
      <c r="BP133" s="232"/>
      <c r="BQ133" s="232"/>
      <c r="BR133" s="232"/>
      <c r="BS133" s="232"/>
      <c r="BT133" s="232"/>
      <c r="BU133" s="232"/>
      <c r="BV133" s="232"/>
    </row>
    <row r="134" spans="1:74" ht="78" hidden="1" customHeight="1" x14ac:dyDescent="0.25">
      <c r="A134" s="205" t="s">
        <v>438</v>
      </c>
      <c r="B134" s="205" t="s">
        <v>439</v>
      </c>
      <c r="C134" s="205"/>
      <c r="D134" s="205" t="s">
        <v>849</v>
      </c>
      <c r="E134" s="206" t="s">
        <v>845</v>
      </c>
      <c r="F134" s="458" t="s">
        <v>41</v>
      </c>
      <c r="G134" s="178">
        <v>1</v>
      </c>
      <c r="H134" s="458" t="s">
        <v>42</v>
      </c>
      <c r="I134" s="459" t="s">
        <v>440</v>
      </c>
      <c r="J134" s="207">
        <v>46153</v>
      </c>
      <c r="K134" s="208" t="s">
        <v>461</v>
      </c>
      <c r="L134" s="209" t="s">
        <v>441</v>
      </c>
      <c r="M134" s="207" t="s">
        <v>462</v>
      </c>
      <c r="N134" s="210">
        <v>230000</v>
      </c>
      <c r="O134" s="210" t="s">
        <v>450</v>
      </c>
      <c r="P134" s="210" t="s">
        <v>444</v>
      </c>
      <c r="Q134" s="211">
        <f>IF(O134="IVA Incluido",(N134/1.19),N134)</f>
        <v>230000</v>
      </c>
      <c r="R134" s="212">
        <f>IF(P134="Si tiene IVA",Q134*19%,IF(P134="Si tiene IPOCONSUMO",Q134*8%,0))</f>
        <v>43700</v>
      </c>
      <c r="S134" s="212">
        <f>Q134+R134</f>
        <v>273700</v>
      </c>
      <c r="T134" s="212">
        <f>IF(B134="","",(N134*G134))</f>
        <v>230000</v>
      </c>
      <c r="U134" s="212">
        <f>IF(B134="","",(S134*G134))</f>
        <v>273700</v>
      </c>
      <c r="V134" s="460" t="s">
        <v>440</v>
      </c>
      <c r="W134" s="213">
        <v>46153</v>
      </c>
      <c r="X134" s="214" t="s">
        <v>850</v>
      </c>
      <c r="Y134" s="215" t="s">
        <v>441</v>
      </c>
      <c r="Z134" s="216" t="s">
        <v>851</v>
      </c>
      <c r="AA134" s="217">
        <v>232500</v>
      </c>
      <c r="AB134" s="217" t="s">
        <v>450</v>
      </c>
      <c r="AC134" s="217" t="s">
        <v>444</v>
      </c>
      <c r="AD134" s="218">
        <f>IF(AB134="IVA Incluido",(AA134/1.19),AA134)</f>
        <v>232500</v>
      </c>
      <c r="AE134" s="219">
        <f>IF(AC134="Si tiene IVA",AD134*19%,IF(AC134="Si tiene IPOCONSUMO",AD134*8%,0))</f>
        <v>44175</v>
      </c>
      <c r="AF134" s="219">
        <f>AD134+AE134</f>
        <v>276675</v>
      </c>
      <c r="AG134" s="219">
        <f>IF(O134="","",(AA134*G134))</f>
        <v>232500</v>
      </c>
      <c r="AH134" s="219">
        <f>IF(O134="","",(AF134*G134))</f>
        <v>276675</v>
      </c>
      <c r="AI134" s="461" t="s">
        <v>440</v>
      </c>
      <c r="AJ134" s="220">
        <v>46153</v>
      </c>
      <c r="AK134" s="221" t="s">
        <v>463</v>
      </c>
      <c r="AL134" s="222" t="s">
        <v>441</v>
      </c>
      <c r="AM134" s="223" t="s">
        <v>763</v>
      </c>
      <c r="AN134" s="224">
        <v>200000</v>
      </c>
      <c r="AO134" s="224" t="s">
        <v>450</v>
      </c>
      <c r="AP134" s="225" t="s">
        <v>444</v>
      </c>
      <c r="AQ134" s="226">
        <f>IF(AO134="IVA Incluido",(AN134/1.19),AN134)</f>
        <v>200000</v>
      </c>
      <c r="AR134" s="227">
        <f>IF(AP134="Si tiene IVA",AQ134*19%,0)</f>
        <v>38000</v>
      </c>
      <c r="AS134" s="227">
        <f>AQ134+AR134</f>
        <v>238000</v>
      </c>
      <c r="AT134" s="227">
        <f>IF(AB134="","",(AN134*G134))</f>
        <v>200000</v>
      </c>
      <c r="AU134" s="227">
        <f>IF(AB134="","",(AS134*G134))</f>
        <v>238000</v>
      </c>
      <c r="AV134" s="228">
        <f>IF(A134="","",AVERAGE(S134,AF134,AS134))</f>
        <v>262791.66666666669</v>
      </c>
      <c r="AW134" s="228">
        <f>IF(A134="","",AVERAGE(U134,AH134,AU134))</f>
        <v>262791.66666666669</v>
      </c>
      <c r="AX134" s="228">
        <f>IF(N134="","",STDEV(U134,AH134,AU134))</f>
        <v>21521.679960758949</v>
      </c>
      <c r="AY134" s="229">
        <f>IF(N134="","",(AX134/AW134))</f>
        <v>8.1896356280040397E-2</v>
      </c>
      <c r="AZ134" s="230" t="s">
        <v>848</v>
      </c>
      <c r="BA134" s="231">
        <f>COUNTA(M134,Z134,AM134)</f>
        <v>3</v>
      </c>
      <c r="BB134" s="231"/>
      <c r="BC134" s="231"/>
      <c r="BD134" s="231"/>
      <c r="BE134" s="231"/>
      <c r="BF134" s="231"/>
      <c r="BG134" s="231"/>
      <c r="BH134" s="231">
        <v>10</v>
      </c>
      <c r="BI134" s="232"/>
      <c r="BJ134" s="232"/>
      <c r="BK134" s="232"/>
      <c r="BL134" s="232"/>
      <c r="BM134" s="232"/>
      <c r="BN134" s="232"/>
      <c r="BO134" s="232"/>
      <c r="BP134" s="232"/>
      <c r="BQ134" s="232"/>
      <c r="BR134" s="232"/>
      <c r="BS134" s="232"/>
      <c r="BT134" s="232"/>
      <c r="BU134" s="232"/>
      <c r="BV134" s="232"/>
    </row>
    <row r="135" spans="1:74" ht="90" hidden="1" x14ac:dyDescent="0.25">
      <c r="A135" s="205" t="s">
        <v>438</v>
      </c>
      <c r="B135" s="205" t="s">
        <v>439</v>
      </c>
      <c r="C135" s="205"/>
      <c r="D135" s="205" t="s">
        <v>852</v>
      </c>
      <c r="E135" s="206" t="s">
        <v>845</v>
      </c>
      <c r="F135" s="458" t="s">
        <v>41</v>
      </c>
      <c r="G135" s="178">
        <v>1</v>
      </c>
      <c r="H135" s="458" t="s">
        <v>42</v>
      </c>
      <c r="I135" s="459" t="s">
        <v>440</v>
      </c>
      <c r="J135" s="207">
        <v>46153</v>
      </c>
      <c r="K135" s="208" t="s">
        <v>461</v>
      </c>
      <c r="L135" s="209" t="s">
        <v>441</v>
      </c>
      <c r="M135" s="207" t="s">
        <v>462</v>
      </c>
      <c r="N135" s="210">
        <v>120000</v>
      </c>
      <c r="O135" s="210" t="s">
        <v>450</v>
      </c>
      <c r="P135" s="210" t="s">
        <v>444</v>
      </c>
      <c r="Q135" s="211">
        <f>IF(O135="IVA Incluido",(N135/1.19),N135)</f>
        <v>120000</v>
      </c>
      <c r="R135" s="212">
        <f>IF(P135="Si tiene IVA",Q135*19%,0)</f>
        <v>22800</v>
      </c>
      <c r="S135" s="212">
        <f>Q135+R135</f>
        <v>142800</v>
      </c>
      <c r="T135" s="212">
        <f>IF(B135="","",(N135*G135))</f>
        <v>120000</v>
      </c>
      <c r="U135" s="212">
        <f>IF(B135="","",(S135*G135))</f>
        <v>142800</v>
      </c>
      <c r="V135" s="460" t="s">
        <v>440</v>
      </c>
      <c r="W135" s="213">
        <v>46153</v>
      </c>
      <c r="X135" s="214" t="s">
        <v>850</v>
      </c>
      <c r="Y135" s="215" t="s">
        <v>441</v>
      </c>
      <c r="Z135" s="216" t="s">
        <v>851</v>
      </c>
      <c r="AA135" s="217">
        <v>108000</v>
      </c>
      <c r="AB135" s="217" t="s">
        <v>450</v>
      </c>
      <c r="AC135" s="217" t="s">
        <v>444</v>
      </c>
      <c r="AD135" s="218">
        <f>IF(AB135="IVA Incluido",(AA135/1.19),AA135)</f>
        <v>108000</v>
      </c>
      <c r="AE135" s="219">
        <f>IF(AC135="Si tiene IVA",AD135*19%,0)</f>
        <v>20520</v>
      </c>
      <c r="AF135" s="219">
        <f>AD135+AE135</f>
        <v>128520</v>
      </c>
      <c r="AG135" s="219">
        <f>IF(O135="","",(AA135*G135))</f>
        <v>108000</v>
      </c>
      <c r="AH135" s="219">
        <f>IF(O135="","",(AF135*G135))</f>
        <v>128520</v>
      </c>
      <c r="AI135" s="461" t="s">
        <v>440</v>
      </c>
      <c r="AJ135" s="220">
        <v>46153</v>
      </c>
      <c r="AK135" s="221" t="s">
        <v>853</v>
      </c>
      <c r="AL135" s="222" t="s">
        <v>441</v>
      </c>
      <c r="AM135" s="223" t="s">
        <v>854</v>
      </c>
      <c r="AN135" s="224">
        <v>150000</v>
      </c>
      <c r="AO135" s="224" t="s">
        <v>450</v>
      </c>
      <c r="AP135" s="225" t="s">
        <v>468</v>
      </c>
      <c r="AQ135" s="226">
        <f>IF(AO135="IVA Incluido",(AN135/1.19),AN135)</f>
        <v>150000</v>
      </c>
      <c r="AR135" s="227">
        <f>IF(AP135="Si tiene IVA",AQ135*19%,0)</f>
        <v>0</v>
      </c>
      <c r="AS135" s="227">
        <f>AQ135+AR135</f>
        <v>150000</v>
      </c>
      <c r="AT135" s="227">
        <f>IF(AB135="","",(AN135*G135))</f>
        <v>150000</v>
      </c>
      <c r="AU135" s="227">
        <f>IF(AB135="","",(AS135*G135))</f>
        <v>150000</v>
      </c>
      <c r="AV135" s="228">
        <f>IF(A135="","",AVERAGE(S135,AF135,AS135))</f>
        <v>140440</v>
      </c>
      <c r="AW135" s="228">
        <f>IF(A135="","",AVERAGE(U135,AH135,AU135))</f>
        <v>140440</v>
      </c>
      <c r="AX135" s="228">
        <f>IF(N135="","",STDEV(U135,AH135,AU135))</f>
        <v>10932.73982128908</v>
      </c>
      <c r="AY135" s="229">
        <f>IF(N135="","",(AX135/AW135))</f>
        <v>7.784633880154572E-2</v>
      </c>
      <c r="AZ135" s="230" t="s">
        <v>848</v>
      </c>
      <c r="BA135" s="231">
        <f>COUNTA(M135,Z135,AM135)</f>
        <v>3</v>
      </c>
      <c r="BB135" s="231"/>
      <c r="BC135" s="231"/>
      <c r="BD135" s="231"/>
      <c r="BE135" s="231"/>
      <c r="BF135" s="231"/>
      <c r="BG135" s="231"/>
      <c r="BH135" s="231">
        <v>11</v>
      </c>
      <c r="BI135" s="232"/>
      <c r="BJ135" s="232"/>
      <c r="BK135" s="232"/>
      <c r="BL135" s="232"/>
      <c r="BM135" s="232"/>
      <c r="BN135" s="232"/>
      <c r="BO135" s="232"/>
      <c r="BP135" s="232"/>
      <c r="BQ135" s="232"/>
      <c r="BR135" s="232"/>
      <c r="BS135" s="232"/>
      <c r="BT135" s="232"/>
      <c r="BU135" s="232"/>
      <c r="BV135" s="232"/>
    </row>
    <row r="136" spans="1:74" ht="105" hidden="1" x14ac:dyDescent="0.25">
      <c r="A136" s="205" t="s">
        <v>438</v>
      </c>
      <c r="B136" s="205" t="s">
        <v>501</v>
      </c>
      <c r="C136" s="205">
        <v>44121702</v>
      </c>
      <c r="D136" s="205" t="s">
        <v>46</v>
      </c>
      <c r="E136" s="206" t="s">
        <v>47</v>
      </c>
      <c r="F136" s="458" t="s">
        <v>41</v>
      </c>
      <c r="G136" s="178">
        <v>1</v>
      </c>
      <c r="H136" s="458" t="s">
        <v>42</v>
      </c>
      <c r="I136" s="459" t="s">
        <v>440</v>
      </c>
      <c r="J136" s="207">
        <v>46139</v>
      </c>
      <c r="K136" s="208" t="s">
        <v>855</v>
      </c>
      <c r="L136" s="209" t="s">
        <v>441</v>
      </c>
      <c r="M136" s="207" t="s">
        <v>55</v>
      </c>
      <c r="N136" s="210">
        <v>6435</v>
      </c>
      <c r="O136" s="210" t="s">
        <v>443</v>
      </c>
      <c r="P136" s="210" t="s">
        <v>444</v>
      </c>
      <c r="Q136" s="211">
        <f>IF(O136="IVA Incluido",(N136/1.19),N136)</f>
        <v>5407.5630252100846</v>
      </c>
      <c r="R136" s="212">
        <f>IF(P136="Si tiene IVA",Q136*19%,0)</f>
        <v>1027.4369747899161</v>
      </c>
      <c r="S136" s="212">
        <f>Q136+R136</f>
        <v>6435.0000000000009</v>
      </c>
      <c r="T136" s="212">
        <f>IF(B136="","",(N136*G136))</f>
        <v>6435</v>
      </c>
      <c r="U136" s="212">
        <f>IF(B136="","",(S136*G136))</f>
        <v>6435.0000000000009</v>
      </c>
      <c r="V136" s="460" t="s">
        <v>440</v>
      </c>
      <c r="W136" s="213">
        <v>46139</v>
      </c>
      <c r="X136" s="214" t="s">
        <v>705</v>
      </c>
      <c r="Y136" s="215" t="s">
        <v>446</v>
      </c>
      <c r="Z136" s="216" t="s">
        <v>856</v>
      </c>
      <c r="AA136" s="217">
        <v>5508</v>
      </c>
      <c r="AB136" s="217" t="s">
        <v>443</v>
      </c>
      <c r="AC136" s="217" t="s">
        <v>444</v>
      </c>
      <c r="AD136" s="218">
        <f>IF(AB136="IVA Incluido",(AA136/1.19),AA136)</f>
        <v>4628.5714285714284</v>
      </c>
      <c r="AE136" s="219">
        <f>IF(AC136="Si tiene IVA",AD136*19%,0)</f>
        <v>879.42857142857144</v>
      </c>
      <c r="AF136" s="219">
        <f>AD136+AE136</f>
        <v>5508</v>
      </c>
      <c r="AG136" s="219">
        <f>IF(O136="","",(AA136*G136))</f>
        <v>5508</v>
      </c>
      <c r="AH136" s="219">
        <f>IF(O136="","",(AF136*G136))</f>
        <v>5508</v>
      </c>
      <c r="AI136" s="461" t="s">
        <v>440</v>
      </c>
      <c r="AJ136" s="220">
        <v>46139</v>
      </c>
      <c r="AK136" s="221" t="s">
        <v>857</v>
      </c>
      <c r="AL136" s="222" t="s">
        <v>446</v>
      </c>
      <c r="AM136" s="223" t="s">
        <v>858</v>
      </c>
      <c r="AN136" s="224">
        <v>5913</v>
      </c>
      <c r="AO136" s="224" t="s">
        <v>443</v>
      </c>
      <c r="AP136" s="225" t="s">
        <v>444</v>
      </c>
      <c r="AQ136" s="226">
        <f>IF(AO136="IVA Incluido",(AN136/1.19),AN136)</f>
        <v>4968.90756302521</v>
      </c>
      <c r="AR136" s="227">
        <f>IF(AP136="Si tiene IVA",AQ136*19%,0)</f>
        <v>944.09243697478996</v>
      </c>
      <c r="AS136" s="227">
        <f>AQ136+AR136</f>
        <v>5913</v>
      </c>
      <c r="AT136" s="227">
        <f>IF(AB136="","",(AN136*G136))</f>
        <v>5913</v>
      </c>
      <c r="AU136" s="227">
        <f>IF(AB136="","",(AS136*G136))</f>
        <v>5913</v>
      </c>
      <c r="AV136" s="228">
        <f>IF(A136="","",AVERAGE(S136,AF136,AS136))</f>
        <v>5952</v>
      </c>
      <c r="AW136" s="228">
        <f>IF(A136="","",AVERAGE(U136,AH136,AU136))</f>
        <v>5952</v>
      </c>
      <c r="AX136" s="228">
        <f>IF(N136="","",STDEV(U136,AH136,AU136))</f>
        <v>464.72895326200671</v>
      </c>
      <c r="AY136" s="229">
        <f>IF(N136="","",(AX136/AW136))</f>
        <v>7.8079461233536068E-2</v>
      </c>
      <c r="AZ136" s="230"/>
      <c r="BA136" s="231">
        <f>COUNTA(M136,Z136,AM136)</f>
        <v>3</v>
      </c>
      <c r="BB136" s="231"/>
      <c r="BC136" s="231"/>
      <c r="BD136" s="231"/>
      <c r="BE136" s="231"/>
      <c r="BF136" s="231"/>
      <c r="BG136" s="231"/>
      <c r="BH136" s="231">
        <v>34</v>
      </c>
      <c r="BI136" s="232"/>
      <c r="BJ136" s="232"/>
      <c r="BK136" s="232"/>
      <c r="BL136" s="232"/>
      <c r="BM136" s="232"/>
      <c r="BN136" s="232"/>
      <c r="BO136" s="232"/>
      <c r="BP136" s="232"/>
      <c r="BQ136" s="232"/>
      <c r="BR136" s="232"/>
      <c r="BS136" s="232"/>
      <c r="BT136" s="232"/>
      <c r="BU136" s="232"/>
      <c r="BV136" s="232"/>
    </row>
    <row r="137" spans="1:74" ht="378" hidden="1" x14ac:dyDescent="0.25">
      <c r="A137" s="205" t="s">
        <v>496</v>
      </c>
      <c r="B137" s="205" t="s">
        <v>496</v>
      </c>
      <c r="C137" s="205" t="s">
        <v>496</v>
      </c>
      <c r="D137" s="205" t="s">
        <v>859</v>
      </c>
      <c r="E137" s="206" t="s">
        <v>860</v>
      </c>
      <c r="F137" s="458" t="s">
        <v>499</v>
      </c>
      <c r="G137" s="178">
        <v>1</v>
      </c>
      <c r="H137" s="458"/>
      <c r="I137" s="459" t="s">
        <v>496</v>
      </c>
      <c r="J137" s="207" t="s">
        <v>496</v>
      </c>
      <c r="K137" s="208" t="s">
        <v>496</v>
      </c>
      <c r="L137" s="209" t="s">
        <v>496</v>
      </c>
      <c r="M137" s="207" t="s">
        <v>496</v>
      </c>
      <c r="N137" s="210"/>
      <c r="O137" s="210"/>
      <c r="P137" s="210"/>
      <c r="Q137" s="211" t="s">
        <v>500</v>
      </c>
      <c r="R137" s="212" t="s">
        <v>500</v>
      </c>
      <c r="S137" s="212" t="s">
        <v>500</v>
      </c>
      <c r="T137" s="212" t="s">
        <v>500</v>
      </c>
      <c r="U137" s="212" t="s">
        <v>500</v>
      </c>
      <c r="V137" s="460" t="s">
        <v>496</v>
      </c>
      <c r="W137" s="213" t="s">
        <v>496</v>
      </c>
      <c r="X137" s="214" t="s">
        <v>496</v>
      </c>
      <c r="Y137" s="215" t="s">
        <v>496</v>
      </c>
      <c r="Z137" s="216" t="s">
        <v>165</v>
      </c>
      <c r="AA137" s="217" t="s">
        <v>496</v>
      </c>
      <c r="AB137" s="217" t="s">
        <v>496</v>
      </c>
      <c r="AC137" s="217" t="s">
        <v>496</v>
      </c>
      <c r="AD137" s="218" t="s">
        <v>496</v>
      </c>
      <c r="AE137" s="219" t="s">
        <v>496</v>
      </c>
      <c r="AF137" s="219">
        <v>488125</v>
      </c>
      <c r="AG137" s="219">
        <v>5.5599999999999997E-2</v>
      </c>
      <c r="AH137" s="219">
        <v>515265</v>
      </c>
      <c r="AI137" s="461" t="s">
        <v>496</v>
      </c>
      <c r="AJ137" s="220" t="s">
        <v>496</v>
      </c>
      <c r="AK137" s="221" t="s">
        <v>496</v>
      </c>
      <c r="AL137" s="222" t="s">
        <v>496</v>
      </c>
      <c r="AM137" s="223" t="s">
        <v>166</v>
      </c>
      <c r="AN137" s="224" t="s">
        <v>496</v>
      </c>
      <c r="AO137" s="224" t="s">
        <v>496</v>
      </c>
      <c r="AP137" s="225" t="s">
        <v>496</v>
      </c>
      <c r="AQ137" s="226">
        <v>426597</v>
      </c>
      <c r="AR137" s="227">
        <v>81053</v>
      </c>
      <c r="AS137" s="227">
        <v>507650</v>
      </c>
      <c r="AT137" s="227">
        <v>426597</v>
      </c>
      <c r="AU137" s="227">
        <v>507650</v>
      </c>
      <c r="AV137" s="228">
        <v>511457</v>
      </c>
      <c r="AW137" s="228">
        <v>511457</v>
      </c>
      <c r="AX137" s="228">
        <v>5384.44</v>
      </c>
      <c r="AY137" s="229">
        <v>1.0500000000000001E-2</v>
      </c>
      <c r="AZ137" s="230"/>
      <c r="BA137" s="231"/>
      <c r="BB137" s="231"/>
      <c r="BC137" s="231"/>
      <c r="BD137" s="231"/>
      <c r="BE137" s="231"/>
      <c r="BF137" s="231"/>
      <c r="BG137" s="231"/>
      <c r="BH137" s="231"/>
      <c r="BI137" s="232"/>
      <c r="BJ137" s="232"/>
      <c r="BK137" s="232"/>
      <c r="BL137" s="232"/>
      <c r="BM137" s="232"/>
      <c r="BN137" s="232"/>
      <c r="BO137" s="232"/>
      <c r="BP137" s="232"/>
      <c r="BQ137" s="232"/>
      <c r="BR137" s="232"/>
      <c r="BS137" s="232"/>
      <c r="BT137" s="232"/>
      <c r="BU137" s="232"/>
      <c r="BV137" s="232"/>
    </row>
    <row r="138" spans="1:74" ht="126" hidden="1" x14ac:dyDescent="0.25">
      <c r="A138" s="205" t="s">
        <v>438</v>
      </c>
      <c r="B138" s="205" t="s">
        <v>487</v>
      </c>
      <c r="C138" s="205">
        <v>90101603</v>
      </c>
      <c r="D138" s="205" t="s">
        <v>861</v>
      </c>
      <c r="E138" s="206" t="s">
        <v>862</v>
      </c>
      <c r="F138" s="458" t="s">
        <v>176</v>
      </c>
      <c r="G138" s="178">
        <v>1</v>
      </c>
      <c r="H138" s="458" t="s">
        <v>42</v>
      </c>
      <c r="I138" s="459" t="s">
        <v>440</v>
      </c>
      <c r="J138" s="207">
        <v>46119</v>
      </c>
      <c r="K138" s="208" t="s">
        <v>611</v>
      </c>
      <c r="L138" s="209" t="s">
        <v>446</v>
      </c>
      <c r="M138" s="207" t="s">
        <v>185</v>
      </c>
      <c r="N138" s="210">
        <v>766800</v>
      </c>
      <c r="O138" s="210" t="s">
        <v>513</v>
      </c>
      <c r="P138" s="210" t="s">
        <v>514</v>
      </c>
      <c r="Q138" s="211">
        <f>IF(O138="IVA Incluido",(N138/1.19),N138)</f>
        <v>766800</v>
      </c>
      <c r="R138" s="212">
        <f>IF(P138="Si tiene IVA",Q138*19%,0)</f>
        <v>0</v>
      </c>
      <c r="S138" s="212">
        <f t="shared" ref="S138:S153" si="83">Q138+R138</f>
        <v>766800</v>
      </c>
      <c r="T138" s="212">
        <f>IF(B138="","",(N138*G138))</f>
        <v>766800</v>
      </c>
      <c r="U138" s="212">
        <f>IF(B138="","",(S138*G138))</f>
        <v>766800</v>
      </c>
      <c r="V138" s="460" t="s">
        <v>440</v>
      </c>
      <c r="W138" s="213">
        <v>46094</v>
      </c>
      <c r="X138" s="214" t="s">
        <v>517</v>
      </c>
      <c r="Y138" s="215" t="s">
        <v>446</v>
      </c>
      <c r="Z138" s="216" t="s">
        <v>101</v>
      </c>
      <c r="AA138" s="217">
        <v>1282500</v>
      </c>
      <c r="AB138" s="217" t="s">
        <v>513</v>
      </c>
      <c r="AC138" s="217" t="s">
        <v>514</v>
      </c>
      <c r="AD138" s="218">
        <f>IF(AB138="IVA Incluido",(AA138/1.19),AA138)</f>
        <v>1282500</v>
      </c>
      <c r="AE138" s="219">
        <f>IF(AC138="Si tiene IVA",AD138*19%,0)</f>
        <v>0</v>
      </c>
      <c r="AF138" s="219">
        <f t="shared" ref="AF138:AF153" si="84">AD138+AE138</f>
        <v>1282500</v>
      </c>
      <c r="AG138" s="219">
        <f>IF(O138="","",(AA138*G138))</f>
        <v>1282500</v>
      </c>
      <c r="AH138" s="219">
        <f>IF(O138="","",(AF138*G138))</f>
        <v>1282500</v>
      </c>
      <c r="AI138" s="461" t="s">
        <v>863</v>
      </c>
      <c r="AJ138" s="220"/>
      <c r="AK138" s="221"/>
      <c r="AL138" s="222" t="s">
        <v>446</v>
      </c>
      <c r="AM138" s="223" t="s">
        <v>864</v>
      </c>
      <c r="AN138" s="224">
        <v>1200000</v>
      </c>
      <c r="AO138" s="224" t="s">
        <v>450</v>
      </c>
      <c r="AP138" s="225" t="s">
        <v>444</v>
      </c>
      <c r="AQ138" s="226">
        <f>IF(AO138="IVA Incluido",(AN138/1.19),AN138)</f>
        <v>1200000</v>
      </c>
      <c r="AR138" s="227">
        <f t="shared" ref="AR138:AR153" si="85">IF(AP138="Si tiene IVA",AQ138*19%,0)</f>
        <v>228000</v>
      </c>
      <c r="AS138" s="227">
        <f t="shared" ref="AS138:AS153" si="86">AQ138+AR138</f>
        <v>1428000</v>
      </c>
      <c r="AT138" s="227">
        <f t="shared" ref="AT138:AT153" si="87">IF(AB138="","",(AN138*G138))</f>
        <v>1200000</v>
      </c>
      <c r="AU138" s="227">
        <f t="shared" ref="AU138:AU153" si="88">IF(AB138="","",(AS138*G138))</f>
        <v>1428000</v>
      </c>
      <c r="AV138" s="228">
        <f>IF(A138="","",AVERAGE(AF138,AS138))</f>
        <v>1355250</v>
      </c>
      <c r="AW138" s="228">
        <f>IF(A138="","",AVERAGE(AH138,AU138))</f>
        <v>1355250</v>
      </c>
      <c r="AX138" s="228">
        <f>IF(N138="","",STDEV(AH138,AU138))</f>
        <v>102884.03666264267</v>
      </c>
      <c r="AY138" s="229">
        <f t="shared" ref="AY138:AY153" si="89">IF(N138="","",(AX138/AW138))</f>
        <v>7.5915171859540803E-2</v>
      </c>
      <c r="AZ138" s="230" t="s">
        <v>865</v>
      </c>
      <c r="BA138" s="231">
        <f t="shared" ref="BA138:BA153" si="90">COUNTA(M138,Z138,AM138)</f>
        <v>3</v>
      </c>
      <c r="BB138" s="231"/>
      <c r="BC138" s="231"/>
      <c r="BD138" s="231"/>
      <c r="BE138" s="231"/>
      <c r="BF138" s="231"/>
      <c r="BG138" s="231"/>
      <c r="BH138" s="231">
        <v>23</v>
      </c>
      <c r="BI138" s="232"/>
      <c r="BJ138" s="232"/>
      <c r="BK138" s="232"/>
      <c r="BL138" s="232"/>
      <c r="BM138" s="232"/>
      <c r="BN138" s="232"/>
      <c r="BO138" s="232"/>
      <c r="BP138" s="232"/>
      <c r="BQ138" s="232"/>
      <c r="BR138" s="232"/>
      <c r="BS138" s="232"/>
      <c r="BT138" s="232"/>
      <c r="BU138" s="232"/>
      <c r="BV138" s="232"/>
    </row>
    <row r="139" spans="1:74" ht="126" hidden="1" x14ac:dyDescent="0.25">
      <c r="A139" s="205" t="s">
        <v>438</v>
      </c>
      <c r="B139" s="205" t="s">
        <v>487</v>
      </c>
      <c r="C139" s="205">
        <v>90101603</v>
      </c>
      <c r="D139" s="205" t="s">
        <v>866</v>
      </c>
      <c r="E139" s="206" t="s">
        <v>867</v>
      </c>
      <c r="F139" s="458" t="s">
        <v>176</v>
      </c>
      <c r="G139" s="178">
        <v>1</v>
      </c>
      <c r="H139" s="458" t="s">
        <v>42</v>
      </c>
      <c r="I139" s="459" t="s">
        <v>440</v>
      </c>
      <c r="J139" s="207">
        <v>46134</v>
      </c>
      <c r="K139" s="208" t="s">
        <v>868</v>
      </c>
      <c r="L139" s="209" t="s">
        <v>446</v>
      </c>
      <c r="M139" s="207" t="s">
        <v>101</v>
      </c>
      <c r="N139" s="210">
        <v>641250</v>
      </c>
      <c r="O139" s="210" t="s">
        <v>450</v>
      </c>
      <c r="P139" s="210" t="s">
        <v>514</v>
      </c>
      <c r="Q139" s="211">
        <f>IF(O139="IVA Incluido",(N139/1.19),IF(O139="Ipoconsumo Incluido",(N139/1.08),N139))</f>
        <v>641250</v>
      </c>
      <c r="R139" s="212">
        <f>IF(P139="Si tiene IVA",Q139*19%,IF(P139="Si tiene IPOCONSUMO",Q139*8%,0))</f>
        <v>51300</v>
      </c>
      <c r="S139" s="212">
        <f t="shared" si="83"/>
        <v>692550</v>
      </c>
      <c r="T139" s="212">
        <f>IF(R139="IVA Incluido",(Q139/1.19),IF(R139="Ipoconsumo Incluido",(Q139/1.08),Q139))</f>
        <v>641250</v>
      </c>
      <c r="U139" s="212">
        <f>Q139+R139</f>
        <v>692550</v>
      </c>
      <c r="V139" s="460" t="s">
        <v>440</v>
      </c>
      <c r="W139" s="213">
        <v>46134</v>
      </c>
      <c r="X139" s="214" t="s">
        <v>611</v>
      </c>
      <c r="Y139" s="215" t="s">
        <v>446</v>
      </c>
      <c r="Z139" s="216" t="s">
        <v>185</v>
      </c>
      <c r="AA139" s="217">
        <v>588000</v>
      </c>
      <c r="AB139" s="217" t="s">
        <v>869</v>
      </c>
      <c r="AC139" s="217" t="s">
        <v>514</v>
      </c>
      <c r="AD139" s="218">
        <f>IF(AB139="IVA Incluido",(AA139/1.19),IF(AB139="Ipoconsumo Incluido",(AA139/1.08),AA139))</f>
        <v>544444.44444444438</v>
      </c>
      <c r="AE139" s="219">
        <f>IF(AC139="Si tiene IVA",AD139*19%,IF(AC139="Si tiene IPOCONSUMO",AD139*8%,0))</f>
        <v>43555.555555555555</v>
      </c>
      <c r="AF139" s="219">
        <f t="shared" si="84"/>
        <v>587999.99999999988</v>
      </c>
      <c r="AG139" s="219">
        <f>IF(AE139="IVA Incluido",(AD139/1.19),IF(AE139="Ipoconsumo Incluido",(AD139/1.08),AD139))</f>
        <v>544444.44444444438</v>
      </c>
      <c r="AH139" s="219">
        <f>AD139+AE139</f>
        <v>587999.99999999988</v>
      </c>
      <c r="AI139" s="461"/>
      <c r="AJ139" s="220"/>
      <c r="AK139" s="221"/>
      <c r="AL139" s="222"/>
      <c r="AM139" s="223"/>
      <c r="AN139" s="224"/>
      <c r="AO139" s="224"/>
      <c r="AP139" s="225"/>
      <c r="AQ139" s="226"/>
      <c r="AR139" s="227">
        <f t="shared" si="85"/>
        <v>0</v>
      </c>
      <c r="AS139" s="227">
        <f t="shared" si="86"/>
        <v>0</v>
      </c>
      <c r="AT139" s="227">
        <f t="shared" si="87"/>
        <v>0</v>
      </c>
      <c r="AU139" s="227">
        <f t="shared" si="88"/>
        <v>0</v>
      </c>
      <c r="AV139" s="228">
        <f>IF(A139="","",AVERAGE(S139,AF139))</f>
        <v>640275</v>
      </c>
      <c r="AW139" s="228">
        <f>IF(A139="","",AVERAGE(U139,AH139))</f>
        <v>640275</v>
      </c>
      <c r="AX139" s="228">
        <f>IF(N139="","",STDEV(U139,AH139))</f>
        <v>73928.013973053632</v>
      </c>
      <c r="AY139" s="229">
        <f t="shared" si="89"/>
        <v>0.11546290886424369</v>
      </c>
      <c r="AZ139" s="230" t="s">
        <v>865</v>
      </c>
      <c r="BA139" s="231">
        <f t="shared" si="90"/>
        <v>2</v>
      </c>
      <c r="BB139" s="231"/>
      <c r="BC139" s="231"/>
      <c r="BD139" s="231"/>
      <c r="BE139" s="231"/>
      <c r="BF139" s="231"/>
      <c r="BG139" s="231"/>
      <c r="BH139" s="231">
        <v>22</v>
      </c>
      <c r="BI139" s="232"/>
      <c r="BJ139" s="232"/>
      <c r="BK139" s="232"/>
      <c r="BL139" s="232"/>
      <c r="BM139" s="232"/>
      <c r="BN139" s="232"/>
      <c r="BO139" s="232"/>
      <c r="BP139" s="232"/>
      <c r="BQ139" s="232"/>
      <c r="BR139" s="232"/>
      <c r="BS139" s="232"/>
      <c r="BT139" s="232"/>
      <c r="BU139" s="232"/>
      <c r="BV139" s="232"/>
    </row>
    <row r="140" spans="1:74" ht="63" hidden="1" x14ac:dyDescent="0.25">
      <c r="A140" s="205" t="s">
        <v>438</v>
      </c>
      <c r="B140" s="205" t="s">
        <v>501</v>
      </c>
      <c r="C140" s="205">
        <v>60141001</v>
      </c>
      <c r="D140" s="205" t="s">
        <v>870</v>
      </c>
      <c r="E140" s="206" t="s">
        <v>871</v>
      </c>
      <c r="F140" s="458" t="s">
        <v>41</v>
      </c>
      <c r="G140" s="178">
        <v>1</v>
      </c>
      <c r="H140" s="458" t="s">
        <v>42</v>
      </c>
      <c r="I140" s="459" t="s">
        <v>452</v>
      </c>
      <c r="J140" s="207">
        <v>46071</v>
      </c>
      <c r="K140" s="208" t="s">
        <v>508</v>
      </c>
      <c r="L140" s="209" t="s">
        <v>446</v>
      </c>
      <c r="M140" s="207" t="s">
        <v>731</v>
      </c>
      <c r="N140" s="210">
        <v>13800</v>
      </c>
      <c r="O140" s="210" t="s">
        <v>443</v>
      </c>
      <c r="P140" s="210" t="s">
        <v>444</v>
      </c>
      <c r="Q140" s="211">
        <f>IF(O140="IVA Incluido",(N140/1.19),N140)</f>
        <v>11596.638655462186</v>
      </c>
      <c r="R140" s="212">
        <f t="shared" ref="R140:R153" si="91">IF(P140="Si tiene IVA",Q140*19%,0)</f>
        <v>2203.3613445378155</v>
      </c>
      <c r="S140" s="212">
        <f t="shared" si="83"/>
        <v>13800.000000000002</v>
      </c>
      <c r="T140" s="212">
        <f t="shared" ref="T140:T153" si="92">IF(B140="","",(N140*G140))</f>
        <v>13800</v>
      </c>
      <c r="U140" s="212">
        <f t="shared" ref="U140:U153" si="93">IF(B140="","",(S140*G140))</f>
        <v>13800.000000000002</v>
      </c>
      <c r="V140" s="460" t="s">
        <v>452</v>
      </c>
      <c r="W140" s="213">
        <v>46071</v>
      </c>
      <c r="X140" s="214" t="s">
        <v>707</v>
      </c>
      <c r="Y140" s="215" t="s">
        <v>446</v>
      </c>
      <c r="Z140" s="216" t="s">
        <v>790</v>
      </c>
      <c r="AA140" s="217">
        <v>10504</v>
      </c>
      <c r="AB140" s="217" t="s">
        <v>450</v>
      </c>
      <c r="AC140" s="217" t="s">
        <v>444</v>
      </c>
      <c r="AD140" s="218">
        <f t="shared" ref="AD140:AD153" si="94">IF(AB140="IVA Incluido",(AA140/1.19),AA140)</f>
        <v>10504</v>
      </c>
      <c r="AE140" s="219">
        <f t="shared" ref="AE140:AE153" si="95">IF(AC140="Si tiene IVA",AD140*19%,0)</f>
        <v>1995.76</v>
      </c>
      <c r="AF140" s="219">
        <f t="shared" si="84"/>
        <v>12499.76</v>
      </c>
      <c r="AG140" s="219">
        <f t="shared" ref="AG140:AG153" si="96">IF(O140="","",(AA140*G140))</f>
        <v>10504</v>
      </c>
      <c r="AH140" s="219">
        <f t="shared" ref="AH140:AH153" si="97">IF(O140="","",(AF140*G140))</f>
        <v>12499.76</v>
      </c>
      <c r="AI140" s="461" t="s">
        <v>452</v>
      </c>
      <c r="AJ140" s="220">
        <v>46071</v>
      </c>
      <c r="AK140" s="221" t="s">
        <v>506</v>
      </c>
      <c r="AL140" s="222" t="s">
        <v>446</v>
      </c>
      <c r="AM140" s="223" t="s">
        <v>507</v>
      </c>
      <c r="AN140" s="224">
        <v>8926</v>
      </c>
      <c r="AO140" s="224" t="s">
        <v>450</v>
      </c>
      <c r="AP140" s="225" t="s">
        <v>444</v>
      </c>
      <c r="AQ140" s="226">
        <f t="shared" ref="AQ140:AQ153" si="98">IF(AO140="IVA Incluido",(AN140/1.19),AN140)</f>
        <v>8926</v>
      </c>
      <c r="AR140" s="227">
        <f t="shared" si="85"/>
        <v>1695.94</v>
      </c>
      <c r="AS140" s="227">
        <f t="shared" si="86"/>
        <v>10621.94</v>
      </c>
      <c r="AT140" s="227">
        <f t="shared" si="87"/>
        <v>8926</v>
      </c>
      <c r="AU140" s="227">
        <f t="shared" si="88"/>
        <v>10621.94</v>
      </c>
      <c r="AV140" s="228">
        <f t="shared" ref="AV140:AV153" si="99">IF(A140="","",AVERAGE(S140,AF140,AS140))</f>
        <v>12307.233333333335</v>
      </c>
      <c r="AW140" s="228">
        <f t="shared" ref="AW140:AW153" si="100">IF(A140="","",AVERAGE(U140,AH140,AU140))</f>
        <v>12307.233333333335</v>
      </c>
      <c r="AX140" s="228">
        <f t="shared" ref="AX140:AX153" si="101">IF(N140="","",STDEV(U140,AH140,AU140))</f>
        <v>1597.7534944206207</v>
      </c>
      <c r="AY140" s="229">
        <f t="shared" si="89"/>
        <v>0.12982231271208697</v>
      </c>
      <c r="AZ140" s="230"/>
      <c r="BA140" s="231">
        <f t="shared" si="90"/>
        <v>3</v>
      </c>
      <c r="BB140" s="231"/>
      <c r="BC140" s="231"/>
      <c r="BD140" s="231"/>
      <c r="BE140" s="231"/>
      <c r="BF140" s="231"/>
      <c r="BG140" s="231"/>
      <c r="BH140" s="231">
        <v>35</v>
      </c>
      <c r="BI140" s="232"/>
      <c r="BJ140" s="232"/>
      <c r="BK140" s="232"/>
      <c r="BL140" s="232"/>
      <c r="BM140" s="232"/>
      <c r="BN140" s="232"/>
      <c r="BO140" s="232"/>
      <c r="BP140" s="232"/>
      <c r="BQ140" s="232"/>
      <c r="BR140" s="232"/>
      <c r="BS140" s="232"/>
      <c r="BT140" s="232"/>
      <c r="BU140" s="232"/>
      <c r="BV140" s="232"/>
    </row>
    <row r="141" spans="1:74" ht="84" hidden="1" x14ac:dyDescent="0.25">
      <c r="A141" s="205" t="s">
        <v>438</v>
      </c>
      <c r="B141" s="205" t="s">
        <v>439</v>
      </c>
      <c r="C141" s="205">
        <v>53102516</v>
      </c>
      <c r="D141" s="205" t="s">
        <v>872</v>
      </c>
      <c r="E141" s="206" t="s">
        <v>873</v>
      </c>
      <c r="F141" s="458" t="s">
        <v>41</v>
      </c>
      <c r="G141" s="178">
        <v>1</v>
      </c>
      <c r="H141" s="458" t="s">
        <v>42</v>
      </c>
      <c r="I141" s="459" t="s">
        <v>482</v>
      </c>
      <c r="J141" s="207">
        <v>46070</v>
      </c>
      <c r="K141" s="208" t="s">
        <v>453</v>
      </c>
      <c r="L141" s="209" t="s">
        <v>446</v>
      </c>
      <c r="M141" s="207" t="s">
        <v>449</v>
      </c>
      <c r="N141" s="210">
        <v>28000</v>
      </c>
      <c r="O141" s="210" t="s">
        <v>450</v>
      </c>
      <c r="P141" s="210" t="s">
        <v>444</v>
      </c>
      <c r="Q141" s="211">
        <f>IF(O141="IVA Incluido",(N141/1.19),N141)</f>
        <v>28000</v>
      </c>
      <c r="R141" s="212">
        <f t="shared" si="91"/>
        <v>5320</v>
      </c>
      <c r="S141" s="212">
        <f t="shared" si="83"/>
        <v>33320</v>
      </c>
      <c r="T141" s="212">
        <f t="shared" si="92"/>
        <v>28000</v>
      </c>
      <c r="U141" s="212">
        <f t="shared" si="93"/>
        <v>33320</v>
      </c>
      <c r="V141" s="460" t="s">
        <v>482</v>
      </c>
      <c r="W141" s="213">
        <v>46071</v>
      </c>
      <c r="X141" s="214" t="s">
        <v>460</v>
      </c>
      <c r="Y141" s="215" t="s">
        <v>446</v>
      </c>
      <c r="Z141" s="216" t="s">
        <v>457</v>
      </c>
      <c r="AA141" s="217">
        <v>25000</v>
      </c>
      <c r="AB141" s="217" t="s">
        <v>450</v>
      </c>
      <c r="AC141" s="217" t="s">
        <v>468</v>
      </c>
      <c r="AD141" s="218">
        <f t="shared" si="94"/>
        <v>25000</v>
      </c>
      <c r="AE141" s="219">
        <f t="shared" si="95"/>
        <v>0</v>
      </c>
      <c r="AF141" s="219">
        <f t="shared" si="84"/>
        <v>25000</v>
      </c>
      <c r="AG141" s="219">
        <f t="shared" si="96"/>
        <v>25000</v>
      </c>
      <c r="AH141" s="219">
        <f t="shared" si="97"/>
        <v>25000</v>
      </c>
      <c r="AI141" s="461" t="s">
        <v>482</v>
      </c>
      <c r="AJ141" s="220">
        <v>46071</v>
      </c>
      <c r="AK141" s="221" t="s">
        <v>466</v>
      </c>
      <c r="AL141" s="222" t="s">
        <v>446</v>
      </c>
      <c r="AM141" s="223" t="s">
        <v>467</v>
      </c>
      <c r="AN141" s="224">
        <v>25000</v>
      </c>
      <c r="AO141" s="224" t="s">
        <v>450</v>
      </c>
      <c r="AP141" s="225" t="s">
        <v>468</v>
      </c>
      <c r="AQ141" s="226">
        <f t="shared" si="98"/>
        <v>25000</v>
      </c>
      <c r="AR141" s="227">
        <f t="shared" si="85"/>
        <v>0</v>
      </c>
      <c r="AS141" s="227">
        <f t="shared" si="86"/>
        <v>25000</v>
      </c>
      <c r="AT141" s="227">
        <f t="shared" si="87"/>
        <v>25000</v>
      </c>
      <c r="AU141" s="227">
        <f t="shared" si="88"/>
        <v>25000</v>
      </c>
      <c r="AV141" s="228">
        <f t="shared" si="99"/>
        <v>27773.333333333332</v>
      </c>
      <c r="AW141" s="228">
        <f t="shared" si="100"/>
        <v>27773.333333333332</v>
      </c>
      <c r="AX141" s="228">
        <f t="shared" si="101"/>
        <v>4803.5542396576784</v>
      </c>
      <c r="AY141" s="229">
        <f t="shared" si="89"/>
        <v>0.17295562552776086</v>
      </c>
      <c r="AZ141" s="230"/>
      <c r="BA141" s="231">
        <f t="shared" si="90"/>
        <v>3</v>
      </c>
      <c r="BB141" s="231"/>
      <c r="BC141" s="231"/>
      <c r="BD141" s="231"/>
      <c r="BE141" s="231"/>
      <c r="BF141" s="231"/>
      <c r="BG141" s="231"/>
      <c r="BH141" s="231">
        <v>85</v>
      </c>
      <c r="BI141" s="232"/>
      <c r="BJ141" s="232"/>
      <c r="BK141" s="232"/>
      <c r="BL141" s="232"/>
      <c r="BM141" s="232"/>
      <c r="BN141" s="232"/>
      <c r="BO141" s="232"/>
      <c r="BP141" s="232"/>
      <c r="BQ141" s="232"/>
      <c r="BR141" s="232"/>
      <c r="BS141" s="232"/>
      <c r="BT141" s="232"/>
      <c r="BU141" s="232"/>
      <c r="BV141" s="232"/>
    </row>
    <row r="142" spans="1:74" ht="63" hidden="1" x14ac:dyDescent="0.25">
      <c r="A142" s="205" t="s">
        <v>438</v>
      </c>
      <c r="B142" s="205" t="s">
        <v>439</v>
      </c>
      <c r="C142" s="205">
        <v>53102516</v>
      </c>
      <c r="D142" s="205" t="s">
        <v>874</v>
      </c>
      <c r="E142" s="206" t="s">
        <v>875</v>
      </c>
      <c r="F142" s="458" t="s">
        <v>41</v>
      </c>
      <c r="G142" s="178">
        <v>1</v>
      </c>
      <c r="H142" s="458" t="s">
        <v>42</v>
      </c>
      <c r="I142" s="459" t="s">
        <v>482</v>
      </c>
      <c r="J142" s="207">
        <v>46072</v>
      </c>
      <c r="K142" s="208" t="s">
        <v>483</v>
      </c>
      <c r="L142" s="209" t="s">
        <v>446</v>
      </c>
      <c r="M142" s="207" t="s">
        <v>462</v>
      </c>
      <c r="N142" s="210">
        <v>18000</v>
      </c>
      <c r="O142" s="210" t="s">
        <v>450</v>
      </c>
      <c r="P142" s="210" t="s">
        <v>444</v>
      </c>
      <c r="Q142" s="211">
        <f>IF(O142="IVA Incluido",(N142/1.19),N142)</f>
        <v>18000</v>
      </c>
      <c r="R142" s="212">
        <f t="shared" si="91"/>
        <v>3420</v>
      </c>
      <c r="S142" s="212">
        <f t="shared" si="83"/>
        <v>21420</v>
      </c>
      <c r="T142" s="212">
        <f t="shared" si="92"/>
        <v>18000</v>
      </c>
      <c r="U142" s="212">
        <f t="shared" si="93"/>
        <v>21420</v>
      </c>
      <c r="V142" s="460" t="s">
        <v>482</v>
      </c>
      <c r="W142" s="213">
        <v>46072</v>
      </c>
      <c r="X142" s="214" t="s">
        <v>460</v>
      </c>
      <c r="Y142" s="215" t="s">
        <v>446</v>
      </c>
      <c r="Z142" s="216" t="s">
        <v>457</v>
      </c>
      <c r="AA142" s="217">
        <v>20500</v>
      </c>
      <c r="AB142" s="217" t="s">
        <v>443</v>
      </c>
      <c r="AC142" s="217" t="s">
        <v>444</v>
      </c>
      <c r="AD142" s="218">
        <f t="shared" si="94"/>
        <v>17226.89075630252</v>
      </c>
      <c r="AE142" s="219">
        <f t="shared" si="95"/>
        <v>3273.1092436974791</v>
      </c>
      <c r="AF142" s="219">
        <f t="shared" si="84"/>
        <v>20500</v>
      </c>
      <c r="AG142" s="219">
        <f t="shared" si="96"/>
        <v>20500</v>
      </c>
      <c r="AH142" s="219">
        <f t="shared" si="97"/>
        <v>20500</v>
      </c>
      <c r="AI142" s="461" t="s">
        <v>482</v>
      </c>
      <c r="AJ142" s="220">
        <v>46072</v>
      </c>
      <c r="AK142" s="221" t="s">
        <v>466</v>
      </c>
      <c r="AL142" s="222" t="s">
        <v>446</v>
      </c>
      <c r="AM142" s="223" t="s">
        <v>467</v>
      </c>
      <c r="AN142" s="224">
        <v>25000</v>
      </c>
      <c r="AO142" s="224" t="s">
        <v>450</v>
      </c>
      <c r="AP142" s="225" t="s">
        <v>468</v>
      </c>
      <c r="AQ142" s="226">
        <f t="shared" si="98"/>
        <v>25000</v>
      </c>
      <c r="AR142" s="227">
        <f t="shared" si="85"/>
        <v>0</v>
      </c>
      <c r="AS142" s="227">
        <f t="shared" si="86"/>
        <v>25000</v>
      </c>
      <c r="AT142" s="227">
        <f t="shared" si="87"/>
        <v>25000</v>
      </c>
      <c r="AU142" s="227">
        <f t="shared" si="88"/>
        <v>25000</v>
      </c>
      <c r="AV142" s="228">
        <f t="shared" si="99"/>
        <v>22306.666666666668</v>
      </c>
      <c r="AW142" s="228">
        <f t="shared" si="100"/>
        <v>22306.666666666668</v>
      </c>
      <c r="AX142" s="228">
        <f t="shared" si="101"/>
        <v>2377.4215724884243</v>
      </c>
      <c r="AY142" s="229">
        <f t="shared" si="89"/>
        <v>0.10657897067342009</v>
      </c>
      <c r="AZ142" s="230"/>
      <c r="BA142" s="231">
        <f t="shared" si="90"/>
        <v>3</v>
      </c>
      <c r="BB142" s="231"/>
      <c r="BC142" s="231"/>
      <c r="BD142" s="231"/>
      <c r="BE142" s="231"/>
      <c r="BF142" s="231"/>
      <c r="BG142" s="231"/>
      <c r="BH142" s="231">
        <v>86</v>
      </c>
      <c r="BI142" s="232"/>
      <c r="BJ142" s="232"/>
      <c r="BK142" s="232"/>
      <c r="BL142" s="232"/>
      <c r="BM142" s="232"/>
      <c r="BN142" s="232"/>
      <c r="BO142" s="232"/>
      <c r="BP142" s="232"/>
      <c r="BQ142" s="232"/>
      <c r="BR142" s="232"/>
      <c r="BS142" s="232"/>
      <c r="BT142" s="232"/>
      <c r="BU142" s="232"/>
      <c r="BV142" s="232"/>
    </row>
    <row r="143" spans="1:74" ht="189" hidden="1" x14ac:dyDescent="0.25">
      <c r="A143" s="205" t="s">
        <v>438</v>
      </c>
      <c r="B143" s="205" t="s">
        <v>439</v>
      </c>
      <c r="C143" s="205">
        <v>53102516</v>
      </c>
      <c r="D143" s="205" t="s">
        <v>876</v>
      </c>
      <c r="E143" s="206" t="s">
        <v>877</v>
      </c>
      <c r="F143" s="458" t="s">
        <v>41</v>
      </c>
      <c r="G143" s="178">
        <v>1</v>
      </c>
      <c r="H143" s="458" t="s">
        <v>42</v>
      </c>
      <c r="I143" s="459" t="s">
        <v>440</v>
      </c>
      <c r="J143" s="207">
        <v>46153</v>
      </c>
      <c r="K143" s="208" t="s">
        <v>484</v>
      </c>
      <c r="L143" s="209" t="s">
        <v>441</v>
      </c>
      <c r="M143" s="207" t="s">
        <v>485</v>
      </c>
      <c r="N143" s="210">
        <v>15000</v>
      </c>
      <c r="O143" s="210" t="s">
        <v>450</v>
      </c>
      <c r="P143" s="210" t="s">
        <v>468</v>
      </c>
      <c r="Q143" s="211">
        <v>15000</v>
      </c>
      <c r="R143" s="212">
        <f t="shared" si="91"/>
        <v>0</v>
      </c>
      <c r="S143" s="212">
        <f t="shared" si="83"/>
        <v>15000</v>
      </c>
      <c r="T143" s="212">
        <f t="shared" si="92"/>
        <v>15000</v>
      </c>
      <c r="U143" s="212">
        <f t="shared" si="93"/>
        <v>15000</v>
      </c>
      <c r="V143" s="460" t="s">
        <v>878</v>
      </c>
      <c r="W143" s="213">
        <v>46147</v>
      </c>
      <c r="X143" s="214" t="s">
        <v>483</v>
      </c>
      <c r="Y143" s="215" t="s">
        <v>441</v>
      </c>
      <c r="Z143" s="216" t="s">
        <v>462</v>
      </c>
      <c r="AA143" s="217">
        <v>15000</v>
      </c>
      <c r="AB143" s="217" t="s">
        <v>450</v>
      </c>
      <c r="AC143" s="217" t="s">
        <v>444</v>
      </c>
      <c r="AD143" s="218">
        <f t="shared" si="94"/>
        <v>15000</v>
      </c>
      <c r="AE143" s="219">
        <f t="shared" si="95"/>
        <v>2850</v>
      </c>
      <c r="AF143" s="219">
        <f t="shared" si="84"/>
        <v>17850</v>
      </c>
      <c r="AG143" s="219">
        <f t="shared" si="96"/>
        <v>15000</v>
      </c>
      <c r="AH143" s="219">
        <f t="shared" si="97"/>
        <v>17850</v>
      </c>
      <c r="AI143" s="461" t="s">
        <v>452</v>
      </c>
      <c r="AJ143" s="220">
        <v>46147</v>
      </c>
      <c r="AK143" s="221" t="s">
        <v>84</v>
      </c>
      <c r="AL143" s="222" t="s">
        <v>441</v>
      </c>
      <c r="AM143" s="223" t="s">
        <v>84</v>
      </c>
      <c r="AN143" s="224">
        <v>18500</v>
      </c>
      <c r="AO143" s="224" t="s">
        <v>468</v>
      </c>
      <c r="AP143" s="225" t="s">
        <v>468</v>
      </c>
      <c r="AQ143" s="226">
        <f t="shared" si="98"/>
        <v>18500</v>
      </c>
      <c r="AR143" s="227">
        <f t="shared" si="85"/>
        <v>0</v>
      </c>
      <c r="AS143" s="227">
        <f t="shared" si="86"/>
        <v>18500</v>
      </c>
      <c r="AT143" s="227">
        <f t="shared" si="87"/>
        <v>18500</v>
      </c>
      <c r="AU143" s="227">
        <f t="shared" si="88"/>
        <v>18500</v>
      </c>
      <c r="AV143" s="228">
        <f t="shared" si="99"/>
        <v>17116.666666666668</v>
      </c>
      <c r="AW143" s="228">
        <f t="shared" si="100"/>
        <v>17116.666666666668</v>
      </c>
      <c r="AX143" s="228">
        <f t="shared" si="101"/>
        <v>1861.6748731540997</v>
      </c>
      <c r="AY143" s="229">
        <f t="shared" si="89"/>
        <v>0.10876386795447515</v>
      </c>
      <c r="AZ143" s="230"/>
      <c r="BA143" s="231">
        <f t="shared" si="90"/>
        <v>3</v>
      </c>
      <c r="BB143" s="231"/>
      <c r="BC143" s="231"/>
      <c r="BD143" s="231"/>
      <c r="BE143" s="231"/>
      <c r="BF143" s="231"/>
      <c r="BG143" s="231"/>
      <c r="BH143" s="231">
        <v>71</v>
      </c>
      <c r="BI143" s="232"/>
      <c r="BJ143" s="232"/>
      <c r="BK143" s="232"/>
      <c r="BL143" s="232"/>
      <c r="BM143" s="232"/>
      <c r="BN143" s="232"/>
      <c r="BO143" s="232"/>
      <c r="BP143" s="232"/>
      <c r="BQ143" s="232"/>
      <c r="BR143" s="232"/>
      <c r="BS143" s="232"/>
      <c r="BT143" s="232"/>
      <c r="BU143" s="232"/>
      <c r="BV143" s="232"/>
    </row>
    <row r="144" spans="1:74" ht="63" hidden="1" x14ac:dyDescent="0.25">
      <c r="A144" s="205" t="s">
        <v>438</v>
      </c>
      <c r="B144" s="205" t="s">
        <v>501</v>
      </c>
      <c r="C144" s="205">
        <v>60121226</v>
      </c>
      <c r="D144" s="205" t="s">
        <v>879</v>
      </c>
      <c r="E144" s="206" t="s">
        <v>880</v>
      </c>
      <c r="F144" s="458" t="s">
        <v>41</v>
      </c>
      <c r="G144" s="178">
        <v>1</v>
      </c>
      <c r="H144" s="458" t="s">
        <v>42</v>
      </c>
      <c r="I144" s="459" t="s">
        <v>452</v>
      </c>
      <c r="J144" s="207">
        <v>46072</v>
      </c>
      <c r="K144" s="208" t="s">
        <v>881</v>
      </c>
      <c r="L144" s="209" t="s">
        <v>446</v>
      </c>
      <c r="M144" s="207" t="s">
        <v>792</v>
      </c>
      <c r="N144" s="210">
        <v>19900</v>
      </c>
      <c r="O144" s="210" t="s">
        <v>443</v>
      </c>
      <c r="P144" s="210" t="s">
        <v>444</v>
      </c>
      <c r="Q144" s="211">
        <f t="shared" ref="Q144:Q153" si="102">IF(O144="IVA Incluido",(N144/1.19),N144)</f>
        <v>16722.689075630253</v>
      </c>
      <c r="R144" s="212">
        <f t="shared" si="91"/>
        <v>3177.3109243697481</v>
      </c>
      <c r="S144" s="212">
        <f t="shared" si="83"/>
        <v>19900</v>
      </c>
      <c r="T144" s="212">
        <f t="shared" si="92"/>
        <v>19900</v>
      </c>
      <c r="U144" s="212">
        <f t="shared" si="93"/>
        <v>19900</v>
      </c>
      <c r="V144" s="460" t="s">
        <v>452</v>
      </c>
      <c r="W144" s="213">
        <v>46072</v>
      </c>
      <c r="X144" s="214" t="s">
        <v>506</v>
      </c>
      <c r="Y144" s="215" t="s">
        <v>446</v>
      </c>
      <c r="Z144" s="216" t="s">
        <v>507</v>
      </c>
      <c r="AA144" s="217">
        <v>18200</v>
      </c>
      <c r="AB144" s="217" t="s">
        <v>450</v>
      </c>
      <c r="AC144" s="217" t="s">
        <v>444</v>
      </c>
      <c r="AD144" s="218">
        <f t="shared" si="94"/>
        <v>18200</v>
      </c>
      <c r="AE144" s="219">
        <f t="shared" si="95"/>
        <v>3458</v>
      </c>
      <c r="AF144" s="219">
        <f t="shared" si="84"/>
        <v>21658</v>
      </c>
      <c r="AG144" s="219">
        <f t="shared" si="96"/>
        <v>18200</v>
      </c>
      <c r="AH144" s="219">
        <f t="shared" si="97"/>
        <v>21658</v>
      </c>
      <c r="AI144" s="461" t="s">
        <v>452</v>
      </c>
      <c r="AJ144" s="220">
        <v>46072</v>
      </c>
      <c r="AK144" s="221" t="s">
        <v>882</v>
      </c>
      <c r="AL144" s="222" t="s">
        <v>446</v>
      </c>
      <c r="AM144" s="223" t="s">
        <v>835</v>
      </c>
      <c r="AN144" s="224">
        <v>17500</v>
      </c>
      <c r="AO144" s="224" t="s">
        <v>443</v>
      </c>
      <c r="AP144" s="225" t="s">
        <v>444</v>
      </c>
      <c r="AQ144" s="226">
        <f t="shared" si="98"/>
        <v>14705.882352941177</v>
      </c>
      <c r="AR144" s="227">
        <f t="shared" si="85"/>
        <v>2794.1176470588234</v>
      </c>
      <c r="AS144" s="227">
        <f t="shared" si="86"/>
        <v>17500</v>
      </c>
      <c r="AT144" s="227">
        <f t="shared" si="87"/>
        <v>17500</v>
      </c>
      <c r="AU144" s="227">
        <f t="shared" si="88"/>
        <v>17500</v>
      </c>
      <c r="AV144" s="228">
        <f t="shared" si="99"/>
        <v>19686</v>
      </c>
      <c r="AW144" s="228">
        <f t="shared" si="100"/>
        <v>19686</v>
      </c>
      <c r="AX144" s="228">
        <f t="shared" si="101"/>
        <v>2087.2441160535104</v>
      </c>
      <c r="AY144" s="229">
        <f t="shared" si="89"/>
        <v>0.1060268269863614</v>
      </c>
      <c r="AZ144" s="230"/>
      <c r="BA144" s="231">
        <f t="shared" si="90"/>
        <v>3</v>
      </c>
      <c r="BB144" s="231"/>
      <c r="BC144" s="231"/>
      <c r="BD144" s="231"/>
      <c r="BE144" s="231"/>
      <c r="BF144" s="231"/>
      <c r="BG144" s="231"/>
      <c r="BH144" s="231">
        <v>36</v>
      </c>
      <c r="BI144" s="232"/>
      <c r="BJ144" s="232"/>
      <c r="BK144" s="232"/>
      <c r="BL144" s="232"/>
      <c r="BM144" s="232"/>
      <c r="BN144" s="232"/>
      <c r="BO144" s="232"/>
      <c r="BP144" s="232"/>
      <c r="BQ144" s="232"/>
      <c r="BR144" s="232"/>
      <c r="BS144" s="232"/>
      <c r="BT144" s="232"/>
      <c r="BU144" s="232"/>
      <c r="BV144" s="232"/>
    </row>
    <row r="145" spans="1:74" ht="63" hidden="1" x14ac:dyDescent="0.25">
      <c r="A145" s="205" t="s">
        <v>438</v>
      </c>
      <c r="B145" s="205" t="s">
        <v>501</v>
      </c>
      <c r="C145" s="205">
        <v>60121226</v>
      </c>
      <c r="D145" s="205" t="s">
        <v>883</v>
      </c>
      <c r="E145" s="206" t="s">
        <v>884</v>
      </c>
      <c r="F145" s="458" t="s">
        <v>41</v>
      </c>
      <c r="G145" s="178">
        <v>1</v>
      </c>
      <c r="H145" s="458" t="s">
        <v>42</v>
      </c>
      <c r="I145" s="459" t="s">
        <v>452</v>
      </c>
      <c r="J145" s="207">
        <v>46072</v>
      </c>
      <c r="K145" s="208" t="s">
        <v>707</v>
      </c>
      <c r="L145" s="209" t="s">
        <v>446</v>
      </c>
      <c r="M145" s="207" t="s">
        <v>708</v>
      </c>
      <c r="N145" s="210">
        <v>18319</v>
      </c>
      <c r="O145" s="210" t="s">
        <v>450</v>
      </c>
      <c r="P145" s="210" t="s">
        <v>444</v>
      </c>
      <c r="Q145" s="211">
        <f t="shared" si="102"/>
        <v>18319</v>
      </c>
      <c r="R145" s="212">
        <f t="shared" si="91"/>
        <v>3480.61</v>
      </c>
      <c r="S145" s="212">
        <f t="shared" si="83"/>
        <v>21799.61</v>
      </c>
      <c r="T145" s="212">
        <f t="shared" si="92"/>
        <v>18319</v>
      </c>
      <c r="U145" s="212">
        <f t="shared" si="93"/>
        <v>21799.61</v>
      </c>
      <c r="V145" s="460" t="s">
        <v>452</v>
      </c>
      <c r="W145" s="213">
        <v>46072</v>
      </c>
      <c r="X145" s="214" t="s">
        <v>508</v>
      </c>
      <c r="Y145" s="215" t="s">
        <v>446</v>
      </c>
      <c r="Z145" s="216" t="s">
        <v>723</v>
      </c>
      <c r="AA145" s="217">
        <v>20400</v>
      </c>
      <c r="AB145" s="217" t="s">
        <v>443</v>
      </c>
      <c r="AC145" s="217" t="s">
        <v>444</v>
      </c>
      <c r="AD145" s="218">
        <f t="shared" si="94"/>
        <v>17142.857142857145</v>
      </c>
      <c r="AE145" s="219">
        <f t="shared" si="95"/>
        <v>3257.1428571428578</v>
      </c>
      <c r="AF145" s="219">
        <f t="shared" si="84"/>
        <v>20400.000000000004</v>
      </c>
      <c r="AG145" s="219">
        <f t="shared" si="96"/>
        <v>20400</v>
      </c>
      <c r="AH145" s="219">
        <f t="shared" si="97"/>
        <v>20400.000000000004</v>
      </c>
      <c r="AI145" s="461" t="s">
        <v>452</v>
      </c>
      <c r="AJ145" s="220">
        <v>46072</v>
      </c>
      <c r="AK145" s="221" t="s">
        <v>885</v>
      </c>
      <c r="AL145" s="222" t="s">
        <v>446</v>
      </c>
      <c r="AM145" s="223" t="s">
        <v>792</v>
      </c>
      <c r="AN145" s="224">
        <v>24900</v>
      </c>
      <c r="AO145" s="224" t="s">
        <v>443</v>
      </c>
      <c r="AP145" s="225" t="s">
        <v>444</v>
      </c>
      <c r="AQ145" s="226">
        <f t="shared" si="98"/>
        <v>20924.36974789916</v>
      </c>
      <c r="AR145" s="227">
        <f t="shared" si="85"/>
        <v>3975.6302521008406</v>
      </c>
      <c r="AS145" s="227">
        <f t="shared" si="86"/>
        <v>24900</v>
      </c>
      <c r="AT145" s="227">
        <f t="shared" si="87"/>
        <v>24900</v>
      </c>
      <c r="AU145" s="227">
        <f t="shared" si="88"/>
        <v>24900</v>
      </c>
      <c r="AV145" s="228">
        <f t="shared" si="99"/>
        <v>22366.536666666667</v>
      </c>
      <c r="AW145" s="228">
        <f t="shared" si="100"/>
        <v>22366.536666666667</v>
      </c>
      <c r="AX145" s="228">
        <f t="shared" si="101"/>
        <v>2302.9447201427406</v>
      </c>
      <c r="AY145" s="229">
        <f t="shared" si="89"/>
        <v>0.10296384972175281</v>
      </c>
      <c r="AZ145" s="230"/>
      <c r="BA145" s="231">
        <f t="shared" si="90"/>
        <v>3</v>
      </c>
      <c r="BB145" s="231"/>
      <c r="BC145" s="231"/>
      <c r="BD145" s="231"/>
      <c r="BE145" s="231"/>
      <c r="BF145" s="231"/>
      <c r="BG145" s="231"/>
      <c r="BH145" s="231">
        <v>37</v>
      </c>
      <c r="BI145" s="232"/>
      <c r="BJ145" s="232"/>
      <c r="BK145" s="232"/>
      <c r="BL145" s="232"/>
      <c r="BM145" s="232"/>
      <c r="BN145" s="232"/>
      <c r="BO145" s="232"/>
      <c r="BP145" s="232"/>
      <c r="BQ145" s="232"/>
      <c r="BR145" s="232"/>
      <c r="BS145" s="232"/>
      <c r="BT145" s="232"/>
      <c r="BU145" s="232"/>
      <c r="BV145" s="232"/>
    </row>
    <row r="146" spans="1:74" ht="63" hidden="1" x14ac:dyDescent="0.25">
      <c r="A146" s="205" t="s">
        <v>438</v>
      </c>
      <c r="B146" s="205" t="s">
        <v>501</v>
      </c>
      <c r="C146" s="205"/>
      <c r="D146" s="205" t="s">
        <v>886</v>
      </c>
      <c r="E146" s="206" t="s">
        <v>887</v>
      </c>
      <c r="F146" s="458" t="s">
        <v>41</v>
      </c>
      <c r="G146" s="178">
        <v>1</v>
      </c>
      <c r="H146" s="458" t="s">
        <v>42</v>
      </c>
      <c r="I146" s="459" t="s">
        <v>452</v>
      </c>
      <c r="J146" s="207">
        <v>46072</v>
      </c>
      <c r="K146" s="208" t="s">
        <v>888</v>
      </c>
      <c r="L146" s="209" t="s">
        <v>446</v>
      </c>
      <c r="M146" s="207" t="s">
        <v>889</v>
      </c>
      <c r="N146" s="210">
        <v>14000</v>
      </c>
      <c r="O146" s="210" t="s">
        <v>443</v>
      </c>
      <c r="P146" s="210" t="s">
        <v>444</v>
      </c>
      <c r="Q146" s="211">
        <f t="shared" si="102"/>
        <v>11764.705882352942</v>
      </c>
      <c r="R146" s="212">
        <f t="shared" si="91"/>
        <v>2235.294117647059</v>
      </c>
      <c r="S146" s="212">
        <f t="shared" si="83"/>
        <v>14000.000000000002</v>
      </c>
      <c r="T146" s="212">
        <f t="shared" si="92"/>
        <v>14000</v>
      </c>
      <c r="U146" s="212">
        <f t="shared" si="93"/>
        <v>14000.000000000002</v>
      </c>
      <c r="V146" s="460" t="s">
        <v>452</v>
      </c>
      <c r="W146" s="213">
        <v>46072</v>
      </c>
      <c r="X146" s="214" t="s">
        <v>890</v>
      </c>
      <c r="Y146" s="215" t="s">
        <v>446</v>
      </c>
      <c r="Z146" s="216" t="s">
        <v>891</v>
      </c>
      <c r="AA146" s="217">
        <v>13600</v>
      </c>
      <c r="AB146" s="217" t="s">
        <v>443</v>
      </c>
      <c r="AC146" s="217" t="s">
        <v>444</v>
      </c>
      <c r="AD146" s="218">
        <f t="shared" si="94"/>
        <v>11428.571428571429</v>
      </c>
      <c r="AE146" s="219">
        <f t="shared" si="95"/>
        <v>2171.4285714285716</v>
      </c>
      <c r="AF146" s="219">
        <f t="shared" si="84"/>
        <v>13600</v>
      </c>
      <c r="AG146" s="219">
        <f t="shared" si="96"/>
        <v>13600</v>
      </c>
      <c r="AH146" s="219">
        <f t="shared" si="97"/>
        <v>13600</v>
      </c>
      <c r="AI146" s="461" t="s">
        <v>452</v>
      </c>
      <c r="AJ146" s="220">
        <v>46072</v>
      </c>
      <c r="AK146" s="221" t="s">
        <v>892</v>
      </c>
      <c r="AL146" s="222" t="s">
        <v>446</v>
      </c>
      <c r="AM146" s="223" t="s">
        <v>893</v>
      </c>
      <c r="AN146" s="224">
        <v>12000</v>
      </c>
      <c r="AO146" s="224" t="s">
        <v>443</v>
      </c>
      <c r="AP146" s="225" t="s">
        <v>444</v>
      </c>
      <c r="AQ146" s="226">
        <f t="shared" si="98"/>
        <v>10084.033613445379</v>
      </c>
      <c r="AR146" s="227">
        <f t="shared" si="85"/>
        <v>1915.966386554622</v>
      </c>
      <c r="AS146" s="227">
        <f t="shared" si="86"/>
        <v>12000.000000000002</v>
      </c>
      <c r="AT146" s="227">
        <f t="shared" si="87"/>
        <v>12000</v>
      </c>
      <c r="AU146" s="227">
        <f t="shared" si="88"/>
        <v>12000.000000000002</v>
      </c>
      <c r="AV146" s="228">
        <f t="shared" si="99"/>
        <v>13200</v>
      </c>
      <c r="AW146" s="228">
        <f t="shared" si="100"/>
        <v>13200</v>
      </c>
      <c r="AX146" s="228">
        <f t="shared" si="101"/>
        <v>1058.3005244258359</v>
      </c>
      <c r="AY146" s="229">
        <f t="shared" si="89"/>
        <v>8.0174282153472415E-2</v>
      </c>
      <c r="AZ146" s="230"/>
      <c r="BA146" s="231">
        <f t="shared" si="90"/>
        <v>3</v>
      </c>
      <c r="BB146" s="231"/>
      <c r="BC146" s="231"/>
      <c r="BD146" s="231"/>
      <c r="BE146" s="231"/>
      <c r="BF146" s="231"/>
      <c r="BG146" s="231"/>
      <c r="BH146" s="231">
        <v>38</v>
      </c>
      <c r="BI146" s="232"/>
      <c r="BJ146" s="232"/>
      <c r="BK146" s="232"/>
      <c r="BL146" s="232"/>
      <c r="BM146" s="232"/>
      <c r="BN146" s="232"/>
      <c r="BO146" s="232"/>
      <c r="BP146" s="232"/>
      <c r="BQ146" s="232"/>
      <c r="BR146" s="232"/>
      <c r="BS146" s="232"/>
      <c r="BT146" s="232"/>
      <c r="BU146" s="232"/>
      <c r="BV146" s="232"/>
    </row>
    <row r="147" spans="1:74" ht="63" hidden="1" x14ac:dyDescent="0.25">
      <c r="A147" s="205" t="s">
        <v>438</v>
      </c>
      <c r="B147" s="205" t="s">
        <v>501</v>
      </c>
      <c r="C147" s="205"/>
      <c r="D147" s="205" t="s">
        <v>894</v>
      </c>
      <c r="E147" s="206" t="s">
        <v>895</v>
      </c>
      <c r="F147" s="458" t="s">
        <v>41</v>
      </c>
      <c r="G147" s="178">
        <v>1</v>
      </c>
      <c r="H147" s="458" t="s">
        <v>42</v>
      </c>
      <c r="I147" s="459" t="s">
        <v>452</v>
      </c>
      <c r="J147" s="207">
        <v>46072</v>
      </c>
      <c r="K147" s="208" t="s">
        <v>896</v>
      </c>
      <c r="L147" s="209" t="s">
        <v>446</v>
      </c>
      <c r="M147" s="207" t="s">
        <v>897</v>
      </c>
      <c r="N147" s="210">
        <v>11900</v>
      </c>
      <c r="O147" s="210" t="s">
        <v>443</v>
      </c>
      <c r="P147" s="210" t="s">
        <v>444</v>
      </c>
      <c r="Q147" s="211">
        <f t="shared" si="102"/>
        <v>10000</v>
      </c>
      <c r="R147" s="212">
        <f t="shared" si="91"/>
        <v>1900</v>
      </c>
      <c r="S147" s="212">
        <f t="shared" si="83"/>
        <v>11900</v>
      </c>
      <c r="T147" s="212">
        <f t="shared" si="92"/>
        <v>11900</v>
      </c>
      <c r="U147" s="212">
        <f t="shared" si="93"/>
        <v>11900</v>
      </c>
      <c r="V147" s="460" t="s">
        <v>452</v>
      </c>
      <c r="W147" s="213">
        <v>46072</v>
      </c>
      <c r="X147" s="214" t="s">
        <v>898</v>
      </c>
      <c r="Y147" s="215" t="s">
        <v>446</v>
      </c>
      <c r="Z147" s="216" t="s">
        <v>899</v>
      </c>
      <c r="AA147" s="217">
        <v>13800</v>
      </c>
      <c r="AB147" s="217" t="s">
        <v>443</v>
      </c>
      <c r="AC147" s="217" t="s">
        <v>444</v>
      </c>
      <c r="AD147" s="218">
        <f t="shared" si="94"/>
        <v>11596.638655462186</v>
      </c>
      <c r="AE147" s="219">
        <f t="shared" si="95"/>
        <v>2203.3613445378155</v>
      </c>
      <c r="AF147" s="219">
        <f t="shared" si="84"/>
        <v>13800.000000000002</v>
      </c>
      <c r="AG147" s="219">
        <f t="shared" si="96"/>
        <v>13800</v>
      </c>
      <c r="AH147" s="219">
        <f t="shared" si="97"/>
        <v>13800.000000000002</v>
      </c>
      <c r="AI147" s="461" t="s">
        <v>452</v>
      </c>
      <c r="AJ147" s="220">
        <v>46072</v>
      </c>
      <c r="AK147" s="221" t="s">
        <v>900</v>
      </c>
      <c r="AL147" s="222" t="s">
        <v>446</v>
      </c>
      <c r="AM147" s="223" t="s">
        <v>901</v>
      </c>
      <c r="AN147" s="224">
        <v>11400</v>
      </c>
      <c r="AO147" s="224" t="s">
        <v>443</v>
      </c>
      <c r="AP147" s="225" t="s">
        <v>444</v>
      </c>
      <c r="AQ147" s="226">
        <f t="shared" si="98"/>
        <v>9579.8319327731097</v>
      </c>
      <c r="AR147" s="227">
        <f t="shared" si="85"/>
        <v>1820.1680672268908</v>
      </c>
      <c r="AS147" s="227">
        <f t="shared" si="86"/>
        <v>11400</v>
      </c>
      <c r="AT147" s="227">
        <f t="shared" si="87"/>
        <v>11400</v>
      </c>
      <c r="AU147" s="227">
        <f t="shared" si="88"/>
        <v>11400</v>
      </c>
      <c r="AV147" s="228">
        <f t="shared" si="99"/>
        <v>12366.666666666666</v>
      </c>
      <c r="AW147" s="228">
        <f t="shared" si="100"/>
        <v>12366.666666666666</v>
      </c>
      <c r="AX147" s="228">
        <f t="shared" si="101"/>
        <v>1266.2279942148396</v>
      </c>
      <c r="AY147" s="229">
        <f t="shared" si="89"/>
        <v>0.10239040384486574</v>
      </c>
      <c r="AZ147" s="230"/>
      <c r="BA147" s="231">
        <f t="shared" si="90"/>
        <v>3</v>
      </c>
      <c r="BB147" s="231"/>
      <c r="BC147" s="231"/>
      <c r="BD147" s="231"/>
      <c r="BE147" s="231"/>
      <c r="BF147" s="231"/>
      <c r="BG147" s="231"/>
      <c r="BH147" s="231">
        <v>39</v>
      </c>
      <c r="BI147" s="232"/>
      <c r="BJ147" s="232"/>
      <c r="BK147" s="232"/>
      <c r="BL147" s="232"/>
      <c r="BM147" s="232"/>
      <c r="BN147" s="232"/>
      <c r="BO147" s="232"/>
      <c r="BP147" s="232"/>
      <c r="BQ147" s="232"/>
      <c r="BR147" s="232"/>
      <c r="BS147" s="232"/>
      <c r="BT147" s="232"/>
      <c r="BU147" s="232"/>
      <c r="BV147" s="232"/>
    </row>
    <row r="148" spans="1:74" ht="63" hidden="1" x14ac:dyDescent="0.25">
      <c r="A148" s="205" t="s">
        <v>438</v>
      </c>
      <c r="B148" s="205" t="s">
        <v>501</v>
      </c>
      <c r="C148" s="205"/>
      <c r="D148" s="205" t="s">
        <v>902</v>
      </c>
      <c r="E148" s="206" t="s">
        <v>903</v>
      </c>
      <c r="F148" s="458" t="s">
        <v>41</v>
      </c>
      <c r="G148" s="178">
        <v>1</v>
      </c>
      <c r="H148" s="458" t="s">
        <v>42</v>
      </c>
      <c r="I148" s="459" t="s">
        <v>452</v>
      </c>
      <c r="J148" s="207">
        <v>46072</v>
      </c>
      <c r="K148" s="208" t="s">
        <v>508</v>
      </c>
      <c r="L148" s="209" t="s">
        <v>446</v>
      </c>
      <c r="M148" s="207" t="s">
        <v>731</v>
      </c>
      <c r="N148" s="210">
        <v>5200</v>
      </c>
      <c r="O148" s="210" t="s">
        <v>443</v>
      </c>
      <c r="P148" s="210" t="s">
        <v>444</v>
      </c>
      <c r="Q148" s="211">
        <f t="shared" si="102"/>
        <v>4369.7478991596645</v>
      </c>
      <c r="R148" s="212">
        <f t="shared" si="91"/>
        <v>830.25210084033631</v>
      </c>
      <c r="S148" s="212">
        <f t="shared" si="83"/>
        <v>5200.0000000000009</v>
      </c>
      <c r="T148" s="212">
        <f t="shared" si="92"/>
        <v>5200</v>
      </c>
      <c r="U148" s="212">
        <f t="shared" si="93"/>
        <v>5200.0000000000009</v>
      </c>
      <c r="V148" s="460" t="s">
        <v>452</v>
      </c>
      <c r="W148" s="213">
        <v>46072</v>
      </c>
      <c r="X148" s="214" t="s">
        <v>904</v>
      </c>
      <c r="Y148" s="215" t="s">
        <v>446</v>
      </c>
      <c r="Z148" s="216" t="s">
        <v>905</v>
      </c>
      <c r="AA148" s="217">
        <v>5500</v>
      </c>
      <c r="AB148" s="217" t="s">
        <v>443</v>
      </c>
      <c r="AC148" s="217" t="s">
        <v>444</v>
      </c>
      <c r="AD148" s="218">
        <f t="shared" si="94"/>
        <v>4621.8487394957983</v>
      </c>
      <c r="AE148" s="219">
        <f t="shared" si="95"/>
        <v>878.15126050420167</v>
      </c>
      <c r="AF148" s="219">
        <f t="shared" si="84"/>
        <v>5500</v>
      </c>
      <c r="AG148" s="219">
        <f t="shared" si="96"/>
        <v>5500</v>
      </c>
      <c r="AH148" s="219">
        <f t="shared" si="97"/>
        <v>5500</v>
      </c>
      <c r="AI148" s="461" t="s">
        <v>440</v>
      </c>
      <c r="AJ148" s="220">
        <v>46072</v>
      </c>
      <c r="AK148" s="221" t="s">
        <v>809</v>
      </c>
      <c r="AL148" s="222" t="s">
        <v>441</v>
      </c>
      <c r="AM148" s="223" t="s">
        <v>810</v>
      </c>
      <c r="AN148" s="224">
        <v>5200</v>
      </c>
      <c r="AO148" s="224" t="s">
        <v>450</v>
      </c>
      <c r="AP148" s="225" t="s">
        <v>444</v>
      </c>
      <c r="AQ148" s="226">
        <f t="shared" si="98"/>
        <v>5200</v>
      </c>
      <c r="AR148" s="227">
        <f t="shared" si="85"/>
        <v>988</v>
      </c>
      <c r="AS148" s="227">
        <f t="shared" si="86"/>
        <v>6188</v>
      </c>
      <c r="AT148" s="227">
        <f t="shared" si="87"/>
        <v>5200</v>
      </c>
      <c r="AU148" s="227">
        <f t="shared" si="88"/>
        <v>6188</v>
      </c>
      <c r="AV148" s="228">
        <f t="shared" si="99"/>
        <v>5629.333333333333</v>
      </c>
      <c r="AW148" s="228">
        <f t="shared" si="100"/>
        <v>5629.333333333333</v>
      </c>
      <c r="AX148" s="228">
        <f t="shared" si="101"/>
        <v>506.53858030098058</v>
      </c>
      <c r="AY148" s="229">
        <f t="shared" si="89"/>
        <v>8.9981983710501062E-2</v>
      </c>
      <c r="AZ148" s="230"/>
      <c r="BA148" s="231">
        <f t="shared" si="90"/>
        <v>3</v>
      </c>
      <c r="BB148" s="231"/>
      <c r="BC148" s="231"/>
      <c r="BD148" s="231"/>
      <c r="BE148" s="231"/>
      <c r="BF148" s="231"/>
      <c r="BG148" s="231"/>
      <c r="BH148" s="231">
        <v>40</v>
      </c>
      <c r="BI148" s="232"/>
      <c r="BJ148" s="232"/>
      <c r="BK148" s="232"/>
      <c r="BL148" s="232"/>
      <c r="BM148" s="232"/>
      <c r="BN148" s="232"/>
      <c r="BO148" s="232"/>
      <c r="BP148" s="232"/>
      <c r="BQ148" s="232"/>
      <c r="BR148" s="232"/>
      <c r="BS148" s="232"/>
      <c r="BT148" s="232"/>
      <c r="BU148" s="232"/>
      <c r="BV148" s="232"/>
    </row>
    <row r="149" spans="1:74" ht="63" hidden="1" x14ac:dyDescent="0.25">
      <c r="A149" s="205" t="s">
        <v>438</v>
      </c>
      <c r="B149" s="205" t="s">
        <v>501</v>
      </c>
      <c r="C149" s="205">
        <v>60121518</v>
      </c>
      <c r="D149" s="205" t="s">
        <v>906</v>
      </c>
      <c r="E149" s="206" t="s">
        <v>907</v>
      </c>
      <c r="F149" s="458" t="s">
        <v>41</v>
      </c>
      <c r="G149" s="178">
        <v>1</v>
      </c>
      <c r="H149" s="458" t="s">
        <v>42</v>
      </c>
      <c r="I149" s="459" t="s">
        <v>331</v>
      </c>
      <c r="J149" s="207">
        <v>46056</v>
      </c>
      <c r="K149" s="208" t="s">
        <v>908</v>
      </c>
      <c r="L149" s="209" t="s">
        <v>446</v>
      </c>
      <c r="M149" s="207" t="s">
        <v>792</v>
      </c>
      <c r="N149" s="210">
        <v>7992</v>
      </c>
      <c r="O149" s="210" t="s">
        <v>443</v>
      </c>
      <c r="P149" s="210" t="s">
        <v>444</v>
      </c>
      <c r="Q149" s="211">
        <f t="shared" si="102"/>
        <v>6715.9663865546217</v>
      </c>
      <c r="R149" s="212">
        <f t="shared" si="91"/>
        <v>1276.0336134453783</v>
      </c>
      <c r="S149" s="212">
        <f t="shared" si="83"/>
        <v>7992</v>
      </c>
      <c r="T149" s="212">
        <f t="shared" si="92"/>
        <v>7992</v>
      </c>
      <c r="U149" s="212">
        <f t="shared" si="93"/>
        <v>7992</v>
      </c>
      <c r="V149" s="460" t="s">
        <v>909</v>
      </c>
      <c r="W149" s="213">
        <v>46056</v>
      </c>
      <c r="X149" s="214" t="s">
        <v>910</v>
      </c>
      <c r="Y149" s="215" t="s">
        <v>446</v>
      </c>
      <c r="Z149" s="216" t="s">
        <v>490</v>
      </c>
      <c r="AA149" s="217">
        <v>9300</v>
      </c>
      <c r="AB149" s="217" t="s">
        <v>443</v>
      </c>
      <c r="AC149" s="217" t="s">
        <v>444</v>
      </c>
      <c r="AD149" s="218">
        <f t="shared" si="94"/>
        <v>7815.1260504201682</v>
      </c>
      <c r="AE149" s="219">
        <f t="shared" si="95"/>
        <v>1484.873949579832</v>
      </c>
      <c r="AF149" s="219">
        <f t="shared" si="84"/>
        <v>9300</v>
      </c>
      <c r="AG149" s="219">
        <f t="shared" si="96"/>
        <v>9300</v>
      </c>
      <c r="AH149" s="219">
        <f t="shared" si="97"/>
        <v>9300</v>
      </c>
      <c r="AI149" s="461" t="s">
        <v>331</v>
      </c>
      <c r="AJ149" s="220">
        <v>46056</v>
      </c>
      <c r="AK149" s="221" t="s">
        <v>911</v>
      </c>
      <c r="AL149" s="222" t="s">
        <v>446</v>
      </c>
      <c r="AM149" s="223" t="s">
        <v>912</v>
      </c>
      <c r="AN149" s="224">
        <v>11180</v>
      </c>
      <c r="AO149" s="224" t="s">
        <v>443</v>
      </c>
      <c r="AP149" s="225" t="s">
        <v>444</v>
      </c>
      <c r="AQ149" s="226">
        <f t="shared" si="98"/>
        <v>9394.957983193277</v>
      </c>
      <c r="AR149" s="227">
        <f t="shared" si="85"/>
        <v>1785.0420168067226</v>
      </c>
      <c r="AS149" s="227">
        <f t="shared" si="86"/>
        <v>11180</v>
      </c>
      <c r="AT149" s="227">
        <f t="shared" si="87"/>
        <v>11180</v>
      </c>
      <c r="AU149" s="227">
        <f t="shared" si="88"/>
        <v>11180</v>
      </c>
      <c r="AV149" s="228">
        <f t="shared" si="99"/>
        <v>9490.6666666666661</v>
      </c>
      <c r="AW149" s="228">
        <f t="shared" si="100"/>
        <v>9490.6666666666661</v>
      </c>
      <c r="AX149" s="228">
        <f t="shared" si="101"/>
        <v>1602.5296669120803</v>
      </c>
      <c r="AY149" s="229">
        <f t="shared" si="89"/>
        <v>0.16885322424614502</v>
      </c>
      <c r="AZ149" s="230"/>
      <c r="BA149" s="231">
        <f t="shared" si="90"/>
        <v>3</v>
      </c>
      <c r="BB149" s="231"/>
      <c r="BC149" s="231"/>
      <c r="BD149" s="231"/>
      <c r="BE149" s="231"/>
      <c r="BF149" s="231"/>
      <c r="BG149" s="231"/>
      <c r="BH149" s="231">
        <v>41</v>
      </c>
      <c r="BI149" s="232"/>
      <c r="BJ149" s="232"/>
      <c r="BK149" s="232"/>
      <c r="BL149" s="232"/>
      <c r="BM149" s="232"/>
      <c r="BN149" s="232"/>
      <c r="BO149" s="232"/>
      <c r="BP149" s="232"/>
      <c r="BQ149" s="232"/>
      <c r="BR149" s="232"/>
      <c r="BS149" s="232"/>
      <c r="BT149" s="232"/>
      <c r="BU149" s="232"/>
      <c r="BV149" s="232"/>
    </row>
    <row r="150" spans="1:74" ht="78.75" hidden="1" x14ac:dyDescent="0.25">
      <c r="A150" s="205" t="s">
        <v>438</v>
      </c>
      <c r="B150" s="205" t="s">
        <v>501</v>
      </c>
      <c r="C150" s="205">
        <v>60121516</v>
      </c>
      <c r="D150" s="205" t="s">
        <v>913</v>
      </c>
      <c r="E150" s="206" t="s">
        <v>914</v>
      </c>
      <c r="F150" s="458" t="s">
        <v>41</v>
      </c>
      <c r="G150" s="178">
        <v>1</v>
      </c>
      <c r="H150" s="458" t="s">
        <v>42</v>
      </c>
      <c r="I150" s="459" t="s">
        <v>331</v>
      </c>
      <c r="J150" s="207">
        <v>46057</v>
      </c>
      <c r="K150" s="208" t="s">
        <v>915</v>
      </c>
      <c r="L150" s="209" t="s">
        <v>446</v>
      </c>
      <c r="M150" s="207" t="s">
        <v>916</v>
      </c>
      <c r="N150" s="210">
        <v>3500</v>
      </c>
      <c r="O150" s="210" t="s">
        <v>443</v>
      </c>
      <c r="P150" s="210" t="s">
        <v>444</v>
      </c>
      <c r="Q150" s="211">
        <f t="shared" si="102"/>
        <v>2941.1764705882356</v>
      </c>
      <c r="R150" s="212">
        <f t="shared" si="91"/>
        <v>558.82352941176475</v>
      </c>
      <c r="S150" s="212">
        <f t="shared" si="83"/>
        <v>3500.0000000000005</v>
      </c>
      <c r="T150" s="212">
        <f t="shared" si="92"/>
        <v>3500</v>
      </c>
      <c r="U150" s="212">
        <f t="shared" si="93"/>
        <v>3500.0000000000005</v>
      </c>
      <c r="V150" s="460" t="s">
        <v>331</v>
      </c>
      <c r="W150" s="213">
        <v>46057</v>
      </c>
      <c r="X150" s="214" t="s">
        <v>917</v>
      </c>
      <c r="Y150" s="215" t="s">
        <v>446</v>
      </c>
      <c r="Z150" s="216" t="s">
        <v>918</v>
      </c>
      <c r="AA150" s="217">
        <v>3176</v>
      </c>
      <c r="AB150" s="217" t="s">
        <v>443</v>
      </c>
      <c r="AC150" s="217" t="s">
        <v>444</v>
      </c>
      <c r="AD150" s="218">
        <f t="shared" si="94"/>
        <v>2668.90756302521</v>
      </c>
      <c r="AE150" s="219">
        <f t="shared" si="95"/>
        <v>507.0924369747899</v>
      </c>
      <c r="AF150" s="219">
        <f t="shared" si="84"/>
        <v>3176</v>
      </c>
      <c r="AG150" s="219">
        <f t="shared" si="96"/>
        <v>3176</v>
      </c>
      <c r="AH150" s="219">
        <f t="shared" si="97"/>
        <v>3176</v>
      </c>
      <c r="AI150" s="461" t="s">
        <v>331</v>
      </c>
      <c r="AJ150" s="220">
        <v>46057</v>
      </c>
      <c r="AK150" s="221" t="s">
        <v>919</v>
      </c>
      <c r="AL150" s="222" t="s">
        <v>446</v>
      </c>
      <c r="AM150" s="223" t="s">
        <v>720</v>
      </c>
      <c r="AN150" s="224">
        <v>4500</v>
      </c>
      <c r="AO150" s="224" t="s">
        <v>443</v>
      </c>
      <c r="AP150" s="225" t="s">
        <v>444</v>
      </c>
      <c r="AQ150" s="226">
        <f t="shared" si="98"/>
        <v>3781.5126050420172</v>
      </c>
      <c r="AR150" s="227">
        <f t="shared" si="85"/>
        <v>718.48739495798327</v>
      </c>
      <c r="AS150" s="227">
        <f t="shared" si="86"/>
        <v>4500</v>
      </c>
      <c r="AT150" s="227">
        <f t="shared" si="87"/>
        <v>4500</v>
      </c>
      <c r="AU150" s="227">
        <f t="shared" si="88"/>
        <v>4500</v>
      </c>
      <c r="AV150" s="228">
        <f t="shared" si="99"/>
        <v>3725.3333333333335</v>
      </c>
      <c r="AW150" s="228">
        <f t="shared" si="100"/>
        <v>3725.3333333333335</v>
      </c>
      <c r="AX150" s="228">
        <f t="shared" si="101"/>
        <v>690.16326570843512</v>
      </c>
      <c r="AY150" s="229">
        <f t="shared" si="89"/>
        <v>0.18526215078071809</v>
      </c>
      <c r="AZ150" s="230"/>
      <c r="BA150" s="231">
        <f t="shared" si="90"/>
        <v>3</v>
      </c>
      <c r="BB150" s="231"/>
      <c r="BC150" s="231"/>
      <c r="BD150" s="231"/>
      <c r="BE150" s="231"/>
      <c r="BF150" s="231"/>
      <c r="BG150" s="231"/>
      <c r="BH150" s="231">
        <v>42</v>
      </c>
      <c r="BI150" s="232"/>
      <c r="BJ150" s="232"/>
      <c r="BK150" s="232"/>
      <c r="BL150" s="232"/>
      <c r="BM150" s="232"/>
      <c r="BN150" s="232"/>
      <c r="BO150" s="232"/>
      <c r="BP150" s="232"/>
      <c r="BQ150" s="232"/>
      <c r="BR150" s="232"/>
      <c r="BS150" s="232"/>
      <c r="BT150" s="232"/>
      <c r="BU150" s="232"/>
      <c r="BV150" s="232"/>
    </row>
    <row r="151" spans="1:74" ht="63" hidden="1" x14ac:dyDescent="0.25">
      <c r="A151" s="205" t="s">
        <v>438</v>
      </c>
      <c r="B151" s="205" t="s">
        <v>501</v>
      </c>
      <c r="C151" s="205">
        <v>60121518</v>
      </c>
      <c r="D151" s="205" t="s">
        <v>920</v>
      </c>
      <c r="E151" s="206" t="s">
        <v>921</v>
      </c>
      <c r="F151" s="458" t="s">
        <v>41</v>
      </c>
      <c r="G151" s="178">
        <v>1</v>
      </c>
      <c r="H151" s="458" t="s">
        <v>42</v>
      </c>
      <c r="I151" s="459" t="s">
        <v>440</v>
      </c>
      <c r="J151" s="207">
        <v>46080</v>
      </c>
      <c r="K151" s="208" t="s">
        <v>922</v>
      </c>
      <c r="L151" s="209" t="s">
        <v>446</v>
      </c>
      <c r="M151" s="207" t="s">
        <v>923</v>
      </c>
      <c r="N151" s="210">
        <v>8500</v>
      </c>
      <c r="O151" s="210" t="s">
        <v>443</v>
      </c>
      <c r="P151" s="210" t="s">
        <v>444</v>
      </c>
      <c r="Q151" s="211">
        <f t="shared" si="102"/>
        <v>7142.8571428571431</v>
      </c>
      <c r="R151" s="212">
        <f t="shared" si="91"/>
        <v>1357.1428571428571</v>
      </c>
      <c r="S151" s="212">
        <f t="shared" si="83"/>
        <v>8500</v>
      </c>
      <c r="T151" s="212">
        <f t="shared" si="92"/>
        <v>8500</v>
      </c>
      <c r="U151" s="212">
        <f t="shared" si="93"/>
        <v>8500</v>
      </c>
      <c r="V151" s="460" t="s">
        <v>440</v>
      </c>
      <c r="W151" s="213">
        <v>46080</v>
      </c>
      <c r="X151" s="214" t="s">
        <v>915</v>
      </c>
      <c r="Y151" s="215" t="s">
        <v>446</v>
      </c>
      <c r="Z151" s="216" t="s">
        <v>924</v>
      </c>
      <c r="AA151" s="217">
        <v>6722</v>
      </c>
      <c r="AB151" s="217" t="s">
        <v>450</v>
      </c>
      <c r="AC151" s="217" t="s">
        <v>444</v>
      </c>
      <c r="AD151" s="218">
        <f t="shared" si="94"/>
        <v>6722</v>
      </c>
      <c r="AE151" s="219">
        <f t="shared" si="95"/>
        <v>1277.18</v>
      </c>
      <c r="AF151" s="219">
        <f t="shared" si="84"/>
        <v>7999.18</v>
      </c>
      <c r="AG151" s="219">
        <f t="shared" si="96"/>
        <v>6722</v>
      </c>
      <c r="AH151" s="219">
        <f t="shared" si="97"/>
        <v>7999.18</v>
      </c>
      <c r="AI151" s="461" t="s">
        <v>440</v>
      </c>
      <c r="AJ151" s="220">
        <v>46080</v>
      </c>
      <c r="AK151" s="221" t="s">
        <v>508</v>
      </c>
      <c r="AL151" s="222" t="s">
        <v>446</v>
      </c>
      <c r="AM151" s="223" t="s">
        <v>723</v>
      </c>
      <c r="AN151" s="224">
        <v>6302</v>
      </c>
      <c r="AO151" s="224" t="s">
        <v>443</v>
      </c>
      <c r="AP151" s="225" t="s">
        <v>444</v>
      </c>
      <c r="AQ151" s="226">
        <f t="shared" si="98"/>
        <v>5295.7983193277314</v>
      </c>
      <c r="AR151" s="227">
        <f t="shared" si="85"/>
        <v>1006.2016806722689</v>
      </c>
      <c r="AS151" s="227">
        <f t="shared" si="86"/>
        <v>6302</v>
      </c>
      <c r="AT151" s="227">
        <f t="shared" si="87"/>
        <v>6302</v>
      </c>
      <c r="AU151" s="227">
        <f t="shared" si="88"/>
        <v>6302</v>
      </c>
      <c r="AV151" s="228">
        <f t="shared" si="99"/>
        <v>7600.3933333333334</v>
      </c>
      <c r="AW151" s="228">
        <f t="shared" si="100"/>
        <v>7600.3933333333334</v>
      </c>
      <c r="AX151" s="228">
        <f t="shared" si="101"/>
        <v>1151.9870242903446</v>
      </c>
      <c r="AY151" s="229">
        <f t="shared" si="89"/>
        <v>0.15156939565719993</v>
      </c>
      <c r="AZ151" s="230"/>
      <c r="BA151" s="231">
        <f t="shared" si="90"/>
        <v>3</v>
      </c>
      <c r="BB151" s="231"/>
      <c r="BC151" s="231"/>
      <c r="BD151" s="231"/>
      <c r="BE151" s="231"/>
      <c r="BF151" s="231"/>
      <c r="BG151" s="231"/>
      <c r="BH151" s="231">
        <v>43</v>
      </c>
      <c r="BI151" s="232"/>
      <c r="BJ151" s="232"/>
      <c r="BK151" s="232"/>
      <c r="BL151" s="232"/>
      <c r="BM151" s="232"/>
      <c r="BN151" s="232"/>
      <c r="BO151" s="232"/>
      <c r="BP151" s="232"/>
      <c r="BQ151" s="232"/>
      <c r="BR151" s="232"/>
      <c r="BS151" s="232"/>
      <c r="BT151" s="232"/>
      <c r="BU151" s="232"/>
      <c r="BV151" s="232"/>
    </row>
    <row r="152" spans="1:74" ht="78.75" hidden="1" x14ac:dyDescent="0.25">
      <c r="A152" s="205" t="s">
        <v>438</v>
      </c>
      <c r="B152" s="205" t="s">
        <v>501</v>
      </c>
      <c r="C152" s="205">
        <v>60121905</v>
      </c>
      <c r="D152" s="205" t="s">
        <v>925</v>
      </c>
      <c r="E152" s="206" t="s">
        <v>926</v>
      </c>
      <c r="F152" s="458" t="s">
        <v>41</v>
      </c>
      <c r="G152" s="178">
        <v>1</v>
      </c>
      <c r="H152" s="458" t="s">
        <v>42</v>
      </c>
      <c r="I152" s="459" t="s">
        <v>440</v>
      </c>
      <c r="J152" s="207">
        <v>46080</v>
      </c>
      <c r="K152" s="208" t="s">
        <v>927</v>
      </c>
      <c r="L152" s="209" t="s">
        <v>441</v>
      </c>
      <c r="M152" s="207" t="s">
        <v>59</v>
      </c>
      <c r="N152" s="210">
        <v>12000</v>
      </c>
      <c r="O152" s="210" t="s">
        <v>443</v>
      </c>
      <c r="P152" s="210" t="s">
        <v>444</v>
      </c>
      <c r="Q152" s="211">
        <f t="shared" si="102"/>
        <v>10084.033613445379</v>
      </c>
      <c r="R152" s="212">
        <f t="shared" si="91"/>
        <v>1915.966386554622</v>
      </c>
      <c r="S152" s="212">
        <f t="shared" si="83"/>
        <v>12000.000000000002</v>
      </c>
      <c r="T152" s="212">
        <f t="shared" si="92"/>
        <v>12000</v>
      </c>
      <c r="U152" s="212">
        <f t="shared" si="93"/>
        <v>12000.000000000002</v>
      </c>
      <c r="V152" s="460" t="s">
        <v>440</v>
      </c>
      <c r="W152" s="213">
        <v>46080</v>
      </c>
      <c r="X152" s="214" t="s">
        <v>928</v>
      </c>
      <c r="Y152" s="215" t="s">
        <v>446</v>
      </c>
      <c r="Z152" s="216" t="s">
        <v>792</v>
      </c>
      <c r="AA152" s="217">
        <v>11400</v>
      </c>
      <c r="AB152" s="217" t="s">
        <v>443</v>
      </c>
      <c r="AC152" s="217" t="s">
        <v>444</v>
      </c>
      <c r="AD152" s="218">
        <f t="shared" si="94"/>
        <v>9579.8319327731097</v>
      </c>
      <c r="AE152" s="219">
        <f t="shared" si="95"/>
        <v>1820.1680672268908</v>
      </c>
      <c r="AF152" s="219">
        <f t="shared" si="84"/>
        <v>11400</v>
      </c>
      <c r="AG152" s="219">
        <f t="shared" si="96"/>
        <v>11400</v>
      </c>
      <c r="AH152" s="219">
        <f t="shared" si="97"/>
        <v>11400</v>
      </c>
      <c r="AI152" s="461" t="s">
        <v>440</v>
      </c>
      <c r="AJ152" s="220">
        <v>46080</v>
      </c>
      <c r="AK152" s="221" t="s">
        <v>929</v>
      </c>
      <c r="AL152" s="222" t="s">
        <v>446</v>
      </c>
      <c r="AM152" s="223" t="s">
        <v>741</v>
      </c>
      <c r="AN152" s="224">
        <v>12700</v>
      </c>
      <c r="AO152" s="224" t="s">
        <v>443</v>
      </c>
      <c r="AP152" s="225" t="s">
        <v>444</v>
      </c>
      <c r="AQ152" s="226">
        <f t="shared" si="98"/>
        <v>10672.268907563026</v>
      </c>
      <c r="AR152" s="227">
        <f t="shared" si="85"/>
        <v>2027.7310924369749</v>
      </c>
      <c r="AS152" s="227">
        <f t="shared" si="86"/>
        <v>12700</v>
      </c>
      <c r="AT152" s="227">
        <f t="shared" si="87"/>
        <v>12700</v>
      </c>
      <c r="AU152" s="227">
        <f t="shared" si="88"/>
        <v>12700</v>
      </c>
      <c r="AV152" s="228">
        <f t="shared" si="99"/>
        <v>12033.333333333334</v>
      </c>
      <c r="AW152" s="228">
        <f t="shared" si="100"/>
        <v>12033.333333333334</v>
      </c>
      <c r="AX152" s="228">
        <f t="shared" si="101"/>
        <v>650.64070986477111</v>
      </c>
      <c r="AY152" s="229">
        <f t="shared" si="89"/>
        <v>5.4069865085715048E-2</v>
      </c>
      <c r="AZ152" s="230"/>
      <c r="BA152" s="231">
        <f t="shared" si="90"/>
        <v>3</v>
      </c>
      <c r="BB152" s="231"/>
      <c r="BC152" s="231"/>
      <c r="BD152" s="231"/>
      <c r="BE152" s="231"/>
      <c r="BF152" s="231"/>
      <c r="BG152" s="231"/>
      <c r="BH152" s="231">
        <v>44</v>
      </c>
      <c r="BI152" s="232"/>
      <c r="BJ152" s="232"/>
      <c r="BK152" s="232"/>
      <c r="BL152" s="232"/>
      <c r="BM152" s="232"/>
      <c r="BN152" s="232"/>
      <c r="BO152" s="232"/>
      <c r="BP152" s="232"/>
      <c r="BQ152" s="232"/>
      <c r="BR152" s="232"/>
      <c r="BS152" s="232"/>
      <c r="BT152" s="232"/>
      <c r="BU152" s="232"/>
      <c r="BV152" s="232"/>
    </row>
    <row r="153" spans="1:74" ht="84" hidden="1" x14ac:dyDescent="0.25">
      <c r="A153" s="205" t="s">
        <v>438</v>
      </c>
      <c r="B153" s="205" t="s">
        <v>501</v>
      </c>
      <c r="C153" s="205">
        <v>60121905</v>
      </c>
      <c r="D153" s="205" t="s">
        <v>930</v>
      </c>
      <c r="E153" s="206" t="s">
        <v>931</v>
      </c>
      <c r="F153" s="458" t="s">
        <v>41</v>
      </c>
      <c r="G153" s="178">
        <v>1</v>
      </c>
      <c r="H153" s="458" t="s">
        <v>42</v>
      </c>
      <c r="I153" s="459" t="s">
        <v>440</v>
      </c>
      <c r="J153" s="207">
        <v>46080</v>
      </c>
      <c r="K153" s="208" t="s">
        <v>809</v>
      </c>
      <c r="L153" s="209" t="s">
        <v>446</v>
      </c>
      <c r="M153" s="207" t="s">
        <v>810</v>
      </c>
      <c r="N153" s="210">
        <v>7700</v>
      </c>
      <c r="O153" s="210" t="s">
        <v>450</v>
      </c>
      <c r="P153" s="210" t="s">
        <v>444</v>
      </c>
      <c r="Q153" s="211">
        <f t="shared" si="102"/>
        <v>7700</v>
      </c>
      <c r="R153" s="212">
        <f t="shared" si="91"/>
        <v>1463</v>
      </c>
      <c r="S153" s="212">
        <f t="shared" si="83"/>
        <v>9163</v>
      </c>
      <c r="T153" s="212">
        <f t="shared" si="92"/>
        <v>7700</v>
      </c>
      <c r="U153" s="212">
        <f t="shared" si="93"/>
        <v>9163</v>
      </c>
      <c r="V153" s="460" t="s">
        <v>440</v>
      </c>
      <c r="W153" s="213">
        <v>46080</v>
      </c>
      <c r="X153" s="214" t="s">
        <v>932</v>
      </c>
      <c r="Y153" s="215" t="s">
        <v>446</v>
      </c>
      <c r="Z153" s="216" t="s">
        <v>741</v>
      </c>
      <c r="AA153" s="217">
        <v>10710</v>
      </c>
      <c r="AB153" s="217" t="s">
        <v>443</v>
      </c>
      <c r="AC153" s="217" t="s">
        <v>444</v>
      </c>
      <c r="AD153" s="218">
        <f t="shared" si="94"/>
        <v>9000</v>
      </c>
      <c r="AE153" s="219">
        <f t="shared" si="95"/>
        <v>1710</v>
      </c>
      <c r="AF153" s="219">
        <f t="shared" si="84"/>
        <v>10710</v>
      </c>
      <c r="AG153" s="219">
        <f t="shared" si="96"/>
        <v>10710</v>
      </c>
      <c r="AH153" s="219">
        <f t="shared" si="97"/>
        <v>10710</v>
      </c>
      <c r="AI153" s="461" t="s">
        <v>440</v>
      </c>
      <c r="AJ153" s="220">
        <v>46080</v>
      </c>
      <c r="AK153" s="221" t="s">
        <v>933</v>
      </c>
      <c r="AL153" s="222" t="s">
        <v>446</v>
      </c>
      <c r="AM153" s="223" t="s">
        <v>792</v>
      </c>
      <c r="AN153" s="224">
        <v>9900</v>
      </c>
      <c r="AO153" s="224" t="s">
        <v>443</v>
      </c>
      <c r="AP153" s="225" t="s">
        <v>444</v>
      </c>
      <c r="AQ153" s="226">
        <f t="shared" si="98"/>
        <v>8319.3277310924368</v>
      </c>
      <c r="AR153" s="227">
        <f t="shared" si="85"/>
        <v>1580.672268907563</v>
      </c>
      <c r="AS153" s="227">
        <f t="shared" si="86"/>
        <v>9900</v>
      </c>
      <c r="AT153" s="227">
        <f t="shared" si="87"/>
        <v>9900</v>
      </c>
      <c r="AU153" s="227">
        <f t="shared" si="88"/>
        <v>9900</v>
      </c>
      <c r="AV153" s="228">
        <f t="shared" si="99"/>
        <v>9924.3333333333339</v>
      </c>
      <c r="AW153" s="228">
        <f t="shared" si="100"/>
        <v>9924.3333333333339</v>
      </c>
      <c r="AX153" s="228">
        <f t="shared" si="101"/>
        <v>773.78700773102503</v>
      </c>
      <c r="AY153" s="229">
        <f t="shared" si="89"/>
        <v>7.7968663661474327E-2</v>
      </c>
      <c r="AZ153" s="230"/>
      <c r="BA153" s="231">
        <f t="shared" si="90"/>
        <v>3</v>
      </c>
      <c r="BB153" s="231"/>
      <c r="BC153" s="231"/>
      <c r="BD153" s="231"/>
      <c r="BE153" s="231"/>
      <c r="BF153" s="231"/>
      <c r="BG153" s="231"/>
      <c r="BH153" s="231">
        <v>45</v>
      </c>
      <c r="BI153" s="232"/>
      <c r="BJ153" s="232"/>
      <c r="BK153" s="232"/>
      <c r="BL153" s="232"/>
      <c r="BM153" s="232"/>
      <c r="BN153" s="232"/>
      <c r="BO153" s="232"/>
      <c r="BP153" s="232"/>
      <c r="BQ153" s="232"/>
      <c r="BR153" s="232"/>
      <c r="BS153" s="232"/>
      <c r="BT153" s="232"/>
      <c r="BU153" s="232"/>
      <c r="BV153" s="232"/>
    </row>
    <row r="154" spans="1:74" ht="378" hidden="1" x14ac:dyDescent="0.25">
      <c r="A154" s="205" t="s">
        <v>496</v>
      </c>
      <c r="B154" s="205" t="s">
        <v>496</v>
      </c>
      <c r="C154" s="205" t="s">
        <v>496</v>
      </c>
      <c r="D154" s="205" t="s">
        <v>934</v>
      </c>
      <c r="E154" s="206" t="s">
        <v>935</v>
      </c>
      <c r="F154" s="458" t="s">
        <v>499</v>
      </c>
      <c r="G154" s="178">
        <v>1</v>
      </c>
      <c r="H154" s="458"/>
      <c r="I154" s="459" t="s">
        <v>496</v>
      </c>
      <c r="J154" s="207" t="s">
        <v>496</v>
      </c>
      <c r="K154" s="208" t="s">
        <v>496</v>
      </c>
      <c r="L154" s="209" t="s">
        <v>496</v>
      </c>
      <c r="M154" s="207" t="s">
        <v>496</v>
      </c>
      <c r="N154" s="210"/>
      <c r="O154" s="210"/>
      <c r="P154" s="210"/>
      <c r="Q154" s="211" t="s">
        <v>500</v>
      </c>
      <c r="R154" s="212" t="s">
        <v>500</v>
      </c>
      <c r="S154" s="212" t="s">
        <v>500</v>
      </c>
      <c r="T154" s="212" t="s">
        <v>500</v>
      </c>
      <c r="U154" s="212" t="s">
        <v>500</v>
      </c>
      <c r="V154" s="460" t="s">
        <v>496</v>
      </c>
      <c r="W154" s="213" t="s">
        <v>496</v>
      </c>
      <c r="X154" s="214" t="s">
        <v>496</v>
      </c>
      <c r="Y154" s="215" t="s">
        <v>496</v>
      </c>
      <c r="Z154" s="216" t="s">
        <v>165</v>
      </c>
      <c r="AA154" s="217" t="s">
        <v>496</v>
      </c>
      <c r="AB154" s="217" t="s">
        <v>496</v>
      </c>
      <c r="AC154" s="217" t="s">
        <v>496</v>
      </c>
      <c r="AD154" s="218" t="s">
        <v>496</v>
      </c>
      <c r="AE154" s="219" t="s">
        <v>496</v>
      </c>
      <c r="AF154" s="219">
        <v>268398</v>
      </c>
      <c r="AG154" s="219">
        <v>5.5599999999999997E-2</v>
      </c>
      <c r="AH154" s="219">
        <v>283320</v>
      </c>
      <c r="AI154" s="461" t="s">
        <v>496</v>
      </c>
      <c r="AJ154" s="220" t="s">
        <v>496</v>
      </c>
      <c r="AK154" s="221" t="s">
        <v>496</v>
      </c>
      <c r="AL154" s="222" t="s">
        <v>496</v>
      </c>
      <c r="AM154" s="223" t="s">
        <v>166</v>
      </c>
      <c r="AN154" s="224" t="s">
        <v>496</v>
      </c>
      <c r="AO154" s="224" t="s">
        <v>496</v>
      </c>
      <c r="AP154" s="225" t="s">
        <v>496</v>
      </c>
      <c r="AQ154" s="226">
        <v>230055</v>
      </c>
      <c r="AR154" s="227">
        <v>43710</v>
      </c>
      <c r="AS154" s="227">
        <v>273765</v>
      </c>
      <c r="AT154" s="227">
        <v>230055</v>
      </c>
      <c r="AU154" s="227">
        <v>273765</v>
      </c>
      <c r="AV154" s="228">
        <v>278543</v>
      </c>
      <c r="AW154" s="228">
        <v>278543</v>
      </c>
      <c r="AX154" s="228">
        <v>6756.37</v>
      </c>
      <c r="AY154" s="229">
        <v>2.4299999999999999E-2</v>
      </c>
      <c r="AZ154" s="230"/>
      <c r="BA154" s="231"/>
      <c r="BB154" s="231"/>
      <c r="BC154" s="231"/>
      <c r="BD154" s="231"/>
      <c r="BE154" s="231"/>
      <c r="BF154" s="231"/>
      <c r="BG154" s="231"/>
      <c r="BH154" s="231"/>
      <c r="BI154" s="232"/>
      <c r="BJ154" s="232"/>
      <c r="BK154" s="232"/>
      <c r="BL154" s="232"/>
      <c r="BM154" s="232"/>
      <c r="BN154" s="232"/>
      <c r="BO154" s="232"/>
      <c r="BP154" s="232"/>
      <c r="BQ154" s="232"/>
      <c r="BR154" s="232"/>
      <c r="BS154" s="232"/>
      <c r="BT154" s="232"/>
      <c r="BU154" s="232"/>
      <c r="BV154" s="232"/>
    </row>
    <row r="155" spans="1:74" ht="63" hidden="1" x14ac:dyDescent="0.25">
      <c r="A155" s="205" t="s">
        <v>438</v>
      </c>
      <c r="B155" s="205" t="s">
        <v>501</v>
      </c>
      <c r="C155" s="205">
        <v>44121708</v>
      </c>
      <c r="D155" s="205" t="s">
        <v>385</v>
      </c>
      <c r="E155" s="206" t="s">
        <v>386</v>
      </c>
      <c r="F155" s="458" t="s">
        <v>41</v>
      </c>
      <c r="G155" s="178">
        <v>1</v>
      </c>
      <c r="H155" s="458" t="s">
        <v>42</v>
      </c>
      <c r="I155" s="459" t="s">
        <v>440</v>
      </c>
      <c r="J155" s="207">
        <v>46080</v>
      </c>
      <c r="K155" s="208" t="s">
        <v>936</v>
      </c>
      <c r="L155" s="209" t="s">
        <v>446</v>
      </c>
      <c r="M155" s="207" t="s">
        <v>937</v>
      </c>
      <c r="N155" s="210">
        <v>13866</v>
      </c>
      <c r="O155" s="210" t="s">
        <v>443</v>
      </c>
      <c r="P155" s="210" t="s">
        <v>444</v>
      </c>
      <c r="Q155" s="211">
        <f>IF(O155="IVA Incluido",(N155/1.19),N155)</f>
        <v>11652.100840336136</v>
      </c>
      <c r="R155" s="212">
        <f>IF(P155="Si tiene IVA",Q155*19%,0)</f>
        <v>2213.8991596638657</v>
      </c>
      <c r="S155" s="212">
        <f>Q155+R155</f>
        <v>13866.000000000002</v>
      </c>
      <c r="T155" s="212">
        <f>IF(B155="","",(N155*G155))</f>
        <v>13866</v>
      </c>
      <c r="U155" s="212">
        <f>IF(B155="","",(S155*G155))</f>
        <v>13866.000000000002</v>
      </c>
      <c r="V155" s="460" t="s">
        <v>440</v>
      </c>
      <c r="W155" s="213">
        <v>46080</v>
      </c>
      <c r="X155" s="214" t="s">
        <v>809</v>
      </c>
      <c r="Y155" s="215" t="s">
        <v>446</v>
      </c>
      <c r="Z155" s="216" t="s">
        <v>810</v>
      </c>
      <c r="AA155" s="217">
        <v>14034</v>
      </c>
      <c r="AB155" s="217" t="s">
        <v>450</v>
      </c>
      <c r="AC155" s="217" t="s">
        <v>444</v>
      </c>
      <c r="AD155" s="218">
        <f>IF(AB155="IVA Incluido",(AA155/1.19),AA155)</f>
        <v>14034</v>
      </c>
      <c r="AE155" s="219">
        <f>IF(AC155="Si tiene IVA",AD155*19%,0)</f>
        <v>2666.46</v>
      </c>
      <c r="AF155" s="219">
        <f>AD155+AE155</f>
        <v>16700.46</v>
      </c>
      <c r="AG155" s="219">
        <f>IF(O155="","",(AA155*G155))</f>
        <v>14034</v>
      </c>
      <c r="AH155" s="219">
        <f>IF(O155="","",(AF155*G155))</f>
        <v>16700.46</v>
      </c>
      <c r="AI155" s="461" t="s">
        <v>440</v>
      </c>
      <c r="AJ155" s="220">
        <v>46080</v>
      </c>
      <c r="AK155" s="221" t="s">
        <v>938</v>
      </c>
      <c r="AL155" s="222" t="s">
        <v>446</v>
      </c>
      <c r="AM155" s="223" t="s">
        <v>939</v>
      </c>
      <c r="AN155" s="224">
        <v>15000</v>
      </c>
      <c r="AO155" s="224" t="s">
        <v>443</v>
      </c>
      <c r="AP155" s="225" t="s">
        <v>444</v>
      </c>
      <c r="AQ155" s="226">
        <f>IF(AO155="IVA Incluido",(AN155/1.19),AN155)</f>
        <v>12605.042016806723</v>
      </c>
      <c r="AR155" s="227">
        <f>IF(AP155="Si tiene IVA",AQ155*19%,0)</f>
        <v>2394.9579831932774</v>
      </c>
      <c r="AS155" s="227">
        <f>AQ155+AR155</f>
        <v>15000</v>
      </c>
      <c r="AT155" s="227">
        <f>IF(AB155="","",(AN155*G155))</f>
        <v>15000</v>
      </c>
      <c r="AU155" s="227">
        <f>IF(AB155="","",(AS155*G155))</f>
        <v>15000</v>
      </c>
      <c r="AV155" s="228">
        <f>IF(A155="","",AVERAGE(S155,AF155,AS155))</f>
        <v>15188.82</v>
      </c>
      <c r="AW155" s="228">
        <f>IF(A155="","",AVERAGE(U155,AH155,AU155))</f>
        <v>15188.82</v>
      </c>
      <c r="AX155" s="228">
        <f>IF(N155="","",STDEV(U155,AH155,AU155))</f>
        <v>1426.6326146559234</v>
      </c>
      <c r="AY155" s="229">
        <f>IF(N155="","",(AX155/AW155))</f>
        <v>9.3926494267225727E-2</v>
      </c>
      <c r="AZ155" s="230"/>
      <c r="BA155" s="231">
        <f>COUNTA(M155,Z155,AM155)</f>
        <v>3</v>
      </c>
      <c r="BB155" s="231"/>
      <c r="BC155" s="231"/>
      <c r="BD155" s="231"/>
      <c r="BE155" s="231"/>
      <c r="BF155" s="231"/>
      <c r="BG155" s="231"/>
      <c r="BH155" s="231">
        <v>46</v>
      </c>
      <c r="BI155" s="232"/>
      <c r="BJ155" s="232"/>
      <c r="BK155" s="232"/>
      <c r="BL155" s="232"/>
      <c r="BM155" s="232"/>
      <c r="BN155" s="232"/>
      <c r="BO155" s="232"/>
      <c r="BP155" s="232"/>
      <c r="BQ155" s="232"/>
      <c r="BR155" s="232"/>
      <c r="BS155" s="232"/>
      <c r="BT155" s="232"/>
      <c r="BU155" s="232"/>
      <c r="BV155" s="232"/>
    </row>
    <row r="156" spans="1:74" ht="84" hidden="1" x14ac:dyDescent="0.25">
      <c r="A156" s="205" t="s">
        <v>438</v>
      </c>
      <c r="B156" s="205" t="s">
        <v>501</v>
      </c>
      <c r="C156" s="205">
        <v>44121708</v>
      </c>
      <c r="D156" s="205" t="s">
        <v>940</v>
      </c>
      <c r="E156" s="206" t="s">
        <v>941</v>
      </c>
      <c r="F156" s="458" t="s">
        <v>41</v>
      </c>
      <c r="G156" s="178">
        <v>1</v>
      </c>
      <c r="H156" s="458" t="s">
        <v>42</v>
      </c>
      <c r="I156" s="459" t="s">
        <v>440</v>
      </c>
      <c r="J156" s="207">
        <v>46080</v>
      </c>
      <c r="K156" s="208" t="s">
        <v>809</v>
      </c>
      <c r="L156" s="209" t="s">
        <v>441</v>
      </c>
      <c r="M156" s="207" t="s">
        <v>810</v>
      </c>
      <c r="N156" s="210">
        <v>12687</v>
      </c>
      <c r="O156" s="210" t="s">
        <v>450</v>
      </c>
      <c r="P156" s="210" t="s">
        <v>444</v>
      </c>
      <c r="Q156" s="211">
        <f>IF(O156="IVA Incluido",(N156/1.19),N156)</f>
        <v>12687</v>
      </c>
      <c r="R156" s="212">
        <f>IF(P156="Si tiene IVA",Q156*19%,0)</f>
        <v>2410.5300000000002</v>
      </c>
      <c r="S156" s="212">
        <f>Q156+R156</f>
        <v>15097.53</v>
      </c>
      <c r="T156" s="212">
        <f>IF(B156="","",(N156*G156))</f>
        <v>12687</v>
      </c>
      <c r="U156" s="212">
        <f>IF(B156="","",(S156*G156))</f>
        <v>15097.53</v>
      </c>
      <c r="V156" s="460" t="s">
        <v>440</v>
      </c>
      <c r="W156" s="213">
        <v>46080</v>
      </c>
      <c r="X156" s="214" t="s">
        <v>939</v>
      </c>
      <c r="Y156" s="215" t="s">
        <v>446</v>
      </c>
      <c r="Z156" s="216" t="s">
        <v>939</v>
      </c>
      <c r="AA156" s="217">
        <v>12000</v>
      </c>
      <c r="AB156" s="217" t="s">
        <v>443</v>
      </c>
      <c r="AC156" s="217" t="s">
        <v>444</v>
      </c>
      <c r="AD156" s="218">
        <f>IF(AB156="IVA Incluido",(AA156/1.19),AA156)</f>
        <v>10084.033613445379</v>
      </c>
      <c r="AE156" s="219">
        <f>IF(AC156="Si tiene IVA",AD156*19%,0)</f>
        <v>1915.966386554622</v>
      </c>
      <c r="AF156" s="219">
        <f>AD156+AE156</f>
        <v>12000.000000000002</v>
      </c>
      <c r="AG156" s="219">
        <f>IF(O156="","",(AA156*G156))</f>
        <v>12000</v>
      </c>
      <c r="AH156" s="219">
        <f>IF(O156="","",(AF156*G156))</f>
        <v>12000.000000000002</v>
      </c>
      <c r="AI156" s="461" t="s">
        <v>440</v>
      </c>
      <c r="AJ156" s="220">
        <v>46080</v>
      </c>
      <c r="AK156" s="221" t="s">
        <v>508</v>
      </c>
      <c r="AL156" s="222" t="s">
        <v>441</v>
      </c>
      <c r="AM156" s="223" t="s">
        <v>723</v>
      </c>
      <c r="AN156" s="224">
        <v>14800</v>
      </c>
      <c r="AO156" s="224" t="s">
        <v>443</v>
      </c>
      <c r="AP156" s="225" t="s">
        <v>444</v>
      </c>
      <c r="AQ156" s="226">
        <f>IF(AO156="IVA Incluido",(AN156/1.19),AN156)</f>
        <v>12436.974789915967</v>
      </c>
      <c r="AR156" s="227">
        <f>IF(AP156="Si tiene IVA",AQ156*19%,0)</f>
        <v>2363.0252100840335</v>
      </c>
      <c r="AS156" s="227">
        <f>AQ156+AR156</f>
        <v>14800</v>
      </c>
      <c r="AT156" s="227">
        <f>IF(AB156="","",(AN156*G156))</f>
        <v>14800</v>
      </c>
      <c r="AU156" s="227">
        <f>IF(AB156="","",(AS156*G156))</f>
        <v>14800</v>
      </c>
      <c r="AV156" s="228">
        <f>IF(A156="","",AVERAGE(S156,AF156,AS156))</f>
        <v>13965.843333333332</v>
      </c>
      <c r="AW156" s="228">
        <f>IF(A156="","",AVERAGE(U156,AH156,AU156))</f>
        <v>13965.843333333332</v>
      </c>
      <c r="AX156" s="228">
        <f>IF(N156="","",STDEV(U156,AH156,AU156))</f>
        <v>1708.9575868444865</v>
      </c>
      <c r="AY156" s="229">
        <f>IF(N156="","",(AX156/AW156))</f>
        <v>0.12236694527179669</v>
      </c>
      <c r="AZ156" s="230"/>
      <c r="BA156" s="231">
        <f>COUNTA(M156,Z156,AM156)</f>
        <v>3</v>
      </c>
      <c r="BB156" s="231"/>
      <c r="BC156" s="231"/>
      <c r="BD156" s="231"/>
      <c r="BE156" s="231"/>
      <c r="BF156" s="231"/>
      <c r="BG156" s="231"/>
      <c r="BH156" s="231">
        <v>47</v>
      </c>
      <c r="BI156" s="232"/>
      <c r="BJ156" s="232"/>
      <c r="BK156" s="232"/>
      <c r="BL156" s="232"/>
      <c r="BM156" s="232"/>
      <c r="BN156" s="232"/>
      <c r="BO156" s="232"/>
      <c r="BP156" s="232"/>
      <c r="BQ156" s="232"/>
      <c r="BR156" s="232"/>
      <c r="BS156" s="232"/>
      <c r="BT156" s="232"/>
      <c r="BU156" s="232"/>
      <c r="BV156" s="232"/>
    </row>
    <row r="157" spans="1:74" ht="78.75" hidden="1" x14ac:dyDescent="0.25">
      <c r="A157" s="205" t="s">
        <v>438</v>
      </c>
      <c r="B157" s="205" t="s">
        <v>501</v>
      </c>
      <c r="C157" s="205">
        <v>44121708</v>
      </c>
      <c r="D157" s="205" t="s">
        <v>396</v>
      </c>
      <c r="E157" s="206" t="s">
        <v>397</v>
      </c>
      <c r="F157" s="458" t="s">
        <v>41</v>
      </c>
      <c r="G157" s="178">
        <v>1</v>
      </c>
      <c r="H157" s="458" t="s">
        <v>42</v>
      </c>
      <c r="I157" s="459" t="s">
        <v>440</v>
      </c>
      <c r="J157" s="207">
        <v>46080</v>
      </c>
      <c r="K157" s="208" t="s">
        <v>942</v>
      </c>
      <c r="L157" s="209" t="s">
        <v>441</v>
      </c>
      <c r="M157" s="207" t="s">
        <v>943</v>
      </c>
      <c r="N157" s="210">
        <v>47900</v>
      </c>
      <c r="O157" s="210" t="s">
        <v>443</v>
      </c>
      <c r="P157" s="210" t="s">
        <v>444</v>
      </c>
      <c r="Q157" s="211">
        <f>IF(O157="IVA Incluido",(N157/1.19),N157)</f>
        <v>40252.100840336134</v>
      </c>
      <c r="R157" s="212">
        <f>IF(P157="Si tiene IVA",Q157*19%,0)</f>
        <v>7647.8991596638652</v>
      </c>
      <c r="S157" s="212">
        <f>Q157+R157</f>
        <v>47900</v>
      </c>
      <c r="T157" s="212">
        <f>IF(B157="","",(N157*G157))</f>
        <v>47900</v>
      </c>
      <c r="U157" s="212">
        <f>IF(B157="","",(S157*G157))</f>
        <v>47900</v>
      </c>
      <c r="V157" s="460" t="s">
        <v>440</v>
      </c>
      <c r="W157" s="213">
        <v>46080</v>
      </c>
      <c r="X157" s="214" t="s">
        <v>944</v>
      </c>
      <c r="Y157" s="215" t="s">
        <v>441</v>
      </c>
      <c r="Z157" s="216" t="s">
        <v>945</v>
      </c>
      <c r="AA157" s="217">
        <v>51900</v>
      </c>
      <c r="AB157" s="217" t="s">
        <v>443</v>
      </c>
      <c r="AC157" s="217" t="s">
        <v>444</v>
      </c>
      <c r="AD157" s="218">
        <f>IF(AB157="IVA Incluido",(AA157/1.19),AA157)</f>
        <v>43613.445378151264</v>
      </c>
      <c r="AE157" s="219">
        <f>IF(AC157="Si tiene IVA",AD157*19%,0)</f>
        <v>8286.5546218487398</v>
      </c>
      <c r="AF157" s="219">
        <f>AD157+AE157</f>
        <v>51900</v>
      </c>
      <c r="AG157" s="219">
        <f>IF(O157="","",(AA157*G157))</f>
        <v>51900</v>
      </c>
      <c r="AH157" s="219">
        <f>IF(O157="","",(AF157*G157))</f>
        <v>51900</v>
      </c>
      <c r="AI157" s="461" t="s">
        <v>440</v>
      </c>
      <c r="AJ157" s="220">
        <v>46080</v>
      </c>
      <c r="AK157" s="221" t="s">
        <v>946</v>
      </c>
      <c r="AL157" s="222" t="s">
        <v>441</v>
      </c>
      <c r="AM157" s="223" t="s">
        <v>947</v>
      </c>
      <c r="AN157" s="224">
        <v>50000</v>
      </c>
      <c r="AO157" s="224" t="s">
        <v>443</v>
      </c>
      <c r="AP157" s="225" t="s">
        <v>444</v>
      </c>
      <c r="AQ157" s="226">
        <f>IF(AO157="IVA Incluido",(AN157/1.19),AN157)</f>
        <v>42016.806722689078</v>
      </c>
      <c r="AR157" s="227">
        <f>IF(AP157="Si tiene IVA",AQ157*19%,0)</f>
        <v>7983.1932773109247</v>
      </c>
      <c r="AS157" s="227">
        <f>AQ157+AR157</f>
        <v>50000</v>
      </c>
      <c r="AT157" s="227">
        <f>IF(AB157="","",(AN157*G157))</f>
        <v>50000</v>
      </c>
      <c r="AU157" s="227">
        <f>IF(AB157="","",(AS157*G157))</f>
        <v>50000</v>
      </c>
      <c r="AV157" s="228">
        <f>IF(A157="","",AVERAGE(S157,AF157,AS157))</f>
        <v>49933.333333333336</v>
      </c>
      <c r="AW157" s="228">
        <f>IF(A157="","",AVERAGE(U157,AH157,AU157))</f>
        <v>49933.333333333336</v>
      </c>
      <c r="AX157" s="228">
        <f>IF(N157="","",STDEV(U157,AH157,AU157))</f>
        <v>2000.8331597945225</v>
      </c>
      <c r="AY157" s="229">
        <f>IF(N157="","",(AX157/AW157))</f>
        <v>4.0070089982533828E-2</v>
      </c>
      <c r="AZ157" s="230"/>
      <c r="BA157" s="231">
        <f>COUNTA(M157,Z157,AM157)</f>
        <v>3</v>
      </c>
      <c r="BB157" s="231"/>
      <c r="BC157" s="231"/>
      <c r="BD157" s="231"/>
      <c r="BE157" s="231"/>
      <c r="BF157" s="231"/>
      <c r="BG157" s="231"/>
      <c r="BH157" s="231">
        <v>48</v>
      </c>
      <c r="BI157" s="232"/>
      <c r="BJ157" s="232"/>
      <c r="BK157" s="232"/>
      <c r="BL157" s="232"/>
      <c r="BM157" s="232"/>
      <c r="BN157" s="232"/>
      <c r="BO157" s="232"/>
      <c r="BP157" s="232"/>
      <c r="BQ157" s="232"/>
      <c r="BR157" s="232"/>
      <c r="BS157" s="232"/>
      <c r="BT157" s="232"/>
      <c r="BU157" s="232"/>
      <c r="BV157" s="232"/>
    </row>
    <row r="158" spans="1:74" ht="378" hidden="1" x14ac:dyDescent="0.25">
      <c r="A158" s="205" t="s">
        <v>496</v>
      </c>
      <c r="B158" s="205" t="s">
        <v>496</v>
      </c>
      <c r="C158" s="205" t="s">
        <v>496</v>
      </c>
      <c r="D158" s="205" t="s">
        <v>948</v>
      </c>
      <c r="E158" s="206" t="s">
        <v>949</v>
      </c>
      <c r="F158" s="458" t="s">
        <v>499</v>
      </c>
      <c r="G158" s="178">
        <v>1</v>
      </c>
      <c r="H158" s="458"/>
      <c r="I158" s="459" t="s">
        <v>496</v>
      </c>
      <c r="J158" s="207" t="s">
        <v>496</v>
      </c>
      <c r="K158" s="208" t="s">
        <v>496</v>
      </c>
      <c r="L158" s="209" t="s">
        <v>496</v>
      </c>
      <c r="M158" s="207" t="s">
        <v>496</v>
      </c>
      <c r="N158" s="210"/>
      <c r="O158" s="210"/>
      <c r="P158" s="210"/>
      <c r="Q158" s="211" t="s">
        <v>500</v>
      </c>
      <c r="R158" s="212" t="s">
        <v>500</v>
      </c>
      <c r="S158" s="212" t="s">
        <v>500</v>
      </c>
      <c r="T158" s="212" t="s">
        <v>500</v>
      </c>
      <c r="U158" s="212" t="s">
        <v>500</v>
      </c>
      <c r="V158" s="460" t="s">
        <v>496</v>
      </c>
      <c r="W158" s="213" t="s">
        <v>496</v>
      </c>
      <c r="X158" s="214" t="s">
        <v>496</v>
      </c>
      <c r="Y158" s="215" t="s">
        <v>496</v>
      </c>
      <c r="Z158" s="216" t="s">
        <v>165</v>
      </c>
      <c r="AA158" s="217" t="s">
        <v>496</v>
      </c>
      <c r="AB158" s="217" t="s">
        <v>496</v>
      </c>
      <c r="AC158" s="217" t="s">
        <v>496</v>
      </c>
      <c r="AD158" s="218" t="s">
        <v>496</v>
      </c>
      <c r="AE158" s="219" t="s">
        <v>496</v>
      </c>
      <c r="AF158" s="219">
        <v>739488</v>
      </c>
      <c r="AG158" s="219">
        <v>5.5599999999999997E-2</v>
      </c>
      <c r="AH158" s="219">
        <v>780603</v>
      </c>
      <c r="AI158" s="461" t="s">
        <v>496</v>
      </c>
      <c r="AJ158" s="220" t="s">
        <v>496</v>
      </c>
      <c r="AK158" s="221" t="s">
        <v>496</v>
      </c>
      <c r="AL158" s="222" t="s">
        <v>496</v>
      </c>
      <c r="AM158" s="223" t="s">
        <v>166</v>
      </c>
      <c r="AN158" s="224" t="s">
        <v>496</v>
      </c>
      <c r="AO158" s="224" t="s">
        <v>496</v>
      </c>
      <c r="AP158" s="225" t="s">
        <v>496</v>
      </c>
      <c r="AQ158" s="226">
        <v>636954</v>
      </c>
      <c r="AR158" s="227">
        <v>121021</v>
      </c>
      <c r="AS158" s="227">
        <v>757975</v>
      </c>
      <c r="AT158" s="227">
        <v>636954</v>
      </c>
      <c r="AU158" s="227">
        <v>757975</v>
      </c>
      <c r="AV158" s="228">
        <v>769289</v>
      </c>
      <c r="AW158" s="228">
        <v>769289</v>
      </c>
      <c r="AX158" s="228">
        <v>16000.64</v>
      </c>
      <c r="AY158" s="229">
        <v>2.0799999999999999E-2</v>
      </c>
      <c r="AZ158" s="230"/>
      <c r="BA158" s="231"/>
      <c r="BB158" s="231"/>
      <c r="BC158" s="231"/>
      <c r="BD158" s="231"/>
      <c r="BE158" s="231"/>
      <c r="BF158" s="231"/>
      <c r="BG158" s="231"/>
      <c r="BH158" s="231"/>
      <c r="BI158" s="232"/>
      <c r="BJ158" s="232"/>
      <c r="BK158" s="232"/>
      <c r="BL158" s="232"/>
      <c r="BM158" s="232"/>
      <c r="BN158" s="232"/>
      <c r="BO158" s="232"/>
      <c r="BP158" s="232"/>
      <c r="BQ158" s="232"/>
      <c r="BR158" s="232"/>
      <c r="BS158" s="232"/>
      <c r="BT158" s="232"/>
      <c r="BU158" s="232"/>
      <c r="BV158" s="232"/>
    </row>
    <row r="159" spans="1:74" ht="63" hidden="1" x14ac:dyDescent="0.25">
      <c r="A159" s="205" t="s">
        <v>438</v>
      </c>
      <c r="B159" s="205" t="s">
        <v>501</v>
      </c>
      <c r="C159" s="205"/>
      <c r="D159" s="205" t="s">
        <v>950</v>
      </c>
      <c r="E159" s="206" t="s">
        <v>951</v>
      </c>
      <c r="F159" s="458" t="s">
        <v>41</v>
      </c>
      <c r="G159" s="178">
        <v>1</v>
      </c>
      <c r="H159" s="458" t="s">
        <v>42</v>
      </c>
      <c r="I159" s="459" t="s">
        <v>440</v>
      </c>
      <c r="J159" s="207">
        <v>46080</v>
      </c>
      <c r="K159" s="208" t="s">
        <v>667</v>
      </c>
      <c r="L159" s="209" t="s">
        <v>441</v>
      </c>
      <c r="M159" s="207" t="s">
        <v>699</v>
      </c>
      <c r="N159" s="210">
        <v>32000</v>
      </c>
      <c r="O159" s="210" t="s">
        <v>443</v>
      </c>
      <c r="P159" s="210" t="s">
        <v>444</v>
      </c>
      <c r="Q159" s="211">
        <f>IF(O159="IVA Incluido",(N159/1.19),N159)</f>
        <v>26890.756302521011</v>
      </c>
      <c r="R159" s="212">
        <f>IF(P159="Si tiene IVA",Q159*19%,0)</f>
        <v>5109.2436974789925</v>
      </c>
      <c r="S159" s="212">
        <f>Q159+R159</f>
        <v>32000.000000000004</v>
      </c>
      <c r="T159" s="212">
        <f>IF(B159="","",(N159*G159))</f>
        <v>32000</v>
      </c>
      <c r="U159" s="212">
        <f>IF(B159="","",(S159*G159))</f>
        <v>32000.000000000004</v>
      </c>
      <c r="V159" s="460" t="s">
        <v>440</v>
      </c>
      <c r="W159" s="213">
        <v>46080</v>
      </c>
      <c r="X159" s="214" t="s">
        <v>952</v>
      </c>
      <c r="Y159" s="215" t="s">
        <v>446</v>
      </c>
      <c r="Z159" s="216" t="s">
        <v>953</v>
      </c>
      <c r="AA159" s="217">
        <v>24900</v>
      </c>
      <c r="AB159" s="217" t="s">
        <v>443</v>
      </c>
      <c r="AC159" s="217" t="s">
        <v>444</v>
      </c>
      <c r="AD159" s="218">
        <f>IF(AB159="IVA Incluido",(AA159/1.19),AA159)</f>
        <v>20924.36974789916</v>
      </c>
      <c r="AE159" s="219">
        <f>IF(AC159="Si tiene IVA",AD159*19%,0)</f>
        <v>3975.6302521008406</v>
      </c>
      <c r="AF159" s="219">
        <f>AD159+AE159</f>
        <v>24900</v>
      </c>
      <c r="AG159" s="219">
        <f>IF(O159="","",(AA159*G159))</f>
        <v>24900</v>
      </c>
      <c r="AH159" s="219">
        <f>IF(O159="","",(AF159*G159))</f>
        <v>24900</v>
      </c>
      <c r="AI159" s="461" t="s">
        <v>440</v>
      </c>
      <c r="AJ159" s="220">
        <v>46080</v>
      </c>
      <c r="AK159" s="221" t="s">
        <v>954</v>
      </c>
      <c r="AL159" s="222" t="s">
        <v>446</v>
      </c>
      <c r="AM159" s="223" t="s">
        <v>955</v>
      </c>
      <c r="AN159" s="224">
        <v>25000</v>
      </c>
      <c r="AO159" s="224" t="s">
        <v>443</v>
      </c>
      <c r="AP159" s="225" t="s">
        <v>444</v>
      </c>
      <c r="AQ159" s="226">
        <f>IF(AO159="IVA Incluido",(AN159/1.19),AN159)</f>
        <v>21008.403361344539</v>
      </c>
      <c r="AR159" s="227">
        <f>IF(AP159="Si tiene IVA",AQ159*19%,0)</f>
        <v>3991.5966386554624</v>
      </c>
      <c r="AS159" s="227">
        <f>AQ159+AR159</f>
        <v>25000</v>
      </c>
      <c r="AT159" s="227">
        <f>IF(AB159="","",(AN159*G159))</f>
        <v>25000</v>
      </c>
      <c r="AU159" s="227">
        <f>IF(AB159="","",(AS159*G159))</f>
        <v>25000</v>
      </c>
      <c r="AV159" s="228">
        <f>IF(A159="","",AVERAGE(S159,AF159,AS159))</f>
        <v>27300</v>
      </c>
      <c r="AW159" s="228">
        <f>IF(A159="","",AVERAGE(U159,AH159,AU159))</f>
        <v>27300</v>
      </c>
      <c r="AX159" s="228">
        <f>IF(N159="","",STDEV(U159,AH159,AU159))</f>
        <v>4070.6264874095241</v>
      </c>
      <c r="AY159" s="229">
        <f>IF(N159="","",(AX159/AW159))</f>
        <v>0.14910719734100822</v>
      </c>
      <c r="AZ159" s="230"/>
      <c r="BA159" s="231">
        <f>COUNTA(M159,Z159,AM159)</f>
        <v>3</v>
      </c>
      <c r="BB159" s="231"/>
      <c r="BC159" s="231"/>
      <c r="BD159" s="231"/>
      <c r="BE159" s="231"/>
      <c r="BF159" s="231"/>
      <c r="BG159" s="231"/>
      <c r="BH159" s="231">
        <v>49</v>
      </c>
      <c r="BI159" s="232"/>
      <c r="BJ159" s="232"/>
      <c r="BK159" s="232"/>
      <c r="BL159" s="232"/>
      <c r="BM159" s="232"/>
      <c r="BN159" s="232"/>
      <c r="BO159" s="232"/>
      <c r="BP159" s="232"/>
      <c r="BQ159" s="232"/>
      <c r="BR159" s="232"/>
      <c r="BS159" s="232"/>
      <c r="BT159" s="232"/>
      <c r="BU159" s="232"/>
      <c r="BV159" s="232"/>
    </row>
    <row r="160" spans="1:74" ht="63" hidden="1" x14ac:dyDescent="0.25">
      <c r="A160" s="205" t="s">
        <v>438</v>
      </c>
      <c r="B160" s="205" t="s">
        <v>501</v>
      </c>
      <c r="C160" s="205"/>
      <c r="D160" s="205" t="s">
        <v>956</v>
      </c>
      <c r="E160" s="206" t="s">
        <v>957</v>
      </c>
      <c r="F160" s="458" t="s">
        <v>41</v>
      </c>
      <c r="G160" s="178">
        <v>1</v>
      </c>
      <c r="H160" s="458" t="s">
        <v>42</v>
      </c>
      <c r="I160" s="459" t="s">
        <v>440</v>
      </c>
      <c r="J160" s="207">
        <v>46080</v>
      </c>
      <c r="K160" s="208" t="s">
        <v>958</v>
      </c>
      <c r="L160" s="209" t="s">
        <v>446</v>
      </c>
      <c r="M160" s="207" t="s">
        <v>959</v>
      </c>
      <c r="N160" s="210">
        <v>18000</v>
      </c>
      <c r="O160" s="210" t="s">
        <v>443</v>
      </c>
      <c r="P160" s="210" t="s">
        <v>444</v>
      </c>
      <c r="Q160" s="211">
        <f>IF(O160="IVA Incluido",(N160/1.19),N160)</f>
        <v>15126.050420168069</v>
      </c>
      <c r="R160" s="212">
        <f>IF(P160="Si tiene IVA",Q160*19%,0)</f>
        <v>2873.9495798319331</v>
      </c>
      <c r="S160" s="212">
        <f>Q160+R160</f>
        <v>18000</v>
      </c>
      <c r="T160" s="212">
        <f>IF(B160="","",(N160*G160))</f>
        <v>18000</v>
      </c>
      <c r="U160" s="212">
        <f>IF(B160="","",(S160*G160))</f>
        <v>18000</v>
      </c>
      <c r="V160" s="460" t="s">
        <v>440</v>
      </c>
      <c r="W160" s="213">
        <v>46080</v>
      </c>
      <c r="X160" s="214" t="s">
        <v>809</v>
      </c>
      <c r="Y160" s="215" t="s">
        <v>441</v>
      </c>
      <c r="Z160" s="216" t="s">
        <v>960</v>
      </c>
      <c r="AA160" s="217">
        <v>14000</v>
      </c>
      <c r="AB160" s="217" t="s">
        <v>450</v>
      </c>
      <c r="AC160" s="217" t="s">
        <v>444</v>
      </c>
      <c r="AD160" s="218">
        <f>IF(AB160="IVA Incluido",(AA160/1.19),AA160)</f>
        <v>14000</v>
      </c>
      <c r="AE160" s="219">
        <f>IF(AC160="Si tiene IVA",AD160*19%,0)</f>
        <v>2660</v>
      </c>
      <c r="AF160" s="219">
        <f>AD160+AE160</f>
        <v>16660</v>
      </c>
      <c r="AG160" s="219">
        <f>IF(O160="","",(AA160*G160))</f>
        <v>14000</v>
      </c>
      <c r="AH160" s="219">
        <f>IF(O160="","",(AF160*G160))</f>
        <v>16660</v>
      </c>
      <c r="AI160" s="461" t="s">
        <v>440</v>
      </c>
      <c r="AJ160" s="220">
        <v>46080</v>
      </c>
      <c r="AK160" s="221" t="s">
        <v>938</v>
      </c>
      <c r="AL160" s="222" t="s">
        <v>446</v>
      </c>
      <c r="AM160" s="223" t="s">
        <v>939</v>
      </c>
      <c r="AN160" s="224">
        <v>16000</v>
      </c>
      <c r="AO160" s="224" t="s">
        <v>443</v>
      </c>
      <c r="AP160" s="225" t="s">
        <v>444</v>
      </c>
      <c r="AQ160" s="226">
        <f>IF(AO160="IVA Incluido",(AN160/1.19),AN160)</f>
        <v>13445.378151260506</v>
      </c>
      <c r="AR160" s="227">
        <f>IF(AP160="Si tiene IVA",AQ160*19%,0)</f>
        <v>2554.6218487394963</v>
      </c>
      <c r="AS160" s="227">
        <f>AQ160+AR160</f>
        <v>16000.000000000002</v>
      </c>
      <c r="AT160" s="227">
        <f>IF(AB160="","",(AN160*G160))</f>
        <v>16000</v>
      </c>
      <c r="AU160" s="227">
        <f>IF(AB160="","",(AS160*G160))</f>
        <v>16000.000000000002</v>
      </c>
      <c r="AV160" s="228">
        <f>IF(A160="","",AVERAGE(S160,AF160,AS160))</f>
        <v>16886.666666666668</v>
      </c>
      <c r="AW160" s="228">
        <f>IF(A160="","",AVERAGE(U160,AH160,AU160))</f>
        <v>16886.666666666668</v>
      </c>
      <c r="AX160" s="228">
        <f>IF(N160="","",STDEV(U160,AH160,AU160))</f>
        <v>1019.0845565179229</v>
      </c>
      <c r="AY160" s="229">
        <f>IF(N160="","",(AX160/AW160))</f>
        <v>6.0348473540342847E-2</v>
      </c>
      <c r="AZ160" s="230"/>
      <c r="BA160" s="231">
        <f>COUNTA(M160,Z160,AM160)</f>
        <v>3</v>
      </c>
      <c r="BB160" s="231"/>
      <c r="BC160" s="231"/>
      <c r="BD160" s="231"/>
      <c r="BE160" s="231"/>
      <c r="BF160" s="231"/>
      <c r="BG160" s="231"/>
      <c r="BH160" s="231">
        <v>50</v>
      </c>
      <c r="BI160" s="232"/>
      <c r="BJ160" s="232"/>
      <c r="BK160" s="232"/>
      <c r="BL160" s="232"/>
      <c r="BM160" s="232"/>
      <c r="BN160" s="232"/>
      <c r="BO160" s="232"/>
      <c r="BP160" s="232"/>
      <c r="BQ160" s="232"/>
      <c r="BR160" s="232"/>
      <c r="BS160" s="232"/>
      <c r="BT160" s="232"/>
      <c r="BU160" s="232"/>
      <c r="BV160" s="232"/>
    </row>
    <row r="161" spans="1:74" ht="240" hidden="1" x14ac:dyDescent="0.25">
      <c r="A161" s="205" t="s">
        <v>438</v>
      </c>
      <c r="B161" s="205" t="s">
        <v>487</v>
      </c>
      <c r="C161" s="205" t="s">
        <v>961</v>
      </c>
      <c r="D161" s="205" t="s">
        <v>368</v>
      </c>
      <c r="E161" s="206" t="s">
        <v>173</v>
      </c>
      <c r="F161" s="458" t="s">
        <v>41</v>
      </c>
      <c r="G161" s="178">
        <v>1</v>
      </c>
      <c r="H161" s="458" t="s">
        <v>88</v>
      </c>
      <c r="I161" s="459" t="s">
        <v>496</v>
      </c>
      <c r="J161" s="207" t="s">
        <v>496</v>
      </c>
      <c r="K161" s="208" t="s">
        <v>496</v>
      </c>
      <c r="L161" s="209" t="s">
        <v>496</v>
      </c>
      <c r="M161" s="234" t="s">
        <v>165</v>
      </c>
      <c r="N161" s="235">
        <v>11508</v>
      </c>
      <c r="O161" s="210"/>
      <c r="P161" s="210"/>
      <c r="Q161" s="211">
        <f>IF(O161="IVA Incluido",(N161/1.19),N161)</f>
        <v>11508</v>
      </c>
      <c r="R161" s="212">
        <f>IF(P161="Si tiene IVA",Q161*19%,0)</f>
        <v>0</v>
      </c>
      <c r="S161" s="212">
        <f>Q161+R161</f>
        <v>11508</v>
      </c>
      <c r="T161" s="212">
        <f>IF(B161="","",(N161*G161))</f>
        <v>11508</v>
      </c>
      <c r="U161" s="212">
        <f>IF(B161="","",(S161*G161))</f>
        <v>11508</v>
      </c>
      <c r="V161" s="460" t="s">
        <v>496</v>
      </c>
      <c r="W161" s="213" t="s">
        <v>496</v>
      </c>
      <c r="X161" s="213" t="s">
        <v>496</v>
      </c>
      <c r="Y161" s="213" t="s">
        <v>496</v>
      </c>
      <c r="Z161" s="236" t="s">
        <v>166</v>
      </c>
      <c r="AA161" s="237">
        <v>9528</v>
      </c>
      <c r="AB161" s="217" t="s">
        <v>450</v>
      </c>
      <c r="AC161" s="217" t="s">
        <v>444</v>
      </c>
      <c r="AD161" s="218">
        <f>IF(AB161="IVA Incluido",(AA161/1.19),AA161)</f>
        <v>9528</v>
      </c>
      <c r="AE161" s="219">
        <f>IF(AC161="Si tiene IVA",AD161*19%,0)</f>
        <v>1810.32</v>
      </c>
      <c r="AF161" s="219">
        <f>AD161+AE161</f>
        <v>11338.32</v>
      </c>
      <c r="AG161" s="219">
        <f>AD161</f>
        <v>9528</v>
      </c>
      <c r="AH161" s="219">
        <f>AF161</f>
        <v>11338.32</v>
      </c>
      <c r="AI161" s="461"/>
      <c r="AJ161" s="220"/>
      <c r="AK161" s="221"/>
      <c r="AL161" s="222"/>
      <c r="AM161" s="223"/>
      <c r="AN161" s="224"/>
      <c r="AO161" s="224"/>
      <c r="AP161" s="225"/>
      <c r="AQ161" s="226"/>
      <c r="AR161" s="227"/>
      <c r="AS161" s="227"/>
      <c r="AT161" s="227"/>
      <c r="AU161" s="227"/>
      <c r="AV161" s="228">
        <f>IF(A161="","",AVERAGE(S161,AF161,AS161))</f>
        <v>11423.16</v>
      </c>
      <c r="AW161" s="228">
        <f>IF(A161="","",AVERAGE(U161,AH161,AU161))</f>
        <v>11423.16</v>
      </c>
      <c r="AX161" s="228">
        <f>IF(N161="","",STDEV(U161,AH161,AU161))</f>
        <v>119.98187863173359</v>
      </c>
      <c r="AY161" s="229">
        <f>IF(N161="","",(AX161/AW161))</f>
        <v>1.0503387734368914E-2</v>
      </c>
      <c r="AZ161" s="230"/>
      <c r="BA161" s="231">
        <f>COUNTA(M161,Z161,AM161)</f>
        <v>2</v>
      </c>
      <c r="BB161" s="231"/>
      <c r="BC161" s="231"/>
      <c r="BD161" s="231"/>
      <c r="BE161" s="231"/>
      <c r="BF161" s="231"/>
      <c r="BG161" s="231"/>
      <c r="BH161" s="231">
        <v>47</v>
      </c>
      <c r="BI161" s="232"/>
      <c r="BJ161" s="232"/>
      <c r="BK161" s="232"/>
      <c r="BL161" s="232"/>
      <c r="BM161" s="232"/>
      <c r="BN161" s="232"/>
      <c r="BO161" s="232"/>
      <c r="BP161" s="232"/>
      <c r="BQ161" s="232"/>
      <c r="BR161" s="232"/>
      <c r="BS161" s="232"/>
      <c r="BT161" s="232"/>
      <c r="BU161" s="232"/>
      <c r="BV161" s="232"/>
    </row>
    <row r="162" spans="1:74" ht="63" hidden="1" x14ac:dyDescent="0.25">
      <c r="A162" s="205" t="s">
        <v>438</v>
      </c>
      <c r="B162" s="205" t="s">
        <v>487</v>
      </c>
      <c r="C162" s="205" t="s">
        <v>961</v>
      </c>
      <c r="D162" s="205" t="s">
        <v>962</v>
      </c>
      <c r="E162" s="206" t="s">
        <v>963</v>
      </c>
      <c r="F162" s="458" t="s">
        <v>41</v>
      </c>
      <c r="G162" s="178">
        <v>1</v>
      </c>
      <c r="H162" s="458" t="s">
        <v>88</v>
      </c>
      <c r="I162" s="459" t="s">
        <v>440</v>
      </c>
      <c r="J162" s="207">
        <v>46094</v>
      </c>
      <c r="K162" s="208" t="s">
        <v>517</v>
      </c>
      <c r="L162" s="209" t="s">
        <v>446</v>
      </c>
      <c r="M162" s="207" t="s">
        <v>101</v>
      </c>
      <c r="N162" s="210">
        <v>33076</v>
      </c>
      <c r="O162" s="210" t="s">
        <v>450</v>
      </c>
      <c r="P162" s="210" t="s">
        <v>444</v>
      </c>
      <c r="Q162" s="211">
        <f>IF(O162="IVA Incluido",(N162/1.19),N162)</f>
        <v>33076</v>
      </c>
      <c r="R162" s="212">
        <f>IF(P162="Si tiene IVA",Q162*19%,0)</f>
        <v>6284.4400000000005</v>
      </c>
      <c r="S162" s="212">
        <f>Q162+R162</f>
        <v>39360.44</v>
      </c>
      <c r="T162" s="212">
        <f>IF(B162="","",(N162*G162))</f>
        <v>33076</v>
      </c>
      <c r="U162" s="212">
        <f>IF(B162="","",(S162*G162))</f>
        <v>39360.44</v>
      </c>
      <c r="V162" s="460" t="s">
        <v>440</v>
      </c>
      <c r="W162" s="213">
        <v>46119</v>
      </c>
      <c r="X162" s="214" t="s">
        <v>611</v>
      </c>
      <c r="Y162" s="215" t="s">
        <v>446</v>
      </c>
      <c r="Z162" s="216" t="s">
        <v>185</v>
      </c>
      <c r="AA162" s="217">
        <v>31000</v>
      </c>
      <c r="AB162" s="217" t="s">
        <v>443</v>
      </c>
      <c r="AC162" s="217" t="s">
        <v>444</v>
      </c>
      <c r="AD162" s="218">
        <f>IF(AB162="IVA Incluido",(AA162/1.19),AA162)</f>
        <v>26050.420168067227</v>
      </c>
      <c r="AE162" s="219">
        <f>IF(AC162="Si tiene IVA",AD162*19%,0)</f>
        <v>4949.5798319327732</v>
      </c>
      <c r="AF162" s="219">
        <f>AD162+AE162</f>
        <v>31000</v>
      </c>
      <c r="AG162" s="219">
        <f>IF(O162="","",(AA162*G162))</f>
        <v>31000</v>
      </c>
      <c r="AH162" s="219">
        <f>IF(O162="","",(AF162*G162))</f>
        <v>31000</v>
      </c>
      <c r="AI162" s="461"/>
      <c r="AJ162" s="220"/>
      <c r="AK162" s="221"/>
      <c r="AL162" s="222"/>
      <c r="AM162" s="223" t="s">
        <v>166</v>
      </c>
      <c r="AN162" s="224">
        <v>27096</v>
      </c>
      <c r="AO162" s="224"/>
      <c r="AP162" s="225"/>
      <c r="AQ162" s="226">
        <f>AN162</f>
        <v>27096</v>
      </c>
      <c r="AR162" s="227">
        <f>AQ162*19%</f>
        <v>5148.24</v>
      </c>
      <c r="AS162" s="227">
        <f>AQ162+AR162</f>
        <v>32244.239999999998</v>
      </c>
      <c r="AT162" s="227">
        <f>AQ162</f>
        <v>27096</v>
      </c>
      <c r="AU162" s="227">
        <f>AS162</f>
        <v>32244.239999999998</v>
      </c>
      <c r="AV162" s="228">
        <f>IF(A162="","",AVERAGE(S162,AF162,AS162))</f>
        <v>34201.56</v>
      </c>
      <c r="AW162" s="228">
        <f>IF(A162="","",AVERAGE(U162,AH162,AU162))</f>
        <v>34201.56</v>
      </c>
      <c r="AX162" s="228">
        <f>IF(N162="","",STDEV(U162,AH162,AU162))</f>
        <v>4510.8275776402688</v>
      </c>
      <c r="AY162" s="229">
        <f>IF(N162="","",(AX162/AW162))</f>
        <v>0.13188952719233477</v>
      </c>
      <c r="AZ162" s="230"/>
      <c r="BA162" s="231">
        <f>COUNTA(M162,Z162,AM162)</f>
        <v>3</v>
      </c>
      <c r="BB162" s="231"/>
      <c r="BC162" s="231"/>
      <c r="BD162" s="231"/>
      <c r="BE162" s="231"/>
      <c r="BF162" s="231"/>
      <c r="BG162" s="231"/>
      <c r="BH162" s="231">
        <v>48</v>
      </c>
      <c r="BI162" s="232"/>
      <c r="BJ162" s="232"/>
      <c r="BK162" s="232"/>
      <c r="BL162" s="232"/>
      <c r="BM162" s="232"/>
      <c r="BN162" s="232"/>
      <c r="BO162" s="232"/>
      <c r="BP162" s="232"/>
      <c r="BQ162" s="232"/>
      <c r="BR162" s="232"/>
      <c r="BS162" s="232"/>
      <c r="BT162" s="232"/>
      <c r="BU162" s="232"/>
      <c r="BV162" s="232"/>
    </row>
    <row r="163" spans="1:74" ht="378" hidden="1" x14ac:dyDescent="0.25">
      <c r="A163" s="205" t="s">
        <v>496</v>
      </c>
      <c r="B163" s="205" t="s">
        <v>496</v>
      </c>
      <c r="C163" s="205" t="s">
        <v>496</v>
      </c>
      <c r="D163" s="205" t="s">
        <v>964</v>
      </c>
      <c r="E163" s="206" t="s">
        <v>965</v>
      </c>
      <c r="F163" s="458" t="s">
        <v>499</v>
      </c>
      <c r="G163" s="178">
        <v>1</v>
      </c>
      <c r="H163" s="458"/>
      <c r="I163" s="459" t="s">
        <v>496</v>
      </c>
      <c r="J163" s="207" t="s">
        <v>496</v>
      </c>
      <c r="K163" s="208" t="s">
        <v>496</v>
      </c>
      <c r="L163" s="209" t="s">
        <v>496</v>
      </c>
      <c r="M163" s="207" t="s">
        <v>496</v>
      </c>
      <c r="N163" s="210"/>
      <c r="O163" s="210"/>
      <c r="P163" s="210"/>
      <c r="Q163" s="211" t="s">
        <v>500</v>
      </c>
      <c r="R163" s="212" t="s">
        <v>500</v>
      </c>
      <c r="S163" s="212" t="s">
        <v>500</v>
      </c>
      <c r="T163" s="212" t="s">
        <v>500</v>
      </c>
      <c r="U163" s="212" t="s">
        <v>500</v>
      </c>
      <c r="V163" s="460" t="s">
        <v>496</v>
      </c>
      <c r="W163" s="213" t="s">
        <v>496</v>
      </c>
      <c r="X163" s="214" t="s">
        <v>496</v>
      </c>
      <c r="Y163" s="215" t="s">
        <v>496</v>
      </c>
      <c r="Z163" s="216" t="s">
        <v>165</v>
      </c>
      <c r="AA163" s="217" t="s">
        <v>496</v>
      </c>
      <c r="AB163" s="217" t="s">
        <v>496</v>
      </c>
      <c r="AC163" s="217" t="s">
        <v>496</v>
      </c>
      <c r="AD163" s="218" t="s">
        <v>496</v>
      </c>
      <c r="AE163" s="219" t="s">
        <v>496</v>
      </c>
      <c r="AF163" s="219">
        <v>128550</v>
      </c>
      <c r="AG163" s="219">
        <v>5.5599999999999997E-2</v>
      </c>
      <c r="AH163" s="219">
        <v>135697</v>
      </c>
      <c r="AI163" s="461" t="s">
        <v>496</v>
      </c>
      <c r="AJ163" s="220" t="s">
        <v>496</v>
      </c>
      <c r="AK163" s="221" t="s">
        <v>496</v>
      </c>
      <c r="AL163" s="222" t="s">
        <v>496</v>
      </c>
      <c r="AM163" s="223" t="s">
        <v>166</v>
      </c>
      <c r="AN163" s="224" t="s">
        <v>496</v>
      </c>
      <c r="AO163" s="224" t="s">
        <v>496</v>
      </c>
      <c r="AP163" s="225" t="s">
        <v>496</v>
      </c>
      <c r="AQ163" s="226">
        <v>112346</v>
      </c>
      <c r="AR163" s="227">
        <v>21346</v>
      </c>
      <c r="AS163" s="227">
        <v>133692</v>
      </c>
      <c r="AT163" s="227">
        <v>112346</v>
      </c>
      <c r="AU163" s="227">
        <v>133692</v>
      </c>
      <c r="AV163" s="228">
        <v>134695</v>
      </c>
      <c r="AW163" s="228">
        <v>134695</v>
      </c>
      <c r="AX163" s="228">
        <v>1418.02</v>
      </c>
      <c r="AY163" s="229">
        <v>1.0500000000000001E-2</v>
      </c>
      <c r="AZ163" s="230"/>
      <c r="BA163" s="231"/>
      <c r="BB163" s="231"/>
      <c r="BC163" s="231"/>
      <c r="BD163" s="231"/>
      <c r="BE163" s="231"/>
      <c r="BF163" s="231"/>
      <c r="BG163" s="231"/>
      <c r="BH163" s="231"/>
      <c r="BI163" s="232"/>
      <c r="BJ163" s="232"/>
      <c r="BK163" s="232"/>
      <c r="BL163" s="232"/>
      <c r="BM163" s="232"/>
      <c r="BN163" s="232"/>
      <c r="BO163" s="232"/>
      <c r="BP163" s="232"/>
      <c r="BQ163" s="232"/>
      <c r="BR163" s="232"/>
      <c r="BS163" s="232"/>
      <c r="BT163" s="232"/>
      <c r="BU163" s="232"/>
      <c r="BV163" s="232"/>
    </row>
    <row r="164" spans="1:74" ht="378" hidden="1" x14ac:dyDescent="0.25">
      <c r="A164" s="205" t="s">
        <v>496</v>
      </c>
      <c r="B164" s="205" t="s">
        <v>496</v>
      </c>
      <c r="C164" s="205" t="s">
        <v>496</v>
      </c>
      <c r="D164" s="205" t="s">
        <v>966</v>
      </c>
      <c r="E164" s="206" t="s">
        <v>967</v>
      </c>
      <c r="F164" s="458" t="s">
        <v>499</v>
      </c>
      <c r="G164" s="178">
        <v>1</v>
      </c>
      <c r="H164" s="458"/>
      <c r="I164" s="459" t="s">
        <v>496</v>
      </c>
      <c r="J164" s="207" t="s">
        <v>496</v>
      </c>
      <c r="K164" s="208" t="s">
        <v>496</v>
      </c>
      <c r="L164" s="209" t="s">
        <v>496</v>
      </c>
      <c r="M164" s="207" t="s">
        <v>496</v>
      </c>
      <c r="N164" s="210"/>
      <c r="O164" s="210"/>
      <c r="P164" s="210"/>
      <c r="Q164" s="211" t="s">
        <v>500</v>
      </c>
      <c r="R164" s="212" t="s">
        <v>500</v>
      </c>
      <c r="S164" s="212" t="s">
        <v>500</v>
      </c>
      <c r="T164" s="212" t="s">
        <v>500</v>
      </c>
      <c r="U164" s="212" t="s">
        <v>500</v>
      </c>
      <c r="V164" s="460" t="s">
        <v>496</v>
      </c>
      <c r="W164" s="213" t="s">
        <v>496</v>
      </c>
      <c r="X164" s="214" t="s">
        <v>496</v>
      </c>
      <c r="Y164" s="215" t="s">
        <v>496</v>
      </c>
      <c r="Z164" s="216" t="s">
        <v>165</v>
      </c>
      <c r="AA164" s="217" t="s">
        <v>496</v>
      </c>
      <c r="AB164" s="217" t="s">
        <v>496</v>
      </c>
      <c r="AC164" s="217" t="s">
        <v>496</v>
      </c>
      <c r="AD164" s="218" t="s">
        <v>496</v>
      </c>
      <c r="AE164" s="219" t="s">
        <v>496</v>
      </c>
      <c r="AF164" s="219">
        <v>862241</v>
      </c>
      <c r="AG164" s="219">
        <v>5.5599999999999997E-2</v>
      </c>
      <c r="AH164" s="219">
        <v>910182</v>
      </c>
      <c r="AI164" s="461" t="s">
        <v>496</v>
      </c>
      <c r="AJ164" s="220" t="s">
        <v>496</v>
      </c>
      <c r="AK164" s="221" t="s">
        <v>496</v>
      </c>
      <c r="AL164" s="222" t="s">
        <v>496</v>
      </c>
      <c r="AM164" s="223" t="s">
        <v>166</v>
      </c>
      <c r="AN164" s="224" t="s">
        <v>496</v>
      </c>
      <c r="AO164" s="224" t="s">
        <v>496</v>
      </c>
      <c r="AP164" s="225" t="s">
        <v>496</v>
      </c>
      <c r="AQ164" s="226">
        <v>753555</v>
      </c>
      <c r="AR164" s="227">
        <v>143175</v>
      </c>
      <c r="AS164" s="227">
        <v>896731</v>
      </c>
      <c r="AT164" s="227">
        <v>753555</v>
      </c>
      <c r="AU164" s="227">
        <v>896731</v>
      </c>
      <c r="AV164" s="228">
        <v>903456</v>
      </c>
      <c r="AW164" s="228">
        <v>903456</v>
      </c>
      <c r="AX164" s="228">
        <v>9511.26</v>
      </c>
      <c r="AY164" s="229">
        <v>1.0500000000000001E-2</v>
      </c>
      <c r="AZ164" s="230"/>
      <c r="BA164" s="231"/>
      <c r="BB164" s="231"/>
      <c r="BC164" s="231"/>
      <c r="BD164" s="231"/>
      <c r="BE164" s="231"/>
      <c r="BF164" s="231"/>
      <c r="BG164" s="231"/>
      <c r="BH164" s="231"/>
      <c r="BI164" s="232"/>
      <c r="BJ164" s="232"/>
      <c r="BK164" s="232"/>
      <c r="BL164" s="232"/>
      <c r="BM164" s="232"/>
      <c r="BN164" s="232"/>
      <c r="BO164" s="232"/>
      <c r="BP164" s="232"/>
      <c r="BQ164" s="232"/>
      <c r="BR164" s="232"/>
      <c r="BS164" s="232"/>
      <c r="BT164" s="232"/>
      <c r="BU164" s="232"/>
      <c r="BV164" s="232"/>
    </row>
    <row r="165" spans="1:74" ht="78.75" hidden="1" x14ac:dyDescent="0.25">
      <c r="A165" s="205" t="s">
        <v>438</v>
      </c>
      <c r="B165" s="205" t="s">
        <v>501</v>
      </c>
      <c r="C165" s="205">
        <v>14111530</v>
      </c>
      <c r="D165" s="205" t="s">
        <v>968</v>
      </c>
      <c r="E165" s="206" t="s">
        <v>969</v>
      </c>
      <c r="F165" s="458" t="s">
        <v>41</v>
      </c>
      <c r="G165" s="178">
        <v>1</v>
      </c>
      <c r="H165" s="458" t="s">
        <v>42</v>
      </c>
      <c r="I165" s="459" t="s">
        <v>440</v>
      </c>
      <c r="J165" s="207">
        <v>46090</v>
      </c>
      <c r="K165" s="208" t="s">
        <v>970</v>
      </c>
      <c r="L165" s="209" t="s">
        <v>446</v>
      </c>
      <c r="M165" s="207" t="s">
        <v>971</v>
      </c>
      <c r="N165" s="210">
        <v>3200</v>
      </c>
      <c r="O165" s="210" t="s">
        <v>443</v>
      </c>
      <c r="P165" s="210" t="s">
        <v>444</v>
      </c>
      <c r="Q165" s="211">
        <f>IF(O165="IVA Incluido",(N165/1.19),N165)</f>
        <v>2689.0756302521008</v>
      </c>
      <c r="R165" s="212">
        <f>IF(P165="Si tiene IVA",Q165*19%,0)</f>
        <v>510.92436974789916</v>
      </c>
      <c r="S165" s="212">
        <f>Q165+R165</f>
        <v>3200</v>
      </c>
      <c r="T165" s="212">
        <f>IF(B165="","",(N165*G165))</f>
        <v>3200</v>
      </c>
      <c r="U165" s="212">
        <f>IF(B165="","",(S165*G165))</f>
        <v>3200</v>
      </c>
      <c r="V165" s="460" t="s">
        <v>440</v>
      </c>
      <c r="W165" s="213">
        <v>46090</v>
      </c>
      <c r="X165" s="214" t="s">
        <v>508</v>
      </c>
      <c r="Y165" s="215" t="s">
        <v>446</v>
      </c>
      <c r="Z165" s="216" t="s">
        <v>63</v>
      </c>
      <c r="AA165" s="217">
        <v>3200</v>
      </c>
      <c r="AB165" s="217" t="s">
        <v>443</v>
      </c>
      <c r="AC165" s="217" t="s">
        <v>444</v>
      </c>
      <c r="AD165" s="218">
        <f>IF(AB165="IVA Incluido",(AA165/1.19),AA165)</f>
        <v>2689.0756302521008</v>
      </c>
      <c r="AE165" s="219">
        <f>IF(AC165="Si tiene IVA",AD165*19%,0)</f>
        <v>510.92436974789916</v>
      </c>
      <c r="AF165" s="219">
        <f>AD165+AE165</f>
        <v>3200</v>
      </c>
      <c r="AG165" s="219">
        <f>IF(O165="","",(AA165*G165))</f>
        <v>3200</v>
      </c>
      <c r="AH165" s="219">
        <f>IF(O165="","",(AF165*G165))</f>
        <v>3200</v>
      </c>
      <c r="AI165" s="461" t="s">
        <v>440</v>
      </c>
      <c r="AJ165" s="220">
        <v>46090</v>
      </c>
      <c r="AK165" s="221" t="s">
        <v>972</v>
      </c>
      <c r="AL165" s="222" t="s">
        <v>446</v>
      </c>
      <c r="AM165" s="223" t="s">
        <v>924</v>
      </c>
      <c r="AN165" s="224">
        <v>2500</v>
      </c>
      <c r="AO165" s="224" t="s">
        <v>443</v>
      </c>
      <c r="AP165" s="225" t="s">
        <v>444</v>
      </c>
      <c r="AQ165" s="226">
        <f>IF(AO165="IVA Incluido",(AN165/1.19),AN165)</f>
        <v>2100.840336134454</v>
      </c>
      <c r="AR165" s="227">
        <f>IF(AP165="Si tiene IVA",AQ165*19%,0)</f>
        <v>399.15966386554624</v>
      </c>
      <c r="AS165" s="227">
        <f>AQ165+AR165</f>
        <v>2500</v>
      </c>
      <c r="AT165" s="227">
        <f>IF(AB165="","",(AN165*G165))</f>
        <v>2500</v>
      </c>
      <c r="AU165" s="227">
        <f>IF(AB165="","",(AS165*G165))</f>
        <v>2500</v>
      </c>
      <c r="AV165" s="228">
        <f>IF(A165="","",AVERAGE(S165,AF165,AS165))</f>
        <v>2966.6666666666665</v>
      </c>
      <c r="AW165" s="228">
        <f>IF(A165="","",AVERAGE(U165,AH165,AU165))</f>
        <v>2966.6666666666665</v>
      </c>
      <c r="AX165" s="228">
        <f>IF(N165="","",STDEV(U165,AH165,AU165))</f>
        <v>404.14518843273879</v>
      </c>
      <c r="AY165" s="229">
        <f>IF(N165="","",(AX165/AW165))</f>
        <v>0.1362287152020468</v>
      </c>
      <c r="AZ165" s="230"/>
      <c r="BA165" s="231">
        <f>COUNTA(M165,Z165,AM165)</f>
        <v>3</v>
      </c>
      <c r="BB165" s="231"/>
      <c r="BC165" s="231"/>
      <c r="BD165" s="231"/>
      <c r="BE165" s="231"/>
      <c r="BF165" s="231"/>
      <c r="BG165" s="231"/>
      <c r="BH165" s="231">
        <v>51</v>
      </c>
      <c r="BI165" s="232"/>
      <c r="BJ165" s="232"/>
      <c r="BK165" s="232"/>
      <c r="BL165" s="232"/>
      <c r="BM165" s="232"/>
      <c r="BN165" s="232"/>
      <c r="BO165" s="232"/>
      <c r="BP165" s="232"/>
      <c r="BQ165" s="232"/>
      <c r="BR165" s="232"/>
      <c r="BS165" s="232"/>
      <c r="BT165" s="232"/>
      <c r="BU165" s="232"/>
      <c r="BV165" s="232"/>
    </row>
    <row r="166" spans="1:74" ht="78.75" hidden="1" x14ac:dyDescent="0.25">
      <c r="A166" s="205" t="s">
        <v>438</v>
      </c>
      <c r="B166" s="205" t="s">
        <v>501</v>
      </c>
      <c r="C166" s="205">
        <v>14111530</v>
      </c>
      <c r="D166" s="205" t="s">
        <v>375</v>
      </c>
      <c r="E166" s="206" t="s">
        <v>376</v>
      </c>
      <c r="F166" s="458" t="s">
        <v>41</v>
      </c>
      <c r="G166" s="178">
        <v>1</v>
      </c>
      <c r="H166" s="458" t="s">
        <v>42</v>
      </c>
      <c r="I166" s="459" t="s">
        <v>440</v>
      </c>
      <c r="J166" s="207">
        <v>46090</v>
      </c>
      <c r="K166" s="208" t="s">
        <v>973</v>
      </c>
      <c r="L166" s="209" t="s">
        <v>446</v>
      </c>
      <c r="M166" s="207" t="s">
        <v>974</v>
      </c>
      <c r="N166" s="210">
        <v>2126</v>
      </c>
      <c r="O166" s="210" t="s">
        <v>443</v>
      </c>
      <c r="P166" s="210" t="s">
        <v>444</v>
      </c>
      <c r="Q166" s="211">
        <f>IF(O166="IVA Incluido",(N166/1.19),N166)</f>
        <v>1786.5546218487395</v>
      </c>
      <c r="R166" s="212">
        <f>IF(P166="Si tiene IVA",Q166*19%,0)</f>
        <v>339.44537815126051</v>
      </c>
      <c r="S166" s="212">
        <f>Q166+R166</f>
        <v>2126</v>
      </c>
      <c r="T166" s="212">
        <f>IF(B166="","",(N166*G166))</f>
        <v>2126</v>
      </c>
      <c r="U166" s="212">
        <f>IF(B166="","",(S166*G166))</f>
        <v>2126</v>
      </c>
      <c r="V166" s="460" t="s">
        <v>440</v>
      </c>
      <c r="W166" s="213">
        <v>46090</v>
      </c>
      <c r="X166" s="214" t="s">
        <v>975</v>
      </c>
      <c r="Y166" s="215" t="s">
        <v>446</v>
      </c>
      <c r="Z166" s="216" t="s">
        <v>976</v>
      </c>
      <c r="AA166" s="217">
        <v>2500</v>
      </c>
      <c r="AB166" s="217" t="s">
        <v>443</v>
      </c>
      <c r="AC166" s="217" t="s">
        <v>444</v>
      </c>
      <c r="AD166" s="218">
        <f>IF(AB166="IVA Incluido",(AA166/1.19),AA166)</f>
        <v>2100.840336134454</v>
      </c>
      <c r="AE166" s="219">
        <f>IF(AC166="Si tiene IVA",AD166*19%,0)</f>
        <v>399.15966386554624</v>
      </c>
      <c r="AF166" s="219">
        <f>AD166+AE166</f>
        <v>2500</v>
      </c>
      <c r="AG166" s="219">
        <f>AD166</f>
        <v>2100.840336134454</v>
      </c>
      <c r="AH166" s="219">
        <f>IF(O166="","",(AF166*G166))</f>
        <v>2500</v>
      </c>
      <c r="AI166" s="461" t="s">
        <v>440</v>
      </c>
      <c r="AJ166" s="220">
        <v>46090</v>
      </c>
      <c r="AK166" s="221" t="s">
        <v>977</v>
      </c>
      <c r="AL166" s="222" t="s">
        <v>441</v>
      </c>
      <c r="AM166" s="223" t="s">
        <v>978</v>
      </c>
      <c r="AN166" s="224">
        <v>1785</v>
      </c>
      <c r="AO166" s="224" t="s">
        <v>443</v>
      </c>
      <c r="AP166" s="225" t="s">
        <v>444</v>
      </c>
      <c r="AQ166" s="226">
        <f>IF(AO166="IVA Incluido",(AN166/1.19),AN166)</f>
        <v>1500</v>
      </c>
      <c r="AR166" s="227">
        <f>IF(AP166="Si tiene IVA",AQ166*19%,0)</f>
        <v>285</v>
      </c>
      <c r="AS166" s="227">
        <f>AQ166+AR166</f>
        <v>1785</v>
      </c>
      <c r="AT166" s="227">
        <f>IF(AB166="","",(AN166*G166))</f>
        <v>1785</v>
      </c>
      <c r="AU166" s="227">
        <f>IF(AB166="","",(AS166*G166))</f>
        <v>1785</v>
      </c>
      <c r="AV166" s="228">
        <f>IF(A166="","",AVERAGE(S166,AF166,AS166))</f>
        <v>2137</v>
      </c>
      <c r="AW166" s="228">
        <f>IF(A166="","",AVERAGE(U166,AH166,AU166))</f>
        <v>2137</v>
      </c>
      <c r="AX166" s="228">
        <f>IF(N166="","",STDEV(U166,AH166,AU166))</f>
        <v>357.62690055419489</v>
      </c>
      <c r="AY166" s="229">
        <f>IF(N166="","",(AX166/AW166))</f>
        <v>0.16734997686204722</v>
      </c>
      <c r="AZ166" s="230"/>
      <c r="BA166" s="231">
        <f>COUNTA(M166,Z166,AM166)</f>
        <v>3</v>
      </c>
      <c r="BB166" s="231"/>
      <c r="BC166" s="231"/>
      <c r="BD166" s="231"/>
      <c r="BE166" s="231"/>
      <c r="BF166" s="231"/>
      <c r="BG166" s="231"/>
      <c r="BH166" s="231">
        <v>52</v>
      </c>
      <c r="BI166" s="232"/>
      <c r="BJ166" s="232"/>
      <c r="BK166" s="232"/>
      <c r="BL166" s="232"/>
      <c r="BM166" s="232"/>
      <c r="BN166" s="232"/>
      <c r="BO166" s="232"/>
      <c r="BP166" s="232"/>
      <c r="BQ166" s="232"/>
      <c r="BR166" s="232"/>
      <c r="BS166" s="232"/>
      <c r="BT166" s="232"/>
      <c r="BU166" s="232"/>
      <c r="BV166" s="232"/>
    </row>
    <row r="167" spans="1:74" ht="84" hidden="1" x14ac:dyDescent="0.25">
      <c r="A167" s="205" t="s">
        <v>438</v>
      </c>
      <c r="B167" s="205" t="s">
        <v>501</v>
      </c>
      <c r="C167" s="205">
        <v>14111519</v>
      </c>
      <c r="D167" s="205" t="s">
        <v>979</v>
      </c>
      <c r="E167" s="206" t="s">
        <v>980</v>
      </c>
      <c r="F167" s="458" t="s">
        <v>41</v>
      </c>
      <c r="G167" s="178">
        <v>1</v>
      </c>
      <c r="H167" s="458" t="s">
        <v>42</v>
      </c>
      <c r="I167" s="459" t="s">
        <v>452</v>
      </c>
      <c r="J167" s="207">
        <v>46090</v>
      </c>
      <c r="K167" s="208" t="s">
        <v>809</v>
      </c>
      <c r="L167" s="209" t="s">
        <v>441</v>
      </c>
      <c r="M167" s="207" t="s">
        <v>810</v>
      </c>
      <c r="N167" s="210">
        <v>6500</v>
      </c>
      <c r="O167" s="210" t="s">
        <v>443</v>
      </c>
      <c r="P167" s="210" t="s">
        <v>444</v>
      </c>
      <c r="Q167" s="211">
        <f>IF(O167="IVA Incluido",(N167/1.19),N167)</f>
        <v>5462.1848739495799</v>
      </c>
      <c r="R167" s="212">
        <f>IF(P167="Si tiene IVA",Q167*19%,0)</f>
        <v>1037.8151260504203</v>
      </c>
      <c r="S167" s="212">
        <f>Q167+R167</f>
        <v>6500</v>
      </c>
      <c r="T167" s="212">
        <f>IF(B167="","",(N167*G167))</f>
        <v>6500</v>
      </c>
      <c r="U167" s="212">
        <f>IF(B167="","",(S167*G167))</f>
        <v>6500</v>
      </c>
      <c r="V167" s="460" t="s">
        <v>452</v>
      </c>
      <c r="W167" s="213">
        <v>46090</v>
      </c>
      <c r="X167" s="214" t="s">
        <v>938</v>
      </c>
      <c r="Y167" s="215" t="s">
        <v>441</v>
      </c>
      <c r="Z167" s="216" t="s">
        <v>939</v>
      </c>
      <c r="AA167" s="217">
        <v>5800</v>
      </c>
      <c r="AB167" s="217" t="s">
        <v>443</v>
      </c>
      <c r="AC167" s="217" t="s">
        <v>444</v>
      </c>
      <c r="AD167" s="218">
        <f>IF(AB167="IVA Incluido",(AA167/1.19),AA167)</f>
        <v>4873.9495798319331</v>
      </c>
      <c r="AE167" s="219">
        <f>IF(AC167="Si tiene IVA",AD167*19%,0)</f>
        <v>926.05042016806726</v>
      </c>
      <c r="AF167" s="219">
        <f>AD167+AE167</f>
        <v>5800</v>
      </c>
      <c r="AG167" s="219">
        <f>AD167</f>
        <v>4873.9495798319331</v>
      </c>
      <c r="AH167" s="219">
        <f>IF(O167="","",(AF167*G167))</f>
        <v>5800</v>
      </c>
      <c r="AI167" s="461" t="s">
        <v>452</v>
      </c>
      <c r="AJ167" s="220">
        <v>46090</v>
      </c>
      <c r="AK167" s="221" t="s">
        <v>506</v>
      </c>
      <c r="AL167" s="222" t="s">
        <v>446</v>
      </c>
      <c r="AM167" s="223" t="s">
        <v>507</v>
      </c>
      <c r="AN167" s="224">
        <v>6050</v>
      </c>
      <c r="AO167" s="224" t="s">
        <v>450</v>
      </c>
      <c r="AP167" s="225" t="s">
        <v>444</v>
      </c>
      <c r="AQ167" s="226">
        <f>IF(AO167="IVA Incluido",(AN167/1.19),AN167)</f>
        <v>6050</v>
      </c>
      <c r="AR167" s="227">
        <f>IF(AP167="Si tiene IVA",AQ167*19%,0)</f>
        <v>1149.5</v>
      </c>
      <c r="AS167" s="227">
        <f>AQ167+AR167</f>
        <v>7199.5</v>
      </c>
      <c r="AT167" s="227">
        <f>IF(AB167="","",(AN167*G167))</f>
        <v>6050</v>
      </c>
      <c r="AU167" s="227">
        <f>IF(AB167="","",(AS167*G167))</f>
        <v>7199.5</v>
      </c>
      <c r="AV167" s="228">
        <f>IF(A167="","",AVERAGE(S167,AF167,AS167))</f>
        <v>6499.833333333333</v>
      </c>
      <c r="AW167" s="228">
        <f>IF(A167="","",AVERAGE(U167,AH167,AU167))</f>
        <v>6499.833333333333</v>
      </c>
      <c r="AX167" s="228">
        <f>IF(N167="","",STDEV(U167,AH167,AU167))</f>
        <v>699.75001488626879</v>
      </c>
      <c r="AY167" s="229">
        <f>IF(N167="","",(AX167/AW167))</f>
        <v>0.10765660886990981</v>
      </c>
      <c r="AZ167" s="230"/>
      <c r="BA167" s="231">
        <f>COUNTA(M167,Z167,AM167)</f>
        <v>3</v>
      </c>
      <c r="BB167" s="231"/>
      <c r="BC167" s="231"/>
      <c r="BD167" s="231"/>
      <c r="BE167" s="231"/>
      <c r="BF167" s="231"/>
      <c r="BG167" s="231"/>
      <c r="BH167" s="231">
        <v>53</v>
      </c>
      <c r="BI167" s="232"/>
      <c r="BJ167" s="232"/>
      <c r="BK167" s="232"/>
      <c r="BL167" s="232"/>
      <c r="BM167" s="232"/>
      <c r="BN167" s="232"/>
      <c r="BO167" s="232"/>
      <c r="BP167" s="232"/>
      <c r="BQ167" s="232"/>
      <c r="BR167" s="232"/>
      <c r="BS167" s="232"/>
      <c r="BT167" s="232"/>
      <c r="BU167" s="232"/>
      <c r="BV167" s="232"/>
    </row>
    <row r="168" spans="1:74" ht="378" hidden="1" x14ac:dyDescent="0.25">
      <c r="A168" s="205" t="s">
        <v>496</v>
      </c>
      <c r="B168" s="205" t="s">
        <v>496</v>
      </c>
      <c r="C168" s="205" t="s">
        <v>496</v>
      </c>
      <c r="D168" s="205" t="s">
        <v>394</v>
      </c>
      <c r="E168" s="206" t="s">
        <v>981</v>
      </c>
      <c r="F168" s="458" t="s">
        <v>499</v>
      </c>
      <c r="G168" s="178">
        <v>1</v>
      </c>
      <c r="H168" s="458"/>
      <c r="I168" s="459" t="s">
        <v>496</v>
      </c>
      <c r="J168" s="207" t="s">
        <v>496</v>
      </c>
      <c r="K168" s="208" t="s">
        <v>496</v>
      </c>
      <c r="L168" s="209" t="s">
        <v>496</v>
      </c>
      <c r="M168" s="207" t="s">
        <v>496</v>
      </c>
      <c r="N168" s="210"/>
      <c r="O168" s="210"/>
      <c r="P168" s="210"/>
      <c r="Q168" s="211" t="s">
        <v>500</v>
      </c>
      <c r="R168" s="212" t="s">
        <v>500</v>
      </c>
      <c r="S168" s="212" t="s">
        <v>500</v>
      </c>
      <c r="T168" s="212" t="s">
        <v>500</v>
      </c>
      <c r="U168" s="212" t="s">
        <v>500</v>
      </c>
      <c r="V168" s="460" t="s">
        <v>496</v>
      </c>
      <c r="W168" s="213" t="s">
        <v>496</v>
      </c>
      <c r="X168" s="214" t="s">
        <v>496</v>
      </c>
      <c r="Y168" s="215" t="s">
        <v>496</v>
      </c>
      <c r="Z168" s="216" t="s">
        <v>165</v>
      </c>
      <c r="AA168" s="217" t="s">
        <v>496</v>
      </c>
      <c r="AB168" s="217" t="s">
        <v>496</v>
      </c>
      <c r="AC168" s="217" t="s">
        <v>496</v>
      </c>
      <c r="AD168" s="218" t="s">
        <v>496</v>
      </c>
      <c r="AE168" s="219" t="s">
        <v>496</v>
      </c>
      <c r="AF168" s="219">
        <v>150217</v>
      </c>
      <c r="AG168" s="219">
        <v>5.5599999999999997E-2</v>
      </c>
      <c r="AH168" s="219">
        <v>158569</v>
      </c>
      <c r="AI168" s="461" t="s">
        <v>496</v>
      </c>
      <c r="AJ168" s="220" t="s">
        <v>496</v>
      </c>
      <c r="AK168" s="221" t="s">
        <v>496</v>
      </c>
      <c r="AL168" s="222" t="s">
        <v>496</v>
      </c>
      <c r="AM168" s="223" t="s">
        <v>166</v>
      </c>
      <c r="AN168" s="224" t="s">
        <v>496</v>
      </c>
      <c r="AO168" s="224" t="s">
        <v>496</v>
      </c>
      <c r="AP168" s="225" t="s">
        <v>496</v>
      </c>
      <c r="AQ168" s="226">
        <v>129389</v>
      </c>
      <c r="AR168" s="227">
        <v>24584</v>
      </c>
      <c r="AS168" s="227">
        <v>153972</v>
      </c>
      <c r="AT168" s="227">
        <v>129389</v>
      </c>
      <c r="AU168" s="227">
        <v>153972</v>
      </c>
      <c r="AV168" s="228">
        <v>156271</v>
      </c>
      <c r="AW168" s="228">
        <v>156271</v>
      </c>
      <c r="AX168" s="228">
        <v>3250.32</v>
      </c>
      <c r="AY168" s="229">
        <v>2.0799999999999999E-2</v>
      </c>
      <c r="AZ168" s="230"/>
      <c r="BA168" s="231"/>
      <c r="BB168" s="231"/>
      <c r="BC168" s="231"/>
      <c r="BD168" s="231"/>
      <c r="BE168" s="231"/>
      <c r="BF168" s="231"/>
      <c r="BG168" s="231"/>
      <c r="BH168" s="231"/>
      <c r="BI168" s="232"/>
      <c r="BJ168" s="232"/>
      <c r="BK168" s="232"/>
      <c r="BL168" s="232"/>
      <c r="BM168" s="232"/>
      <c r="BN168" s="232"/>
      <c r="BO168" s="232"/>
      <c r="BP168" s="232"/>
      <c r="BQ168" s="232"/>
      <c r="BR168" s="232"/>
      <c r="BS168" s="232"/>
      <c r="BT168" s="232"/>
      <c r="BU168" s="232"/>
      <c r="BV168" s="232"/>
    </row>
    <row r="169" spans="1:74" ht="84" hidden="1" x14ac:dyDescent="0.25">
      <c r="A169" s="205" t="s">
        <v>438</v>
      </c>
      <c r="B169" s="205" t="s">
        <v>501</v>
      </c>
      <c r="C169" s="205"/>
      <c r="D169" s="205" t="s">
        <v>982</v>
      </c>
      <c r="E169" s="206" t="s">
        <v>983</v>
      </c>
      <c r="F169" s="458" t="s">
        <v>41</v>
      </c>
      <c r="G169" s="178">
        <v>1</v>
      </c>
      <c r="H169" s="458" t="s">
        <v>42</v>
      </c>
      <c r="I169" s="459" t="s">
        <v>440</v>
      </c>
      <c r="J169" s="207">
        <v>46090</v>
      </c>
      <c r="K169" s="208" t="s">
        <v>809</v>
      </c>
      <c r="L169" s="209" t="s">
        <v>446</v>
      </c>
      <c r="M169" s="207" t="s">
        <v>810</v>
      </c>
      <c r="N169" s="210">
        <v>12500</v>
      </c>
      <c r="O169" s="210" t="s">
        <v>450</v>
      </c>
      <c r="P169" s="210" t="s">
        <v>444</v>
      </c>
      <c r="Q169" s="211">
        <f t="shared" ref="Q169:Q184" si="103">IF(O169="IVA Incluido",(N169/1.19),N169)</f>
        <v>12500</v>
      </c>
      <c r="R169" s="212">
        <f t="shared" ref="R169:R184" si="104">IF(P169="Si tiene IVA",Q169*19%,0)</f>
        <v>2375</v>
      </c>
      <c r="S169" s="212">
        <f t="shared" ref="S169:S184" si="105">Q169+R169</f>
        <v>14875</v>
      </c>
      <c r="T169" s="212">
        <f>IF(B169="","",(N169*G169))</f>
        <v>12500</v>
      </c>
      <c r="U169" s="212">
        <f t="shared" ref="U169:U184" si="106">IF(B169="","",(S169*G169))</f>
        <v>14875</v>
      </c>
      <c r="V169" s="460" t="s">
        <v>440</v>
      </c>
      <c r="W169" s="213">
        <v>46090</v>
      </c>
      <c r="X169" s="214" t="s">
        <v>984</v>
      </c>
      <c r="Y169" s="215" t="s">
        <v>446</v>
      </c>
      <c r="Z169" s="216" t="s">
        <v>985</v>
      </c>
      <c r="AA169" s="217">
        <v>12600</v>
      </c>
      <c r="AB169" s="217" t="s">
        <v>443</v>
      </c>
      <c r="AC169" s="217" t="s">
        <v>444</v>
      </c>
      <c r="AD169" s="218">
        <f t="shared" ref="AD169:AD184" si="107">IF(AB169="IVA Incluido",(AA169/1.19),AA169)</f>
        <v>10588.235294117647</v>
      </c>
      <c r="AE169" s="219">
        <f t="shared" ref="AE169:AE184" si="108">IF(AC169="Si tiene IVA",AD169*19%,0)</f>
        <v>2011.7647058823529</v>
      </c>
      <c r="AF169" s="219">
        <f t="shared" ref="AF169:AF184" si="109">AD169+AE169</f>
        <v>12600</v>
      </c>
      <c r="AG169" s="219">
        <f>IF(O169="","",(AA169*G169))</f>
        <v>12600</v>
      </c>
      <c r="AH169" s="219">
        <f t="shared" ref="AH169:AH184" si="110">IF(O169="","",(AF169*G169))</f>
        <v>12600</v>
      </c>
      <c r="AI169" s="461" t="s">
        <v>440</v>
      </c>
      <c r="AJ169" s="220">
        <v>46090</v>
      </c>
      <c r="AK169" s="221" t="s">
        <v>986</v>
      </c>
      <c r="AL169" s="222" t="s">
        <v>446</v>
      </c>
      <c r="AM169" s="223" t="s">
        <v>987</v>
      </c>
      <c r="AN169" s="224">
        <v>12000</v>
      </c>
      <c r="AO169" s="224" t="s">
        <v>443</v>
      </c>
      <c r="AP169" s="225" t="s">
        <v>444</v>
      </c>
      <c r="AQ169" s="226">
        <f t="shared" ref="AQ169:AQ184" si="111">IF(AO169="IVA Incluido",(AN169/1.19),AN169)</f>
        <v>10084.033613445379</v>
      </c>
      <c r="AR169" s="227">
        <f t="shared" ref="AR169:AR184" si="112">IF(AP169="Si tiene IVA",AQ169*19%,0)</f>
        <v>1915.966386554622</v>
      </c>
      <c r="AS169" s="227">
        <f t="shared" ref="AS169:AS184" si="113">AQ169+AR169</f>
        <v>12000.000000000002</v>
      </c>
      <c r="AT169" s="227">
        <f>IF(AB169="","",(AN169*G169))</f>
        <v>12000</v>
      </c>
      <c r="AU169" s="227">
        <f t="shared" ref="AU169:AU184" si="114">IF(AB169="","",(AS169*G169))</f>
        <v>12000.000000000002</v>
      </c>
      <c r="AV169" s="228">
        <f t="shared" ref="AV169:AV184" si="115">IF(A169="","",AVERAGE(S169,AF169,AS169))</f>
        <v>13158.333333333334</v>
      </c>
      <c r="AW169" s="228">
        <f t="shared" ref="AW169:AW184" si="116">IF(A169="","",AVERAGE(U169,AH169,AU169))</f>
        <v>13158.333333333334</v>
      </c>
      <c r="AX169" s="228">
        <f t="shared" ref="AX169:AX184" si="117">IF(N169="","",STDEV(U169,AH169,AU169))</f>
        <v>1516.6437727209811</v>
      </c>
      <c r="AY169" s="229">
        <f t="shared" ref="AY169:AY184" si="118">IF(N169="","",(AX169/AW169))</f>
        <v>0.11526108469063821</v>
      </c>
      <c r="AZ169" s="230"/>
      <c r="BA169" s="231">
        <f t="shared" ref="BA169:BA184" si="119">COUNTA(M169,Z169,AM169)</f>
        <v>3</v>
      </c>
      <c r="BB169" s="231"/>
      <c r="BC169" s="231"/>
      <c r="BD169" s="231"/>
      <c r="BE169" s="231"/>
      <c r="BF169" s="231"/>
      <c r="BG169" s="231"/>
      <c r="BH169" s="231">
        <v>54</v>
      </c>
      <c r="BI169" s="232"/>
      <c r="BJ169" s="232"/>
      <c r="BK169" s="232"/>
      <c r="BL169" s="232"/>
      <c r="BM169" s="232"/>
      <c r="BN169" s="232"/>
      <c r="BO169" s="232"/>
      <c r="BP169" s="232"/>
      <c r="BQ169" s="232"/>
      <c r="BR169" s="232"/>
      <c r="BS169" s="232"/>
      <c r="BT169" s="232"/>
      <c r="BU169" s="232"/>
      <c r="BV169" s="232"/>
    </row>
    <row r="170" spans="1:74" ht="84" hidden="1" x14ac:dyDescent="0.25">
      <c r="A170" s="205" t="s">
        <v>438</v>
      </c>
      <c r="B170" s="205" t="s">
        <v>501</v>
      </c>
      <c r="C170" s="205"/>
      <c r="D170" s="205" t="s">
        <v>988</v>
      </c>
      <c r="E170" s="206" t="s">
        <v>989</v>
      </c>
      <c r="F170" s="458" t="s">
        <v>41</v>
      </c>
      <c r="G170" s="178">
        <v>1</v>
      </c>
      <c r="H170" s="458" t="s">
        <v>42</v>
      </c>
      <c r="I170" s="459" t="s">
        <v>440</v>
      </c>
      <c r="J170" s="207">
        <v>46090</v>
      </c>
      <c r="K170" s="208" t="s">
        <v>809</v>
      </c>
      <c r="L170" s="209" t="s">
        <v>446</v>
      </c>
      <c r="M170" s="207" t="s">
        <v>810</v>
      </c>
      <c r="N170" s="210">
        <v>1000</v>
      </c>
      <c r="O170" s="210" t="s">
        <v>450</v>
      </c>
      <c r="P170" s="210" t="s">
        <v>444</v>
      </c>
      <c r="Q170" s="211">
        <f t="shared" si="103"/>
        <v>1000</v>
      </c>
      <c r="R170" s="212">
        <f t="shared" si="104"/>
        <v>190</v>
      </c>
      <c r="S170" s="212">
        <f t="shared" si="105"/>
        <v>1190</v>
      </c>
      <c r="T170" s="212">
        <f>IF(B170="","",(N170*G170))</f>
        <v>1000</v>
      </c>
      <c r="U170" s="212">
        <f t="shared" si="106"/>
        <v>1190</v>
      </c>
      <c r="V170" s="460" t="s">
        <v>440</v>
      </c>
      <c r="W170" s="213">
        <v>46090</v>
      </c>
      <c r="X170" s="214" t="s">
        <v>990</v>
      </c>
      <c r="Y170" s="215" t="s">
        <v>446</v>
      </c>
      <c r="Z170" s="216" t="s">
        <v>991</v>
      </c>
      <c r="AA170" s="217">
        <v>1671</v>
      </c>
      <c r="AB170" s="217" t="s">
        <v>443</v>
      </c>
      <c r="AC170" s="217" t="s">
        <v>444</v>
      </c>
      <c r="AD170" s="218">
        <f t="shared" si="107"/>
        <v>1404.201680672269</v>
      </c>
      <c r="AE170" s="219">
        <f t="shared" si="108"/>
        <v>266.79831932773112</v>
      </c>
      <c r="AF170" s="219">
        <f t="shared" si="109"/>
        <v>1671.0000000000002</v>
      </c>
      <c r="AG170" s="219">
        <f>IF(O170="","",(AA170*G170))</f>
        <v>1671</v>
      </c>
      <c r="AH170" s="219">
        <f t="shared" si="110"/>
        <v>1671.0000000000002</v>
      </c>
      <c r="AI170" s="461" t="s">
        <v>440</v>
      </c>
      <c r="AJ170" s="220">
        <v>46090</v>
      </c>
      <c r="AK170" s="221" t="s">
        <v>992</v>
      </c>
      <c r="AL170" s="222" t="s">
        <v>446</v>
      </c>
      <c r="AM170" s="223" t="s">
        <v>971</v>
      </c>
      <c r="AN170" s="224">
        <v>1400</v>
      </c>
      <c r="AO170" s="224" t="s">
        <v>443</v>
      </c>
      <c r="AP170" s="225" t="s">
        <v>444</v>
      </c>
      <c r="AQ170" s="226">
        <f t="shared" si="111"/>
        <v>1176.4705882352941</v>
      </c>
      <c r="AR170" s="227">
        <f t="shared" si="112"/>
        <v>223.52941176470588</v>
      </c>
      <c r="AS170" s="227">
        <f t="shared" si="113"/>
        <v>1400</v>
      </c>
      <c r="AT170" s="227">
        <f>IF(AB170="","",(AN170*G170))</f>
        <v>1400</v>
      </c>
      <c r="AU170" s="227">
        <f t="shared" si="114"/>
        <v>1400</v>
      </c>
      <c r="AV170" s="228">
        <f t="shared" si="115"/>
        <v>1420.3333333333333</v>
      </c>
      <c r="AW170" s="228">
        <f t="shared" si="116"/>
        <v>1420.3333333333333</v>
      </c>
      <c r="AX170" s="228">
        <f t="shared" si="117"/>
        <v>241.14380218727155</v>
      </c>
      <c r="AY170" s="229">
        <f t="shared" si="118"/>
        <v>0.16977972460967253</v>
      </c>
      <c r="AZ170" s="230"/>
      <c r="BA170" s="231">
        <f t="shared" si="119"/>
        <v>3</v>
      </c>
      <c r="BB170" s="231"/>
      <c r="BC170" s="231"/>
      <c r="BD170" s="231"/>
      <c r="BE170" s="231"/>
      <c r="BF170" s="231"/>
      <c r="BG170" s="231"/>
      <c r="BH170" s="231">
        <v>55</v>
      </c>
      <c r="BI170" s="232"/>
      <c r="BJ170" s="232"/>
      <c r="BK170" s="232"/>
      <c r="BL170" s="232"/>
      <c r="BM170" s="232"/>
      <c r="BN170" s="232"/>
      <c r="BO170" s="232"/>
      <c r="BP170" s="232"/>
      <c r="BQ170" s="232"/>
      <c r="BR170" s="232"/>
      <c r="BS170" s="232"/>
      <c r="BT170" s="232"/>
      <c r="BU170" s="232"/>
      <c r="BV170" s="232"/>
    </row>
    <row r="171" spans="1:74" ht="84" hidden="1" x14ac:dyDescent="0.25">
      <c r="A171" s="205" t="s">
        <v>438</v>
      </c>
      <c r="B171" s="205" t="s">
        <v>501</v>
      </c>
      <c r="C171" s="205"/>
      <c r="D171" s="205" t="s">
        <v>993</v>
      </c>
      <c r="E171" s="206" t="s">
        <v>994</v>
      </c>
      <c r="F171" s="458" t="s">
        <v>41</v>
      </c>
      <c r="G171" s="178">
        <v>1</v>
      </c>
      <c r="H171" s="458" t="s">
        <v>42</v>
      </c>
      <c r="I171" s="459" t="s">
        <v>440</v>
      </c>
      <c r="J171" s="207">
        <v>46090</v>
      </c>
      <c r="K171" s="208" t="s">
        <v>809</v>
      </c>
      <c r="L171" s="209" t="s">
        <v>446</v>
      </c>
      <c r="M171" s="207" t="s">
        <v>810</v>
      </c>
      <c r="N171" s="210">
        <v>3600</v>
      </c>
      <c r="O171" s="210" t="s">
        <v>450</v>
      </c>
      <c r="P171" s="210" t="s">
        <v>444</v>
      </c>
      <c r="Q171" s="211">
        <f t="shared" si="103"/>
        <v>3600</v>
      </c>
      <c r="R171" s="212">
        <f t="shared" si="104"/>
        <v>684</v>
      </c>
      <c r="S171" s="212">
        <f t="shared" si="105"/>
        <v>4284</v>
      </c>
      <c r="T171" s="212">
        <f>IF(B171="","",(N171*G171))</f>
        <v>3600</v>
      </c>
      <c r="U171" s="212">
        <f t="shared" si="106"/>
        <v>4284</v>
      </c>
      <c r="V171" s="460" t="s">
        <v>440</v>
      </c>
      <c r="W171" s="213">
        <v>46090</v>
      </c>
      <c r="X171" s="214" t="s">
        <v>995</v>
      </c>
      <c r="Y171" s="215" t="s">
        <v>446</v>
      </c>
      <c r="Z171" s="216" t="s">
        <v>996</v>
      </c>
      <c r="AA171" s="217">
        <v>3000</v>
      </c>
      <c r="AB171" s="217" t="s">
        <v>443</v>
      </c>
      <c r="AC171" s="217" t="s">
        <v>444</v>
      </c>
      <c r="AD171" s="218">
        <f t="shared" si="107"/>
        <v>2521.0084033613448</v>
      </c>
      <c r="AE171" s="219">
        <f t="shared" si="108"/>
        <v>478.99159663865549</v>
      </c>
      <c r="AF171" s="219">
        <f t="shared" si="109"/>
        <v>3000.0000000000005</v>
      </c>
      <c r="AG171" s="219">
        <f>IF(O171="","",(AA171*G171))</f>
        <v>3000</v>
      </c>
      <c r="AH171" s="219">
        <f t="shared" si="110"/>
        <v>3000.0000000000005</v>
      </c>
      <c r="AI171" s="461" t="s">
        <v>440</v>
      </c>
      <c r="AJ171" s="220">
        <v>46090</v>
      </c>
      <c r="AK171" s="221" t="s">
        <v>508</v>
      </c>
      <c r="AL171" s="222" t="s">
        <v>446</v>
      </c>
      <c r="AM171" s="223" t="s">
        <v>997</v>
      </c>
      <c r="AN171" s="224">
        <v>3500</v>
      </c>
      <c r="AO171" s="224" t="s">
        <v>443</v>
      </c>
      <c r="AP171" s="225" t="s">
        <v>444</v>
      </c>
      <c r="AQ171" s="226">
        <f t="shared" si="111"/>
        <v>2941.1764705882356</v>
      </c>
      <c r="AR171" s="227">
        <f t="shared" si="112"/>
        <v>558.82352941176475</v>
      </c>
      <c r="AS171" s="227">
        <f t="shared" si="113"/>
        <v>3500.0000000000005</v>
      </c>
      <c r="AT171" s="227">
        <f>IF(AB171="","",(AN171*G171))</f>
        <v>3500</v>
      </c>
      <c r="AU171" s="227">
        <f t="shared" si="114"/>
        <v>3500.0000000000005</v>
      </c>
      <c r="AV171" s="228">
        <f t="shared" si="115"/>
        <v>3594.6666666666665</v>
      </c>
      <c r="AW171" s="228">
        <f t="shared" si="116"/>
        <v>3594.6666666666665</v>
      </c>
      <c r="AX171" s="228">
        <f t="shared" si="117"/>
        <v>647.21351448600956</v>
      </c>
      <c r="AY171" s="229">
        <f t="shared" si="118"/>
        <v>0.18004826997941661</v>
      </c>
      <c r="AZ171" s="230"/>
      <c r="BA171" s="231">
        <f t="shared" si="119"/>
        <v>3</v>
      </c>
      <c r="BB171" s="231"/>
      <c r="BC171" s="231"/>
      <c r="BD171" s="231"/>
      <c r="BE171" s="231"/>
      <c r="BF171" s="231"/>
      <c r="BG171" s="231"/>
      <c r="BH171" s="231">
        <v>56</v>
      </c>
      <c r="BI171" s="232"/>
      <c r="BJ171" s="232"/>
      <c r="BK171" s="232"/>
      <c r="BL171" s="232"/>
      <c r="BM171" s="232"/>
      <c r="BN171" s="232"/>
      <c r="BO171" s="232"/>
      <c r="BP171" s="232"/>
      <c r="BQ171" s="232"/>
      <c r="BR171" s="232"/>
      <c r="BS171" s="232"/>
      <c r="BT171" s="232"/>
      <c r="BU171" s="232"/>
      <c r="BV171" s="232"/>
    </row>
    <row r="172" spans="1:74" ht="84" hidden="1" x14ac:dyDescent="0.25">
      <c r="A172" s="205" t="s">
        <v>438</v>
      </c>
      <c r="B172" s="205" t="s">
        <v>501</v>
      </c>
      <c r="C172" s="205"/>
      <c r="D172" s="205" t="s">
        <v>998</v>
      </c>
      <c r="E172" s="206" t="s">
        <v>999</v>
      </c>
      <c r="F172" s="458" t="s">
        <v>41</v>
      </c>
      <c r="G172" s="178">
        <v>1</v>
      </c>
      <c r="H172" s="458" t="s">
        <v>42</v>
      </c>
      <c r="I172" s="459" t="s">
        <v>440</v>
      </c>
      <c r="J172" s="207">
        <v>46090</v>
      </c>
      <c r="K172" s="208" t="s">
        <v>809</v>
      </c>
      <c r="L172" s="209" t="s">
        <v>446</v>
      </c>
      <c r="M172" s="207" t="s">
        <v>810</v>
      </c>
      <c r="N172" s="210">
        <v>3699</v>
      </c>
      <c r="O172" s="210" t="s">
        <v>450</v>
      </c>
      <c r="P172" s="210" t="s">
        <v>444</v>
      </c>
      <c r="Q172" s="211">
        <f t="shared" si="103"/>
        <v>3699</v>
      </c>
      <c r="R172" s="212">
        <f t="shared" si="104"/>
        <v>702.81000000000006</v>
      </c>
      <c r="S172" s="212">
        <f t="shared" si="105"/>
        <v>4401.8100000000004</v>
      </c>
      <c r="T172" s="212">
        <f>IF(B172="","",(N172*G172))</f>
        <v>3699</v>
      </c>
      <c r="U172" s="212">
        <f t="shared" si="106"/>
        <v>4401.8100000000004</v>
      </c>
      <c r="V172" s="460" t="s">
        <v>440</v>
      </c>
      <c r="W172" s="213">
        <v>46090</v>
      </c>
      <c r="X172" s="214" t="s">
        <v>938</v>
      </c>
      <c r="Y172" s="215" t="s">
        <v>446</v>
      </c>
      <c r="Z172" s="216" t="s">
        <v>939</v>
      </c>
      <c r="AA172" s="217">
        <v>3900</v>
      </c>
      <c r="AB172" s="217" t="s">
        <v>443</v>
      </c>
      <c r="AC172" s="217" t="s">
        <v>444</v>
      </c>
      <c r="AD172" s="218">
        <f t="shared" si="107"/>
        <v>3277.3109243697481</v>
      </c>
      <c r="AE172" s="219">
        <f t="shared" si="108"/>
        <v>622.6890756302522</v>
      </c>
      <c r="AF172" s="219">
        <f t="shared" si="109"/>
        <v>3900.0000000000005</v>
      </c>
      <c r="AG172" s="219">
        <f>IF(O172="","",(AA172*G172))</f>
        <v>3900</v>
      </c>
      <c r="AH172" s="219">
        <f t="shared" si="110"/>
        <v>3900.0000000000005</v>
      </c>
      <c r="AI172" s="461" t="s">
        <v>440</v>
      </c>
      <c r="AJ172" s="220">
        <v>46090</v>
      </c>
      <c r="AK172" s="221" t="s">
        <v>508</v>
      </c>
      <c r="AL172" s="222" t="s">
        <v>446</v>
      </c>
      <c r="AM172" s="223" t="s">
        <v>997</v>
      </c>
      <c r="AN172" s="224">
        <v>4500</v>
      </c>
      <c r="AO172" s="224" t="s">
        <v>443</v>
      </c>
      <c r="AP172" s="225" t="s">
        <v>444</v>
      </c>
      <c r="AQ172" s="226">
        <f t="shared" si="111"/>
        <v>3781.5126050420172</v>
      </c>
      <c r="AR172" s="227">
        <f t="shared" si="112"/>
        <v>718.48739495798327</v>
      </c>
      <c r="AS172" s="227">
        <f t="shared" si="113"/>
        <v>4500</v>
      </c>
      <c r="AT172" s="227">
        <f>IF(AB172="","",(AN172*G172))</f>
        <v>4500</v>
      </c>
      <c r="AU172" s="227">
        <f t="shared" si="114"/>
        <v>4500</v>
      </c>
      <c r="AV172" s="228">
        <f t="shared" si="115"/>
        <v>4267.2700000000004</v>
      </c>
      <c r="AW172" s="228">
        <f t="shared" si="116"/>
        <v>4267.2700000000004</v>
      </c>
      <c r="AX172" s="228">
        <f t="shared" si="117"/>
        <v>321.83187955825616</v>
      </c>
      <c r="AY172" s="229">
        <f t="shared" si="118"/>
        <v>7.541868209845079E-2</v>
      </c>
      <c r="AZ172" s="230"/>
      <c r="BA172" s="231">
        <f t="shared" si="119"/>
        <v>3</v>
      </c>
      <c r="BB172" s="231"/>
      <c r="BC172" s="231"/>
      <c r="BD172" s="231"/>
      <c r="BE172" s="231"/>
      <c r="BF172" s="231"/>
      <c r="BG172" s="231"/>
      <c r="BH172" s="231">
        <v>57</v>
      </c>
      <c r="BI172" s="232"/>
      <c r="BJ172" s="232"/>
      <c r="BK172" s="232"/>
      <c r="BL172" s="232"/>
      <c r="BM172" s="232"/>
      <c r="BN172" s="232"/>
      <c r="BO172" s="232"/>
      <c r="BP172" s="232"/>
      <c r="BQ172" s="232"/>
      <c r="BR172" s="232"/>
      <c r="BS172" s="232"/>
      <c r="BT172" s="232"/>
      <c r="BU172" s="232"/>
      <c r="BV172" s="232"/>
    </row>
    <row r="173" spans="1:74" ht="75" hidden="1" x14ac:dyDescent="0.25">
      <c r="A173" s="205" t="s">
        <v>438</v>
      </c>
      <c r="B173" s="205" t="s">
        <v>501</v>
      </c>
      <c r="C173" s="205"/>
      <c r="D173" s="205" t="s">
        <v>1000</v>
      </c>
      <c r="E173" s="206" t="s">
        <v>1001</v>
      </c>
      <c r="F173" s="458" t="s">
        <v>41</v>
      </c>
      <c r="G173" s="178">
        <v>1</v>
      </c>
      <c r="H173" s="458" t="s">
        <v>42</v>
      </c>
      <c r="I173" s="459" t="s">
        <v>440</v>
      </c>
      <c r="J173" s="207">
        <v>46090</v>
      </c>
      <c r="K173" s="208" t="s">
        <v>1002</v>
      </c>
      <c r="L173" s="209" t="s">
        <v>446</v>
      </c>
      <c r="M173" s="207" t="s">
        <v>1003</v>
      </c>
      <c r="N173" s="210">
        <v>40000</v>
      </c>
      <c r="O173" s="210" t="s">
        <v>443</v>
      </c>
      <c r="P173" s="210" t="s">
        <v>444</v>
      </c>
      <c r="Q173" s="211">
        <f t="shared" si="103"/>
        <v>33613.445378151264</v>
      </c>
      <c r="R173" s="212">
        <f t="shared" si="104"/>
        <v>6386.5546218487398</v>
      </c>
      <c r="S173" s="212">
        <f t="shared" si="105"/>
        <v>40000</v>
      </c>
      <c r="T173" s="212">
        <f>IF(R173="IVA Incluido",(Q173/1.19),Q173)</f>
        <v>33613.445378151264</v>
      </c>
      <c r="U173" s="212">
        <f t="shared" si="106"/>
        <v>40000</v>
      </c>
      <c r="V173" s="460" t="s">
        <v>440</v>
      </c>
      <c r="W173" s="213">
        <v>46090</v>
      </c>
      <c r="X173" s="214" t="s">
        <v>1004</v>
      </c>
      <c r="Y173" s="215" t="s">
        <v>446</v>
      </c>
      <c r="Z173" s="216" t="s">
        <v>1005</v>
      </c>
      <c r="AA173" s="217">
        <v>32000</v>
      </c>
      <c r="AB173" s="217" t="s">
        <v>443</v>
      </c>
      <c r="AC173" s="217" t="s">
        <v>444</v>
      </c>
      <c r="AD173" s="218">
        <f t="shared" si="107"/>
        <v>26890.756302521011</v>
      </c>
      <c r="AE173" s="219">
        <f t="shared" si="108"/>
        <v>5109.2436974789925</v>
      </c>
      <c r="AF173" s="219">
        <f t="shared" si="109"/>
        <v>32000.000000000004</v>
      </c>
      <c r="AG173" s="219">
        <f>IF(R173="IVA Incluido",(Q173/1.19),Q173)</f>
        <v>33613.445378151264</v>
      </c>
      <c r="AH173" s="219">
        <f t="shared" si="110"/>
        <v>32000.000000000004</v>
      </c>
      <c r="AI173" s="461" t="s">
        <v>440</v>
      </c>
      <c r="AJ173" s="220">
        <v>46090</v>
      </c>
      <c r="AK173" s="221" t="s">
        <v>1006</v>
      </c>
      <c r="AL173" s="222" t="s">
        <v>446</v>
      </c>
      <c r="AM173" s="223" t="s">
        <v>1007</v>
      </c>
      <c r="AN173" s="224">
        <v>45000</v>
      </c>
      <c r="AO173" s="224" t="s">
        <v>443</v>
      </c>
      <c r="AP173" s="225" t="s">
        <v>444</v>
      </c>
      <c r="AQ173" s="226">
        <f t="shared" si="111"/>
        <v>37815.126050420171</v>
      </c>
      <c r="AR173" s="227">
        <f t="shared" si="112"/>
        <v>7184.8739495798327</v>
      </c>
      <c r="AS173" s="227">
        <f t="shared" si="113"/>
        <v>45000</v>
      </c>
      <c r="AT173" s="227">
        <f>AQ173</f>
        <v>37815.126050420171</v>
      </c>
      <c r="AU173" s="227">
        <f t="shared" si="114"/>
        <v>45000</v>
      </c>
      <c r="AV173" s="228">
        <f t="shared" si="115"/>
        <v>39000</v>
      </c>
      <c r="AW173" s="228">
        <f t="shared" si="116"/>
        <v>39000</v>
      </c>
      <c r="AX173" s="228">
        <f t="shared" si="117"/>
        <v>6557.4385243020006</v>
      </c>
      <c r="AY173" s="229">
        <f t="shared" si="118"/>
        <v>0.16813944934107694</v>
      </c>
      <c r="AZ173" s="230"/>
      <c r="BA173" s="231">
        <f t="shared" si="119"/>
        <v>3</v>
      </c>
      <c r="BB173" s="231"/>
      <c r="BC173" s="231"/>
      <c r="BD173" s="231"/>
      <c r="BE173" s="231"/>
      <c r="BF173" s="231"/>
      <c r="BG173" s="231"/>
      <c r="BH173" s="231">
        <v>58</v>
      </c>
      <c r="BI173" s="232"/>
      <c r="BJ173" s="232"/>
      <c r="BK173" s="232"/>
      <c r="BL173" s="232"/>
      <c r="BM173" s="232"/>
      <c r="BN173" s="232"/>
      <c r="BO173" s="232"/>
      <c r="BP173" s="232"/>
      <c r="BQ173" s="232"/>
      <c r="BR173" s="232"/>
      <c r="BS173" s="232"/>
      <c r="BT173" s="232"/>
      <c r="BU173" s="232"/>
      <c r="BV173" s="232"/>
    </row>
    <row r="174" spans="1:74" ht="63" hidden="1" x14ac:dyDescent="0.25">
      <c r="A174" s="205" t="s">
        <v>438</v>
      </c>
      <c r="B174" s="205" t="s">
        <v>501</v>
      </c>
      <c r="C174" s="205">
        <v>60121116</v>
      </c>
      <c r="D174" s="205" t="s">
        <v>1008</v>
      </c>
      <c r="E174" s="206" t="s">
        <v>1009</v>
      </c>
      <c r="F174" s="458" t="s">
        <v>41</v>
      </c>
      <c r="G174" s="178">
        <v>1</v>
      </c>
      <c r="H174" s="458" t="s">
        <v>42</v>
      </c>
      <c r="I174" s="459" t="s">
        <v>440</v>
      </c>
      <c r="J174" s="207">
        <v>46090</v>
      </c>
      <c r="K174" s="208" t="s">
        <v>1010</v>
      </c>
      <c r="L174" s="209" t="s">
        <v>446</v>
      </c>
      <c r="M174" s="207" t="s">
        <v>924</v>
      </c>
      <c r="N174" s="210">
        <v>900</v>
      </c>
      <c r="O174" s="210" t="s">
        <v>443</v>
      </c>
      <c r="P174" s="210" t="s">
        <v>444</v>
      </c>
      <c r="Q174" s="211">
        <f t="shared" si="103"/>
        <v>756.30252100840335</v>
      </c>
      <c r="R174" s="212">
        <f t="shared" si="104"/>
        <v>143.69747899159663</v>
      </c>
      <c r="S174" s="212">
        <f t="shared" si="105"/>
        <v>900</v>
      </c>
      <c r="T174" s="212">
        <f t="shared" ref="T174:T184" si="120">IF(B174="","",(N174*G174))</f>
        <v>900</v>
      </c>
      <c r="U174" s="212">
        <f t="shared" si="106"/>
        <v>900</v>
      </c>
      <c r="V174" s="460" t="s">
        <v>440</v>
      </c>
      <c r="W174" s="213">
        <v>46090</v>
      </c>
      <c r="X174" s="214" t="s">
        <v>1011</v>
      </c>
      <c r="Y174" s="215" t="s">
        <v>446</v>
      </c>
      <c r="Z174" s="216" t="s">
        <v>976</v>
      </c>
      <c r="AA174" s="217">
        <v>900</v>
      </c>
      <c r="AB174" s="217" t="s">
        <v>443</v>
      </c>
      <c r="AC174" s="217" t="s">
        <v>444</v>
      </c>
      <c r="AD174" s="218">
        <f t="shared" si="107"/>
        <v>756.30252100840335</v>
      </c>
      <c r="AE174" s="219">
        <f t="shared" si="108"/>
        <v>143.69747899159663</v>
      </c>
      <c r="AF174" s="219">
        <f t="shared" si="109"/>
        <v>900</v>
      </c>
      <c r="AG174" s="219">
        <f t="shared" ref="AG174:AG184" si="121">IF(O174="","",(AA174*G174))</f>
        <v>900</v>
      </c>
      <c r="AH174" s="219">
        <f t="shared" si="110"/>
        <v>900</v>
      </c>
      <c r="AI174" s="461" t="s">
        <v>440</v>
      </c>
      <c r="AJ174" s="220">
        <v>46090</v>
      </c>
      <c r="AK174" s="221" t="s">
        <v>508</v>
      </c>
      <c r="AL174" s="222" t="s">
        <v>446</v>
      </c>
      <c r="AM174" s="223" t="s">
        <v>63</v>
      </c>
      <c r="AN174" s="224">
        <v>900</v>
      </c>
      <c r="AO174" s="224" t="s">
        <v>443</v>
      </c>
      <c r="AP174" s="225" t="s">
        <v>444</v>
      </c>
      <c r="AQ174" s="226">
        <f t="shared" si="111"/>
        <v>756.30252100840335</v>
      </c>
      <c r="AR174" s="227">
        <f t="shared" si="112"/>
        <v>143.69747899159663</v>
      </c>
      <c r="AS174" s="227">
        <f t="shared" si="113"/>
        <v>900</v>
      </c>
      <c r="AT174" s="227">
        <f t="shared" ref="AT174:AT184" si="122">IF(AB174="","",(AN174*G174))</f>
        <v>900</v>
      </c>
      <c r="AU174" s="227">
        <f t="shared" si="114"/>
        <v>900</v>
      </c>
      <c r="AV174" s="228">
        <f t="shared" si="115"/>
        <v>900</v>
      </c>
      <c r="AW174" s="228">
        <f t="shared" si="116"/>
        <v>900</v>
      </c>
      <c r="AX174" s="228">
        <f t="shared" si="117"/>
        <v>0</v>
      </c>
      <c r="AY174" s="229">
        <f t="shared" si="118"/>
        <v>0</v>
      </c>
      <c r="AZ174" s="230"/>
      <c r="BA174" s="231">
        <f t="shared" si="119"/>
        <v>3</v>
      </c>
      <c r="BB174" s="231"/>
      <c r="BC174" s="231"/>
      <c r="BD174" s="231"/>
      <c r="BE174" s="231"/>
      <c r="BF174" s="231"/>
      <c r="BG174" s="231"/>
      <c r="BH174" s="231">
        <v>59</v>
      </c>
      <c r="BI174" s="232"/>
      <c r="BJ174" s="232"/>
      <c r="BK174" s="232"/>
      <c r="BL174" s="232"/>
      <c r="BM174" s="232"/>
      <c r="BN174" s="232"/>
      <c r="BO174" s="232"/>
      <c r="BP174" s="232"/>
      <c r="BQ174" s="232"/>
      <c r="BR174" s="232"/>
      <c r="BS174" s="232"/>
      <c r="BT174" s="232"/>
      <c r="BU174" s="232"/>
      <c r="BV174" s="232"/>
    </row>
    <row r="175" spans="1:74" ht="63" hidden="1" x14ac:dyDescent="0.25">
      <c r="A175" s="205" t="s">
        <v>438</v>
      </c>
      <c r="B175" s="205" t="s">
        <v>501</v>
      </c>
      <c r="C175" s="205">
        <v>60121124</v>
      </c>
      <c r="D175" s="205" t="s">
        <v>61</v>
      </c>
      <c r="E175" s="206" t="s">
        <v>1012</v>
      </c>
      <c r="F175" s="458" t="s">
        <v>41</v>
      </c>
      <c r="G175" s="178">
        <v>1</v>
      </c>
      <c r="H175" s="458" t="s">
        <v>42</v>
      </c>
      <c r="I175" s="459" t="s">
        <v>440</v>
      </c>
      <c r="J175" s="207">
        <v>46090</v>
      </c>
      <c r="K175" s="208" t="s">
        <v>508</v>
      </c>
      <c r="L175" s="209" t="s">
        <v>441</v>
      </c>
      <c r="M175" s="207" t="s">
        <v>63</v>
      </c>
      <c r="N175" s="210">
        <v>392</v>
      </c>
      <c r="O175" s="210" t="s">
        <v>443</v>
      </c>
      <c r="P175" s="210" t="s">
        <v>444</v>
      </c>
      <c r="Q175" s="211">
        <f t="shared" si="103"/>
        <v>329.41176470588238</v>
      </c>
      <c r="R175" s="212">
        <f t="shared" si="104"/>
        <v>62.588235294117652</v>
      </c>
      <c r="S175" s="212">
        <f t="shared" si="105"/>
        <v>392</v>
      </c>
      <c r="T175" s="212">
        <f t="shared" si="120"/>
        <v>392</v>
      </c>
      <c r="U175" s="212">
        <f t="shared" si="106"/>
        <v>392</v>
      </c>
      <c r="V175" s="460" t="s">
        <v>440</v>
      </c>
      <c r="W175" s="213">
        <v>46090</v>
      </c>
      <c r="X175" s="214" t="s">
        <v>1013</v>
      </c>
      <c r="Y175" s="215" t="s">
        <v>446</v>
      </c>
      <c r="Z175" s="216" t="s">
        <v>64</v>
      </c>
      <c r="AA175" s="217">
        <v>500</v>
      </c>
      <c r="AB175" s="217" t="s">
        <v>443</v>
      </c>
      <c r="AC175" s="217" t="s">
        <v>444</v>
      </c>
      <c r="AD175" s="218">
        <f t="shared" si="107"/>
        <v>420.1680672268908</v>
      </c>
      <c r="AE175" s="219">
        <f t="shared" si="108"/>
        <v>79.831932773109259</v>
      </c>
      <c r="AF175" s="219">
        <f t="shared" si="109"/>
        <v>500.00000000000006</v>
      </c>
      <c r="AG175" s="219">
        <f t="shared" si="121"/>
        <v>500</v>
      </c>
      <c r="AH175" s="219">
        <f t="shared" si="110"/>
        <v>500.00000000000006</v>
      </c>
      <c r="AI175" s="461" t="s">
        <v>440</v>
      </c>
      <c r="AJ175" s="220">
        <v>46090</v>
      </c>
      <c r="AK175" s="221" t="s">
        <v>1014</v>
      </c>
      <c r="AL175" s="222" t="s">
        <v>446</v>
      </c>
      <c r="AM175" s="223" t="s">
        <v>65</v>
      </c>
      <c r="AN175" s="224">
        <v>590</v>
      </c>
      <c r="AO175" s="224" t="s">
        <v>443</v>
      </c>
      <c r="AP175" s="225" t="s">
        <v>444</v>
      </c>
      <c r="AQ175" s="226">
        <f t="shared" si="111"/>
        <v>495.79831932773112</v>
      </c>
      <c r="AR175" s="227">
        <f t="shared" si="112"/>
        <v>94.201680672268921</v>
      </c>
      <c r="AS175" s="227">
        <f t="shared" si="113"/>
        <v>590</v>
      </c>
      <c r="AT175" s="227">
        <f t="shared" si="122"/>
        <v>590</v>
      </c>
      <c r="AU175" s="227">
        <f t="shared" si="114"/>
        <v>590</v>
      </c>
      <c r="AV175" s="228">
        <f t="shared" si="115"/>
        <v>494</v>
      </c>
      <c r="AW175" s="228">
        <f t="shared" si="116"/>
        <v>494</v>
      </c>
      <c r="AX175" s="228">
        <f t="shared" si="117"/>
        <v>99.136269851149834</v>
      </c>
      <c r="AY175" s="229">
        <f t="shared" si="118"/>
        <v>0.20068070820070816</v>
      </c>
      <c r="AZ175" s="230"/>
      <c r="BA175" s="231">
        <f t="shared" si="119"/>
        <v>3</v>
      </c>
      <c r="BB175" s="231"/>
      <c r="BC175" s="231"/>
      <c r="BD175" s="231"/>
      <c r="BE175" s="231"/>
      <c r="BF175" s="231"/>
      <c r="BG175" s="231"/>
      <c r="BH175" s="231">
        <v>60</v>
      </c>
      <c r="BI175" s="232"/>
      <c r="BJ175" s="232"/>
      <c r="BK175" s="232"/>
      <c r="BL175" s="232"/>
      <c r="BM175" s="232"/>
      <c r="BN175" s="232"/>
      <c r="BO175" s="232"/>
      <c r="BP175" s="232"/>
      <c r="BQ175" s="232"/>
      <c r="BR175" s="232"/>
      <c r="BS175" s="232"/>
      <c r="BT175" s="232"/>
      <c r="BU175" s="232"/>
      <c r="BV175" s="232"/>
    </row>
    <row r="176" spans="1:74" ht="84" hidden="1" x14ac:dyDescent="0.25">
      <c r="A176" s="205" t="s">
        <v>438</v>
      </c>
      <c r="B176" s="205" t="s">
        <v>501</v>
      </c>
      <c r="C176" s="205">
        <v>60121124</v>
      </c>
      <c r="D176" s="205" t="s">
        <v>379</v>
      </c>
      <c r="E176" s="206" t="s">
        <v>380</v>
      </c>
      <c r="F176" s="458" t="s">
        <v>41</v>
      </c>
      <c r="G176" s="178">
        <v>1</v>
      </c>
      <c r="H176" s="458" t="s">
        <v>42</v>
      </c>
      <c r="I176" s="459" t="s">
        <v>440</v>
      </c>
      <c r="J176" s="207">
        <v>46090</v>
      </c>
      <c r="K176" s="208" t="s">
        <v>809</v>
      </c>
      <c r="L176" s="209" t="s">
        <v>446</v>
      </c>
      <c r="M176" s="207" t="s">
        <v>810</v>
      </c>
      <c r="N176" s="210">
        <v>6620</v>
      </c>
      <c r="O176" s="210" t="s">
        <v>450</v>
      </c>
      <c r="P176" s="210" t="s">
        <v>444</v>
      </c>
      <c r="Q176" s="211">
        <f t="shared" si="103"/>
        <v>6620</v>
      </c>
      <c r="R176" s="212">
        <f t="shared" si="104"/>
        <v>1257.8</v>
      </c>
      <c r="S176" s="212">
        <f t="shared" si="105"/>
        <v>7877.8</v>
      </c>
      <c r="T176" s="212">
        <f t="shared" si="120"/>
        <v>6620</v>
      </c>
      <c r="U176" s="212">
        <f t="shared" si="106"/>
        <v>7877.8</v>
      </c>
      <c r="V176" s="460" t="s">
        <v>440</v>
      </c>
      <c r="W176" s="213">
        <v>46090</v>
      </c>
      <c r="X176" s="214" t="s">
        <v>938</v>
      </c>
      <c r="Y176" s="215" t="s">
        <v>446</v>
      </c>
      <c r="Z176" s="216" t="s">
        <v>939</v>
      </c>
      <c r="AA176" s="217">
        <v>6500</v>
      </c>
      <c r="AB176" s="217" t="s">
        <v>443</v>
      </c>
      <c r="AC176" s="217" t="s">
        <v>444</v>
      </c>
      <c r="AD176" s="218">
        <f t="shared" si="107"/>
        <v>5462.1848739495799</v>
      </c>
      <c r="AE176" s="219">
        <f t="shared" si="108"/>
        <v>1037.8151260504203</v>
      </c>
      <c r="AF176" s="219">
        <f t="shared" si="109"/>
        <v>6500</v>
      </c>
      <c r="AG176" s="219">
        <f t="shared" si="121"/>
        <v>6500</v>
      </c>
      <c r="AH176" s="219">
        <f t="shared" si="110"/>
        <v>6500</v>
      </c>
      <c r="AI176" s="461" t="s">
        <v>440</v>
      </c>
      <c r="AJ176" s="220">
        <v>46090</v>
      </c>
      <c r="AK176" s="221" t="s">
        <v>1015</v>
      </c>
      <c r="AL176" s="222" t="s">
        <v>446</v>
      </c>
      <c r="AM176" s="223" t="s">
        <v>1016</v>
      </c>
      <c r="AN176" s="224">
        <v>8385</v>
      </c>
      <c r="AO176" s="224" t="s">
        <v>443</v>
      </c>
      <c r="AP176" s="225" t="s">
        <v>444</v>
      </c>
      <c r="AQ176" s="226">
        <f t="shared" si="111"/>
        <v>7046.2184873949582</v>
      </c>
      <c r="AR176" s="227">
        <f t="shared" si="112"/>
        <v>1338.7815126050421</v>
      </c>
      <c r="AS176" s="227">
        <f t="shared" si="113"/>
        <v>8385</v>
      </c>
      <c r="AT176" s="227">
        <f t="shared" si="122"/>
        <v>8385</v>
      </c>
      <c r="AU176" s="227">
        <f t="shared" si="114"/>
        <v>8385</v>
      </c>
      <c r="AV176" s="228">
        <f t="shared" si="115"/>
        <v>7587.5999999999995</v>
      </c>
      <c r="AW176" s="228">
        <f t="shared" si="116"/>
        <v>7587.5999999999995</v>
      </c>
      <c r="AX176" s="228">
        <f t="shared" si="117"/>
        <v>975.43235541989338</v>
      </c>
      <c r="AY176" s="229">
        <f t="shared" si="118"/>
        <v>0.12855611200114575</v>
      </c>
      <c r="AZ176" s="230"/>
      <c r="BA176" s="231">
        <f t="shared" si="119"/>
        <v>3</v>
      </c>
      <c r="BB176" s="231"/>
      <c r="BC176" s="231"/>
      <c r="BD176" s="231"/>
      <c r="BE176" s="231"/>
      <c r="BF176" s="231"/>
      <c r="BG176" s="231"/>
      <c r="BH176" s="231">
        <v>61</v>
      </c>
      <c r="BI176" s="232"/>
      <c r="BJ176" s="232"/>
      <c r="BK176" s="232"/>
      <c r="BL176" s="232"/>
      <c r="BM176" s="232"/>
      <c r="BN176" s="232"/>
      <c r="BO176" s="232"/>
      <c r="BP176" s="232"/>
      <c r="BQ176" s="232"/>
      <c r="BR176" s="232"/>
      <c r="BS176" s="232"/>
      <c r="BT176" s="232"/>
      <c r="BU176" s="232"/>
      <c r="BV176" s="232"/>
    </row>
    <row r="177" spans="1:74" ht="63" hidden="1" x14ac:dyDescent="0.25">
      <c r="A177" s="205" t="s">
        <v>438</v>
      </c>
      <c r="B177" s="205" t="s">
        <v>501</v>
      </c>
      <c r="C177" s="205">
        <v>60121124</v>
      </c>
      <c r="D177" s="205" t="s">
        <v>1017</v>
      </c>
      <c r="E177" s="206" t="s">
        <v>1018</v>
      </c>
      <c r="F177" s="458" t="s">
        <v>41</v>
      </c>
      <c r="G177" s="178">
        <v>1</v>
      </c>
      <c r="H177" s="458" t="s">
        <v>42</v>
      </c>
      <c r="I177" s="459" t="s">
        <v>440</v>
      </c>
      <c r="J177" s="207">
        <v>46090</v>
      </c>
      <c r="K177" s="208" t="s">
        <v>508</v>
      </c>
      <c r="L177" s="209" t="s">
        <v>446</v>
      </c>
      <c r="M177" s="207" t="s">
        <v>63</v>
      </c>
      <c r="N177" s="210">
        <v>600</v>
      </c>
      <c r="O177" s="210" t="s">
        <v>443</v>
      </c>
      <c r="P177" s="210" t="s">
        <v>444</v>
      </c>
      <c r="Q177" s="211">
        <f t="shared" si="103"/>
        <v>504.20168067226894</v>
      </c>
      <c r="R177" s="212">
        <f t="shared" si="104"/>
        <v>95.798319327731093</v>
      </c>
      <c r="S177" s="212">
        <f t="shared" si="105"/>
        <v>600</v>
      </c>
      <c r="T177" s="212">
        <f t="shared" si="120"/>
        <v>600</v>
      </c>
      <c r="U177" s="212">
        <f t="shared" si="106"/>
        <v>600</v>
      </c>
      <c r="V177" s="460" t="s">
        <v>440</v>
      </c>
      <c r="W177" s="213">
        <v>46090</v>
      </c>
      <c r="X177" s="214" t="s">
        <v>1013</v>
      </c>
      <c r="Y177" s="215" t="s">
        <v>446</v>
      </c>
      <c r="Z177" s="216" t="s">
        <v>64</v>
      </c>
      <c r="AA177" s="217">
        <v>500</v>
      </c>
      <c r="AB177" s="217" t="s">
        <v>443</v>
      </c>
      <c r="AC177" s="217" t="s">
        <v>444</v>
      </c>
      <c r="AD177" s="218">
        <f t="shared" si="107"/>
        <v>420.1680672268908</v>
      </c>
      <c r="AE177" s="219">
        <f t="shared" si="108"/>
        <v>79.831932773109259</v>
      </c>
      <c r="AF177" s="219">
        <f t="shared" si="109"/>
        <v>500.00000000000006</v>
      </c>
      <c r="AG177" s="219">
        <f t="shared" si="121"/>
        <v>500</v>
      </c>
      <c r="AH177" s="219">
        <f t="shared" si="110"/>
        <v>500.00000000000006</v>
      </c>
      <c r="AI177" s="461" t="s">
        <v>440</v>
      </c>
      <c r="AJ177" s="220">
        <v>46090</v>
      </c>
      <c r="AK177" s="221" t="s">
        <v>1014</v>
      </c>
      <c r="AL177" s="222" t="s">
        <v>446</v>
      </c>
      <c r="AM177" s="223" t="s">
        <v>65</v>
      </c>
      <c r="AN177" s="224">
        <v>590</v>
      </c>
      <c r="AO177" s="224" t="s">
        <v>443</v>
      </c>
      <c r="AP177" s="225" t="s">
        <v>444</v>
      </c>
      <c r="AQ177" s="226">
        <f t="shared" si="111"/>
        <v>495.79831932773112</v>
      </c>
      <c r="AR177" s="227">
        <f t="shared" si="112"/>
        <v>94.201680672268921</v>
      </c>
      <c r="AS177" s="227">
        <f t="shared" si="113"/>
        <v>590</v>
      </c>
      <c r="AT177" s="227">
        <f t="shared" si="122"/>
        <v>590</v>
      </c>
      <c r="AU177" s="227">
        <f t="shared" si="114"/>
        <v>590</v>
      </c>
      <c r="AV177" s="228">
        <f t="shared" si="115"/>
        <v>563.33333333333337</v>
      </c>
      <c r="AW177" s="228">
        <f t="shared" si="116"/>
        <v>563.33333333333337</v>
      </c>
      <c r="AX177" s="228">
        <f t="shared" si="117"/>
        <v>55.075705472860982</v>
      </c>
      <c r="AY177" s="229">
        <f t="shared" si="118"/>
        <v>9.7767524508037246E-2</v>
      </c>
      <c r="AZ177" s="230"/>
      <c r="BA177" s="231">
        <f t="shared" si="119"/>
        <v>3</v>
      </c>
      <c r="BB177" s="231"/>
      <c r="BC177" s="231"/>
      <c r="BD177" s="231"/>
      <c r="BE177" s="231"/>
      <c r="BF177" s="231"/>
      <c r="BG177" s="231"/>
      <c r="BH177" s="231">
        <v>62</v>
      </c>
      <c r="BI177" s="232"/>
      <c r="BJ177" s="232"/>
      <c r="BK177" s="232"/>
      <c r="BL177" s="232"/>
      <c r="BM177" s="232"/>
      <c r="BN177" s="232"/>
      <c r="BO177" s="232"/>
      <c r="BP177" s="232"/>
      <c r="BQ177" s="232"/>
      <c r="BR177" s="232"/>
      <c r="BS177" s="232"/>
      <c r="BT177" s="232"/>
      <c r="BU177" s="232"/>
      <c r="BV177" s="232"/>
    </row>
    <row r="178" spans="1:74" ht="63" hidden="1" x14ac:dyDescent="0.25">
      <c r="A178" s="205" t="s">
        <v>438</v>
      </c>
      <c r="B178" s="205" t="s">
        <v>501</v>
      </c>
      <c r="C178" s="205">
        <v>14121901</v>
      </c>
      <c r="D178" s="205" t="s">
        <v>1019</v>
      </c>
      <c r="E178" s="206" t="s">
        <v>1020</v>
      </c>
      <c r="F178" s="458" t="s">
        <v>41</v>
      </c>
      <c r="G178" s="178">
        <v>1</v>
      </c>
      <c r="H178" s="458" t="s">
        <v>42</v>
      </c>
      <c r="I178" s="459" t="s">
        <v>440</v>
      </c>
      <c r="J178" s="207">
        <v>46090</v>
      </c>
      <c r="K178" s="208" t="s">
        <v>1021</v>
      </c>
      <c r="L178" s="209" t="s">
        <v>446</v>
      </c>
      <c r="M178" s="207" t="s">
        <v>1022</v>
      </c>
      <c r="N178" s="210">
        <v>500</v>
      </c>
      <c r="O178" s="210" t="s">
        <v>443</v>
      </c>
      <c r="P178" s="210" t="s">
        <v>444</v>
      </c>
      <c r="Q178" s="211">
        <f t="shared" si="103"/>
        <v>420.1680672268908</v>
      </c>
      <c r="R178" s="212">
        <f t="shared" si="104"/>
        <v>79.831932773109259</v>
      </c>
      <c r="S178" s="212">
        <f t="shared" si="105"/>
        <v>500.00000000000006</v>
      </c>
      <c r="T178" s="212">
        <f t="shared" si="120"/>
        <v>500</v>
      </c>
      <c r="U178" s="212">
        <f t="shared" si="106"/>
        <v>500.00000000000006</v>
      </c>
      <c r="V178" s="460" t="s">
        <v>440</v>
      </c>
      <c r="W178" s="213">
        <v>46090</v>
      </c>
      <c r="X178" s="214" t="s">
        <v>1023</v>
      </c>
      <c r="Y178" s="215" t="s">
        <v>446</v>
      </c>
      <c r="Z178" s="216" t="s">
        <v>1024</v>
      </c>
      <c r="AA178" s="217">
        <v>410</v>
      </c>
      <c r="AB178" s="217" t="s">
        <v>443</v>
      </c>
      <c r="AC178" s="217" t="s">
        <v>444</v>
      </c>
      <c r="AD178" s="218">
        <f t="shared" si="107"/>
        <v>344.53781512605042</v>
      </c>
      <c r="AE178" s="219">
        <f t="shared" si="108"/>
        <v>65.462184873949582</v>
      </c>
      <c r="AF178" s="219">
        <f t="shared" si="109"/>
        <v>410</v>
      </c>
      <c r="AG178" s="219">
        <f t="shared" si="121"/>
        <v>410</v>
      </c>
      <c r="AH178" s="219">
        <f t="shared" si="110"/>
        <v>410</v>
      </c>
      <c r="AI178" s="461" t="s">
        <v>440</v>
      </c>
      <c r="AJ178" s="220">
        <v>46090</v>
      </c>
      <c r="AK178" s="221" t="s">
        <v>508</v>
      </c>
      <c r="AL178" s="222" t="s">
        <v>446</v>
      </c>
      <c r="AM178" s="223" t="s">
        <v>63</v>
      </c>
      <c r="AN178" s="224">
        <v>500</v>
      </c>
      <c r="AO178" s="224" t="s">
        <v>443</v>
      </c>
      <c r="AP178" s="225" t="s">
        <v>444</v>
      </c>
      <c r="AQ178" s="226">
        <f t="shared" si="111"/>
        <v>420.1680672268908</v>
      </c>
      <c r="AR178" s="227">
        <f t="shared" si="112"/>
        <v>79.831932773109259</v>
      </c>
      <c r="AS178" s="227">
        <f t="shared" si="113"/>
        <v>500.00000000000006</v>
      </c>
      <c r="AT178" s="227">
        <f t="shared" si="122"/>
        <v>500</v>
      </c>
      <c r="AU178" s="227">
        <f t="shared" si="114"/>
        <v>500.00000000000006</v>
      </c>
      <c r="AV178" s="228">
        <f t="shared" si="115"/>
        <v>470</v>
      </c>
      <c r="AW178" s="228">
        <f t="shared" si="116"/>
        <v>470</v>
      </c>
      <c r="AX178" s="228">
        <f t="shared" si="117"/>
        <v>51.961524227066356</v>
      </c>
      <c r="AY178" s="229">
        <f t="shared" si="118"/>
        <v>0.1105564345256731</v>
      </c>
      <c r="AZ178" s="230"/>
      <c r="BA178" s="231">
        <f t="shared" si="119"/>
        <v>3</v>
      </c>
      <c r="BB178" s="231"/>
      <c r="BC178" s="231"/>
      <c r="BD178" s="231"/>
      <c r="BE178" s="231"/>
      <c r="BF178" s="231"/>
      <c r="BG178" s="231"/>
      <c r="BH178" s="231">
        <v>63</v>
      </c>
      <c r="BI178" s="232"/>
      <c r="BJ178" s="232"/>
      <c r="BK178" s="232"/>
      <c r="BL178" s="232"/>
      <c r="BM178" s="232"/>
      <c r="BN178" s="232"/>
      <c r="BO178" s="232"/>
      <c r="BP178" s="232"/>
      <c r="BQ178" s="232"/>
      <c r="BR178" s="232"/>
      <c r="BS178" s="232"/>
      <c r="BT178" s="232"/>
      <c r="BU178" s="232"/>
      <c r="BV178" s="232"/>
    </row>
    <row r="179" spans="1:74" ht="84" hidden="1" x14ac:dyDescent="0.25">
      <c r="A179" s="205" t="s">
        <v>438</v>
      </c>
      <c r="B179" s="205" t="s">
        <v>501</v>
      </c>
      <c r="C179" s="205">
        <v>31201610</v>
      </c>
      <c r="D179" s="205" t="s">
        <v>1025</v>
      </c>
      <c r="E179" s="206" t="s">
        <v>1026</v>
      </c>
      <c r="F179" s="458" t="s">
        <v>41</v>
      </c>
      <c r="G179" s="178">
        <v>1</v>
      </c>
      <c r="H179" s="458" t="s">
        <v>42</v>
      </c>
      <c r="I179" s="459" t="s">
        <v>440</v>
      </c>
      <c r="J179" s="207">
        <v>46090</v>
      </c>
      <c r="K179" s="208" t="s">
        <v>809</v>
      </c>
      <c r="L179" s="209" t="s">
        <v>446</v>
      </c>
      <c r="M179" s="207" t="s">
        <v>810</v>
      </c>
      <c r="N179" s="210">
        <v>2700</v>
      </c>
      <c r="O179" s="210" t="s">
        <v>450</v>
      </c>
      <c r="P179" s="210" t="s">
        <v>444</v>
      </c>
      <c r="Q179" s="211">
        <f t="shared" si="103"/>
        <v>2700</v>
      </c>
      <c r="R179" s="212">
        <f t="shared" si="104"/>
        <v>513</v>
      </c>
      <c r="S179" s="212">
        <f t="shared" si="105"/>
        <v>3213</v>
      </c>
      <c r="T179" s="212">
        <f t="shared" si="120"/>
        <v>2700</v>
      </c>
      <c r="U179" s="212">
        <f t="shared" si="106"/>
        <v>3213</v>
      </c>
      <c r="V179" s="460" t="s">
        <v>440</v>
      </c>
      <c r="W179" s="213">
        <v>46090</v>
      </c>
      <c r="X179" s="214" t="s">
        <v>1027</v>
      </c>
      <c r="Y179" s="215" t="s">
        <v>446</v>
      </c>
      <c r="Z179" s="216" t="s">
        <v>1024</v>
      </c>
      <c r="AA179" s="217">
        <v>3500</v>
      </c>
      <c r="AB179" s="217" t="s">
        <v>443</v>
      </c>
      <c r="AC179" s="217" t="s">
        <v>444</v>
      </c>
      <c r="AD179" s="218">
        <f t="shared" si="107"/>
        <v>2941.1764705882356</v>
      </c>
      <c r="AE179" s="219">
        <f t="shared" si="108"/>
        <v>558.82352941176475</v>
      </c>
      <c r="AF179" s="219">
        <f t="shared" si="109"/>
        <v>3500.0000000000005</v>
      </c>
      <c r="AG179" s="219">
        <f t="shared" si="121"/>
        <v>3500</v>
      </c>
      <c r="AH179" s="219">
        <f t="shared" si="110"/>
        <v>3500.0000000000005</v>
      </c>
      <c r="AI179" s="461" t="s">
        <v>440</v>
      </c>
      <c r="AJ179" s="220">
        <v>46090</v>
      </c>
      <c r="AK179" s="221" t="s">
        <v>1028</v>
      </c>
      <c r="AL179" s="222" t="s">
        <v>446</v>
      </c>
      <c r="AM179" s="223" t="s">
        <v>1029</v>
      </c>
      <c r="AN179" s="224">
        <v>2618</v>
      </c>
      <c r="AO179" s="224" t="s">
        <v>443</v>
      </c>
      <c r="AP179" s="225" t="s">
        <v>444</v>
      </c>
      <c r="AQ179" s="226">
        <f t="shared" si="111"/>
        <v>2200</v>
      </c>
      <c r="AR179" s="227">
        <f t="shared" si="112"/>
        <v>418</v>
      </c>
      <c r="AS179" s="227">
        <f t="shared" si="113"/>
        <v>2618</v>
      </c>
      <c r="AT179" s="227">
        <f t="shared" si="122"/>
        <v>2618</v>
      </c>
      <c r="AU179" s="227">
        <f t="shared" si="114"/>
        <v>2618</v>
      </c>
      <c r="AV179" s="228">
        <f t="shared" si="115"/>
        <v>3110.3333333333335</v>
      </c>
      <c r="AW179" s="228">
        <f t="shared" si="116"/>
        <v>3110.3333333333335</v>
      </c>
      <c r="AX179" s="228">
        <f t="shared" si="117"/>
        <v>449.87368597567007</v>
      </c>
      <c r="AY179" s="229">
        <f t="shared" si="118"/>
        <v>0.14463841581041798</v>
      </c>
      <c r="AZ179" s="230"/>
      <c r="BA179" s="231">
        <f t="shared" si="119"/>
        <v>3</v>
      </c>
      <c r="BB179" s="231"/>
      <c r="BC179" s="231"/>
      <c r="BD179" s="231"/>
      <c r="BE179" s="231"/>
      <c r="BF179" s="231"/>
      <c r="BG179" s="231"/>
      <c r="BH179" s="231">
        <v>64</v>
      </c>
      <c r="BI179" s="232"/>
      <c r="BJ179" s="232"/>
      <c r="BK179" s="232"/>
      <c r="BL179" s="232"/>
      <c r="BM179" s="232"/>
      <c r="BN179" s="232"/>
      <c r="BO179" s="232"/>
      <c r="BP179" s="232"/>
      <c r="BQ179" s="232"/>
      <c r="BR179" s="232"/>
      <c r="BS179" s="232"/>
      <c r="BT179" s="232"/>
      <c r="BU179" s="232"/>
      <c r="BV179" s="232"/>
    </row>
    <row r="180" spans="1:74" ht="84" hidden="1" x14ac:dyDescent="0.25">
      <c r="A180" s="205" t="s">
        <v>438</v>
      </c>
      <c r="B180" s="205" t="s">
        <v>501</v>
      </c>
      <c r="C180" s="205">
        <v>31201610</v>
      </c>
      <c r="D180" s="205" t="s">
        <v>381</v>
      </c>
      <c r="E180" s="206" t="s">
        <v>382</v>
      </c>
      <c r="F180" s="458" t="s">
        <v>41</v>
      </c>
      <c r="G180" s="178">
        <v>1</v>
      </c>
      <c r="H180" s="458" t="s">
        <v>42</v>
      </c>
      <c r="I180" s="459" t="s">
        <v>440</v>
      </c>
      <c r="J180" s="207">
        <v>46090</v>
      </c>
      <c r="K180" s="208" t="s">
        <v>809</v>
      </c>
      <c r="L180" s="209" t="s">
        <v>446</v>
      </c>
      <c r="M180" s="207" t="s">
        <v>810</v>
      </c>
      <c r="N180" s="210">
        <v>13000</v>
      </c>
      <c r="O180" s="210" t="s">
        <v>450</v>
      </c>
      <c r="P180" s="210" t="s">
        <v>444</v>
      </c>
      <c r="Q180" s="211">
        <f t="shared" si="103"/>
        <v>13000</v>
      </c>
      <c r="R180" s="212">
        <f t="shared" si="104"/>
        <v>2470</v>
      </c>
      <c r="S180" s="212">
        <f t="shared" si="105"/>
        <v>15470</v>
      </c>
      <c r="T180" s="212">
        <f t="shared" si="120"/>
        <v>13000</v>
      </c>
      <c r="U180" s="212">
        <f t="shared" si="106"/>
        <v>15470</v>
      </c>
      <c r="V180" s="460" t="s">
        <v>440</v>
      </c>
      <c r="W180" s="213">
        <v>46090</v>
      </c>
      <c r="X180" s="214" t="s">
        <v>508</v>
      </c>
      <c r="Y180" s="215" t="s">
        <v>446</v>
      </c>
      <c r="Z180" s="216" t="s">
        <v>63</v>
      </c>
      <c r="AA180" s="217">
        <v>16200</v>
      </c>
      <c r="AB180" s="217" t="s">
        <v>443</v>
      </c>
      <c r="AC180" s="217" t="s">
        <v>444</v>
      </c>
      <c r="AD180" s="218">
        <f t="shared" si="107"/>
        <v>13613.44537815126</v>
      </c>
      <c r="AE180" s="219">
        <f t="shared" si="108"/>
        <v>2586.5546218487393</v>
      </c>
      <c r="AF180" s="219">
        <f t="shared" si="109"/>
        <v>16200</v>
      </c>
      <c r="AG180" s="219">
        <f t="shared" si="121"/>
        <v>16200</v>
      </c>
      <c r="AH180" s="219">
        <f t="shared" si="110"/>
        <v>16200</v>
      </c>
      <c r="AI180" s="461" t="s">
        <v>440</v>
      </c>
      <c r="AJ180" s="220">
        <v>46090</v>
      </c>
      <c r="AK180" s="221" t="s">
        <v>1030</v>
      </c>
      <c r="AL180" s="222" t="s">
        <v>446</v>
      </c>
      <c r="AM180" s="223" t="s">
        <v>1031</v>
      </c>
      <c r="AN180" s="224">
        <v>16800</v>
      </c>
      <c r="AO180" s="224" t="s">
        <v>443</v>
      </c>
      <c r="AP180" s="225" t="s">
        <v>444</v>
      </c>
      <c r="AQ180" s="226">
        <f t="shared" si="111"/>
        <v>14117.64705882353</v>
      </c>
      <c r="AR180" s="227">
        <f t="shared" si="112"/>
        <v>2682.3529411764707</v>
      </c>
      <c r="AS180" s="227">
        <f t="shared" si="113"/>
        <v>16800</v>
      </c>
      <c r="AT180" s="227">
        <f t="shared" si="122"/>
        <v>16800</v>
      </c>
      <c r="AU180" s="227">
        <f t="shared" si="114"/>
        <v>16800</v>
      </c>
      <c r="AV180" s="228">
        <f t="shared" si="115"/>
        <v>16156.666666666666</v>
      </c>
      <c r="AW180" s="228">
        <f t="shared" si="116"/>
        <v>16156.666666666666</v>
      </c>
      <c r="AX180" s="228">
        <f t="shared" si="117"/>
        <v>666.05805552769448</v>
      </c>
      <c r="AY180" s="229">
        <f t="shared" si="118"/>
        <v>4.122496733202153E-2</v>
      </c>
      <c r="AZ180" s="230"/>
      <c r="BA180" s="231">
        <f t="shared" si="119"/>
        <v>3</v>
      </c>
      <c r="BB180" s="231"/>
      <c r="BC180" s="231"/>
      <c r="BD180" s="231"/>
      <c r="BE180" s="231"/>
      <c r="BF180" s="231"/>
      <c r="BG180" s="231"/>
      <c r="BH180" s="231">
        <v>65</v>
      </c>
      <c r="BI180" s="232"/>
      <c r="BJ180" s="232"/>
      <c r="BK180" s="232"/>
      <c r="BL180" s="232"/>
      <c r="BM180" s="232"/>
      <c r="BN180" s="232"/>
      <c r="BO180" s="232"/>
      <c r="BP180" s="232"/>
      <c r="BQ180" s="232"/>
      <c r="BR180" s="232"/>
      <c r="BS180" s="232"/>
      <c r="BT180" s="232"/>
      <c r="BU180" s="232"/>
      <c r="BV180" s="232"/>
    </row>
    <row r="181" spans="1:74" ht="63" hidden="1" x14ac:dyDescent="0.25">
      <c r="A181" s="205" t="s">
        <v>438</v>
      </c>
      <c r="B181" s="205" t="s">
        <v>501</v>
      </c>
      <c r="C181" s="205">
        <v>31201610</v>
      </c>
      <c r="D181" s="205" t="s">
        <v>1032</v>
      </c>
      <c r="E181" s="206" t="s">
        <v>1033</v>
      </c>
      <c r="F181" s="458" t="s">
        <v>41</v>
      </c>
      <c r="G181" s="178">
        <v>1</v>
      </c>
      <c r="H181" s="458" t="s">
        <v>42</v>
      </c>
      <c r="I181" s="459" t="s">
        <v>440</v>
      </c>
      <c r="J181" s="207">
        <v>46090</v>
      </c>
      <c r="K181" s="208" t="s">
        <v>1034</v>
      </c>
      <c r="L181" s="209" t="s">
        <v>446</v>
      </c>
      <c r="M181" s="207" t="s">
        <v>1035</v>
      </c>
      <c r="N181" s="210">
        <v>6600</v>
      </c>
      <c r="O181" s="210" t="s">
        <v>450</v>
      </c>
      <c r="P181" s="210" t="s">
        <v>444</v>
      </c>
      <c r="Q181" s="211">
        <f t="shared" si="103"/>
        <v>6600</v>
      </c>
      <c r="R181" s="212">
        <f t="shared" si="104"/>
        <v>1254</v>
      </c>
      <c r="S181" s="212">
        <f t="shared" si="105"/>
        <v>7854</v>
      </c>
      <c r="T181" s="212">
        <f t="shared" si="120"/>
        <v>6600</v>
      </c>
      <c r="U181" s="212">
        <f t="shared" si="106"/>
        <v>7854</v>
      </c>
      <c r="V181" s="460" t="s">
        <v>440</v>
      </c>
      <c r="W181" s="213">
        <v>46090</v>
      </c>
      <c r="X181" s="214" t="s">
        <v>938</v>
      </c>
      <c r="Y181" s="215" t="s">
        <v>446</v>
      </c>
      <c r="Z181" s="216" t="s">
        <v>939</v>
      </c>
      <c r="AA181" s="217">
        <v>7900</v>
      </c>
      <c r="AB181" s="217" t="s">
        <v>443</v>
      </c>
      <c r="AC181" s="217" t="s">
        <v>444</v>
      </c>
      <c r="AD181" s="218">
        <f t="shared" si="107"/>
        <v>6638.6554621848745</v>
      </c>
      <c r="AE181" s="219">
        <f t="shared" si="108"/>
        <v>1261.3445378151262</v>
      </c>
      <c r="AF181" s="219">
        <f t="shared" si="109"/>
        <v>7900.0000000000009</v>
      </c>
      <c r="AG181" s="219">
        <f t="shared" si="121"/>
        <v>7900</v>
      </c>
      <c r="AH181" s="219">
        <f t="shared" si="110"/>
        <v>7900.0000000000009</v>
      </c>
      <c r="AI181" s="461" t="s">
        <v>440</v>
      </c>
      <c r="AJ181" s="220">
        <v>46090</v>
      </c>
      <c r="AK181" s="221" t="s">
        <v>1036</v>
      </c>
      <c r="AL181" s="222" t="s">
        <v>446</v>
      </c>
      <c r="AM181" s="223" t="s">
        <v>1037</v>
      </c>
      <c r="AN181" s="224">
        <v>6500</v>
      </c>
      <c r="AO181" s="224" t="s">
        <v>443</v>
      </c>
      <c r="AP181" s="225" t="s">
        <v>444</v>
      </c>
      <c r="AQ181" s="226">
        <f t="shared" si="111"/>
        <v>5462.1848739495799</v>
      </c>
      <c r="AR181" s="227">
        <f t="shared" si="112"/>
        <v>1037.8151260504203</v>
      </c>
      <c r="AS181" s="227">
        <f t="shared" si="113"/>
        <v>6500</v>
      </c>
      <c r="AT181" s="227">
        <f t="shared" si="122"/>
        <v>6500</v>
      </c>
      <c r="AU181" s="227">
        <f t="shared" si="114"/>
        <v>6500</v>
      </c>
      <c r="AV181" s="228">
        <f t="shared" si="115"/>
        <v>7418</v>
      </c>
      <c r="AW181" s="228">
        <f t="shared" si="116"/>
        <v>7418</v>
      </c>
      <c r="AX181" s="228">
        <f t="shared" si="117"/>
        <v>795.34395075338341</v>
      </c>
      <c r="AY181" s="229">
        <f t="shared" si="118"/>
        <v>0.10721811145232993</v>
      </c>
      <c r="AZ181" s="230"/>
      <c r="BA181" s="231">
        <f t="shared" si="119"/>
        <v>3</v>
      </c>
      <c r="BB181" s="231"/>
      <c r="BC181" s="231"/>
      <c r="BD181" s="231"/>
      <c r="BE181" s="231"/>
      <c r="BF181" s="231"/>
      <c r="BG181" s="231"/>
      <c r="BH181" s="231">
        <v>66</v>
      </c>
      <c r="BI181" s="232"/>
      <c r="BJ181" s="232"/>
      <c r="BK181" s="232"/>
      <c r="BL181" s="232"/>
      <c r="BM181" s="232"/>
      <c r="BN181" s="232"/>
      <c r="BO181" s="232"/>
      <c r="BP181" s="232"/>
      <c r="BQ181" s="232"/>
      <c r="BR181" s="232"/>
      <c r="BS181" s="232"/>
      <c r="BT181" s="232"/>
      <c r="BU181" s="232"/>
      <c r="BV181" s="232"/>
    </row>
    <row r="182" spans="1:74" ht="84" hidden="1" x14ac:dyDescent="0.25">
      <c r="A182" s="205" t="s">
        <v>438</v>
      </c>
      <c r="B182" s="205" t="s">
        <v>439</v>
      </c>
      <c r="C182" s="205">
        <v>55121714</v>
      </c>
      <c r="D182" s="205" t="s">
        <v>1038</v>
      </c>
      <c r="E182" s="206" t="s">
        <v>1039</v>
      </c>
      <c r="F182" s="458" t="s">
        <v>41</v>
      </c>
      <c r="G182" s="178">
        <v>1</v>
      </c>
      <c r="H182" s="458" t="s">
        <v>42</v>
      </c>
      <c r="I182" s="459" t="s">
        <v>482</v>
      </c>
      <c r="J182" s="207">
        <v>46070</v>
      </c>
      <c r="K182" s="208" t="s">
        <v>453</v>
      </c>
      <c r="L182" s="209" t="s">
        <v>446</v>
      </c>
      <c r="M182" s="207" t="s">
        <v>449</v>
      </c>
      <c r="N182" s="210">
        <v>240000</v>
      </c>
      <c r="O182" s="210" t="s">
        <v>450</v>
      </c>
      <c r="P182" s="210" t="s">
        <v>444</v>
      </c>
      <c r="Q182" s="211">
        <f t="shared" si="103"/>
        <v>240000</v>
      </c>
      <c r="R182" s="212">
        <f t="shared" si="104"/>
        <v>45600</v>
      </c>
      <c r="S182" s="212">
        <f t="shared" si="105"/>
        <v>285600</v>
      </c>
      <c r="T182" s="212">
        <f t="shared" si="120"/>
        <v>240000</v>
      </c>
      <c r="U182" s="212">
        <f t="shared" si="106"/>
        <v>285600</v>
      </c>
      <c r="V182" s="460" t="s">
        <v>482</v>
      </c>
      <c r="W182" s="213">
        <v>46070</v>
      </c>
      <c r="X182" s="214" t="s">
        <v>483</v>
      </c>
      <c r="Y182" s="215" t="s">
        <v>446</v>
      </c>
      <c r="Z182" s="216" t="s">
        <v>462</v>
      </c>
      <c r="AA182" s="217">
        <v>220000</v>
      </c>
      <c r="AB182" s="217" t="s">
        <v>450</v>
      </c>
      <c r="AC182" s="217" t="s">
        <v>444</v>
      </c>
      <c r="AD182" s="218">
        <f t="shared" si="107"/>
        <v>220000</v>
      </c>
      <c r="AE182" s="219">
        <f t="shared" si="108"/>
        <v>41800</v>
      </c>
      <c r="AF182" s="219">
        <f t="shared" si="109"/>
        <v>261800</v>
      </c>
      <c r="AG182" s="219">
        <f t="shared" si="121"/>
        <v>220000</v>
      </c>
      <c r="AH182" s="219">
        <f t="shared" si="110"/>
        <v>261800</v>
      </c>
      <c r="AI182" s="461" t="s">
        <v>482</v>
      </c>
      <c r="AJ182" s="220">
        <v>46071</v>
      </c>
      <c r="AK182" s="221" t="s">
        <v>445</v>
      </c>
      <c r="AL182" s="222" t="s">
        <v>441</v>
      </c>
      <c r="AM182" s="223" t="s">
        <v>457</v>
      </c>
      <c r="AN182" s="224">
        <v>290000</v>
      </c>
      <c r="AO182" s="224" t="s">
        <v>443</v>
      </c>
      <c r="AP182" s="225" t="s">
        <v>444</v>
      </c>
      <c r="AQ182" s="226">
        <f t="shared" si="111"/>
        <v>243697.47899159664</v>
      </c>
      <c r="AR182" s="227">
        <f t="shared" si="112"/>
        <v>46302.521008403361</v>
      </c>
      <c r="AS182" s="227">
        <f t="shared" si="113"/>
        <v>290000</v>
      </c>
      <c r="AT182" s="227">
        <f t="shared" si="122"/>
        <v>290000</v>
      </c>
      <c r="AU182" s="227">
        <f t="shared" si="114"/>
        <v>290000</v>
      </c>
      <c r="AV182" s="228">
        <f t="shared" si="115"/>
        <v>279133.33333333331</v>
      </c>
      <c r="AW182" s="228">
        <f t="shared" si="116"/>
        <v>279133.33333333331</v>
      </c>
      <c r="AX182" s="228">
        <f t="shared" si="117"/>
        <v>15171.464442608476</v>
      </c>
      <c r="AY182" s="229">
        <f t="shared" si="118"/>
        <v>5.4352034067142861E-2</v>
      </c>
      <c r="AZ182" s="230" t="s">
        <v>1040</v>
      </c>
      <c r="BA182" s="231">
        <f t="shared" si="119"/>
        <v>3</v>
      </c>
      <c r="BB182" s="231"/>
      <c r="BC182" s="231"/>
      <c r="BD182" s="231"/>
      <c r="BE182" s="231"/>
      <c r="BF182" s="231"/>
      <c r="BG182" s="231"/>
      <c r="BH182" s="231">
        <v>87</v>
      </c>
      <c r="BI182" s="232"/>
      <c r="BJ182" s="232"/>
      <c r="BK182" s="232"/>
      <c r="BL182" s="232"/>
      <c r="BM182" s="232"/>
      <c r="BN182" s="232"/>
      <c r="BO182" s="232"/>
      <c r="BP182" s="232"/>
      <c r="BQ182" s="232"/>
      <c r="BR182" s="232"/>
      <c r="BS182" s="232"/>
      <c r="BT182" s="232"/>
      <c r="BU182" s="232"/>
      <c r="BV182" s="232"/>
    </row>
    <row r="183" spans="1:74" ht="84" hidden="1" x14ac:dyDescent="0.25">
      <c r="A183" s="205" t="s">
        <v>438</v>
      </c>
      <c r="B183" s="205" t="s">
        <v>439</v>
      </c>
      <c r="C183" s="205">
        <v>55121714</v>
      </c>
      <c r="D183" s="205" t="s">
        <v>1041</v>
      </c>
      <c r="E183" s="206" t="s">
        <v>1042</v>
      </c>
      <c r="F183" s="458" t="s">
        <v>41</v>
      </c>
      <c r="G183" s="178">
        <v>1</v>
      </c>
      <c r="H183" s="458" t="s">
        <v>42</v>
      </c>
      <c r="I183" s="459" t="s">
        <v>482</v>
      </c>
      <c r="J183" s="207">
        <v>46070</v>
      </c>
      <c r="K183" s="208" t="s">
        <v>453</v>
      </c>
      <c r="L183" s="209" t="s">
        <v>446</v>
      </c>
      <c r="M183" s="207" t="s">
        <v>449</v>
      </c>
      <c r="N183" s="210">
        <v>80000</v>
      </c>
      <c r="O183" s="210" t="s">
        <v>450</v>
      </c>
      <c r="P183" s="210" t="s">
        <v>444</v>
      </c>
      <c r="Q183" s="211">
        <f t="shared" si="103"/>
        <v>80000</v>
      </c>
      <c r="R183" s="212">
        <f t="shared" si="104"/>
        <v>15200</v>
      </c>
      <c r="S183" s="212">
        <f t="shared" si="105"/>
        <v>95200</v>
      </c>
      <c r="T183" s="212">
        <f t="shared" si="120"/>
        <v>80000</v>
      </c>
      <c r="U183" s="212">
        <f t="shared" si="106"/>
        <v>95200</v>
      </c>
      <c r="V183" s="460" t="s">
        <v>482</v>
      </c>
      <c r="W183" s="213">
        <v>46070</v>
      </c>
      <c r="X183" s="214" t="s">
        <v>472</v>
      </c>
      <c r="Y183" s="215" t="s">
        <v>446</v>
      </c>
      <c r="Z183" s="216" t="s">
        <v>763</v>
      </c>
      <c r="AA183" s="217">
        <v>75000</v>
      </c>
      <c r="AB183" s="217" t="s">
        <v>450</v>
      </c>
      <c r="AC183" s="217" t="s">
        <v>444</v>
      </c>
      <c r="AD183" s="218">
        <f t="shared" si="107"/>
        <v>75000</v>
      </c>
      <c r="AE183" s="219">
        <f t="shared" si="108"/>
        <v>14250</v>
      </c>
      <c r="AF183" s="219">
        <f t="shared" si="109"/>
        <v>89250</v>
      </c>
      <c r="AG183" s="219">
        <f t="shared" si="121"/>
        <v>75000</v>
      </c>
      <c r="AH183" s="219">
        <f t="shared" si="110"/>
        <v>89250</v>
      </c>
      <c r="AI183" s="461" t="s">
        <v>482</v>
      </c>
      <c r="AJ183" s="220">
        <v>46070</v>
      </c>
      <c r="AK183" s="221" t="s">
        <v>483</v>
      </c>
      <c r="AL183" s="222" t="s">
        <v>446</v>
      </c>
      <c r="AM183" s="223" t="s">
        <v>462</v>
      </c>
      <c r="AN183" s="224">
        <v>90000</v>
      </c>
      <c r="AO183" s="224" t="s">
        <v>450</v>
      </c>
      <c r="AP183" s="225" t="s">
        <v>444</v>
      </c>
      <c r="AQ183" s="226">
        <f t="shared" si="111"/>
        <v>90000</v>
      </c>
      <c r="AR183" s="227">
        <f t="shared" si="112"/>
        <v>17100</v>
      </c>
      <c r="AS183" s="227">
        <f t="shared" si="113"/>
        <v>107100</v>
      </c>
      <c r="AT183" s="227">
        <f t="shared" si="122"/>
        <v>90000</v>
      </c>
      <c r="AU183" s="227">
        <f t="shared" si="114"/>
        <v>107100</v>
      </c>
      <c r="AV183" s="228">
        <f t="shared" si="115"/>
        <v>97183.333333333328</v>
      </c>
      <c r="AW183" s="228">
        <f t="shared" si="116"/>
        <v>97183.333333333328</v>
      </c>
      <c r="AX183" s="228">
        <f t="shared" si="117"/>
        <v>9088.7751283290836</v>
      </c>
      <c r="AY183" s="229">
        <f t="shared" si="118"/>
        <v>9.3521952958282459E-2</v>
      </c>
      <c r="AZ183" s="230"/>
      <c r="BA183" s="231">
        <f t="shared" si="119"/>
        <v>3</v>
      </c>
      <c r="BB183" s="231"/>
      <c r="BC183" s="231"/>
      <c r="BD183" s="231"/>
      <c r="BE183" s="231"/>
      <c r="BF183" s="231"/>
      <c r="BG183" s="231"/>
      <c r="BH183" s="231">
        <v>1</v>
      </c>
      <c r="BI183" s="232"/>
      <c r="BJ183" s="232"/>
      <c r="BK183" s="232"/>
      <c r="BL183" s="232"/>
      <c r="BM183" s="232"/>
      <c r="BN183" s="232"/>
      <c r="BO183" s="232"/>
      <c r="BP183" s="232"/>
      <c r="BQ183" s="232"/>
      <c r="BR183" s="232"/>
      <c r="BS183" s="232"/>
      <c r="BT183" s="232"/>
      <c r="BU183" s="232"/>
      <c r="BV183" s="232"/>
    </row>
    <row r="184" spans="1:74" ht="84" hidden="1" x14ac:dyDescent="0.25">
      <c r="A184" s="205" t="s">
        <v>438</v>
      </c>
      <c r="B184" s="205" t="s">
        <v>439</v>
      </c>
      <c r="C184" s="205">
        <v>55121714</v>
      </c>
      <c r="D184" s="205" t="s">
        <v>1043</v>
      </c>
      <c r="E184" s="206" t="s">
        <v>1044</v>
      </c>
      <c r="F184" s="458" t="s">
        <v>41</v>
      </c>
      <c r="G184" s="178">
        <v>1</v>
      </c>
      <c r="H184" s="458" t="s">
        <v>42</v>
      </c>
      <c r="I184" s="459" t="s">
        <v>482</v>
      </c>
      <c r="J184" s="207">
        <v>46070</v>
      </c>
      <c r="K184" s="208" t="s">
        <v>453</v>
      </c>
      <c r="L184" s="209" t="s">
        <v>446</v>
      </c>
      <c r="M184" s="207" t="s">
        <v>449</v>
      </c>
      <c r="N184" s="210">
        <v>240000</v>
      </c>
      <c r="O184" s="210" t="s">
        <v>450</v>
      </c>
      <c r="P184" s="210" t="s">
        <v>444</v>
      </c>
      <c r="Q184" s="211">
        <f t="shared" si="103"/>
        <v>240000</v>
      </c>
      <c r="R184" s="212">
        <f t="shared" si="104"/>
        <v>45600</v>
      </c>
      <c r="S184" s="212">
        <f t="shared" si="105"/>
        <v>285600</v>
      </c>
      <c r="T184" s="212">
        <f t="shared" si="120"/>
        <v>240000</v>
      </c>
      <c r="U184" s="212">
        <f t="shared" si="106"/>
        <v>285600</v>
      </c>
      <c r="V184" s="460" t="s">
        <v>482</v>
      </c>
      <c r="W184" s="213">
        <v>46070</v>
      </c>
      <c r="X184" s="214" t="s">
        <v>472</v>
      </c>
      <c r="Y184" s="215" t="s">
        <v>446</v>
      </c>
      <c r="Z184" s="216" t="s">
        <v>763</v>
      </c>
      <c r="AA184" s="217">
        <v>200000</v>
      </c>
      <c r="AB184" s="217" t="s">
        <v>450</v>
      </c>
      <c r="AC184" s="217" t="s">
        <v>444</v>
      </c>
      <c r="AD184" s="218">
        <f t="shared" si="107"/>
        <v>200000</v>
      </c>
      <c r="AE184" s="219">
        <f t="shared" si="108"/>
        <v>38000</v>
      </c>
      <c r="AF184" s="219">
        <f t="shared" si="109"/>
        <v>238000</v>
      </c>
      <c r="AG184" s="219">
        <f t="shared" si="121"/>
        <v>200000</v>
      </c>
      <c r="AH184" s="219">
        <f t="shared" si="110"/>
        <v>238000</v>
      </c>
      <c r="AI184" s="461" t="s">
        <v>482</v>
      </c>
      <c r="AJ184" s="220">
        <v>46071</v>
      </c>
      <c r="AK184" s="221" t="s">
        <v>466</v>
      </c>
      <c r="AL184" s="222" t="s">
        <v>446</v>
      </c>
      <c r="AM184" s="223" t="s">
        <v>467</v>
      </c>
      <c r="AN184" s="224">
        <v>245000</v>
      </c>
      <c r="AO184" s="224" t="s">
        <v>450</v>
      </c>
      <c r="AP184" s="225" t="s">
        <v>468</v>
      </c>
      <c r="AQ184" s="226">
        <f t="shared" si="111"/>
        <v>245000</v>
      </c>
      <c r="AR184" s="227">
        <f t="shared" si="112"/>
        <v>0</v>
      </c>
      <c r="AS184" s="227">
        <f t="shared" si="113"/>
        <v>245000</v>
      </c>
      <c r="AT184" s="227">
        <f t="shared" si="122"/>
        <v>245000</v>
      </c>
      <c r="AU184" s="227">
        <f t="shared" si="114"/>
        <v>245000</v>
      </c>
      <c r="AV184" s="228">
        <f t="shared" si="115"/>
        <v>256200</v>
      </c>
      <c r="AW184" s="228">
        <f t="shared" si="116"/>
        <v>256200</v>
      </c>
      <c r="AX184" s="228">
        <f t="shared" si="117"/>
        <v>25700.583650960147</v>
      </c>
      <c r="AY184" s="229">
        <f t="shared" si="118"/>
        <v>0.10031453415675311</v>
      </c>
      <c r="AZ184" s="230"/>
      <c r="BA184" s="231">
        <f t="shared" si="119"/>
        <v>3</v>
      </c>
      <c r="BB184" s="231"/>
      <c r="BC184" s="231"/>
      <c r="BD184" s="231"/>
      <c r="BE184" s="231"/>
      <c r="BF184" s="231"/>
      <c r="BG184" s="231"/>
      <c r="BH184" s="231">
        <v>2</v>
      </c>
      <c r="BI184" s="232"/>
      <c r="BJ184" s="232"/>
      <c r="BK184" s="232"/>
      <c r="BL184" s="232"/>
      <c r="BM184" s="232"/>
      <c r="BN184" s="232"/>
      <c r="BO184" s="232"/>
      <c r="BP184" s="232"/>
      <c r="BQ184" s="232"/>
      <c r="BR184" s="232"/>
      <c r="BS184" s="232"/>
      <c r="BT184" s="232"/>
      <c r="BU184" s="232"/>
      <c r="BV184" s="232"/>
    </row>
    <row r="185" spans="1:74" ht="378" hidden="1" x14ac:dyDescent="0.25">
      <c r="A185" s="205" t="s">
        <v>496</v>
      </c>
      <c r="B185" s="205" t="s">
        <v>496</v>
      </c>
      <c r="C185" s="205" t="s">
        <v>496</v>
      </c>
      <c r="D185" s="205" t="s">
        <v>389</v>
      </c>
      <c r="E185" s="206" t="s">
        <v>390</v>
      </c>
      <c r="F185" s="458" t="s">
        <v>499</v>
      </c>
      <c r="G185" s="178">
        <v>1</v>
      </c>
      <c r="H185" s="458"/>
      <c r="I185" s="459" t="s">
        <v>496</v>
      </c>
      <c r="J185" s="207" t="s">
        <v>496</v>
      </c>
      <c r="K185" s="208" t="s">
        <v>496</v>
      </c>
      <c r="L185" s="209" t="s">
        <v>496</v>
      </c>
      <c r="M185" s="207" t="s">
        <v>496</v>
      </c>
      <c r="N185" s="210"/>
      <c r="O185" s="210"/>
      <c r="P185" s="210"/>
      <c r="Q185" s="211" t="s">
        <v>500</v>
      </c>
      <c r="R185" s="212" t="s">
        <v>500</v>
      </c>
      <c r="S185" s="212" t="s">
        <v>500</v>
      </c>
      <c r="T185" s="212" t="s">
        <v>500</v>
      </c>
      <c r="U185" s="212" t="s">
        <v>500</v>
      </c>
      <c r="V185" s="460" t="s">
        <v>496</v>
      </c>
      <c r="W185" s="213" t="s">
        <v>496</v>
      </c>
      <c r="X185" s="214" t="s">
        <v>496</v>
      </c>
      <c r="Y185" s="215" t="s">
        <v>496</v>
      </c>
      <c r="Z185" s="216" t="s">
        <v>165</v>
      </c>
      <c r="AA185" s="217" t="s">
        <v>496</v>
      </c>
      <c r="AB185" s="217" t="s">
        <v>496</v>
      </c>
      <c r="AC185" s="217" t="s">
        <v>496</v>
      </c>
      <c r="AD185" s="218" t="s">
        <v>496</v>
      </c>
      <c r="AE185" s="219" t="s">
        <v>496</v>
      </c>
      <c r="AF185" s="219">
        <v>272391</v>
      </c>
      <c r="AG185" s="219">
        <v>5.5599999999999997E-2</v>
      </c>
      <c r="AH185" s="219">
        <v>287535</v>
      </c>
      <c r="AI185" s="461" t="s">
        <v>496</v>
      </c>
      <c r="AJ185" s="220" t="s">
        <v>496</v>
      </c>
      <c r="AK185" s="221" t="s">
        <v>496</v>
      </c>
      <c r="AL185" s="222" t="s">
        <v>496</v>
      </c>
      <c r="AM185" s="223" t="s">
        <v>166</v>
      </c>
      <c r="AN185" s="224" t="s">
        <v>496</v>
      </c>
      <c r="AO185" s="224" t="s">
        <v>496</v>
      </c>
      <c r="AP185" s="225" t="s">
        <v>496</v>
      </c>
      <c r="AQ185" s="226">
        <v>234622</v>
      </c>
      <c r="AR185" s="227">
        <v>44578</v>
      </c>
      <c r="AS185" s="227">
        <v>279200</v>
      </c>
      <c r="AT185" s="227">
        <v>234622</v>
      </c>
      <c r="AU185" s="227">
        <v>279200</v>
      </c>
      <c r="AV185" s="228">
        <v>283368</v>
      </c>
      <c r="AW185" s="228">
        <v>283368</v>
      </c>
      <c r="AX185" s="228">
        <v>5893.84</v>
      </c>
      <c r="AY185" s="229">
        <v>2.0799999999999999E-2</v>
      </c>
      <c r="AZ185" s="230"/>
      <c r="BA185" s="231"/>
      <c r="BB185" s="231"/>
      <c r="BC185" s="231"/>
      <c r="BD185" s="231"/>
      <c r="BE185" s="231"/>
      <c r="BF185" s="231"/>
      <c r="BG185" s="231"/>
      <c r="BH185" s="231"/>
      <c r="BI185" s="232"/>
      <c r="BJ185" s="232"/>
      <c r="BK185" s="232"/>
      <c r="BL185" s="232"/>
      <c r="BM185" s="232"/>
      <c r="BN185" s="232"/>
      <c r="BO185" s="232"/>
      <c r="BP185" s="232"/>
      <c r="BQ185" s="232"/>
      <c r="BR185" s="232"/>
      <c r="BS185" s="232"/>
      <c r="BT185" s="232"/>
      <c r="BU185" s="232"/>
      <c r="BV185" s="232"/>
    </row>
    <row r="186" spans="1:74" ht="84" hidden="1" x14ac:dyDescent="0.25">
      <c r="A186" s="205" t="s">
        <v>438</v>
      </c>
      <c r="B186" s="205" t="s">
        <v>439</v>
      </c>
      <c r="C186" s="205">
        <v>55121720</v>
      </c>
      <c r="D186" s="205" t="s">
        <v>1045</v>
      </c>
      <c r="E186" s="206" t="s">
        <v>1046</v>
      </c>
      <c r="F186" s="458" t="s">
        <v>41</v>
      </c>
      <c r="G186" s="178">
        <v>1</v>
      </c>
      <c r="H186" s="458" t="s">
        <v>42</v>
      </c>
      <c r="I186" s="459" t="s">
        <v>482</v>
      </c>
      <c r="J186" s="207">
        <v>46070</v>
      </c>
      <c r="K186" s="208" t="s">
        <v>453</v>
      </c>
      <c r="L186" s="209" t="s">
        <v>441</v>
      </c>
      <c r="M186" s="207" t="s">
        <v>449</v>
      </c>
      <c r="N186" s="210">
        <v>18000</v>
      </c>
      <c r="O186" s="210" t="s">
        <v>450</v>
      </c>
      <c r="P186" s="210" t="s">
        <v>444</v>
      </c>
      <c r="Q186" s="211">
        <f>IF(O186="IVA Incluido",(N186/1.19),N186)</f>
        <v>18000</v>
      </c>
      <c r="R186" s="212">
        <f t="shared" ref="R186:R191" si="123">IF(P186="Si tiene IVA",Q186*19%,0)</f>
        <v>3420</v>
      </c>
      <c r="S186" s="212">
        <f t="shared" ref="S186:S191" si="124">Q186+R186</f>
        <v>21420</v>
      </c>
      <c r="T186" s="212">
        <f t="shared" ref="T186:T191" si="125">IF(B186="","",(N186*G186))</f>
        <v>18000</v>
      </c>
      <c r="U186" s="212">
        <f t="shared" ref="U186:U191" si="126">IF(B186="","",(S186*G186))</f>
        <v>21420</v>
      </c>
      <c r="V186" s="460" t="s">
        <v>440</v>
      </c>
      <c r="W186" s="213">
        <v>46078</v>
      </c>
      <c r="X186" s="214" t="s">
        <v>455</v>
      </c>
      <c r="Y186" s="215" t="s">
        <v>446</v>
      </c>
      <c r="Z186" s="216" t="s">
        <v>1047</v>
      </c>
      <c r="AA186" s="217">
        <v>12500</v>
      </c>
      <c r="AB186" s="217" t="s">
        <v>450</v>
      </c>
      <c r="AC186" s="217" t="s">
        <v>444</v>
      </c>
      <c r="AD186" s="218">
        <f>IF(AB186="IVA Incluido",(AA186/1.19),AA186)</f>
        <v>12500</v>
      </c>
      <c r="AE186" s="219">
        <f t="shared" ref="AE186:AE191" si="127">IF(AC186="Si tiene IVA",AD186*19%,0)</f>
        <v>2375</v>
      </c>
      <c r="AF186" s="219">
        <f t="shared" ref="AF186:AF191" si="128">AD186+AE186</f>
        <v>14875</v>
      </c>
      <c r="AG186" s="219">
        <f t="shared" ref="AG186:AG191" si="129">IF(O186="","",(AA186*G186))</f>
        <v>12500</v>
      </c>
      <c r="AH186" s="219">
        <f t="shared" ref="AH186:AH191" si="130">IF(O186="","",(AF186*G186))</f>
        <v>14875</v>
      </c>
      <c r="AI186" s="461" t="s">
        <v>440</v>
      </c>
      <c r="AJ186" s="220">
        <v>46078</v>
      </c>
      <c r="AK186" s="221" t="s">
        <v>445</v>
      </c>
      <c r="AL186" s="222" t="s">
        <v>441</v>
      </c>
      <c r="AM186" s="223" t="s">
        <v>457</v>
      </c>
      <c r="AN186" s="224">
        <v>18000</v>
      </c>
      <c r="AO186" s="224" t="s">
        <v>443</v>
      </c>
      <c r="AP186" s="225" t="s">
        <v>444</v>
      </c>
      <c r="AQ186" s="226">
        <f t="shared" ref="AQ186:AQ191" si="131">IF(AO186="IVA Incluido",(AN186/1.19),AN186)</f>
        <v>15126.050420168069</v>
      </c>
      <c r="AR186" s="227">
        <f t="shared" ref="AR186:AR191" si="132">IF(AP186="Si tiene IVA",AQ186*19%,0)</f>
        <v>2873.9495798319331</v>
      </c>
      <c r="AS186" s="227">
        <f t="shared" ref="AS186:AS191" si="133">AQ186+AR186</f>
        <v>18000</v>
      </c>
      <c r="AT186" s="227">
        <f t="shared" ref="AT186:AT191" si="134">IF(AB186="","",(AN186*G186))</f>
        <v>18000</v>
      </c>
      <c r="AU186" s="227">
        <f t="shared" ref="AU186:AU191" si="135">IF(AB186="","",(AS186*G186))</f>
        <v>18000</v>
      </c>
      <c r="AV186" s="228">
        <f t="shared" ref="AV186:AV191" si="136">IF(A186="","",AVERAGE(S186,AF186,AS186))</f>
        <v>18098.333333333332</v>
      </c>
      <c r="AW186" s="228">
        <f t="shared" ref="AW186:AW191" si="137">IF(A186="","",AVERAGE(U186,AH186,AU186))</f>
        <v>18098.333333333332</v>
      </c>
      <c r="AX186" s="228">
        <f t="shared" ref="AX186:AX191" si="138">IF(N186="","",STDEV(U186,AH186,AU186))</f>
        <v>3273.6078466018671</v>
      </c>
      <c r="AY186" s="229">
        <f t="shared" ref="AY186:AY191" si="139">IF(N186="","",(AX186/AW186))</f>
        <v>0.18087896748882221</v>
      </c>
      <c r="AZ186" s="230"/>
      <c r="BA186" s="231">
        <f t="shared" ref="BA186:BA191" si="140">COUNTA(M186,Z186,AM186)</f>
        <v>3</v>
      </c>
      <c r="BB186" s="231"/>
      <c r="BC186" s="231"/>
      <c r="BD186" s="231"/>
      <c r="BE186" s="231"/>
      <c r="BF186" s="231"/>
      <c r="BG186" s="231"/>
      <c r="BH186" s="231">
        <v>72</v>
      </c>
      <c r="BI186" s="232"/>
      <c r="BJ186" s="232"/>
      <c r="BK186" s="232"/>
      <c r="BL186" s="232"/>
      <c r="BM186" s="232"/>
      <c r="BN186" s="232"/>
      <c r="BO186" s="232"/>
      <c r="BP186" s="232"/>
      <c r="BQ186" s="232"/>
      <c r="BR186" s="232"/>
      <c r="BS186" s="232"/>
      <c r="BT186" s="232"/>
      <c r="BU186" s="232"/>
      <c r="BV186" s="232"/>
    </row>
    <row r="187" spans="1:74" ht="84" hidden="1" x14ac:dyDescent="0.25">
      <c r="A187" s="205" t="s">
        <v>438</v>
      </c>
      <c r="B187" s="205" t="s">
        <v>439</v>
      </c>
      <c r="C187" s="205">
        <v>55121720</v>
      </c>
      <c r="D187" s="205" t="s">
        <v>1048</v>
      </c>
      <c r="E187" s="206" t="s">
        <v>1049</v>
      </c>
      <c r="F187" s="458" t="s">
        <v>41</v>
      </c>
      <c r="G187" s="178">
        <v>1</v>
      </c>
      <c r="H187" s="458" t="s">
        <v>42</v>
      </c>
      <c r="I187" s="459" t="s">
        <v>440</v>
      </c>
      <c r="J187" s="207">
        <v>46078</v>
      </c>
      <c r="K187" s="208" t="s">
        <v>453</v>
      </c>
      <c r="L187" s="209" t="s">
        <v>441</v>
      </c>
      <c r="M187" s="207" t="s">
        <v>449</v>
      </c>
      <c r="N187" s="210">
        <v>18000</v>
      </c>
      <c r="O187" s="210" t="s">
        <v>450</v>
      </c>
      <c r="P187" s="210" t="s">
        <v>444</v>
      </c>
      <c r="Q187" s="211">
        <v>18000</v>
      </c>
      <c r="R187" s="212">
        <f t="shared" si="123"/>
        <v>3420</v>
      </c>
      <c r="S187" s="212">
        <f t="shared" si="124"/>
        <v>21420</v>
      </c>
      <c r="T187" s="212">
        <f t="shared" si="125"/>
        <v>18000</v>
      </c>
      <c r="U187" s="212">
        <f t="shared" si="126"/>
        <v>21420</v>
      </c>
      <c r="V187" s="460" t="s">
        <v>440</v>
      </c>
      <c r="W187" s="213">
        <v>46078</v>
      </c>
      <c r="X187" s="214" t="s">
        <v>455</v>
      </c>
      <c r="Y187" s="215" t="s">
        <v>446</v>
      </c>
      <c r="Z187" s="216" t="s">
        <v>455</v>
      </c>
      <c r="AA187" s="217">
        <v>12500</v>
      </c>
      <c r="AB187" s="217" t="s">
        <v>450</v>
      </c>
      <c r="AC187" s="217" t="s">
        <v>444</v>
      </c>
      <c r="AD187" s="218">
        <v>12500</v>
      </c>
      <c r="AE187" s="219">
        <f t="shared" si="127"/>
        <v>2375</v>
      </c>
      <c r="AF187" s="219">
        <f t="shared" si="128"/>
        <v>14875</v>
      </c>
      <c r="AG187" s="219">
        <f t="shared" si="129"/>
        <v>12500</v>
      </c>
      <c r="AH187" s="219">
        <f t="shared" si="130"/>
        <v>14875</v>
      </c>
      <c r="AI187" s="461" t="s">
        <v>440</v>
      </c>
      <c r="AJ187" s="220">
        <v>46078</v>
      </c>
      <c r="AK187" s="221" t="s">
        <v>445</v>
      </c>
      <c r="AL187" s="222" t="s">
        <v>441</v>
      </c>
      <c r="AM187" s="223" t="s">
        <v>457</v>
      </c>
      <c r="AN187" s="224">
        <v>18000</v>
      </c>
      <c r="AO187" s="224" t="s">
        <v>443</v>
      </c>
      <c r="AP187" s="225" t="s">
        <v>444</v>
      </c>
      <c r="AQ187" s="226">
        <f t="shared" si="131"/>
        <v>15126.050420168069</v>
      </c>
      <c r="AR187" s="227">
        <f t="shared" si="132"/>
        <v>2873.9495798319331</v>
      </c>
      <c r="AS187" s="227">
        <f t="shared" si="133"/>
        <v>18000</v>
      </c>
      <c r="AT187" s="227">
        <f t="shared" si="134"/>
        <v>18000</v>
      </c>
      <c r="AU187" s="227">
        <f t="shared" si="135"/>
        <v>18000</v>
      </c>
      <c r="AV187" s="228">
        <f t="shared" si="136"/>
        <v>18098.333333333332</v>
      </c>
      <c r="AW187" s="228">
        <f t="shared" si="137"/>
        <v>18098.333333333332</v>
      </c>
      <c r="AX187" s="228">
        <f t="shared" si="138"/>
        <v>3273.6078466018671</v>
      </c>
      <c r="AY187" s="229">
        <f t="shared" si="139"/>
        <v>0.18087896748882221</v>
      </c>
      <c r="AZ187" s="230"/>
      <c r="BA187" s="231">
        <f t="shared" si="140"/>
        <v>3</v>
      </c>
      <c r="BB187" s="231"/>
      <c r="BC187" s="231"/>
      <c r="BD187" s="231"/>
      <c r="BE187" s="231"/>
      <c r="BF187" s="231"/>
      <c r="BG187" s="231"/>
      <c r="BH187" s="231">
        <v>73</v>
      </c>
      <c r="BI187" s="232"/>
      <c r="BJ187" s="232"/>
      <c r="BK187" s="232"/>
      <c r="BL187" s="232"/>
      <c r="BM187" s="232"/>
      <c r="BN187" s="232"/>
      <c r="BO187" s="232"/>
      <c r="BP187" s="232"/>
      <c r="BQ187" s="232"/>
      <c r="BR187" s="232"/>
      <c r="BS187" s="232"/>
      <c r="BT187" s="232"/>
      <c r="BU187" s="232"/>
      <c r="BV187" s="232"/>
    </row>
    <row r="188" spans="1:74" ht="84" hidden="1" x14ac:dyDescent="0.25">
      <c r="A188" s="205" t="s">
        <v>438</v>
      </c>
      <c r="B188" s="205" t="s">
        <v>439</v>
      </c>
      <c r="C188" s="205">
        <v>55121720</v>
      </c>
      <c r="D188" s="205" t="s">
        <v>1050</v>
      </c>
      <c r="E188" s="206" t="s">
        <v>1051</v>
      </c>
      <c r="F188" s="458" t="s">
        <v>41</v>
      </c>
      <c r="G188" s="178">
        <v>1</v>
      </c>
      <c r="H188" s="458" t="s">
        <v>42</v>
      </c>
      <c r="I188" s="459" t="s">
        <v>440</v>
      </c>
      <c r="J188" s="207">
        <v>46078</v>
      </c>
      <c r="K188" s="208" t="s">
        <v>453</v>
      </c>
      <c r="L188" s="209" t="s">
        <v>441</v>
      </c>
      <c r="M188" s="207" t="s">
        <v>449</v>
      </c>
      <c r="N188" s="210">
        <v>18000</v>
      </c>
      <c r="O188" s="210" t="s">
        <v>450</v>
      </c>
      <c r="P188" s="210" t="s">
        <v>444</v>
      </c>
      <c r="Q188" s="211">
        <v>18000</v>
      </c>
      <c r="R188" s="212">
        <f t="shared" si="123"/>
        <v>3420</v>
      </c>
      <c r="S188" s="212">
        <f t="shared" si="124"/>
        <v>21420</v>
      </c>
      <c r="T188" s="212">
        <f t="shared" si="125"/>
        <v>18000</v>
      </c>
      <c r="U188" s="212">
        <f t="shared" si="126"/>
        <v>21420</v>
      </c>
      <c r="V188" s="460" t="s">
        <v>440</v>
      </c>
      <c r="W188" s="213">
        <v>46078</v>
      </c>
      <c r="X188" s="214" t="s">
        <v>455</v>
      </c>
      <c r="Y188" s="215" t="s">
        <v>446</v>
      </c>
      <c r="Z188" s="216" t="s">
        <v>455</v>
      </c>
      <c r="AA188" s="217">
        <v>12500</v>
      </c>
      <c r="AB188" s="217" t="s">
        <v>450</v>
      </c>
      <c r="AC188" s="217" t="s">
        <v>444</v>
      </c>
      <c r="AD188" s="218">
        <v>12500</v>
      </c>
      <c r="AE188" s="219">
        <f t="shared" si="127"/>
        <v>2375</v>
      </c>
      <c r="AF188" s="219">
        <f t="shared" si="128"/>
        <v>14875</v>
      </c>
      <c r="AG188" s="219">
        <f t="shared" si="129"/>
        <v>12500</v>
      </c>
      <c r="AH188" s="219">
        <f t="shared" si="130"/>
        <v>14875</v>
      </c>
      <c r="AI188" s="461" t="s">
        <v>440</v>
      </c>
      <c r="AJ188" s="220">
        <v>46078</v>
      </c>
      <c r="AK188" s="221" t="s">
        <v>445</v>
      </c>
      <c r="AL188" s="222" t="s">
        <v>441</v>
      </c>
      <c r="AM188" s="223" t="s">
        <v>457</v>
      </c>
      <c r="AN188" s="224">
        <v>18000</v>
      </c>
      <c r="AO188" s="224" t="s">
        <v>443</v>
      </c>
      <c r="AP188" s="225" t="s">
        <v>444</v>
      </c>
      <c r="AQ188" s="226">
        <f t="shared" si="131"/>
        <v>15126.050420168069</v>
      </c>
      <c r="AR188" s="227">
        <f t="shared" si="132"/>
        <v>2873.9495798319331</v>
      </c>
      <c r="AS188" s="227">
        <f t="shared" si="133"/>
        <v>18000</v>
      </c>
      <c r="AT188" s="227">
        <f t="shared" si="134"/>
        <v>18000</v>
      </c>
      <c r="AU188" s="227">
        <f t="shared" si="135"/>
        <v>18000</v>
      </c>
      <c r="AV188" s="228">
        <f t="shared" si="136"/>
        <v>18098.333333333332</v>
      </c>
      <c r="AW188" s="228">
        <f t="shared" si="137"/>
        <v>18098.333333333332</v>
      </c>
      <c r="AX188" s="228">
        <f t="shared" si="138"/>
        <v>3273.6078466018671</v>
      </c>
      <c r="AY188" s="229">
        <f t="shared" si="139"/>
        <v>0.18087896748882221</v>
      </c>
      <c r="AZ188" s="230"/>
      <c r="BA188" s="231">
        <f t="shared" si="140"/>
        <v>3</v>
      </c>
      <c r="BB188" s="231"/>
      <c r="BC188" s="231"/>
      <c r="BD188" s="231"/>
      <c r="BE188" s="231"/>
      <c r="BF188" s="231"/>
      <c r="BG188" s="231"/>
      <c r="BH188" s="231">
        <v>74</v>
      </c>
      <c r="BI188" s="232"/>
      <c r="BJ188" s="232"/>
      <c r="BK188" s="232"/>
      <c r="BL188" s="232"/>
      <c r="BM188" s="232"/>
      <c r="BN188" s="232"/>
      <c r="BO188" s="232"/>
      <c r="BP188" s="232"/>
      <c r="BQ188" s="232"/>
      <c r="BR188" s="232"/>
      <c r="BS188" s="232"/>
      <c r="BT188" s="232"/>
      <c r="BU188" s="232"/>
      <c r="BV188" s="232"/>
    </row>
    <row r="189" spans="1:74" ht="84" hidden="1" x14ac:dyDescent="0.25">
      <c r="A189" s="205" t="s">
        <v>438</v>
      </c>
      <c r="B189" s="205" t="s">
        <v>501</v>
      </c>
      <c r="C189" s="205"/>
      <c r="D189" s="205" t="s">
        <v>1052</v>
      </c>
      <c r="E189" s="206" t="s">
        <v>1053</v>
      </c>
      <c r="F189" s="458" t="s">
        <v>41</v>
      </c>
      <c r="G189" s="178">
        <v>1</v>
      </c>
      <c r="H189" s="458" t="s">
        <v>42</v>
      </c>
      <c r="I189" s="459" t="s">
        <v>452</v>
      </c>
      <c r="J189" s="207">
        <v>46092</v>
      </c>
      <c r="K189" s="208" t="s">
        <v>809</v>
      </c>
      <c r="L189" s="209" t="s">
        <v>441</v>
      </c>
      <c r="M189" s="207" t="s">
        <v>810</v>
      </c>
      <c r="N189" s="210">
        <v>11000</v>
      </c>
      <c r="O189" s="210" t="s">
        <v>450</v>
      </c>
      <c r="P189" s="210" t="s">
        <v>444</v>
      </c>
      <c r="Q189" s="211">
        <f>IF(O189="IVA Incluido",(N189/1.19),N189)</f>
        <v>11000</v>
      </c>
      <c r="R189" s="212">
        <f t="shared" si="123"/>
        <v>2090</v>
      </c>
      <c r="S189" s="212">
        <f t="shared" si="124"/>
        <v>13090</v>
      </c>
      <c r="T189" s="212">
        <f t="shared" si="125"/>
        <v>11000</v>
      </c>
      <c r="U189" s="212">
        <f t="shared" si="126"/>
        <v>13090</v>
      </c>
      <c r="V189" s="460" t="s">
        <v>452</v>
      </c>
      <c r="W189" s="213">
        <v>46092</v>
      </c>
      <c r="X189" s="214" t="s">
        <v>1054</v>
      </c>
      <c r="Y189" s="215" t="s">
        <v>446</v>
      </c>
      <c r="Z189" s="216" t="s">
        <v>1055</v>
      </c>
      <c r="AA189" s="217">
        <v>14900</v>
      </c>
      <c r="AB189" s="217" t="s">
        <v>443</v>
      </c>
      <c r="AC189" s="217" t="s">
        <v>444</v>
      </c>
      <c r="AD189" s="218">
        <f>IF(AB189="IVA Incluido",(AA189/1.19),AA189)</f>
        <v>12521.008403361346</v>
      </c>
      <c r="AE189" s="219">
        <f t="shared" si="127"/>
        <v>2378.9915966386557</v>
      </c>
      <c r="AF189" s="219">
        <f t="shared" si="128"/>
        <v>14900.000000000002</v>
      </c>
      <c r="AG189" s="219">
        <f t="shared" si="129"/>
        <v>14900</v>
      </c>
      <c r="AH189" s="219">
        <f t="shared" si="130"/>
        <v>14900.000000000002</v>
      </c>
      <c r="AI189" s="461" t="s">
        <v>452</v>
      </c>
      <c r="AJ189" s="220">
        <v>46092</v>
      </c>
      <c r="AK189" s="221" t="s">
        <v>1056</v>
      </c>
      <c r="AL189" s="222" t="s">
        <v>446</v>
      </c>
      <c r="AM189" s="223" t="s">
        <v>132</v>
      </c>
      <c r="AN189" s="224">
        <v>19900</v>
      </c>
      <c r="AO189" s="224" t="s">
        <v>443</v>
      </c>
      <c r="AP189" s="225" t="s">
        <v>444</v>
      </c>
      <c r="AQ189" s="226">
        <f t="shared" si="131"/>
        <v>16722.689075630253</v>
      </c>
      <c r="AR189" s="227">
        <f t="shared" si="132"/>
        <v>3177.3109243697481</v>
      </c>
      <c r="AS189" s="227">
        <f t="shared" si="133"/>
        <v>19900</v>
      </c>
      <c r="AT189" s="227">
        <f t="shared" si="134"/>
        <v>19900</v>
      </c>
      <c r="AU189" s="227">
        <f t="shared" si="135"/>
        <v>19900</v>
      </c>
      <c r="AV189" s="228">
        <f t="shared" si="136"/>
        <v>15963.333333333334</v>
      </c>
      <c r="AW189" s="228">
        <f t="shared" si="137"/>
        <v>15963.333333333334</v>
      </c>
      <c r="AX189" s="228">
        <f t="shared" si="138"/>
        <v>3527.3266553203312</v>
      </c>
      <c r="AY189" s="229">
        <f t="shared" si="139"/>
        <v>0.22096429246107732</v>
      </c>
      <c r="AZ189" s="230"/>
      <c r="BA189" s="231">
        <f t="shared" si="140"/>
        <v>3</v>
      </c>
      <c r="BB189" s="231"/>
      <c r="BC189" s="231"/>
      <c r="BD189" s="231"/>
      <c r="BE189" s="231"/>
      <c r="BF189" s="231"/>
      <c r="BG189" s="231"/>
      <c r="BH189" s="231">
        <v>67</v>
      </c>
      <c r="BI189" s="232"/>
      <c r="BJ189" s="232"/>
      <c r="BK189" s="232"/>
      <c r="BL189" s="232"/>
      <c r="BM189" s="232"/>
      <c r="BN189" s="232"/>
      <c r="BO189" s="232"/>
      <c r="BP189" s="232"/>
      <c r="BQ189" s="232"/>
      <c r="BR189" s="232"/>
      <c r="BS189" s="232"/>
      <c r="BT189" s="232"/>
      <c r="BU189" s="232"/>
      <c r="BV189" s="232"/>
    </row>
    <row r="190" spans="1:74" ht="63" hidden="1" x14ac:dyDescent="0.25">
      <c r="A190" s="205" t="s">
        <v>438</v>
      </c>
      <c r="B190" s="205" t="s">
        <v>501</v>
      </c>
      <c r="C190" s="205">
        <v>60121211</v>
      </c>
      <c r="D190" s="205" t="s">
        <v>56</v>
      </c>
      <c r="E190" s="206" t="s">
        <v>57</v>
      </c>
      <c r="F190" s="458" t="s">
        <v>41</v>
      </c>
      <c r="G190" s="178">
        <v>1</v>
      </c>
      <c r="H190" s="458" t="s">
        <v>42</v>
      </c>
      <c r="I190" s="459" t="s">
        <v>440</v>
      </c>
      <c r="J190" s="207">
        <v>46091</v>
      </c>
      <c r="K190" s="208" t="s">
        <v>1057</v>
      </c>
      <c r="L190" s="209" t="s">
        <v>446</v>
      </c>
      <c r="M190" s="207" t="s">
        <v>1058</v>
      </c>
      <c r="N190" s="210">
        <v>42900</v>
      </c>
      <c r="O190" s="210" t="s">
        <v>443</v>
      </c>
      <c r="P190" s="210" t="s">
        <v>444</v>
      </c>
      <c r="Q190" s="211">
        <f>IF(O190="IVA Incluido",(N190/1.19),N190)</f>
        <v>36050.420168067227</v>
      </c>
      <c r="R190" s="212">
        <f t="shared" si="123"/>
        <v>6849.5798319327732</v>
      </c>
      <c r="S190" s="212">
        <f t="shared" si="124"/>
        <v>42900</v>
      </c>
      <c r="T190" s="212">
        <f t="shared" si="125"/>
        <v>42900</v>
      </c>
      <c r="U190" s="212">
        <f t="shared" si="126"/>
        <v>42900</v>
      </c>
      <c r="V190" s="460" t="s">
        <v>440</v>
      </c>
      <c r="W190" s="213">
        <v>46091</v>
      </c>
      <c r="X190" s="214" t="s">
        <v>1059</v>
      </c>
      <c r="Y190" s="215" t="s">
        <v>441</v>
      </c>
      <c r="Z190" s="216" t="s">
        <v>59</v>
      </c>
      <c r="AA190" s="217">
        <v>49500</v>
      </c>
      <c r="AB190" s="217" t="s">
        <v>443</v>
      </c>
      <c r="AC190" s="217" t="s">
        <v>444</v>
      </c>
      <c r="AD190" s="218">
        <f>IF(AB190="IVA Incluido",(AA190/1.19),AA190)</f>
        <v>41596.638655462186</v>
      </c>
      <c r="AE190" s="219">
        <f t="shared" si="127"/>
        <v>7903.3613445378151</v>
      </c>
      <c r="AF190" s="219">
        <f t="shared" si="128"/>
        <v>49500</v>
      </c>
      <c r="AG190" s="219">
        <f t="shared" si="129"/>
        <v>49500</v>
      </c>
      <c r="AH190" s="219">
        <f t="shared" si="130"/>
        <v>49500</v>
      </c>
      <c r="AI190" s="461" t="s">
        <v>440</v>
      </c>
      <c r="AJ190" s="220">
        <v>46091</v>
      </c>
      <c r="AK190" s="221" t="s">
        <v>1060</v>
      </c>
      <c r="AL190" s="222" t="s">
        <v>446</v>
      </c>
      <c r="AM190" s="223" t="s">
        <v>60</v>
      </c>
      <c r="AN190" s="224">
        <v>41000</v>
      </c>
      <c r="AO190" s="224" t="s">
        <v>443</v>
      </c>
      <c r="AP190" s="225" t="s">
        <v>444</v>
      </c>
      <c r="AQ190" s="226">
        <f t="shared" si="131"/>
        <v>34453.781512605041</v>
      </c>
      <c r="AR190" s="227">
        <f t="shared" si="132"/>
        <v>6546.2184873949582</v>
      </c>
      <c r="AS190" s="227">
        <f t="shared" si="133"/>
        <v>41000</v>
      </c>
      <c r="AT190" s="227">
        <f t="shared" si="134"/>
        <v>41000</v>
      </c>
      <c r="AU190" s="227">
        <f t="shared" si="135"/>
        <v>41000</v>
      </c>
      <c r="AV190" s="228">
        <f t="shared" si="136"/>
        <v>44466.666666666664</v>
      </c>
      <c r="AW190" s="228">
        <f t="shared" si="137"/>
        <v>44466.666666666664</v>
      </c>
      <c r="AX190" s="228">
        <f t="shared" si="138"/>
        <v>4461.3152021946771</v>
      </c>
      <c r="AY190" s="229">
        <f t="shared" si="139"/>
        <v>0.10032942733571239</v>
      </c>
      <c r="AZ190" s="230"/>
      <c r="BA190" s="231">
        <f t="shared" si="140"/>
        <v>3</v>
      </c>
      <c r="BB190" s="231"/>
      <c r="BC190" s="231"/>
      <c r="BD190" s="231"/>
      <c r="BE190" s="231"/>
      <c r="BF190" s="231"/>
      <c r="BG190" s="231"/>
      <c r="BH190" s="231">
        <v>68</v>
      </c>
      <c r="BI190" s="232"/>
      <c r="BJ190" s="232"/>
      <c r="BK190" s="232"/>
      <c r="BL190" s="232"/>
      <c r="BM190" s="232"/>
      <c r="BN190" s="232"/>
      <c r="BO190" s="232"/>
      <c r="BP190" s="232"/>
      <c r="BQ190" s="232"/>
      <c r="BR190" s="232"/>
      <c r="BS190" s="232"/>
      <c r="BT190" s="232"/>
      <c r="BU190" s="232"/>
      <c r="BV190" s="232"/>
    </row>
    <row r="191" spans="1:74" ht="63" hidden="1" x14ac:dyDescent="0.25">
      <c r="A191" s="205" t="s">
        <v>438</v>
      </c>
      <c r="B191" s="205" t="s">
        <v>501</v>
      </c>
      <c r="C191" s="205">
        <v>60121211</v>
      </c>
      <c r="D191" s="205" t="s">
        <v>1061</v>
      </c>
      <c r="E191" s="206" t="s">
        <v>1062</v>
      </c>
      <c r="F191" s="458" t="s">
        <v>41</v>
      </c>
      <c r="G191" s="178">
        <v>1</v>
      </c>
      <c r="H191" s="458" t="s">
        <v>42</v>
      </c>
      <c r="I191" s="459" t="s">
        <v>452</v>
      </c>
      <c r="J191" s="207">
        <v>46100</v>
      </c>
      <c r="K191" s="208" t="s">
        <v>1063</v>
      </c>
      <c r="L191" s="209" t="s">
        <v>446</v>
      </c>
      <c r="M191" s="207" t="s">
        <v>125</v>
      </c>
      <c r="N191" s="210">
        <v>34700</v>
      </c>
      <c r="O191" s="210" t="s">
        <v>443</v>
      </c>
      <c r="P191" s="210" t="s">
        <v>444</v>
      </c>
      <c r="Q191" s="211">
        <f>IF(O191="IVA Incluido",(N191/1.19),N191)</f>
        <v>29159.663865546219</v>
      </c>
      <c r="R191" s="212">
        <f t="shared" si="123"/>
        <v>5540.3361344537816</v>
      </c>
      <c r="S191" s="212">
        <f t="shared" si="124"/>
        <v>34700</v>
      </c>
      <c r="T191" s="212">
        <f t="shared" si="125"/>
        <v>34700</v>
      </c>
      <c r="U191" s="212">
        <f t="shared" si="126"/>
        <v>34700</v>
      </c>
      <c r="V191" s="460" t="s">
        <v>452</v>
      </c>
      <c r="W191" s="213">
        <v>46100</v>
      </c>
      <c r="X191" s="214" t="s">
        <v>506</v>
      </c>
      <c r="Y191" s="215" t="s">
        <v>446</v>
      </c>
      <c r="Z191" s="216" t="s">
        <v>1064</v>
      </c>
      <c r="AA191" s="217">
        <v>27120</v>
      </c>
      <c r="AB191" s="217" t="s">
        <v>450</v>
      </c>
      <c r="AC191" s="217" t="s">
        <v>444</v>
      </c>
      <c r="AD191" s="218">
        <f>IF(AB191="IVA Incluido",(AA191/1.19),AA191)</f>
        <v>27120</v>
      </c>
      <c r="AE191" s="219">
        <f t="shared" si="127"/>
        <v>5152.8</v>
      </c>
      <c r="AF191" s="219">
        <f t="shared" si="128"/>
        <v>32272.799999999999</v>
      </c>
      <c r="AG191" s="219">
        <f t="shared" si="129"/>
        <v>27120</v>
      </c>
      <c r="AH191" s="219">
        <f t="shared" si="130"/>
        <v>32272.799999999999</v>
      </c>
      <c r="AI191" s="461" t="s">
        <v>452</v>
      </c>
      <c r="AJ191" s="220">
        <v>46100</v>
      </c>
      <c r="AK191" s="221" t="s">
        <v>667</v>
      </c>
      <c r="AL191" s="222" t="s">
        <v>446</v>
      </c>
      <c r="AM191" s="223" t="s">
        <v>1065</v>
      </c>
      <c r="AN191" s="224">
        <v>33700</v>
      </c>
      <c r="AO191" s="224" t="s">
        <v>443</v>
      </c>
      <c r="AP191" s="225" t="s">
        <v>444</v>
      </c>
      <c r="AQ191" s="226">
        <f t="shared" si="131"/>
        <v>28319.327731092439</v>
      </c>
      <c r="AR191" s="227">
        <f t="shared" si="132"/>
        <v>5380.6722689075632</v>
      </c>
      <c r="AS191" s="227">
        <f t="shared" si="133"/>
        <v>33700</v>
      </c>
      <c r="AT191" s="227">
        <f t="shared" si="134"/>
        <v>33700</v>
      </c>
      <c r="AU191" s="227">
        <f t="shared" si="135"/>
        <v>33700</v>
      </c>
      <c r="AV191" s="228">
        <f t="shared" si="136"/>
        <v>33557.599999999999</v>
      </c>
      <c r="AW191" s="228">
        <f t="shared" si="137"/>
        <v>33557.599999999999</v>
      </c>
      <c r="AX191" s="228">
        <f t="shared" si="138"/>
        <v>1219.8496956592649</v>
      </c>
      <c r="AY191" s="229">
        <f t="shared" si="139"/>
        <v>3.6350921867453721E-2</v>
      </c>
      <c r="AZ191" s="230"/>
      <c r="BA191" s="231">
        <f t="shared" si="140"/>
        <v>3</v>
      </c>
      <c r="BB191" s="231"/>
      <c r="BC191" s="231"/>
      <c r="BD191" s="231"/>
      <c r="BE191" s="231"/>
      <c r="BF191" s="231"/>
      <c r="BG191" s="231"/>
      <c r="BH191" s="231">
        <v>69</v>
      </c>
      <c r="BI191" s="232"/>
      <c r="BJ191" s="232"/>
      <c r="BK191" s="232"/>
      <c r="BL191" s="232"/>
      <c r="BM191" s="232"/>
      <c r="BN191" s="232"/>
      <c r="BO191" s="232"/>
      <c r="BP191" s="232"/>
      <c r="BQ191" s="232"/>
      <c r="BR191" s="232"/>
      <c r="BS191" s="232"/>
      <c r="BT191" s="232"/>
      <c r="BU191" s="232"/>
      <c r="BV191" s="232"/>
    </row>
    <row r="192" spans="1:74" ht="378" hidden="1" x14ac:dyDescent="0.25">
      <c r="A192" s="205" t="s">
        <v>496</v>
      </c>
      <c r="B192" s="205" t="s">
        <v>496</v>
      </c>
      <c r="C192" s="205" t="s">
        <v>496</v>
      </c>
      <c r="D192" s="205" t="s">
        <v>1066</v>
      </c>
      <c r="E192" s="206" t="s">
        <v>1067</v>
      </c>
      <c r="F192" s="458" t="s">
        <v>499</v>
      </c>
      <c r="G192" s="178">
        <v>1</v>
      </c>
      <c r="H192" s="458"/>
      <c r="I192" s="459" t="s">
        <v>496</v>
      </c>
      <c r="J192" s="207" t="s">
        <v>496</v>
      </c>
      <c r="K192" s="208" t="s">
        <v>496</v>
      </c>
      <c r="L192" s="209" t="s">
        <v>496</v>
      </c>
      <c r="M192" s="207" t="s">
        <v>496</v>
      </c>
      <c r="N192" s="210"/>
      <c r="O192" s="210"/>
      <c r="P192" s="210"/>
      <c r="Q192" s="211" t="s">
        <v>500</v>
      </c>
      <c r="R192" s="212" t="s">
        <v>500</v>
      </c>
      <c r="S192" s="212" t="s">
        <v>500</v>
      </c>
      <c r="T192" s="212" t="s">
        <v>500</v>
      </c>
      <c r="U192" s="212" t="s">
        <v>500</v>
      </c>
      <c r="V192" s="460" t="s">
        <v>496</v>
      </c>
      <c r="W192" s="213" t="s">
        <v>496</v>
      </c>
      <c r="X192" s="214" t="s">
        <v>496</v>
      </c>
      <c r="Y192" s="215" t="s">
        <v>496</v>
      </c>
      <c r="Z192" s="216" t="s">
        <v>165</v>
      </c>
      <c r="AA192" s="217" t="s">
        <v>496</v>
      </c>
      <c r="AB192" s="217" t="s">
        <v>496</v>
      </c>
      <c r="AC192" s="217" t="s">
        <v>496</v>
      </c>
      <c r="AD192" s="218" t="s">
        <v>496</v>
      </c>
      <c r="AE192" s="219" t="s">
        <v>496</v>
      </c>
      <c r="AF192" s="219">
        <v>2856099</v>
      </c>
      <c r="AG192" s="219">
        <v>5.5599999999999997E-2</v>
      </c>
      <c r="AH192" s="219">
        <v>3014898</v>
      </c>
      <c r="AI192" s="461" t="s">
        <v>496</v>
      </c>
      <c r="AJ192" s="220" t="s">
        <v>496</v>
      </c>
      <c r="AK192" s="221" t="s">
        <v>496</v>
      </c>
      <c r="AL192" s="222" t="s">
        <v>496</v>
      </c>
      <c r="AM192" s="223" t="s">
        <v>166</v>
      </c>
      <c r="AN192" s="224" t="s">
        <v>496</v>
      </c>
      <c r="AO192" s="224" t="s">
        <v>496</v>
      </c>
      <c r="AP192" s="225" t="s">
        <v>496</v>
      </c>
      <c r="AQ192" s="226">
        <v>2448084</v>
      </c>
      <c r="AR192" s="227">
        <v>465136</v>
      </c>
      <c r="AS192" s="227">
        <v>2913220</v>
      </c>
      <c r="AT192" s="227">
        <v>2448084</v>
      </c>
      <c r="AU192" s="227">
        <v>2913220</v>
      </c>
      <c r="AV192" s="228">
        <v>2964059</v>
      </c>
      <c r="AW192" s="228">
        <v>2964059</v>
      </c>
      <c r="AX192" s="228">
        <v>71896.570000000007</v>
      </c>
      <c r="AY192" s="229">
        <v>2.4299999999999999E-2</v>
      </c>
      <c r="AZ192" s="230"/>
      <c r="BA192" s="231"/>
      <c r="BB192" s="231"/>
      <c r="BC192" s="231"/>
      <c r="BD192" s="231"/>
      <c r="BE192" s="231"/>
      <c r="BF192" s="231"/>
      <c r="BG192" s="231"/>
      <c r="BH192" s="231"/>
      <c r="BI192" s="232"/>
      <c r="BJ192" s="232"/>
      <c r="BK192" s="232"/>
      <c r="BL192" s="232"/>
      <c r="BM192" s="232"/>
      <c r="BN192" s="232"/>
      <c r="BO192" s="232"/>
      <c r="BP192" s="232"/>
      <c r="BQ192" s="232"/>
      <c r="BR192" s="232"/>
      <c r="BS192" s="232"/>
      <c r="BT192" s="232"/>
      <c r="BU192" s="232"/>
      <c r="BV192" s="232"/>
    </row>
    <row r="193" spans="1:75" ht="189" hidden="1" x14ac:dyDescent="0.25">
      <c r="A193" s="205" t="s">
        <v>438</v>
      </c>
      <c r="B193" s="205" t="s">
        <v>439</v>
      </c>
      <c r="C193" s="205">
        <v>53121602</v>
      </c>
      <c r="D193" s="205" t="s">
        <v>78</v>
      </c>
      <c r="E193" s="205" t="s">
        <v>363</v>
      </c>
      <c r="F193" s="458" t="s">
        <v>41</v>
      </c>
      <c r="G193" s="178">
        <v>1</v>
      </c>
      <c r="H193" s="458" t="s">
        <v>42</v>
      </c>
      <c r="I193" s="462"/>
      <c r="J193" s="238"/>
      <c r="K193" s="238"/>
      <c r="L193" s="239"/>
      <c r="M193" s="238"/>
      <c r="N193" s="240"/>
      <c r="O193" s="240"/>
      <c r="P193" s="240"/>
      <c r="Q193" s="241"/>
      <c r="R193" s="242"/>
      <c r="S193" s="242"/>
      <c r="T193" s="242"/>
      <c r="U193" s="242"/>
      <c r="V193" s="463" t="s">
        <v>482</v>
      </c>
      <c r="W193" s="243">
        <v>46087</v>
      </c>
      <c r="X193" s="244"/>
      <c r="Y193" s="245" t="s">
        <v>446</v>
      </c>
      <c r="Z193" s="246" t="s">
        <v>467</v>
      </c>
      <c r="AA193" s="255">
        <v>15000</v>
      </c>
      <c r="AB193" s="247" t="s">
        <v>1068</v>
      </c>
      <c r="AC193" s="247" t="s">
        <v>1068</v>
      </c>
      <c r="AD193" s="256">
        <v>15000</v>
      </c>
      <c r="AE193" s="248" t="s">
        <v>1069</v>
      </c>
      <c r="AF193" s="248">
        <v>15000</v>
      </c>
      <c r="AG193" s="248">
        <v>15000</v>
      </c>
      <c r="AH193" s="248">
        <v>15000</v>
      </c>
      <c r="AI193" s="464" t="s">
        <v>482</v>
      </c>
      <c r="AJ193" s="249">
        <v>46087</v>
      </c>
      <c r="AK193" s="250" t="s">
        <v>483</v>
      </c>
      <c r="AL193" s="251" t="s">
        <v>446</v>
      </c>
      <c r="AM193" s="252" t="s">
        <v>462</v>
      </c>
      <c r="AN193" s="257">
        <v>12000</v>
      </c>
      <c r="AO193" s="225" t="s">
        <v>1068</v>
      </c>
      <c r="AP193" s="225" t="s">
        <v>1070</v>
      </c>
      <c r="AQ193" s="258">
        <v>12000</v>
      </c>
      <c r="AR193" s="227">
        <v>2280</v>
      </c>
      <c r="AS193" s="227">
        <v>14280</v>
      </c>
      <c r="AT193" s="227">
        <v>12000</v>
      </c>
      <c r="AU193" s="227">
        <v>14280</v>
      </c>
      <c r="AV193" s="259">
        <v>14640</v>
      </c>
      <c r="AW193" s="259">
        <v>14640</v>
      </c>
      <c r="AX193" s="259">
        <v>509.12</v>
      </c>
      <c r="AY193" s="229">
        <v>3.4799999999999998E-2</v>
      </c>
      <c r="AZ193" s="230"/>
      <c r="BA193" s="231" t="s">
        <v>331</v>
      </c>
      <c r="BB193" s="231" t="s">
        <v>1071</v>
      </c>
      <c r="BC193" s="231">
        <f>COUNTA(M193,Z193,AM193)</f>
        <v>2</v>
      </c>
      <c r="BD193" s="7"/>
      <c r="BE193" s="231" t="str">
        <f>IF(M193="","Ítem por diligenciar",IF(AND(AY193&gt;0%,AY193&lt;=20%),"Cumple desviación","No cumple desviación"))</f>
        <v>Ítem por diligenciar</v>
      </c>
      <c r="BF193" s="253">
        <v>58270</v>
      </c>
      <c r="BG193" s="253">
        <f>BF193*(1+(5.1%))</f>
        <v>61241.77</v>
      </c>
      <c r="BH193" s="231" t="str">
        <f>IF(BG193&gt;AV193,"Precio ok","Revisar")</f>
        <v>Precio ok</v>
      </c>
      <c r="BI193" s="231" t="s">
        <v>1072</v>
      </c>
      <c r="BJ193" s="231"/>
      <c r="BK193" s="231" t="s">
        <v>1073</v>
      </c>
      <c r="BL193" s="231"/>
      <c r="BM193" s="231"/>
      <c r="BN193" s="231"/>
      <c r="BO193" s="231"/>
      <c r="BP193" s="231"/>
      <c r="BQ193" s="231"/>
      <c r="BR193" s="231"/>
      <c r="BS193" s="231"/>
      <c r="BT193" s="231"/>
      <c r="BU193" s="231"/>
      <c r="BV193" s="231">
        <v>75</v>
      </c>
      <c r="BW193" s="231"/>
    </row>
    <row r="194" spans="1:75" ht="78.75" hidden="1" x14ac:dyDescent="0.25">
      <c r="A194" s="205" t="s">
        <v>438</v>
      </c>
      <c r="B194" s="205" t="s">
        <v>501</v>
      </c>
      <c r="C194" s="205">
        <v>52121507</v>
      </c>
      <c r="D194" s="205" t="s">
        <v>1074</v>
      </c>
      <c r="E194" s="206" t="s">
        <v>1075</v>
      </c>
      <c r="F194" s="458" t="s">
        <v>41</v>
      </c>
      <c r="G194" s="178">
        <v>1</v>
      </c>
      <c r="H194" s="458" t="s">
        <v>42</v>
      </c>
      <c r="I194" s="459" t="s">
        <v>440</v>
      </c>
      <c r="J194" s="207">
        <v>46091</v>
      </c>
      <c r="K194" s="208" t="s">
        <v>938</v>
      </c>
      <c r="L194" s="209" t="s">
        <v>441</v>
      </c>
      <c r="M194" s="207" t="s">
        <v>1076</v>
      </c>
      <c r="N194" s="210">
        <v>5200</v>
      </c>
      <c r="O194" s="210" t="s">
        <v>443</v>
      </c>
      <c r="P194" s="210" t="s">
        <v>444</v>
      </c>
      <c r="Q194" s="211">
        <f>IF(O194="IVA Incluido",(N194/1.19),N194)</f>
        <v>4369.7478991596645</v>
      </c>
      <c r="R194" s="212">
        <f>IF(P194="Si tiene IVA",Q194*19%,0)</f>
        <v>830.25210084033631</v>
      </c>
      <c r="S194" s="212">
        <f>Q194+R194</f>
        <v>5200.0000000000009</v>
      </c>
      <c r="T194" s="212">
        <f>IF(B194="","",(N194*G194))</f>
        <v>5200</v>
      </c>
      <c r="U194" s="212">
        <f>IF(B194="","",(S194*G194))</f>
        <v>5200.0000000000009</v>
      </c>
      <c r="V194" s="460" t="s">
        <v>440</v>
      </c>
      <c r="W194" s="213">
        <v>46091</v>
      </c>
      <c r="X194" s="214" t="s">
        <v>1077</v>
      </c>
      <c r="Y194" s="215" t="s">
        <v>446</v>
      </c>
      <c r="Z194" s="216" t="s">
        <v>1078</v>
      </c>
      <c r="AA194" s="217">
        <v>7500</v>
      </c>
      <c r="AB194" s="217" t="s">
        <v>443</v>
      </c>
      <c r="AC194" s="217" t="s">
        <v>444</v>
      </c>
      <c r="AD194" s="218">
        <f>IF(AB194="IVA Incluido",(AA194/1.19),AA194)</f>
        <v>6302.5210084033615</v>
      </c>
      <c r="AE194" s="219">
        <f>IF(AC194="Si tiene IVA",AD194*19%,0)</f>
        <v>1197.4789915966387</v>
      </c>
      <c r="AF194" s="219">
        <f>AD194+AE194</f>
        <v>7500</v>
      </c>
      <c r="AG194" s="219">
        <f>IF(O194="","",(AA194*G194))</f>
        <v>7500</v>
      </c>
      <c r="AH194" s="219">
        <f>IF(O194="","",(AF194*G194))</f>
        <v>7500</v>
      </c>
      <c r="AI194" s="461" t="s">
        <v>440</v>
      </c>
      <c r="AJ194" s="220">
        <v>46091</v>
      </c>
      <c r="AK194" s="221" t="s">
        <v>1079</v>
      </c>
      <c r="AL194" s="222" t="s">
        <v>441</v>
      </c>
      <c r="AM194" s="223" t="s">
        <v>1080</v>
      </c>
      <c r="AN194" s="224">
        <v>5900</v>
      </c>
      <c r="AO194" s="224" t="s">
        <v>443</v>
      </c>
      <c r="AP194" s="225" t="s">
        <v>444</v>
      </c>
      <c r="AQ194" s="226">
        <f>IF(AO194="IVA Incluido",(AN194/1.19),AN194)</f>
        <v>4957.9831932773113</v>
      </c>
      <c r="AR194" s="227">
        <f>IF(AP194="Si tiene IVA",AQ194*19%,0)</f>
        <v>942.01680672268913</v>
      </c>
      <c r="AS194" s="227">
        <f>AQ194+AR194</f>
        <v>5900</v>
      </c>
      <c r="AT194" s="227">
        <f>IF(AB194="","",(AN194*G194))</f>
        <v>5900</v>
      </c>
      <c r="AU194" s="227">
        <f>IF(AB194="","",(AS194*G194))</f>
        <v>5900</v>
      </c>
      <c r="AV194" s="228">
        <f>IF(A194="","",AVERAGE(S194,AF194,AS194))</f>
        <v>6200</v>
      </c>
      <c r="AW194" s="228">
        <f>IF(A194="","",AVERAGE(U194,AH194,AU194))</f>
        <v>6200</v>
      </c>
      <c r="AX194" s="228">
        <f>IF(N194="","",STDEV(U194,AH194,AU194))</f>
        <v>1178.9826122551628</v>
      </c>
      <c r="AY194" s="229">
        <f>IF(N194="","",(AX194/AW194))</f>
        <v>0.19015848584760692</v>
      </c>
      <c r="AZ194" s="230"/>
      <c r="BA194" s="231">
        <f>COUNTA(M194,Z194,AM194)</f>
        <v>3</v>
      </c>
      <c r="BB194" s="231"/>
      <c r="BC194" s="231"/>
      <c r="BD194" s="231"/>
      <c r="BE194" s="231"/>
      <c r="BF194" s="231"/>
      <c r="BG194" s="231"/>
      <c r="BH194" s="231">
        <v>70</v>
      </c>
      <c r="BI194" s="232"/>
      <c r="BJ194" s="232"/>
      <c r="BK194" s="232"/>
      <c r="BL194" s="232"/>
      <c r="BM194" s="232"/>
      <c r="BN194" s="232"/>
      <c r="BO194" s="232"/>
      <c r="BP194" s="232"/>
      <c r="BQ194" s="232"/>
      <c r="BR194" s="232"/>
      <c r="BS194" s="232"/>
      <c r="BT194" s="232"/>
      <c r="BU194" s="232"/>
      <c r="BV194" s="232"/>
    </row>
    <row r="195" spans="1:75" ht="84" hidden="1" x14ac:dyDescent="0.25">
      <c r="A195" s="205" t="s">
        <v>438</v>
      </c>
      <c r="B195" s="205" t="s">
        <v>501</v>
      </c>
      <c r="C195" s="205"/>
      <c r="D195" s="205" t="s">
        <v>1081</v>
      </c>
      <c r="E195" s="206" t="s">
        <v>1082</v>
      </c>
      <c r="F195" s="458" t="s">
        <v>41</v>
      </c>
      <c r="G195" s="178">
        <v>1</v>
      </c>
      <c r="H195" s="458" t="s">
        <v>42</v>
      </c>
      <c r="I195" s="459" t="s">
        <v>440</v>
      </c>
      <c r="J195" s="207">
        <v>46091</v>
      </c>
      <c r="K195" s="208" t="s">
        <v>809</v>
      </c>
      <c r="L195" s="209" t="s">
        <v>446</v>
      </c>
      <c r="M195" s="207" t="s">
        <v>810</v>
      </c>
      <c r="N195" s="210">
        <v>7000</v>
      </c>
      <c r="O195" s="210" t="s">
        <v>450</v>
      </c>
      <c r="P195" s="210" t="s">
        <v>444</v>
      </c>
      <c r="Q195" s="211">
        <f>IF(O195="IVA Incluido",(N195/1.19),N195)</f>
        <v>7000</v>
      </c>
      <c r="R195" s="212">
        <f>IF(P195="Si tiene IVA",Q195*19%,0)</f>
        <v>1330</v>
      </c>
      <c r="S195" s="212">
        <f>Q195+R195</f>
        <v>8330</v>
      </c>
      <c r="T195" s="212">
        <f>IF(B195="","",(N195*G195))</f>
        <v>7000</v>
      </c>
      <c r="U195" s="212">
        <f>IF(B195="","",(S195*G195))</f>
        <v>8330</v>
      </c>
      <c r="V195" s="460" t="s">
        <v>440</v>
      </c>
      <c r="W195" s="213">
        <v>46091</v>
      </c>
      <c r="X195" s="214" t="s">
        <v>938</v>
      </c>
      <c r="Y195" s="215" t="s">
        <v>446</v>
      </c>
      <c r="Z195" s="216" t="s">
        <v>1076</v>
      </c>
      <c r="AA195" s="217">
        <v>6150</v>
      </c>
      <c r="AB195" s="217" t="s">
        <v>443</v>
      </c>
      <c r="AC195" s="217" t="s">
        <v>444</v>
      </c>
      <c r="AD195" s="218">
        <f>IF(AB195="IVA Incluido",(AA195/1.19),AA195)</f>
        <v>5168.0672268907565</v>
      </c>
      <c r="AE195" s="219">
        <f>IF(AC195="Si tiene IVA",AD195*19%,0)</f>
        <v>981.93277310924373</v>
      </c>
      <c r="AF195" s="219">
        <f>AD195+AE195</f>
        <v>6150</v>
      </c>
      <c r="AG195" s="219">
        <f>IF(O195="","",(AA195*G195))</f>
        <v>6150</v>
      </c>
      <c r="AH195" s="219">
        <f>IF(O195="","",(AF195*G195))</f>
        <v>6150</v>
      </c>
      <c r="AI195" s="461" t="s">
        <v>440</v>
      </c>
      <c r="AJ195" s="220">
        <v>46091</v>
      </c>
      <c r="AK195" s="221" t="s">
        <v>508</v>
      </c>
      <c r="AL195" s="222" t="s">
        <v>441</v>
      </c>
      <c r="AM195" s="223" t="s">
        <v>63</v>
      </c>
      <c r="AN195" s="224">
        <v>8500</v>
      </c>
      <c r="AO195" s="224" t="s">
        <v>443</v>
      </c>
      <c r="AP195" s="225" t="s">
        <v>444</v>
      </c>
      <c r="AQ195" s="226">
        <f>IF(AO195="IVA Incluido",(AN195/1.19),AN195)</f>
        <v>7142.8571428571431</v>
      </c>
      <c r="AR195" s="227">
        <f>IF(AP195="Si tiene IVA",AQ195*19%,0)</f>
        <v>1357.1428571428571</v>
      </c>
      <c r="AS195" s="227">
        <f>AQ195+AR195</f>
        <v>8500</v>
      </c>
      <c r="AT195" s="227">
        <f>IF(AB195="","",(AN195*G195))</f>
        <v>8500</v>
      </c>
      <c r="AU195" s="227">
        <f>IF(AB195="","",(AS195*G195))</f>
        <v>8500</v>
      </c>
      <c r="AV195" s="228">
        <f>IF(A195="","",AVERAGE(S195,AF195,AS195))</f>
        <v>7660</v>
      </c>
      <c r="AW195" s="228">
        <f>IF(A195="","",AVERAGE(U195,AH195,AU195))</f>
        <v>7660</v>
      </c>
      <c r="AX195" s="228">
        <f>IF(N195="","",STDEV(U195,AH195,AU195))</f>
        <v>1310.4579352272242</v>
      </c>
      <c r="AY195" s="229">
        <f>IF(N195="","",(AX195/AW195))</f>
        <v>0.17107805942914153</v>
      </c>
      <c r="AZ195" s="230"/>
      <c r="BA195" s="231">
        <f>COUNTA(M195,Z195,AM195)</f>
        <v>3</v>
      </c>
      <c r="BB195" s="231"/>
      <c r="BC195" s="231"/>
      <c r="BD195" s="231"/>
      <c r="BE195" s="231"/>
      <c r="BF195" s="231"/>
      <c r="BG195" s="231"/>
      <c r="BH195" s="231">
        <v>71</v>
      </c>
      <c r="BI195" s="232"/>
      <c r="BJ195" s="232"/>
      <c r="BK195" s="232"/>
      <c r="BL195" s="232"/>
      <c r="BM195" s="232"/>
      <c r="BN195" s="232"/>
      <c r="BO195" s="232"/>
      <c r="BP195" s="232"/>
      <c r="BQ195" s="232"/>
      <c r="BR195" s="232"/>
      <c r="BS195" s="232"/>
      <c r="BT195" s="232"/>
      <c r="BU195" s="232"/>
      <c r="BV195" s="232"/>
    </row>
    <row r="196" spans="1:75" ht="378" hidden="1" x14ac:dyDescent="0.25">
      <c r="A196" s="205" t="s">
        <v>496</v>
      </c>
      <c r="B196" s="205" t="s">
        <v>496</v>
      </c>
      <c r="C196" s="205" t="s">
        <v>496</v>
      </c>
      <c r="D196" s="205" t="s">
        <v>1083</v>
      </c>
      <c r="E196" s="206" t="s">
        <v>1084</v>
      </c>
      <c r="F196" s="458" t="s">
        <v>499</v>
      </c>
      <c r="G196" s="178">
        <v>1</v>
      </c>
      <c r="H196" s="458"/>
      <c r="I196" s="459" t="s">
        <v>496</v>
      </c>
      <c r="J196" s="207" t="s">
        <v>496</v>
      </c>
      <c r="K196" s="208" t="s">
        <v>496</v>
      </c>
      <c r="L196" s="209" t="s">
        <v>496</v>
      </c>
      <c r="M196" s="207" t="s">
        <v>496</v>
      </c>
      <c r="N196" s="210"/>
      <c r="O196" s="210"/>
      <c r="P196" s="210"/>
      <c r="Q196" s="211" t="s">
        <v>500</v>
      </c>
      <c r="R196" s="212" t="s">
        <v>500</v>
      </c>
      <c r="S196" s="212" t="s">
        <v>500</v>
      </c>
      <c r="T196" s="212" t="s">
        <v>500</v>
      </c>
      <c r="U196" s="212" t="s">
        <v>500</v>
      </c>
      <c r="V196" s="460" t="s">
        <v>496</v>
      </c>
      <c r="W196" s="213" t="s">
        <v>496</v>
      </c>
      <c r="X196" s="214" t="s">
        <v>496</v>
      </c>
      <c r="Y196" s="215" t="s">
        <v>496</v>
      </c>
      <c r="Z196" s="216" t="s">
        <v>165</v>
      </c>
      <c r="AA196" s="217" t="s">
        <v>496</v>
      </c>
      <c r="AB196" s="217" t="s">
        <v>496</v>
      </c>
      <c r="AC196" s="217" t="s">
        <v>496</v>
      </c>
      <c r="AD196" s="218" t="s">
        <v>496</v>
      </c>
      <c r="AE196" s="219" t="s">
        <v>496</v>
      </c>
      <c r="AF196" s="219">
        <v>443956</v>
      </c>
      <c r="AG196" s="219">
        <v>5.5599999999999997E-2</v>
      </c>
      <c r="AH196" s="219">
        <v>468640</v>
      </c>
      <c r="AI196" s="461" t="s">
        <v>496</v>
      </c>
      <c r="AJ196" s="220" t="s">
        <v>496</v>
      </c>
      <c r="AK196" s="221" t="s">
        <v>496</v>
      </c>
      <c r="AL196" s="222" t="s">
        <v>496</v>
      </c>
      <c r="AM196" s="223" t="s">
        <v>166</v>
      </c>
      <c r="AN196" s="224" t="s">
        <v>496</v>
      </c>
      <c r="AO196" s="224" t="s">
        <v>496</v>
      </c>
      <c r="AP196" s="225" t="s">
        <v>496</v>
      </c>
      <c r="AQ196" s="226">
        <v>382399</v>
      </c>
      <c r="AR196" s="227">
        <v>72656</v>
      </c>
      <c r="AS196" s="227">
        <v>455055</v>
      </c>
      <c r="AT196" s="227">
        <v>382399</v>
      </c>
      <c r="AU196" s="227">
        <v>455055</v>
      </c>
      <c r="AV196" s="228">
        <v>461847</v>
      </c>
      <c r="AW196" s="228">
        <v>461847</v>
      </c>
      <c r="AX196" s="228">
        <v>9606.08</v>
      </c>
      <c r="AY196" s="229">
        <v>2.0799999999999999E-2</v>
      </c>
      <c r="AZ196" s="230"/>
      <c r="BA196" s="231"/>
      <c r="BB196" s="231"/>
      <c r="BC196" s="231"/>
      <c r="BD196" s="231"/>
      <c r="BE196" s="231"/>
      <c r="BF196" s="231"/>
      <c r="BG196" s="231"/>
      <c r="BH196" s="231"/>
      <c r="BI196" s="232"/>
      <c r="BJ196" s="232"/>
      <c r="BK196" s="232"/>
      <c r="BL196" s="232"/>
      <c r="BM196" s="232"/>
      <c r="BN196" s="232"/>
      <c r="BO196" s="232"/>
      <c r="BP196" s="232"/>
      <c r="BQ196" s="232"/>
      <c r="BR196" s="232"/>
      <c r="BS196" s="232"/>
      <c r="BT196" s="232"/>
      <c r="BU196" s="232"/>
      <c r="BV196" s="232"/>
    </row>
    <row r="197" spans="1:75" ht="378" hidden="1" x14ac:dyDescent="0.25">
      <c r="A197" s="205" t="s">
        <v>496</v>
      </c>
      <c r="B197" s="205" t="s">
        <v>496</v>
      </c>
      <c r="C197" s="205" t="s">
        <v>496</v>
      </c>
      <c r="D197" s="205" t="s">
        <v>1085</v>
      </c>
      <c r="E197" s="206" t="s">
        <v>1086</v>
      </c>
      <c r="F197" s="458" t="s">
        <v>499</v>
      </c>
      <c r="G197" s="178">
        <v>1</v>
      </c>
      <c r="H197" s="458"/>
      <c r="I197" s="459" t="s">
        <v>496</v>
      </c>
      <c r="J197" s="207" t="s">
        <v>496</v>
      </c>
      <c r="K197" s="208" t="s">
        <v>496</v>
      </c>
      <c r="L197" s="209" t="s">
        <v>496</v>
      </c>
      <c r="M197" s="207" t="s">
        <v>496</v>
      </c>
      <c r="N197" s="210"/>
      <c r="O197" s="210"/>
      <c r="P197" s="210"/>
      <c r="Q197" s="211" t="s">
        <v>500</v>
      </c>
      <c r="R197" s="212" t="s">
        <v>500</v>
      </c>
      <c r="S197" s="212" t="s">
        <v>500</v>
      </c>
      <c r="T197" s="212" t="s">
        <v>500</v>
      </c>
      <c r="U197" s="212" t="s">
        <v>500</v>
      </c>
      <c r="V197" s="460" t="s">
        <v>496</v>
      </c>
      <c r="W197" s="213" t="s">
        <v>496</v>
      </c>
      <c r="X197" s="214" t="s">
        <v>496</v>
      </c>
      <c r="Y197" s="215" t="s">
        <v>496</v>
      </c>
      <c r="Z197" s="216" t="s">
        <v>165</v>
      </c>
      <c r="AA197" s="217" t="s">
        <v>496</v>
      </c>
      <c r="AB197" s="217" t="s">
        <v>496</v>
      </c>
      <c r="AC197" s="217" t="s">
        <v>496</v>
      </c>
      <c r="AD197" s="218" t="s">
        <v>496</v>
      </c>
      <c r="AE197" s="219" t="s">
        <v>496</v>
      </c>
      <c r="AF197" s="219">
        <v>1288850</v>
      </c>
      <c r="AG197" s="219">
        <v>5.5599999999999997E-2</v>
      </c>
      <c r="AH197" s="219">
        <v>1360510</v>
      </c>
      <c r="AI197" s="461" t="s">
        <v>496</v>
      </c>
      <c r="AJ197" s="220" t="s">
        <v>496</v>
      </c>
      <c r="AK197" s="221" t="s">
        <v>496</v>
      </c>
      <c r="AL197" s="222" t="s">
        <v>496</v>
      </c>
      <c r="AM197" s="223" t="s">
        <v>166</v>
      </c>
      <c r="AN197" s="224" t="s">
        <v>496</v>
      </c>
      <c r="AO197" s="224" t="s">
        <v>496</v>
      </c>
      <c r="AP197" s="225" t="s">
        <v>496</v>
      </c>
      <c r="AQ197" s="226">
        <v>1137221</v>
      </c>
      <c r="AR197" s="227">
        <v>216072</v>
      </c>
      <c r="AS197" s="227">
        <v>1353293</v>
      </c>
      <c r="AT197" s="227">
        <v>1137221</v>
      </c>
      <c r="AU197" s="227">
        <v>1353293</v>
      </c>
      <c r="AV197" s="228">
        <v>1356901</v>
      </c>
      <c r="AW197" s="228">
        <v>1356901</v>
      </c>
      <c r="AX197" s="228">
        <v>5103.59</v>
      </c>
      <c r="AY197" s="229">
        <v>3.8E-3</v>
      </c>
      <c r="AZ197" s="230"/>
      <c r="BA197" s="231"/>
      <c r="BB197" s="231"/>
      <c r="BC197" s="231"/>
      <c r="BD197" s="231"/>
      <c r="BE197" s="231"/>
      <c r="BF197" s="231"/>
      <c r="BG197" s="231"/>
      <c r="BH197" s="231"/>
      <c r="BI197" s="232"/>
      <c r="BJ197" s="232"/>
      <c r="BK197" s="232"/>
      <c r="BL197" s="232"/>
      <c r="BM197" s="232"/>
      <c r="BN197" s="232"/>
      <c r="BO197" s="232"/>
      <c r="BP197" s="232"/>
      <c r="BQ197" s="232"/>
      <c r="BR197" s="232"/>
      <c r="BS197" s="232"/>
      <c r="BT197" s="232"/>
      <c r="BU197" s="232"/>
      <c r="BV197" s="232"/>
    </row>
    <row r="198" spans="1:75" ht="252" hidden="1" x14ac:dyDescent="0.25">
      <c r="A198" s="205" t="s">
        <v>438</v>
      </c>
      <c r="B198" s="205" t="s">
        <v>487</v>
      </c>
      <c r="C198" s="205">
        <v>90101603</v>
      </c>
      <c r="D198" s="205" t="s">
        <v>97</v>
      </c>
      <c r="E198" s="206" t="s">
        <v>1087</v>
      </c>
      <c r="F198" s="458" t="s">
        <v>41</v>
      </c>
      <c r="G198" s="178">
        <v>1</v>
      </c>
      <c r="H198" s="458" t="s">
        <v>42</v>
      </c>
      <c r="I198" s="459" t="s">
        <v>440</v>
      </c>
      <c r="J198" s="207">
        <v>46153</v>
      </c>
      <c r="K198" s="208" t="s">
        <v>1088</v>
      </c>
      <c r="L198" s="209" t="s">
        <v>441</v>
      </c>
      <c r="M198" s="207" t="s">
        <v>1089</v>
      </c>
      <c r="N198" s="210">
        <v>21600</v>
      </c>
      <c r="O198" s="210" t="s">
        <v>513</v>
      </c>
      <c r="P198" s="210" t="s">
        <v>514</v>
      </c>
      <c r="Q198" s="211">
        <f>IF(O198="IVA Incluido",(N198/1.19),IF(O198="Ipoconsumo Incluido",(N198/1.08),N198))</f>
        <v>21600</v>
      </c>
      <c r="R198" s="212">
        <f>IF(P198="Si tiene IVA",Q198*19%,IF(P198="Si tiene IPOCONSUMO",Q198*8%,0))</f>
        <v>1728</v>
      </c>
      <c r="S198" s="212">
        <f t="shared" ref="S198:S211" si="141">Q198+R198</f>
        <v>23328</v>
      </c>
      <c r="T198" s="212">
        <f>IF(R198="IVA Incluido",(Q198/1.19),IF(R198="Ipoconsumo Incluido",(Q198/1.08),Q198))</f>
        <v>21600</v>
      </c>
      <c r="U198" s="212">
        <f>Q198+R198</f>
        <v>23328</v>
      </c>
      <c r="V198" s="460" t="s">
        <v>440</v>
      </c>
      <c r="W198" s="213">
        <v>46077</v>
      </c>
      <c r="X198" s="214" t="s">
        <v>515</v>
      </c>
      <c r="Y198" s="215" t="s">
        <v>446</v>
      </c>
      <c r="Z198" s="216" t="s">
        <v>516</v>
      </c>
      <c r="AA198" s="217">
        <v>25000</v>
      </c>
      <c r="AB198" s="217" t="s">
        <v>513</v>
      </c>
      <c r="AC198" s="217" t="s">
        <v>514</v>
      </c>
      <c r="AD198" s="218">
        <f>IF(AB198="IVA Incluido",(AA198/1.19),IF(AB198="Ipoconsumo Incluido",(AA198/1.08),AA198))</f>
        <v>25000</v>
      </c>
      <c r="AE198" s="219">
        <f>IF(AC198="Si tiene IVA",AD198*19%,IF(AC198="Si tiene IPOCONSUMO",AD198*8%,0))</f>
        <v>2000</v>
      </c>
      <c r="AF198" s="219">
        <f t="shared" ref="AF198:AF211" si="142">AD198+AE198</f>
        <v>27000</v>
      </c>
      <c r="AG198" s="219">
        <f>IF(AE198="IVA Incluido",(AD198/1.19),IF(AE198="Ipoconsumo Incluido",(AD198/1.08),AD198))</f>
        <v>25000</v>
      </c>
      <c r="AH198" s="219">
        <f>AD198+AE198</f>
        <v>27000</v>
      </c>
      <c r="AI198" s="461" t="s">
        <v>440</v>
      </c>
      <c r="AJ198" s="220">
        <v>46094</v>
      </c>
      <c r="AK198" s="221" t="s">
        <v>517</v>
      </c>
      <c r="AL198" s="222" t="s">
        <v>446</v>
      </c>
      <c r="AM198" s="223" t="s">
        <v>101</v>
      </c>
      <c r="AN198" s="224">
        <v>26824</v>
      </c>
      <c r="AO198" s="224" t="s">
        <v>513</v>
      </c>
      <c r="AP198" s="225" t="s">
        <v>514</v>
      </c>
      <c r="AQ198" s="226">
        <f>IF(AO198="IVA Incluido",(AN198/1.19),IF(AO198="Ipoconsumo Incluido",(AN198/1.08),AN198))</f>
        <v>26824</v>
      </c>
      <c r="AR198" s="227">
        <f>IF(AP198="Si tiene IVA",AQ198*19%,IF(AP198="Si tiene IPOCONSUMO",AQ198*8%,0))</f>
        <v>2145.92</v>
      </c>
      <c r="AS198" s="227">
        <f t="shared" ref="AS198:AS203" si="143">AQ198+AR198</f>
        <v>28969.919999999998</v>
      </c>
      <c r="AT198" s="227">
        <f>IF(AR198="IVA Incluido",(AQ198/1.19),IF(AR198="Ipoconsumo Incluido",(AQ198/1.08),AQ198))</f>
        <v>26824</v>
      </c>
      <c r="AU198" s="227">
        <f>AQ198+AR198</f>
        <v>28969.919999999998</v>
      </c>
      <c r="AV198" s="228">
        <f t="shared" ref="AV198:AV204" si="144">IF(A198="","",AVERAGE(S198,AF198,AS198))</f>
        <v>26432.639999999999</v>
      </c>
      <c r="AW198" s="228">
        <f t="shared" ref="AW198:AW204" si="145">IF(A198="","",AVERAGE(U198,AH198,AU198))</f>
        <v>26432.639999999999</v>
      </c>
      <c r="AX198" s="228">
        <f t="shared" ref="AX198:AX204" si="146">IF(N198="","",STDEV(U198,AH198,AU198))</f>
        <v>2863.4312194987319</v>
      </c>
      <c r="AY198" s="229">
        <f t="shared" ref="AY198:AY211" si="147">IF(N198="","",(AX198/AW198))</f>
        <v>0.10832936927596835</v>
      </c>
      <c r="AZ198" s="230"/>
      <c r="BA198" s="231">
        <f t="shared" ref="BA198:BA211" si="148">COUNTA(M198,Z198,AM198)</f>
        <v>3</v>
      </c>
      <c r="BB198" s="231"/>
      <c r="BC198" s="231"/>
      <c r="BD198" s="231"/>
      <c r="BE198" s="231"/>
      <c r="BF198" s="231"/>
      <c r="BG198" s="231"/>
      <c r="BH198" s="231">
        <v>49</v>
      </c>
      <c r="BI198" s="232"/>
      <c r="BJ198" s="232"/>
      <c r="BK198" s="232"/>
      <c r="BL198" s="232"/>
      <c r="BM198" s="232"/>
      <c r="BN198" s="232"/>
      <c r="BO198" s="232"/>
      <c r="BP198" s="232"/>
      <c r="BQ198" s="232"/>
      <c r="BR198" s="232"/>
      <c r="BS198" s="232"/>
      <c r="BT198" s="232"/>
      <c r="BU198" s="232"/>
      <c r="BV198" s="232"/>
    </row>
    <row r="199" spans="1:75" ht="126" hidden="1" x14ac:dyDescent="0.25">
      <c r="A199" s="205" t="s">
        <v>438</v>
      </c>
      <c r="B199" s="205" t="s">
        <v>487</v>
      </c>
      <c r="C199" s="205">
        <v>90101603</v>
      </c>
      <c r="D199" s="205" t="s">
        <v>183</v>
      </c>
      <c r="E199" s="206" t="s">
        <v>184</v>
      </c>
      <c r="F199" s="458" t="s">
        <v>41</v>
      </c>
      <c r="G199" s="178">
        <v>1</v>
      </c>
      <c r="H199" s="458" t="s">
        <v>42</v>
      </c>
      <c r="I199" s="459" t="s">
        <v>440</v>
      </c>
      <c r="J199" s="207">
        <v>46153</v>
      </c>
      <c r="K199" s="208" t="s">
        <v>517</v>
      </c>
      <c r="L199" s="209" t="s">
        <v>446</v>
      </c>
      <c r="M199" s="207" t="s">
        <v>101</v>
      </c>
      <c r="N199" s="210">
        <v>14500</v>
      </c>
      <c r="O199" s="210" t="s">
        <v>513</v>
      </c>
      <c r="P199" s="210" t="s">
        <v>514</v>
      </c>
      <c r="Q199" s="211">
        <f>IF(O199="IVA Incluido",(N199/1.19),IF(O199="Ipoconsumo Incluido",(N199/1.08),N199))</f>
        <v>14500</v>
      </c>
      <c r="R199" s="212">
        <f>IF(P199="Si tiene IVA",Q199*19%,IF(P199="Si tiene IPOCONSUMO",Q199*8%,0))</f>
        <v>1160</v>
      </c>
      <c r="S199" s="212">
        <f t="shared" si="141"/>
        <v>15660</v>
      </c>
      <c r="T199" s="212">
        <f>IF(R199="IVA Incluido",(Q199/1.19),IF(R199="Ipoconsumo Incluido",(Q199/1.08),Q199))</f>
        <v>14500</v>
      </c>
      <c r="U199" s="212">
        <f>Q199+R199</f>
        <v>15660</v>
      </c>
      <c r="V199" s="460" t="s">
        <v>440</v>
      </c>
      <c r="W199" s="213">
        <v>46153</v>
      </c>
      <c r="X199" s="214" t="s">
        <v>611</v>
      </c>
      <c r="Y199" s="215" t="s">
        <v>446</v>
      </c>
      <c r="Z199" s="216" t="s">
        <v>185</v>
      </c>
      <c r="AA199" s="217">
        <v>16300</v>
      </c>
      <c r="AB199" s="217" t="s">
        <v>513</v>
      </c>
      <c r="AC199" s="217" t="s">
        <v>514</v>
      </c>
      <c r="AD199" s="218">
        <f>IF(AB199="IVA Incluido",(AA199/1.19),IF(AB199="Ipoconsumo Incluido",(AA199/1.08),AA199))</f>
        <v>16300</v>
      </c>
      <c r="AE199" s="219">
        <f>IF(AC199="Si tiene IVA",AD199*19%,IF(AC199="Si tiene IPOCONSUMO",AD199*8%,0))</f>
        <v>1304</v>
      </c>
      <c r="AF199" s="219">
        <f t="shared" si="142"/>
        <v>17604</v>
      </c>
      <c r="AG199" s="219">
        <f>IF(AE199="IVA Incluido",(AD199/1.19),IF(AE199="Ipoconsumo Incluido",(AD199/1.08),AD199))</f>
        <v>16300</v>
      </c>
      <c r="AH199" s="219">
        <f>AD199+AE199</f>
        <v>17604</v>
      </c>
      <c r="AI199" s="461" t="s">
        <v>440</v>
      </c>
      <c r="AJ199" s="220">
        <v>46153</v>
      </c>
      <c r="AK199" s="221" t="s">
        <v>1090</v>
      </c>
      <c r="AL199" s="222" t="s">
        <v>446</v>
      </c>
      <c r="AM199" s="223" t="s">
        <v>1091</v>
      </c>
      <c r="AN199" s="224">
        <v>15000</v>
      </c>
      <c r="AO199" s="224" t="s">
        <v>513</v>
      </c>
      <c r="AP199" s="225" t="s">
        <v>514</v>
      </c>
      <c r="AQ199" s="226">
        <f>IF(AO199="IVA Incluido",(AN199/1.19),IF(AO199="Ipoconsumo Incluido",(AN199/1.08),AN199))</f>
        <v>15000</v>
      </c>
      <c r="AR199" s="227">
        <f>IF(AP199="Si tiene IVA",AQ199*19%,IF(AP199="Si tiene IPOCONSUMO",AQ199*8%,0))</f>
        <v>1200</v>
      </c>
      <c r="AS199" s="227">
        <f t="shared" si="143"/>
        <v>16200</v>
      </c>
      <c r="AT199" s="227">
        <f>IF(AR199="IVA Incluido",(AQ199/1.19),IF(AR199="Ipoconsumo Incluido",(AQ199/1.08),AQ199))</f>
        <v>15000</v>
      </c>
      <c r="AU199" s="227">
        <f>AQ199+AR199</f>
        <v>16200</v>
      </c>
      <c r="AV199" s="228">
        <f t="shared" si="144"/>
        <v>16488</v>
      </c>
      <c r="AW199" s="228">
        <f t="shared" si="145"/>
        <v>16488</v>
      </c>
      <c r="AX199" s="228">
        <f t="shared" si="146"/>
        <v>1003.4899102631775</v>
      </c>
      <c r="AY199" s="229">
        <f t="shared" si="147"/>
        <v>6.0861833470595435E-2</v>
      </c>
      <c r="AZ199" s="230"/>
      <c r="BA199" s="231">
        <f t="shared" si="148"/>
        <v>3</v>
      </c>
      <c r="BB199" s="231"/>
      <c r="BC199" s="231"/>
      <c r="BD199" s="231"/>
      <c r="BE199" s="231"/>
      <c r="BF199" s="231"/>
      <c r="BG199" s="231"/>
      <c r="BH199" s="231">
        <v>24</v>
      </c>
      <c r="BI199" s="232"/>
      <c r="BJ199" s="232"/>
      <c r="BK199" s="232"/>
      <c r="BL199" s="232"/>
      <c r="BM199" s="232"/>
      <c r="BN199" s="232"/>
      <c r="BO199" s="232"/>
      <c r="BP199" s="232"/>
      <c r="BQ199" s="232"/>
      <c r="BR199" s="232"/>
      <c r="BS199" s="232"/>
      <c r="BT199" s="232"/>
      <c r="BU199" s="232"/>
      <c r="BV199" s="232"/>
    </row>
    <row r="200" spans="1:75" ht="267.75" hidden="1" x14ac:dyDescent="0.25">
      <c r="A200" s="205" t="s">
        <v>438</v>
      </c>
      <c r="B200" s="205" t="s">
        <v>487</v>
      </c>
      <c r="C200" s="205">
        <v>90101603</v>
      </c>
      <c r="D200" s="205" t="s">
        <v>93</v>
      </c>
      <c r="E200" s="206" t="s">
        <v>1092</v>
      </c>
      <c r="F200" s="458" t="s">
        <v>41</v>
      </c>
      <c r="G200" s="178">
        <v>1</v>
      </c>
      <c r="H200" s="458" t="s">
        <v>42</v>
      </c>
      <c r="I200" s="459" t="s">
        <v>440</v>
      </c>
      <c r="J200" s="207">
        <v>46062</v>
      </c>
      <c r="K200" s="208" t="s">
        <v>512</v>
      </c>
      <c r="L200" s="209" t="s">
        <v>446</v>
      </c>
      <c r="M200" s="207" t="s">
        <v>95</v>
      </c>
      <c r="N200" s="210">
        <v>11700</v>
      </c>
      <c r="O200" s="210" t="s">
        <v>513</v>
      </c>
      <c r="P200" s="210" t="s">
        <v>514</v>
      </c>
      <c r="Q200" s="211">
        <f>IF(O200="IVA Incluido",(N200/1.19),IF(O200="Ipoconsumo Incluido",(N200/1.08),N200))</f>
        <v>11700</v>
      </c>
      <c r="R200" s="212">
        <f>IF(P200="Si tiene IVA",Q200*19%,IF(P200="Si tiene IPOCONSUMO",Q200*8%,0))</f>
        <v>936</v>
      </c>
      <c r="S200" s="212">
        <f t="shared" si="141"/>
        <v>12636</v>
      </c>
      <c r="T200" s="212">
        <f>IF(R200="IVA Incluido",(Q200/1.19),IF(R200="Ipoconsumo Incluido",(Q200/1.08),Q200))</f>
        <v>11700</v>
      </c>
      <c r="U200" s="212">
        <f>Q200+R200</f>
        <v>12636</v>
      </c>
      <c r="V200" s="460" t="s">
        <v>440</v>
      </c>
      <c r="W200" s="213">
        <v>46129</v>
      </c>
      <c r="X200" s="214" t="s">
        <v>1093</v>
      </c>
      <c r="Y200" s="215" t="s">
        <v>441</v>
      </c>
      <c r="Z200" s="216" t="s">
        <v>1094</v>
      </c>
      <c r="AA200" s="217">
        <v>8570</v>
      </c>
      <c r="AB200" s="217" t="s">
        <v>513</v>
      </c>
      <c r="AC200" s="217" t="s">
        <v>514</v>
      </c>
      <c r="AD200" s="218">
        <f>IF(AB200="IVA Incluido",(AA200/1.19),IF(AB200="Ipoconsumo Incluido",(AA200/1.08),AA200))</f>
        <v>8570</v>
      </c>
      <c r="AE200" s="219">
        <f>IF(AC200="Si tiene IVA",AD200*19%,IF(AC200="Si tiene IPOCONSUMO",AD200*8%,0))</f>
        <v>685.6</v>
      </c>
      <c r="AF200" s="219">
        <f t="shared" si="142"/>
        <v>9255.6</v>
      </c>
      <c r="AG200" s="219">
        <f>IF(AE200="IVA Incluido",(AD200/1.19),IF(AE200="Ipoconsumo Incluido",(AD200/1.08),AD200))</f>
        <v>8570</v>
      </c>
      <c r="AH200" s="219">
        <f>AD200+AE200</f>
        <v>9255.6</v>
      </c>
      <c r="AI200" s="461" t="s">
        <v>1095</v>
      </c>
      <c r="AJ200" s="220" t="s">
        <v>496</v>
      </c>
      <c r="AK200" s="221"/>
      <c r="AL200" s="222"/>
      <c r="AM200" s="223" t="s">
        <v>165</v>
      </c>
      <c r="AN200" s="224">
        <v>13871</v>
      </c>
      <c r="AO200" s="224"/>
      <c r="AP200" s="225"/>
      <c r="AQ200" s="226">
        <f>AN200/1.08</f>
        <v>12843.518518518518</v>
      </c>
      <c r="AR200" s="227">
        <f>AQ200*8%</f>
        <v>1027.4814814814815</v>
      </c>
      <c r="AS200" s="227">
        <f t="shared" si="143"/>
        <v>13871</v>
      </c>
      <c r="AT200" s="227">
        <f>IF(AR200="IVA Incluido",(AQ200/1.19),IF(AR200="Ipoconsumo Incluido",(AQ200/1.08),AQ200))</f>
        <v>12843.518518518518</v>
      </c>
      <c r="AU200" s="227">
        <f>AQ200+AR200</f>
        <v>13871</v>
      </c>
      <c r="AV200" s="228">
        <f t="shared" si="144"/>
        <v>11920.866666666667</v>
      </c>
      <c r="AW200" s="228">
        <f t="shared" si="145"/>
        <v>11920.866666666667</v>
      </c>
      <c r="AX200" s="228">
        <f t="shared" si="146"/>
        <v>2389.3599672994737</v>
      </c>
      <c r="AY200" s="229">
        <f t="shared" si="147"/>
        <v>0.20043508866520951</v>
      </c>
      <c r="AZ200" s="230" t="s">
        <v>1096</v>
      </c>
      <c r="BA200" s="231">
        <f t="shared" si="148"/>
        <v>3</v>
      </c>
      <c r="BB200" s="231"/>
      <c r="BC200" s="231"/>
      <c r="BD200" s="231"/>
      <c r="BE200" s="231"/>
      <c r="BF200" s="231"/>
      <c r="BG200" s="231"/>
      <c r="BH200" s="231"/>
      <c r="BI200" s="232"/>
      <c r="BJ200" s="232"/>
      <c r="BK200" s="232"/>
      <c r="BL200" s="232"/>
      <c r="BM200" s="232"/>
      <c r="BN200" s="232"/>
      <c r="BO200" s="232"/>
      <c r="BP200" s="232"/>
      <c r="BQ200" s="232"/>
      <c r="BR200" s="232"/>
      <c r="BS200" s="232"/>
      <c r="BT200" s="232"/>
      <c r="BU200" s="232"/>
      <c r="BV200" s="232"/>
    </row>
    <row r="201" spans="1:75" ht="63" hidden="1" x14ac:dyDescent="0.25">
      <c r="A201" s="205" t="s">
        <v>438</v>
      </c>
      <c r="B201" s="205" t="s">
        <v>501</v>
      </c>
      <c r="C201" s="205">
        <v>14111514</v>
      </c>
      <c r="D201" s="205" t="s">
        <v>1097</v>
      </c>
      <c r="E201" s="206" t="s">
        <v>1098</v>
      </c>
      <c r="F201" s="458" t="s">
        <v>41</v>
      </c>
      <c r="G201" s="178">
        <v>1</v>
      </c>
      <c r="H201" s="458" t="s">
        <v>42</v>
      </c>
      <c r="I201" s="459" t="s">
        <v>440</v>
      </c>
      <c r="J201" s="207">
        <v>46091</v>
      </c>
      <c r="K201" s="208" t="s">
        <v>938</v>
      </c>
      <c r="L201" s="209" t="s">
        <v>446</v>
      </c>
      <c r="M201" s="207" t="s">
        <v>1099</v>
      </c>
      <c r="N201" s="210">
        <v>15000</v>
      </c>
      <c r="O201" s="210" t="s">
        <v>443</v>
      </c>
      <c r="P201" s="210" t="s">
        <v>444</v>
      </c>
      <c r="Q201" s="211">
        <f t="shared" ref="Q201:Q211" si="149">IF(O201="IVA Incluido",(N201/1.19),N201)</f>
        <v>12605.042016806723</v>
      </c>
      <c r="R201" s="212">
        <f t="shared" ref="R201:R211" si="150">IF(P201="Si tiene IVA",Q201*19%,0)</f>
        <v>2394.9579831932774</v>
      </c>
      <c r="S201" s="212">
        <f t="shared" si="141"/>
        <v>15000</v>
      </c>
      <c r="T201" s="212">
        <f t="shared" ref="T201:T211" si="151">IF(B201="","",(N201*G201))</f>
        <v>15000</v>
      </c>
      <c r="U201" s="212">
        <f t="shared" ref="U201:U211" si="152">IF(B201="","",(S201*G201))</f>
        <v>15000</v>
      </c>
      <c r="V201" s="460" t="s">
        <v>440</v>
      </c>
      <c r="W201" s="213">
        <v>46091</v>
      </c>
      <c r="X201" s="214" t="s">
        <v>508</v>
      </c>
      <c r="Y201" s="215" t="s">
        <v>446</v>
      </c>
      <c r="Z201" s="216" t="s">
        <v>63</v>
      </c>
      <c r="AA201" s="217">
        <v>15000</v>
      </c>
      <c r="AB201" s="217" t="s">
        <v>443</v>
      </c>
      <c r="AC201" s="217" t="s">
        <v>444</v>
      </c>
      <c r="AD201" s="218">
        <f t="shared" ref="AD201:AD211" si="153">IF(AB201="IVA Incluido",(AA201/1.19),AA201)</f>
        <v>12605.042016806723</v>
      </c>
      <c r="AE201" s="219">
        <f t="shared" ref="AE201:AE211" si="154">IF(AC201="Si tiene IVA",AD201*19%,0)</f>
        <v>2394.9579831932774</v>
      </c>
      <c r="AF201" s="219">
        <f t="shared" si="142"/>
        <v>15000</v>
      </c>
      <c r="AG201" s="219">
        <f t="shared" ref="AG201:AG211" si="155">IF(O201="","",(AA201*G201))</f>
        <v>15000</v>
      </c>
      <c r="AH201" s="219">
        <f t="shared" ref="AH201:AH211" si="156">IF(O201="","",(AF201*G201))</f>
        <v>15000</v>
      </c>
      <c r="AI201" s="461" t="s">
        <v>440</v>
      </c>
      <c r="AJ201" s="220">
        <v>46091</v>
      </c>
      <c r="AK201" s="221" t="s">
        <v>809</v>
      </c>
      <c r="AL201" s="222" t="s">
        <v>446</v>
      </c>
      <c r="AM201" s="223" t="s">
        <v>810</v>
      </c>
      <c r="AN201" s="224">
        <v>15497</v>
      </c>
      <c r="AO201" s="224" t="s">
        <v>450</v>
      </c>
      <c r="AP201" s="225" t="s">
        <v>444</v>
      </c>
      <c r="AQ201" s="226">
        <f>IF(AO201="IVA Incluido",(AN201/1.19),AN201)</f>
        <v>15497</v>
      </c>
      <c r="AR201" s="227">
        <f>IF(AP201="Si tiene IVA",AQ201*19%,0)</f>
        <v>2944.43</v>
      </c>
      <c r="AS201" s="227">
        <f t="shared" si="143"/>
        <v>18441.43</v>
      </c>
      <c r="AT201" s="227">
        <f>IF(AB201="","",(AN201*G201))</f>
        <v>15497</v>
      </c>
      <c r="AU201" s="227">
        <f>IF(AB201="","",(AS201*G201))</f>
        <v>18441.43</v>
      </c>
      <c r="AV201" s="228">
        <f t="shared" si="144"/>
        <v>16147.143333333333</v>
      </c>
      <c r="AW201" s="228">
        <f t="shared" si="145"/>
        <v>16147.143333333333</v>
      </c>
      <c r="AX201" s="228">
        <f t="shared" si="146"/>
        <v>1986.9105368972539</v>
      </c>
      <c r="AY201" s="229">
        <f t="shared" si="147"/>
        <v>0.12305028176690411</v>
      </c>
      <c r="AZ201" s="230"/>
      <c r="BA201" s="231">
        <f t="shared" si="148"/>
        <v>3</v>
      </c>
      <c r="BB201" s="231"/>
      <c r="BC201" s="231"/>
      <c r="BD201" s="231"/>
      <c r="BE201" s="231"/>
      <c r="BF201" s="231"/>
      <c r="BG201" s="231"/>
      <c r="BH201" s="231">
        <v>72</v>
      </c>
      <c r="BI201" s="232"/>
      <c r="BJ201" s="232"/>
      <c r="BK201" s="232"/>
      <c r="BL201" s="232"/>
      <c r="BM201" s="232"/>
      <c r="BN201" s="232"/>
      <c r="BO201" s="232"/>
      <c r="BP201" s="232"/>
      <c r="BQ201" s="232"/>
      <c r="BR201" s="232"/>
      <c r="BS201" s="232"/>
      <c r="BT201" s="232"/>
      <c r="BU201" s="232"/>
      <c r="BV201" s="232"/>
    </row>
    <row r="202" spans="1:75" ht="84" hidden="1" x14ac:dyDescent="0.25">
      <c r="A202" s="205" t="s">
        <v>438</v>
      </c>
      <c r="B202" s="205" t="s">
        <v>501</v>
      </c>
      <c r="C202" s="205">
        <v>14111514</v>
      </c>
      <c r="D202" s="205" t="s">
        <v>1100</v>
      </c>
      <c r="E202" s="206" t="s">
        <v>1101</v>
      </c>
      <c r="F202" s="458" t="s">
        <v>41</v>
      </c>
      <c r="G202" s="178">
        <v>1</v>
      </c>
      <c r="H202" s="458" t="s">
        <v>42</v>
      </c>
      <c r="I202" s="459" t="s">
        <v>440</v>
      </c>
      <c r="J202" s="207">
        <v>46091</v>
      </c>
      <c r="K202" s="208" t="s">
        <v>809</v>
      </c>
      <c r="L202" s="209" t="s">
        <v>446</v>
      </c>
      <c r="M202" s="207" t="s">
        <v>810</v>
      </c>
      <c r="N202" s="210">
        <v>18500</v>
      </c>
      <c r="O202" s="210" t="s">
        <v>450</v>
      </c>
      <c r="P202" s="210" t="s">
        <v>444</v>
      </c>
      <c r="Q202" s="211">
        <f t="shared" si="149"/>
        <v>18500</v>
      </c>
      <c r="R202" s="212">
        <f t="shared" si="150"/>
        <v>3515</v>
      </c>
      <c r="S202" s="212">
        <f t="shared" si="141"/>
        <v>22015</v>
      </c>
      <c r="T202" s="212">
        <f t="shared" si="151"/>
        <v>18500</v>
      </c>
      <c r="U202" s="212">
        <f t="shared" si="152"/>
        <v>22015</v>
      </c>
      <c r="V202" s="460" t="s">
        <v>440</v>
      </c>
      <c r="W202" s="213">
        <v>46091</v>
      </c>
      <c r="X202" s="214" t="s">
        <v>938</v>
      </c>
      <c r="Y202" s="215" t="s">
        <v>446</v>
      </c>
      <c r="Z202" s="216" t="s">
        <v>1102</v>
      </c>
      <c r="AA202" s="217">
        <v>19000</v>
      </c>
      <c r="AB202" s="217" t="s">
        <v>443</v>
      </c>
      <c r="AC202" s="217" t="s">
        <v>444</v>
      </c>
      <c r="AD202" s="218">
        <f t="shared" si="153"/>
        <v>15966.386554621849</v>
      </c>
      <c r="AE202" s="219">
        <f t="shared" si="154"/>
        <v>3033.6134453781515</v>
      </c>
      <c r="AF202" s="219">
        <f t="shared" si="142"/>
        <v>19000</v>
      </c>
      <c r="AG202" s="219">
        <f t="shared" si="155"/>
        <v>19000</v>
      </c>
      <c r="AH202" s="219">
        <f t="shared" si="156"/>
        <v>19000</v>
      </c>
      <c r="AI202" s="461" t="s">
        <v>440</v>
      </c>
      <c r="AJ202" s="220">
        <v>46091</v>
      </c>
      <c r="AK202" s="221" t="s">
        <v>508</v>
      </c>
      <c r="AL202" s="222" t="s">
        <v>446</v>
      </c>
      <c r="AM202" s="223" t="s">
        <v>63</v>
      </c>
      <c r="AN202" s="224">
        <v>22000</v>
      </c>
      <c r="AO202" s="224" t="s">
        <v>443</v>
      </c>
      <c r="AP202" s="225" t="s">
        <v>444</v>
      </c>
      <c r="AQ202" s="226">
        <f>IF(AO202="IVA Incluido",(AN202/1.19),AN202)</f>
        <v>18487.394957983193</v>
      </c>
      <c r="AR202" s="227">
        <f>IF(AP202="Si tiene IVA",AQ202*19%,0)</f>
        <v>3512.6050420168067</v>
      </c>
      <c r="AS202" s="227">
        <f t="shared" si="143"/>
        <v>22000</v>
      </c>
      <c r="AT202" s="227">
        <f>IF(AB202="","",(AN202*G202))</f>
        <v>22000</v>
      </c>
      <c r="AU202" s="227">
        <f>IF(AB202="","",(AS202*G202))</f>
        <v>22000</v>
      </c>
      <c r="AV202" s="228">
        <f t="shared" si="144"/>
        <v>21005</v>
      </c>
      <c r="AW202" s="228">
        <f t="shared" si="145"/>
        <v>21005</v>
      </c>
      <c r="AX202" s="228">
        <f t="shared" si="146"/>
        <v>1736.3971319948671</v>
      </c>
      <c r="AY202" s="229">
        <f t="shared" si="147"/>
        <v>8.2665895358003672E-2</v>
      </c>
      <c r="AZ202" s="230"/>
      <c r="BA202" s="231">
        <f t="shared" si="148"/>
        <v>3</v>
      </c>
      <c r="BB202" s="231"/>
      <c r="BC202" s="231"/>
      <c r="BD202" s="231"/>
      <c r="BE202" s="231"/>
      <c r="BF202" s="231"/>
      <c r="BG202" s="231"/>
      <c r="BH202" s="231">
        <v>73</v>
      </c>
      <c r="BI202" s="232"/>
      <c r="BJ202" s="232"/>
      <c r="BK202" s="232"/>
      <c r="BL202" s="232"/>
      <c r="BM202" s="232"/>
      <c r="BN202" s="232"/>
      <c r="BO202" s="232"/>
      <c r="BP202" s="232"/>
      <c r="BQ202" s="232"/>
      <c r="BR202" s="232"/>
      <c r="BS202" s="232"/>
      <c r="BT202" s="232"/>
      <c r="BU202" s="232"/>
      <c r="BV202" s="232"/>
    </row>
    <row r="203" spans="1:75" ht="84" hidden="1" x14ac:dyDescent="0.25">
      <c r="A203" s="205" t="s">
        <v>438</v>
      </c>
      <c r="B203" s="205" t="s">
        <v>501</v>
      </c>
      <c r="C203" s="205">
        <v>44121619</v>
      </c>
      <c r="D203" s="205" t="s">
        <v>1103</v>
      </c>
      <c r="E203" s="206" t="s">
        <v>1104</v>
      </c>
      <c r="F203" s="458" t="s">
        <v>41</v>
      </c>
      <c r="G203" s="178">
        <v>1</v>
      </c>
      <c r="H203" s="458" t="s">
        <v>42</v>
      </c>
      <c r="I203" s="459" t="s">
        <v>440</v>
      </c>
      <c r="J203" s="207">
        <v>46091</v>
      </c>
      <c r="K203" s="208" t="s">
        <v>809</v>
      </c>
      <c r="L203" s="209" t="s">
        <v>446</v>
      </c>
      <c r="M203" s="207" t="s">
        <v>810</v>
      </c>
      <c r="N203" s="210">
        <v>5461</v>
      </c>
      <c r="O203" s="210" t="s">
        <v>450</v>
      </c>
      <c r="P203" s="210" t="s">
        <v>444</v>
      </c>
      <c r="Q203" s="211">
        <f t="shared" si="149"/>
        <v>5461</v>
      </c>
      <c r="R203" s="212">
        <f t="shared" si="150"/>
        <v>1037.5899999999999</v>
      </c>
      <c r="S203" s="212">
        <f t="shared" si="141"/>
        <v>6498.59</v>
      </c>
      <c r="T203" s="212">
        <f t="shared" si="151"/>
        <v>5461</v>
      </c>
      <c r="U203" s="212">
        <f t="shared" si="152"/>
        <v>6498.59</v>
      </c>
      <c r="V203" s="460" t="s">
        <v>440</v>
      </c>
      <c r="W203" s="213">
        <v>46091</v>
      </c>
      <c r="X203" s="214" t="s">
        <v>938</v>
      </c>
      <c r="Y203" s="215" t="s">
        <v>446</v>
      </c>
      <c r="Z203" s="216" t="s">
        <v>1102</v>
      </c>
      <c r="AA203" s="217">
        <v>6600</v>
      </c>
      <c r="AB203" s="217" t="s">
        <v>443</v>
      </c>
      <c r="AC203" s="217" t="s">
        <v>444</v>
      </c>
      <c r="AD203" s="218">
        <f t="shared" si="153"/>
        <v>5546.2184873949582</v>
      </c>
      <c r="AE203" s="219">
        <f t="shared" si="154"/>
        <v>1053.7815126050421</v>
      </c>
      <c r="AF203" s="219">
        <f t="shared" si="142"/>
        <v>6600</v>
      </c>
      <c r="AG203" s="219">
        <f t="shared" si="155"/>
        <v>6600</v>
      </c>
      <c r="AH203" s="219">
        <f t="shared" si="156"/>
        <v>6600</v>
      </c>
      <c r="AI203" s="461" t="s">
        <v>440</v>
      </c>
      <c r="AJ203" s="220">
        <v>46091</v>
      </c>
      <c r="AK203" s="221" t="s">
        <v>1105</v>
      </c>
      <c r="AL203" s="222" t="s">
        <v>446</v>
      </c>
      <c r="AM203" s="223" t="s">
        <v>1106</v>
      </c>
      <c r="AN203" s="224">
        <v>6684</v>
      </c>
      <c r="AO203" s="224" t="s">
        <v>443</v>
      </c>
      <c r="AP203" s="225" t="s">
        <v>444</v>
      </c>
      <c r="AQ203" s="226">
        <f>IF(AO203="IVA Incluido",(AN203/1.19),AN203)</f>
        <v>5616.8067226890762</v>
      </c>
      <c r="AR203" s="227">
        <f>IF(AP203="Si tiene IVA",AQ203*19%,0)</f>
        <v>1067.1932773109245</v>
      </c>
      <c r="AS203" s="227">
        <f t="shared" si="143"/>
        <v>6684.0000000000009</v>
      </c>
      <c r="AT203" s="227">
        <f>IF(AB203="","",(AN203*G203))</f>
        <v>6684</v>
      </c>
      <c r="AU203" s="227">
        <f>IF(AB203="","",(AS203*G203))</f>
        <v>6684.0000000000009</v>
      </c>
      <c r="AV203" s="228">
        <f t="shared" si="144"/>
        <v>6594.1966666666667</v>
      </c>
      <c r="AW203" s="228">
        <f t="shared" si="145"/>
        <v>6594.1966666666667</v>
      </c>
      <c r="AX203" s="228">
        <f t="shared" si="146"/>
        <v>92.841133304874091</v>
      </c>
      <c r="AY203" s="229">
        <f t="shared" si="147"/>
        <v>1.4079218136483761E-2</v>
      </c>
      <c r="AZ203" s="230"/>
      <c r="BA203" s="231">
        <f t="shared" si="148"/>
        <v>3</v>
      </c>
      <c r="BB203" s="231"/>
      <c r="BC203" s="231"/>
      <c r="BD203" s="231"/>
      <c r="BE203" s="231"/>
      <c r="BF203" s="231"/>
      <c r="BG203" s="231"/>
      <c r="BH203" s="231">
        <v>75</v>
      </c>
      <c r="BI203" s="232"/>
      <c r="BJ203" s="232"/>
      <c r="BK203" s="232"/>
      <c r="BL203" s="232"/>
      <c r="BM203" s="232"/>
      <c r="BN203" s="232"/>
      <c r="BO203" s="232"/>
      <c r="BP203" s="232"/>
      <c r="BQ203" s="232"/>
      <c r="BR203" s="232"/>
      <c r="BS203" s="232"/>
      <c r="BT203" s="232"/>
      <c r="BU203" s="232"/>
      <c r="BV203" s="232"/>
    </row>
    <row r="204" spans="1:75" ht="84" hidden="1" x14ac:dyDescent="0.25">
      <c r="A204" s="205" t="s">
        <v>438</v>
      </c>
      <c r="B204" s="205" t="s">
        <v>673</v>
      </c>
      <c r="C204" s="205" t="s">
        <v>674</v>
      </c>
      <c r="D204" s="205" t="s">
        <v>1107</v>
      </c>
      <c r="E204" s="206" t="s">
        <v>1108</v>
      </c>
      <c r="F204" s="458" t="s">
        <v>41</v>
      </c>
      <c r="G204" s="178">
        <v>1</v>
      </c>
      <c r="H204" s="458" t="s">
        <v>88</v>
      </c>
      <c r="I204" s="459" t="s">
        <v>452</v>
      </c>
      <c r="J204" s="207">
        <v>46142</v>
      </c>
      <c r="K204" s="208" t="s">
        <v>1109</v>
      </c>
      <c r="L204" s="209" t="s">
        <v>441</v>
      </c>
      <c r="M204" s="207" t="s">
        <v>1110</v>
      </c>
      <c r="N204" s="210">
        <v>470589</v>
      </c>
      <c r="O204" s="210" t="s">
        <v>450</v>
      </c>
      <c r="P204" s="210" t="s">
        <v>444</v>
      </c>
      <c r="Q204" s="211">
        <f t="shared" si="149"/>
        <v>470589</v>
      </c>
      <c r="R204" s="212">
        <f t="shared" si="150"/>
        <v>89411.91</v>
      </c>
      <c r="S204" s="212">
        <f t="shared" si="141"/>
        <v>560000.91</v>
      </c>
      <c r="T204" s="212">
        <f t="shared" si="151"/>
        <v>470589</v>
      </c>
      <c r="U204" s="212">
        <f t="shared" si="152"/>
        <v>560000.91</v>
      </c>
      <c r="V204" s="460" t="s">
        <v>452</v>
      </c>
      <c r="W204" s="213">
        <v>46142</v>
      </c>
      <c r="X204" s="214" t="s">
        <v>90</v>
      </c>
      <c r="Y204" s="215" t="s">
        <v>441</v>
      </c>
      <c r="Z204" s="216" t="s">
        <v>90</v>
      </c>
      <c r="AA204" s="217">
        <v>361345</v>
      </c>
      <c r="AB204" s="217" t="s">
        <v>450</v>
      </c>
      <c r="AC204" s="217" t="s">
        <v>444</v>
      </c>
      <c r="AD204" s="218">
        <f t="shared" si="153"/>
        <v>361345</v>
      </c>
      <c r="AE204" s="219">
        <f t="shared" si="154"/>
        <v>68655.55</v>
      </c>
      <c r="AF204" s="219">
        <f t="shared" si="142"/>
        <v>430000.55</v>
      </c>
      <c r="AG204" s="219">
        <f t="shared" si="155"/>
        <v>361345</v>
      </c>
      <c r="AH204" s="219">
        <f t="shared" si="156"/>
        <v>430000.55</v>
      </c>
      <c r="AI204" s="461"/>
      <c r="AJ204" s="220"/>
      <c r="AK204" s="221"/>
      <c r="AL204" s="222"/>
      <c r="AM204" s="223"/>
      <c r="AN204" s="224"/>
      <c r="AO204" s="224"/>
      <c r="AP204" s="225"/>
      <c r="AQ204" s="226"/>
      <c r="AR204" s="227"/>
      <c r="AS204" s="227"/>
      <c r="AT204" s="227"/>
      <c r="AU204" s="227"/>
      <c r="AV204" s="228">
        <f t="shared" si="144"/>
        <v>495000.73</v>
      </c>
      <c r="AW204" s="228">
        <f t="shared" si="145"/>
        <v>495000.73</v>
      </c>
      <c r="AX204" s="228">
        <f t="shared" si="146"/>
        <v>91924.136112692839</v>
      </c>
      <c r="AY204" s="229">
        <f t="shared" si="147"/>
        <v>0.18570505161213166</v>
      </c>
      <c r="AZ204" s="230"/>
      <c r="BA204" s="231">
        <f t="shared" si="148"/>
        <v>2</v>
      </c>
      <c r="BB204" s="231"/>
      <c r="BC204" s="231"/>
      <c r="BD204" s="231"/>
      <c r="BE204" s="231"/>
      <c r="BF204" s="231"/>
      <c r="BG204" s="231"/>
      <c r="BH204" s="231">
        <v>7</v>
      </c>
      <c r="BI204" s="232"/>
      <c r="BJ204" s="232"/>
      <c r="BK204" s="232"/>
      <c r="BL204" s="232"/>
      <c r="BM204" s="232"/>
      <c r="BN204" s="232"/>
      <c r="BO204" s="232"/>
      <c r="BP204" s="232"/>
      <c r="BQ204" s="232"/>
      <c r="BR204" s="232"/>
      <c r="BS204" s="232"/>
      <c r="BT204" s="232"/>
      <c r="BU204" s="232"/>
      <c r="BV204" s="232"/>
    </row>
    <row r="205" spans="1:75" ht="84" hidden="1" x14ac:dyDescent="0.25">
      <c r="A205" s="205" t="s">
        <v>438</v>
      </c>
      <c r="B205" s="205" t="s">
        <v>673</v>
      </c>
      <c r="C205" s="205" t="s">
        <v>674</v>
      </c>
      <c r="D205" s="205" t="s">
        <v>347</v>
      </c>
      <c r="E205" s="206" t="s">
        <v>352</v>
      </c>
      <c r="F205" s="458" t="s">
        <v>41</v>
      </c>
      <c r="G205" s="178">
        <v>1</v>
      </c>
      <c r="H205" s="458" t="s">
        <v>88</v>
      </c>
      <c r="I205" s="459" t="s">
        <v>454</v>
      </c>
      <c r="J205" s="207">
        <v>46142</v>
      </c>
      <c r="K205" s="208" t="s">
        <v>1109</v>
      </c>
      <c r="L205" s="209" t="s">
        <v>441</v>
      </c>
      <c r="M205" s="207" t="s">
        <v>1110</v>
      </c>
      <c r="N205" s="210">
        <v>302522</v>
      </c>
      <c r="O205" s="210" t="s">
        <v>450</v>
      </c>
      <c r="P205" s="210" t="s">
        <v>444</v>
      </c>
      <c r="Q205" s="211">
        <f t="shared" si="149"/>
        <v>302522</v>
      </c>
      <c r="R205" s="212">
        <f t="shared" si="150"/>
        <v>57479.18</v>
      </c>
      <c r="S205" s="212">
        <f t="shared" si="141"/>
        <v>360001.18</v>
      </c>
      <c r="T205" s="212">
        <f t="shared" si="151"/>
        <v>302522</v>
      </c>
      <c r="U205" s="212">
        <f t="shared" si="152"/>
        <v>360001.18</v>
      </c>
      <c r="V205" s="460" t="s">
        <v>452</v>
      </c>
      <c r="W205" s="213">
        <v>46142</v>
      </c>
      <c r="X205" s="214" t="s">
        <v>90</v>
      </c>
      <c r="Y205" s="215" t="s">
        <v>446</v>
      </c>
      <c r="Z205" s="216" t="s">
        <v>90</v>
      </c>
      <c r="AA205" s="217">
        <v>252101</v>
      </c>
      <c r="AB205" s="217" t="s">
        <v>450</v>
      </c>
      <c r="AC205" s="217" t="s">
        <v>444</v>
      </c>
      <c r="AD205" s="218">
        <f t="shared" si="153"/>
        <v>252101</v>
      </c>
      <c r="AE205" s="219">
        <f t="shared" si="154"/>
        <v>47899.19</v>
      </c>
      <c r="AF205" s="219">
        <f t="shared" si="142"/>
        <v>300000.19</v>
      </c>
      <c r="AG205" s="219">
        <f t="shared" si="155"/>
        <v>252101</v>
      </c>
      <c r="AH205" s="219">
        <f t="shared" si="156"/>
        <v>300000.19</v>
      </c>
      <c r="AI205" s="461"/>
      <c r="AJ205" s="220"/>
      <c r="AK205" s="221"/>
      <c r="AL205" s="222"/>
      <c r="AM205" s="223"/>
      <c r="AN205" s="224"/>
      <c r="AO205" s="224"/>
      <c r="AP205" s="225"/>
      <c r="AQ205" s="226"/>
      <c r="AR205" s="227"/>
      <c r="AS205" s="227"/>
      <c r="AT205" s="227"/>
      <c r="AU205" s="227"/>
      <c r="AV205" s="228">
        <f>IF(A205="","",AVERAGE(S205,AF205))</f>
        <v>330000.685</v>
      </c>
      <c r="AW205" s="228">
        <f>IF(A205="","",AVERAGE(U205,AH205))</f>
        <v>330000.685</v>
      </c>
      <c r="AX205" s="228">
        <f>IF(N205="","",STDEV(U205,AH205))</f>
        <v>42427.106906906221</v>
      </c>
      <c r="AY205" s="229">
        <f t="shared" si="147"/>
        <v>0.12856672375363773</v>
      </c>
      <c r="AZ205" s="230"/>
      <c r="BA205" s="231">
        <f t="shared" si="148"/>
        <v>2</v>
      </c>
      <c r="BB205" s="231"/>
      <c r="BC205" s="231"/>
      <c r="BD205" s="231"/>
      <c r="BE205" s="231"/>
      <c r="BF205" s="231"/>
      <c r="BG205" s="231"/>
      <c r="BH205" s="231">
        <v>6</v>
      </c>
      <c r="BI205" s="232"/>
      <c r="BJ205" s="232"/>
      <c r="BK205" s="232"/>
      <c r="BL205" s="232"/>
      <c r="BM205" s="232"/>
      <c r="BN205" s="232"/>
      <c r="BO205" s="232"/>
      <c r="BP205" s="232"/>
      <c r="BQ205" s="232"/>
      <c r="BR205" s="232"/>
      <c r="BS205" s="232"/>
      <c r="BT205" s="232"/>
      <c r="BU205" s="232"/>
      <c r="BV205" s="232"/>
    </row>
    <row r="206" spans="1:75" ht="84" hidden="1" x14ac:dyDescent="0.25">
      <c r="A206" s="205" t="s">
        <v>438</v>
      </c>
      <c r="B206" s="205" t="s">
        <v>673</v>
      </c>
      <c r="C206" s="205" t="s">
        <v>674</v>
      </c>
      <c r="D206" s="205" t="s">
        <v>1111</v>
      </c>
      <c r="E206" s="206" t="s">
        <v>1112</v>
      </c>
      <c r="F206" s="458" t="s">
        <v>41</v>
      </c>
      <c r="G206" s="178">
        <v>1</v>
      </c>
      <c r="H206" s="458" t="s">
        <v>88</v>
      </c>
      <c r="I206" s="459" t="s">
        <v>452</v>
      </c>
      <c r="J206" s="207">
        <v>46142</v>
      </c>
      <c r="K206" s="208" t="s">
        <v>1113</v>
      </c>
      <c r="L206" s="209" t="s">
        <v>441</v>
      </c>
      <c r="M206" s="207" t="s">
        <v>90</v>
      </c>
      <c r="N206" s="210">
        <v>361345</v>
      </c>
      <c r="O206" s="210" t="s">
        <v>450</v>
      </c>
      <c r="P206" s="210" t="s">
        <v>444</v>
      </c>
      <c r="Q206" s="211">
        <f t="shared" si="149"/>
        <v>361345</v>
      </c>
      <c r="R206" s="212">
        <f t="shared" si="150"/>
        <v>68655.55</v>
      </c>
      <c r="S206" s="212">
        <f t="shared" si="141"/>
        <v>430000.55</v>
      </c>
      <c r="T206" s="212">
        <f t="shared" si="151"/>
        <v>361345</v>
      </c>
      <c r="U206" s="212">
        <f t="shared" si="152"/>
        <v>430000.55</v>
      </c>
      <c r="V206" s="460" t="s">
        <v>452</v>
      </c>
      <c r="W206" s="213">
        <v>46142</v>
      </c>
      <c r="X206" s="214" t="s">
        <v>1109</v>
      </c>
      <c r="Y206" s="215" t="s">
        <v>441</v>
      </c>
      <c r="Z206" s="216" t="s">
        <v>1110</v>
      </c>
      <c r="AA206" s="217">
        <v>470589</v>
      </c>
      <c r="AB206" s="217" t="s">
        <v>450</v>
      </c>
      <c r="AC206" s="217" t="s">
        <v>444</v>
      </c>
      <c r="AD206" s="218">
        <f t="shared" si="153"/>
        <v>470589</v>
      </c>
      <c r="AE206" s="219">
        <f t="shared" si="154"/>
        <v>89411.91</v>
      </c>
      <c r="AF206" s="219">
        <f t="shared" si="142"/>
        <v>560000.91</v>
      </c>
      <c r="AG206" s="219">
        <f t="shared" si="155"/>
        <v>470589</v>
      </c>
      <c r="AH206" s="219">
        <f t="shared" si="156"/>
        <v>560000.91</v>
      </c>
      <c r="AI206" s="461"/>
      <c r="AJ206" s="220"/>
      <c r="AK206" s="221"/>
      <c r="AL206" s="222"/>
      <c r="AM206" s="223"/>
      <c r="AN206" s="224"/>
      <c r="AO206" s="224"/>
      <c r="AP206" s="225"/>
      <c r="AQ206" s="226"/>
      <c r="AR206" s="227"/>
      <c r="AS206" s="227"/>
      <c r="AT206" s="227"/>
      <c r="AU206" s="227"/>
      <c r="AV206" s="228">
        <f>IF(A206="","",AVERAGE(S206,AF206,AS206))</f>
        <v>495000.73</v>
      </c>
      <c r="AW206" s="228">
        <f>IF(A206="","",AVERAGE(U206,AH206,AU206))</f>
        <v>495000.73</v>
      </c>
      <c r="AX206" s="228">
        <f>IF(N206="","",STDEV(U206,AH206,AU206))</f>
        <v>91924.136112692839</v>
      </c>
      <c r="AY206" s="229">
        <f t="shared" si="147"/>
        <v>0.18570505161213166</v>
      </c>
      <c r="AZ206" s="230"/>
      <c r="BA206" s="231">
        <f t="shared" si="148"/>
        <v>2</v>
      </c>
      <c r="BB206" s="231"/>
      <c r="BC206" s="231"/>
      <c r="BD206" s="231"/>
      <c r="BE206" s="231"/>
      <c r="BF206" s="231"/>
      <c r="BG206" s="231"/>
      <c r="BH206" s="231">
        <v>9</v>
      </c>
      <c r="BI206" s="232"/>
      <c r="BJ206" s="232"/>
      <c r="BK206" s="232"/>
      <c r="BL206" s="232"/>
      <c r="BM206" s="232"/>
      <c r="BN206" s="232"/>
      <c r="BO206" s="232"/>
      <c r="BP206" s="232"/>
      <c r="BQ206" s="232"/>
      <c r="BR206" s="232"/>
      <c r="BS206" s="232"/>
      <c r="BT206" s="232"/>
      <c r="BU206" s="232"/>
      <c r="BV206" s="232"/>
    </row>
    <row r="207" spans="1:75" ht="84" hidden="1" x14ac:dyDescent="0.25">
      <c r="A207" s="205" t="s">
        <v>438</v>
      </c>
      <c r="B207" s="205" t="s">
        <v>673</v>
      </c>
      <c r="C207" s="205" t="s">
        <v>674</v>
      </c>
      <c r="D207" s="205" t="s">
        <v>1114</v>
      </c>
      <c r="E207" s="206" t="s">
        <v>1115</v>
      </c>
      <c r="F207" s="458" t="s">
        <v>41</v>
      </c>
      <c r="G207" s="178">
        <v>1</v>
      </c>
      <c r="H207" s="458" t="s">
        <v>88</v>
      </c>
      <c r="I207" s="459" t="s">
        <v>454</v>
      </c>
      <c r="J207" s="207">
        <v>46147</v>
      </c>
      <c r="K207" s="208" t="s">
        <v>1109</v>
      </c>
      <c r="L207" s="209" t="s">
        <v>441</v>
      </c>
      <c r="M207" s="207" t="s">
        <v>1110</v>
      </c>
      <c r="N207" s="210">
        <v>302522</v>
      </c>
      <c r="O207" s="210" t="s">
        <v>450</v>
      </c>
      <c r="P207" s="210" t="s">
        <v>444</v>
      </c>
      <c r="Q207" s="211">
        <f t="shared" si="149"/>
        <v>302522</v>
      </c>
      <c r="R207" s="212">
        <f t="shared" si="150"/>
        <v>57479.18</v>
      </c>
      <c r="S207" s="212">
        <f t="shared" si="141"/>
        <v>360001.18</v>
      </c>
      <c r="T207" s="212">
        <f t="shared" si="151"/>
        <v>302522</v>
      </c>
      <c r="U207" s="212">
        <f t="shared" si="152"/>
        <v>360001.18</v>
      </c>
      <c r="V207" s="460" t="s">
        <v>452</v>
      </c>
      <c r="W207" s="213">
        <v>46143</v>
      </c>
      <c r="X207" s="214" t="s">
        <v>90</v>
      </c>
      <c r="Y207" s="215" t="s">
        <v>441</v>
      </c>
      <c r="Z207" s="216" t="s">
        <v>90</v>
      </c>
      <c r="AA207" s="217">
        <v>252101</v>
      </c>
      <c r="AB207" s="217" t="s">
        <v>450</v>
      </c>
      <c r="AC207" s="217" t="s">
        <v>444</v>
      </c>
      <c r="AD207" s="218">
        <f t="shared" si="153"/>
        <v>252101</v>
      </c>
      <c r="AE207" s="219">
        <f t="shared" si="154"/>
        <v>47899.19</v>
      </c>
      <c r="AF207" s="219">
        <f t="shared" si="142"/>
        <v>300000.19</v>
      </c>
      <c r="AG207" s="219">
        <f t="shared" si="155"/>
        <v>252101</v>
      </c>
      <c r="AH207" s="219">
        <f t="shared" si="156"/>
        <v>300000.19</v>
      </c>
      <c r="AI207" s="461"/>
      <c r="AJ207" s="220"/>
      <c r="AK207" s="221"/>
      <c r="AL207" s="222"/>
      <c r="AM207" s="223"/>
      <c r="AN207" s="224"/>
      <c r="AO207" s="224"/>
      <c r="AP207" s="225"/>
      <c r="AQ207" s="226"/>
      <c r="AR207" s="227"/>
      <c r="AS207" s="227"/>
      <c r="AT207" s="227"/>
      <c r="AU207" s="227"/>
      <c r="AV207" s="228">
        <f>IF(A207="","",AVERAGE(S207,AF207,AS207))</f>
        <v>330000.685</v>
      </c>
      <c r="AW207" s="228">
        <f>IF(A207="","",AVERAGE(U207,AH207,AU207))</f>
        <v>330000.685</v>
      </c>
      <c r="AX207" s="228">
        <f>IF(N207="","",STDEV(U207,AH207,AU207))</f>
        <v>42427.106906906221</v>
      </c>
      <c r="AY207" s="229">
        <f t="shared" si="147"/>
        <v>0.12856672375363773</v>
      </c>
      <c r="AZ207" s="230"/>
      <c r="BA207" s="231">
        <f t="shared" si="148"/>
        <v>2</v>
      </c>
      <c r="BB207" s="231"/>
      <c r="BC207" s="231"/>
      <c r="BD207" s="231"/>
      <c r="BE207" s="231"/>
      <c r="BF207" s="231"/>
      <c r="BG207" s="231"/>
      <c r="BH207" s="231">
        <v>8</v>
      </c>
      <c r="BI207" s="232"/>
      <c r="BJ207" s="232"/>
      <c r="BK207" s="232"/>
      <c r="BL207" s="232"/>
      <c r="BM207" s="232"/>
      <c r="BN207" s="232"/>
      <c r="BO207" s="232"/>
      <c r="BP207" s="232"/>
      <c r="BQ207" s="232"/>
      <c r="BR207" s="232"/>
      <c r="BS207" s="232"/>
      <c r="BT207" s="232"/>
      <c r="BU207" s="232"/>
      <c r="BV207" s="232"/>
    </row>
    <row r="208" spans="1:75" ht="84" hidden="1" x14ac:dyDescent="0.25">
      <c r="A208" s="205" t="s">
        <v>438</v>
      </c>
      <c r="B208" s="205" t="s">
        <v>673</v>
      </c>
      <c r="C208" s="205" t="s">
        <v>674</v>
      </c>
      <c r="D208" s="205" t="s">
        <v>345</v>
      </c>
      <c r="E208" s="206" t="s">
        <v>1116</v>
      </c>
      <c r="F208" s="458" t="s">
        <v>41</v>
      </c>
      <c r="G208" s="178">
        <v>1</v>
      </c>
      <c r="H208" s="458" t="s">
        <v>88</v>
      </c>
      <c r="I208" s="459" t="s">
        <v>454</v>
      </c>
      <c r="J208" s="207">
        <v>46100</v>
      </c>
      <c r="K208" s="208" t="s">
        <v>1109</v>
      </c>
      <c r="L208" s="209" t="s">
        <v>446</v>
      </c>
      <c r="M208" s="207" t="s">
        <v>1110</v>
      </c>
      <c r="N208" s="210">
        <v>302522</v>
      </c>
      <c r="O208" s="210" t="s">
        <v>450</v>
      </c>
      <c r="P208" s="210" t="s">
        <v>444</v>
      </c>
      <c r="Q208" s="211">
        <f t="shared" si="149"/>
        <v>302522</v>
      </c>
      <c r="R208" s="212">
        <f t="shared" si="150"/>
        <v>57479.18</v>
      </c>
      <c r="S208" s="212">
        <f t="shared" si="141"/>
        <v>360001.18</v>
      </c>
      <c r="T208" s="212">
        <f t="shared" si="151"/>
        <v>302522</v>
      </c>
      <c r="U208" s="212">
        <f t="shared" si="152"/>
        <v>360001.18</v>
      </c>
      <c r="V208" s="460" t="s">
        <v>440</v>
      </c>
      <c r="W208" s="213">
        <v>46139</v>
      </c>
      <c r="X208" s="214" t="s">
        <v>90</v>
      </c>
      <c r="Y208" s="215" t="s">
        <v>441</v>
      </c>
      <c r="Z208" s="216" t="s">
        <v>90</v>
      </c>
      <c r="AA208" s="217">
        <v>252101</v>
      </c>
      <c r="AB208" s="217" t="s">
        <v>450</v>
      </c>
      <c r="AC208" s="217" t="s">
        <v>444</v>
      </c>
      <c r="AD208" s="218">
        <f t="shared" si="153"/>
        <v>252101</v>
      </c>
      <c r="AE208" s="219">
        <f t="shared" si="154"/>
        <v>47899.19</v>
      </c>
      <c r="AF208" s="219">
        <f t="shared" si="142"/>
        <v>300000.19</v>
      </c>
      <c r="AG208" s="219">
        <f t="shared" si="155"/>
        <v>252101</v>
      </c>
      <c r="AH208" s="219">
        <f t="shared" si="156"/>
        <v>300000.19</v>
      </c>
      <c r="AI208" s="461"/>
      <c r="AJ208" s="220"/>
      <c r="AK208" s="221"/>
      <c r="AL208" s="222"/>
      <c r="AM208" s="223"/>
      <c r="AN208" s="224"/>
      <c r="AO208" s="224"/>
      <c r="AP208" s="225"/>
      <c r="AQ208" s="226"/>
      <c r="AR208" s="227"/>
      <c r="AS208" s="227"/>
      <c r="AT208" s="227"/>
      <c r="AU208" s="227"/>
      <c r="AV208" s="228">
        <f>IF(A208="","",AVERAGE(S208,AF208))</f>
        <v>330000.685</v>
      </c>
      <c r="AW208" s="228">
        <f>IF(A208="","",AVERAGE(U208,AH208))</f>
        <v>330000.685</v>
      </c>
      <c r="AX208" s="228">
        <f>IF(N208="","",STDEV(U208,AH208))</f>
        <v>42427.106906906221</v>
      </c>
      <c r="AY208" s="229">
        <f t="shared" si="147"/>
        <v>0.12856672375363773</v>
      </c>
      <c r="AZ208" s="230"/>
      <c r="BA208" s="231">
        <f t="shared" si="148"/>
        <v>2</v>
      </c>
      <c r="BB208" s="231"/>
      <c r="BC208" s="231"/>
      <c r="BD208" s="231"/>
      <c r="BE208" s="231"/>
      <c r="BF208" s="231"/>
      <c r="BG208" s="231"/>
      <c r="BH208" s="231">
        <v>10</v>
      </c>
      <c r="BI208" s="232"/>
      <c r="BJ208" s="232"/>
      <c r="BK208" s="232"/>
      <c r="BL208" s="232"/>
      <c r="BM208" s="232"/>
      <c r="BN208" s="232"/>
      <c r="BO208" s="232"/>
      <c r="BP208" s="232"/>
      <c r="BQ208" s="232"/>
      <c r="BR208" s="232"/>
      <c r="BS208" s="232"/>
      <c r="BT208" s="232"/>
      <c r="BU208" s="232"/>
      <c r="BV208" s="232"/>
    </row>
    <row r="209" spans="1:74" ht="84" hidden="1" x14ac:dyDescent="0.25">
      <c r="A209" s="205" t="s">
        <v>438</v>
      </c>
      <c r="B209" s="205" t="s">
        <v>673</v>
      </c>
      <c r="C209" s="205" t="s">
        <v>674</v>
      </c>
      <c r="D209" s="205" t="s">
        <v>1117</v>
      </c>
      <c r="E209" s="206" t="s">
        <v>1118</v>
      </c>
      <c r="F209" s="458" t="s">
        <v>41</v>
      </c>
      <c r="G209" s="178">
        <v>1</v>
      </c>
      <c r="H209" s="458" t="s">
        <v>88</v>
      </c>
      <c r="I209" s="459" t="s">
        <v>454</v>
      </c>
      <c r="J209" s="207">
        <v>46143</v>
      </c>
      <c r="K209" s="208" t="s">
        <v>1109</v>
      </c>
      <c r="L209" s="209" t="s">
        <v>441</v>
      </c>
      <c r="M209" s="207" t="s">
        <v>1110</v>
      </c>
      <c r="N209" s="210">
        <v>302522</v>
      </c>
      <c r="O209" s="210" t="s">
        <v>450</v>
      </c>
      <c r="P209" s="210" t="s">
        <v>444</v>
      </c>
      <c r="Q209" s="211">
        <f t="shared" si="149"/>
        <v>302522</v>
      </c>
      <c r="R209" s="212">
        <f t="shared" si="150"/>
        <v>57479.18</v>
      </c>
      <c r="S209" s="212">
        <f t="shared" si="141"/>
        <v>360001.18</v>
      </c>
      <c r="T209" s="212">
        <f t="shared" si="151"/>
        <v>302522</v>
      </c>
      <c r="U209" s="212">
        <f t="shared" si="152"/>
        <v>360001.18</v>
      </c>
      <c r="V209" s="460" t="s">
        <v>452</v>
      </c>
      <c r="W209" s="213">
        <v>46143</v>
      </c>
      <c r="X209" s="214" t="s">
        <v>90</v>
      </c>
      <c r="Y209" s="215" t="s">
        <v>441</v>
      </c>
      <c r="Z209" s="216" t="s">
        <v>90</v>
      </c>
      <c r="AA209" s="217">
        <v>361345</v>
      </c>
      <c r="AB209" s="217" t="s">
        <v>450</v>
      </c>
      <c r="AC209" s="217" t="s">
        <v>444</v>
      </c>
      <c r="AD209" s="218">
        <f t="shared" si="153"/>
        <v>361345</v>
      </c>
      <c r="AE209" s="219">
        <f t="shared" si="154"/>
        <v>68655.55</v>
      </c>
      <c r="AF209" s="219">
        <f t="shared" si="142"/>
        <v>430000.55</v>
      </c>
      <c r="AG209" s="219">
        <f t="shared" si="155"/>
        <v>361345</v>
      </c>
      <c r="AH209" s="219">
        <f t="shared" si="156"/>
        <v>430000.55</v>
      </c>
      <c r="AI209" s="461"/>
      <c r="AJ209" s="220"/>
      <c r="AK209" s="221"/>
      <c r="AL209" s="222"/>
      <c r="AM209" s="223"/>
      <c r="AN209" s="224"/>
      <c r="AO209" s="224"/>
      <c r="AP209" s="225"/>
      <c r="AQ209" s="226"/>
      <c r="AR209" s="227"/>
      <c r="AS209" s="227"/>
      <c r="AT209" s="227"/>
      <c r="AU209" s="227"/>
      <c r="AV209" s="228">
        <f>IF(A209="","",AVERAGE(S209,AF209,AS209))</f>
        <v>395000.86499999999</v>
      </c>
      <c r="AW209" s="228">
        <f>IF(A209="","",AVERAGE(U209,AH209,AU209))</f>
        <v>395000.86499999999</v>
      </c>
      <c r="AX209" s="228">
        <f>IF(N209="","",STDEV(U209,AH209,AU209))</f>
        <v>49497.029205786173</v>
      </c>
      <c r="AY209" s="229">
        <f t="shared" si="147"/>
        <v>0.12530866028808868</v>
      </c>
      <c r="AZ209" s="230"/>
      <c r="BA209" s="231">
        <f t="shared" si="148"/>
        <v>2</v>
      </c>
      <c r="BB209" s="231"/>
      <c r="BC209" s="231"/>
      <c r="BD209" s="231"/>
      <c r="BE209" s="231"/>
      <c r="BF209" s="231"/>
      <c r="BG209" s="231"/>
      <c r="BH209" s="231">
        <v>11</v>
      </c>
      <c r="BI209" s="232"/>
      <c r="BJ209" s="232"/>
      <c r="BK209" s="232"/>
      <c r="BL209" s="232"/>
      <c r="BM209" s="232"/>
      <c r="BN209" s="232"/>
      <c r="BO209" s="232"/>
      <c r="BP209" s="232"/>
      <c r="BQ209" s="232"/>
      <c r="BR209" s="232"/>
      <c r="BS209" s="232"/>
      <c r="BT209" s="232"/>
      <c r="BU209" s="232"/>
      <c r="BV209" s="232"/>
    </row>
    <row r="210" spans="1:74" ht="84" hidden="1" x14ac:dyDescent="0.25">
      <c r="A210" s="205" t="s">
        <v>438</v>
      </c>
      <c r="B210" s="205" t="s">
        <v>673</v>
      </c>
      <c r="C210" s="205" t="s">
        <v>674</v>
      </c>
      <c r="D210" s="205" t="s">
        <v>1119</v>
      </c>
      <c r="E210" s="206" t="s">
        <v>1120</v>
      </c>
      <c r="F210" s="458" t="s">
        <v>41</v>
      </c>
      <c r="G210" s="178">
        <v>1</v>
      </c>
      <c r="H210" s="458" t="s">
        <v>88</v>
      </c>
      <c r="I210" s="459" t="s">
        <v>454</v>
      </c>
      <c r="J210" s="207">
        <v>46143</v>
      </c>
      <c r="K210" s="208" t="s">
        <v>90</v>
      </c>
      <c r="L210" s="209" t="s">
        <v>441</v>
      </c>
      <c r="M210" s="207" t="s">
        <v>90</v>
      </c>
      <c r="N210" s="210">
        <v>361345</v>
      </c>
      <c r="O210" s="210" t="s">
        <v>450</v>
      </c>
      <c r="P210" s="210" t="s">
        <v>444</v>
      </c>
      <c r="Q210" s="211">
        <f t="shared" si="149"/>
        <v>361345</v>
      </c>
      <c r="R210" s="212">
        <f t="shared" si="150"/>
        <v>68655.55</v>
      </c>
      <c r="S210" s="212">
        <f t="shared" si="141"/>
        <v>430000.55</v>
      </c>
      <c r="T210" s="212">
        <f t="shared" si="151"/>
        <v>361345</v>
      </c>
      <c r="U210" s="212">
        <f t="shared" si="152"/>
        <v>430000.55</v>
      </c>
      <c r="V210" s="460" t="s">
        <v>452</v>
      </c>
      <c r="W210" s="213">
        <v>46143</v>
      </c>
      <c r="X210" s="214" t="s">
        <v>1109</v>
      </c>
      <c r="Y210" s="215" t="s">
        <v>441</v>
      </c>
      <c r="Z210" s="216" t="s">
        <v>1110</v>
      </c>
      <c r="AA210" s="217">
        <v>302522</v>
      </c>
      <c r="AB210" s="217" t="s">
        <v>450</v>
      </c>
      <c r="AC210" s="217" t="s">
        <v>444</v>
      </c>
      <c r="AD210" s="218">
        <f t="shared" si="153"/>
        <v>302522</v>
      </c>
      <c r="AE210" s="219">
        <f t="shared" si="154"/>
        <v>57479.18</v>
      </c>
      <c r="AF210" s="219">
        <f t="shared" si="142"/>
        <v>360001.18</v>
      </c>
      <c r="AG210" s="219">
        <f t="shared" si="155"/>
        <v>302522</v>
      </c>
      <c r="AH210" s="219">
        <f t="shared" si="156"/>
        <v>360001.18</v>
      </c>
      <c r="AI210" s="461"/>
      <c r="AJ210" s="220"/>
      <c r="AK210" s="221"/>
      <c r="AL210" s="222"/>
      <c r="AM210" s="223"/>
      <c r="AN210" s="224"/>
      <c r="AO210" s="224"/>
      <c r="AP210" s="225"/>
      <c r="AQ210" s="226"/>
      <c r="AR210" s="227"/>
      <c r="AS210" s="227"/>
      <c r="AT210" s="227"/>
      <c r="AU210" s="227"/>
      <c r="AV210" s="228">
        <f>IF(A210="","",AVERAGE(S210,AF210,AS210))</f>
        <v>395000.86499999999</v>
      </c>
      <c r="AW210" s="228">
        <f>IF(A210="","",AVERAGE(U210,AH210,AU210))</f>
        <v>395000.86499999999</v>
      </c>
      <c r="AX210" s="228">
        <f>IF(N210="","",STDEV(U210,AH210,AU210))</f>
        <v>49497.029205786173</v>
      </c>
      <c r="AY210" s="229">
        <f t="shared" si="147"/>
        <v>0.12530866028808868</v>
      </c>
      <c r="AZ210" s="230"/>
      <c r="BA210" s="231">
        <f t="shared" si="148"/>
        <v>2</v>
      </c>
      <c r="BB210" s="231"/>
      <c r="BC210" s="231"/>
      <c r="BD210" s="231"/>
      <c r="BE210" s="231"/>
      <c r="BF210" s="231"/>
      <c r="BG210" s="231"/>
      <c r="BH210" s="231">
        <v>13</v>
      </c>
      <c r="BI210" s="232"/>
      <c r="BJ210" s="232"/>
      <c r="BK210" s="232"/>
      <c r="BL210" s="232"/>
      <c r="BM210" s="232"/>
      <c r="BN210" s="232"/>
      <c r="BO210" s="232"/>
      <c r="BP210" s="232"/>
      <c r="BQ210" s="232"/>
      <c r="BR210" s="232"/>
      <c r="BS210" s="232"/>
      <c r="BT210" s="232"/>
      <c r="BU210" s="232"/>
      <c r="BV210" s="232"/>
    </row>
    <row r="211" spans="1:74" ht="84" hidden="1" x14ac:dyDescent="0.25">
      <c r="A211" s="205" t="s">
        <v>438</v>
      </c>
      <c r="B211" s="205" t="s">
        <v>673</v>
      </c>
      <c r="C211" s="205" t="s">
        <v>674</v>
      </c>
      <c r="D211" s="205" t="s">
        <v>1121</v>
      </c>
      <c r="E211" s="206" t="s">
        <v>1122</v>
      </c>
      <c r="F211" s="458" t="s">
        <v>41</v>
      </c>
      <c r="G211" s="178">
        <v>1</v>
      </c>
      <c r="H211" s="458" t="s">
        <v>88</v>
      </c>
      <c r="I211" s="459" t="s">
        <v>454</v>
      </c>
      <c r="J211" s="207">
        <v>46143</v>
      </c>
      <c r="K211" s="208" t="s">
        <v>90</v>
      </c>
      <c r="L211" s="209" t="s">
        <v>441</v>
      </c>
      <c r="M211" s="207" t="s">
        <v>90</v>
      </c>
      <c r="N211" s="210">
        <v>252101</v>
      </c>
      <c r="O211" s="210" t="s">
        <v>450</v>
      </c>
      <c r="P211" s="210" t="s">
        <v>444</v>
      </c>
      <c r="Q211" s="211">
        <f t="shared" si="149"/>
        <v>252101</v>
      </c>
      <c r="R211" s="212">
        <f t="shared" si="150"/>
        <v>47899.19</v>
      </c>
      <c r="S211" s="212">
        <f t="shared" si="141"/>
        <v>300000.19</v>
      </c>
      <c r="T211" s="212">
        <f t="shared" si="151"/>
        <v>252101</v>
      </c>
      <c r="U211" s="212">
        <f t="shared" si="152"/>
        <v>300000.19</v>
      </c>
      <c r="V211" s="460" t="s">
        <v>452</v>
      </c>
      <c r="W211" s="213">
        <v>46143</v>
      </c>
      <c r="X211" s="214" t="s">
        <v>1109</v>
      </c>
      <c r="Y211" s="215" t="s">
        <v>441</v>
      </c>
      <c r="Z211" s="216" t="s">
        <v>1110</v>
      </c>
      <c r="AA211" s="217">
        <v>302522</v>
      </c>
      <c r="AB211" s="217" t="s">
        <v>450</v>
      </c>
      <c r="AC211" s="217" t="s">
        <v>444</v>
      </c>
      <c r="AD211" s="218">
        <f t="shared" si="153"/>
        <v>302522</v>
      </c>
      <c r="AE211" s="219">
        <f t="shared" si="154"/>
        <v>57479.18</v>
      </c>
      <c r="AF211" s="219">
        <f t="shared" si="142"/>
        <v>360001.18</v>
      </c>
      <c r="AG211" s="219">
        <f t="shared" si="155"/>
        <v>302522</v>
      </c>
      <c r="AH211" s="219">
        <f t="shared" si="156"/>
        <v>360001.18</v>
      </c>
      <c r="AI211" s="461"/>
      <c r="AJ211" s="220"/>
      <c r="AK211" s="221"/>
      <c r="AL211" s="222"/>
      <c r="AM211" s="223"/>
      <c r="AN211" s="224"/>
      <c r="AO211" s="224"/>
      <c r="AP211" s="225"/>
      <c r="AQ211" s="226"/>
      <c r="AR211" s="227"/>
      <c r="AS211" s="227"/>
      <c r="AT211" s="227"/>
      <c r="AU211" s="227"/>
      <c r="AV211" s="228">
        <f>IF(A211="","",AVERAGE(S211,AF211,AS211))</f>
        <v>330000.685</v>
      </c>
      <c r="AW211" s="228">
        <f>IF(A211="","",AVERAGE(U211,AH211,AU211))</f>
        <v>330000.685</v>
      </c>
      <c r="AX211" s="228">
        <f>IF(N211="","",STDEV(U211,AH211,AU211))</f>
        <v>42427.106906906221</v>
      </c>
      <c r="AY211" s="229">
        <f t="shared" si="147"/>
        <v>0.12856672375363773</v>
      </c>
      <c r="AZ211" s="230"/>
      <c r="BA211" s="231">
        <f t="shared" si="148"/>
        <v>2</v>
      </c>
      <c r="BB211" s="231"/>
      <c r="BC211" s="231"/>
      <c r="BD211" s="231"/>
      <c r="BE211" s="231"/>
      <c r="BF211" s="231"/>
      <c r="BG211" s="231"/>
      <c r="BH211" s="231">
        <v>12</v>
      </c>
      <c r="BI211" s="232"/>
      <c r="BJ211" s="232"/>
      <c r="BK211" s="232"/>
      <c r="BL211" s="232"/>
      <c r="BM211" s="232"/>
      <c r="BN211" s="232"/>
      <c r="BO211" s="232"/>
      <c r="BP211" s="232"/>
      <c r="BQ211" s="232"/>
      <c r="BR211" s="232"/>
      <c r="BS211" s="232"/>
      <c r="BT211" s="232"/>
      <c r="BU211" s="232"/>
      <c r="BV211" s="232"/>
    </row>
    <row r="212" spans="1:74" ht="105" hidden="1" x14ac:dyDescent="0.25">
      <c r="A212" s="205" t="s">
        <v>496</v>
      </c>
      <c r="B212" s="205" t="s">
        <v>496</v>
      </c>
      <c r="C212" s="205" t="s">
        <v>496</v>
      </c>
      <c r="D212" s="205" t="s">
        <v>1123</v>
      </c>
      <c r="E212" s="206" t="s">
        <v>1124</v>
      </c>
      <c r="F212" s="458" t="s">
        <v>176</v>
      </c>
      <c r="G212" s="178">
        <v>1</v>
      </c>
      <c r="H212" s="458"/>
      <c r="I212" s="459" t="s">
        <v>496</v>
      </c>
      <c r="J212" s="207" t="s">
        <v>496</v>
      </c>
      <c r="K212" s="208" t="s">
        <v>496</v>
      </c>
      <c r="L212" s="209" t="s">
        <v>496</v>
      </c>
      <c r="M212" s="207" t="s">
        <v>496</v>
      </c>
      <c r="N212" s="210"/>
      <c r="O212" s="210"/>
      <c r="P212" s="210"/>
      <c r="Q212" s="211">
        <v>840000</v>
      </c>
      <c r="R212" s="212">
        <v>159600</v>
      </c>
      <c r="S212" s="212">
        <v>999600</v>
      </c>
      <c r="T212" s="212">
        <v>840000</v>
      </c>
      <c r="U212" s="212">
        <v>999600</v>
      </c>
      <c r="V212" s="460" t="s">
        <v>496</v>
      </c>
      <c r="W212" s="213" t="s">
        <v>496</v>
      </c>
      <c r="X212" s="214" t="s">
        <v>496</v>
      </c>
      <c r="Y212" s="215" t="s">
        <v>496</v>
      </c>
      <c r="Z212" s="216" t="s">
        <v>500</v>
      </c>
      <c r="AA212" s="217" t="s">
        <v>496</v>
      </c>
      <c r="AB212" s="217" t="s">
        <v>496</v>
      </c>
      <c r="AC212" s="217" t="s">
        <v>496</v>
      </c>
      <c r="AD212" s="218" t="s">
        <v>496</v>
      </c>
      <c r="AE212" s="219" t="s">
        <v>496</v>
      </c>
      <c r="AF212" s="219" t="s">
        <v>500</v>
      </c>
      <c r="AG212" s="219" t="s">
        <v>500</v>
      </c>
      <c r="AH212" s="219" t="s">
        <v>500</v>
      </c>
      <c r="AI212" s="461" t="s">
        <v>496</v>
      </c>
      <c r="AJ212" s="220" t="s">
        <v>496</v>
      </c>
      <c r="AK212" s="221" t="s">
        <v>496</v>
      </c>
      <c r="AL212" s="222" t="s">
        <v>496</v>
      </c>
      <c r="AM212" s="223" t="s">
        <v>166</v>
      </c>
      <c r="AN212" s="224" t="s">
        <v>496</v>
      </c>
      <c r="AO212" s="224" t="s">
        <v>496</v>
      </c>
      <c r="AP212" s="225" t="s">
        <v>496</v>
      </c>
      <c r="AQ212" s="226">
        <v>588235</v>
      </c>
      <c r="AR212" s="227">
        <v>111765</v>
      </c>
      <c r="AS212" s="227">
        <v>700000</v>
      </c>
      <c r="AT212" s="227">
        <v>588235</v>
      </c>
      <c r="AU212" s="227">
        <v>700000</v>
      </c>
      <c r="AV212" s="228">
        <v>849800</v>
      </c>
      <c r="AW212" s="228">
        <v>849800</v>
      </c>
      <c r="AX212" s="228">
        <v>211849.19</v>
      </c>
      <c r="AY212" s="229">
        <v>0.24929999999999999</v>
      </c>
      <c r="AZ212" s="230"/>
      <c r="BA212" s="231"/>
      <c r="BB212" s="231"/>
      <c r="BC212" s="231"/>
      <c r="BD212" s="231"/>
      <c r="BE212" s="231"/>
      <c r="BF212" s="231"/>
      <c r="BG212" s="231"/>
      <c r="BH212" s="231"/>
      <c r="BI212" s="232"/>
      <c r="BJ212" s="232"/>
      <c r="BK212" s="232"/>
      <c r="BL212" s="232"/>
      <c r="BM212" s="232"/>
      <c r="BN212" s="232"/>
      <c r="BO212" s="232"/>
      <c r="BP212" s="232"/>
      <c r="BQ212" s="232"/>
      <c r="BR212" s="232"/>
      <c r="BS212" s="232"/>
      <c r="BT212" s="232"/>
      <c r="BU212" s="232"/>
      <c r="BV212" s="232"/>
    </row>
    <row r="213" spans="1:74" ht="378" hidden="1" x14ac:dyDescent="0.25">
      <c r="A213" s="205" t="s">
        <v>496</v>
      </c>
      <c r="B213" s="205" t="s">
        <v>496</v>
      </c>
      <c r="C213" s="205" t="s">
        <v>496</v>
      </c>
      <c r="D213" s="205" t="s">
        <v>1125</v>
      </c>
      <c r="E213" s="206" t="s">
        <v>1126</v>
      </c>
      <c r="F213" s="458" t="s">
        <v>499</v>
      </c>
      <c r="G213" s="178">
        <v>1</v>
      </c>
      <c r="H213" s="458"/>
      <c r="I213" s="459" t="s">
        <v>496</v>
      </c>
      <c r="J213" s="207" t="s">
        <v>496</v>
      </c>
      <c r="K213" s="208" t="s">
        <v>496</v>
      </c>
      <c r="L213" s="209" t="s">
        <v>496</v>
      </c>
      <c r="M213" s="207" t="s">
        <v>496</v>
      </c>
      <c r="N213" s="210"/>
      <c r="O213" s="210"/>
      <c r="P213" s="210"/>
      <c r="Q213" s="211" t="s">
        <v>500</v>
      </c>
      <c r="R213" s="212" t="s">
        <v>500</v>
      </c>
      <c r="S213" s="212" t="s">
        <v>500</v>
      </c>
      <c r="T213" s="212" t="s">
        <v>500</v>
      </c>
      <c r="U213" s="212" t="s">
        <v>500</v>
      </c>
      <c r="V213" s="460" t="s">
        <v>496</v>
      </c>
      <c r="W213" s="213" t="s">
        <v>496</v>
      </c>
      <c r="X213" s="214" t="s">
        <v>496</v>
      </c>
      <c r="Y213" s="215" t="s">
        <v>496</v>
      </c>
      <c r="Z213" s="216" t="s">
        <v>165</v>
      </c>
      <c r="AA213" s="217" t="s">
        <v>496</v>
      </c>
      <c r="AB213" s="217" t="s">
        <v>496</v>
      </c>
      <c r="AC213" s="217" t="s">
        <v>496</v>
      </c>
      <c r="AD213" s="218" t="s">
        <v>496</v>
      </c>
      <c r="AE213" s="219" t="s">
        <v>496</v>
      </c>
      <c r="AF213" s="219">
        <v>998691</v>
      </c>
      <c r="AG213" s="219">
        <v>5.5599999999999997E-2</v>
      </c>
      <c r="AH213" s="219">
        <v>1054218</v>
      </c>
      <c r="AI213" s="461" t="s">
        <v>496</v>
      </c>
      <c r="AJ213" s="220" t="s">
        <v>496</v>
      </c>
      <c r="AK213" s="221" t="s">
        <v>496</v>
      </c>
      <c r="AL213" s="222" t="s">
        <v>496</v>
      </c>
      <c r="AM213" s="223" t="s">
        <v>166</v>
      </c>
      <c r="AN213" s="224" t="s">
        <v>496</v>
      </c>
      <c r="AO213" s="224" t="s">
        <v>496</v>
      </c>
      <c r="AP213" s="225" t="s">
        <v>496</v>
      </c>
      <c r="AQ213" s="226">
        <v>856021</v>
      </c>
      <c r="AR213" s="227">
        <v>162644</v>
      </c>
      <c r="AS213" s="227">
        <v>1018665</v>
      </c>
      <c r="AT213" s="227">
        <v>856021</v>
      </c>
      <c r="AU213" s="227">
        <v>1018665</v>
      </c>
      <c r="AV213" s="228">
        <v>1036442</v>
      </c>
      <c r="AW213" s="228">
        <v>1036442</v>
      </c>
      <c r="AX213" s="228">
        <v>25140.06</v>
      </c>
      <c r="AY213" s="229">
        <v>2.4299999999999999E-2</v>
      </c>
      <c r="AZ213" s="230"/>
      <c r="BA213" s="231"/>
      <c r="BB213" s="231"/>
      <c r="BC213" s="231"/>
      <c r="BD213" s="231"/>
      <c r="BE213" s="231"/>
      <c r="BF213" s="231"/>
      <c r="BG213" s="231"/>
      <c r="BH213" s="231"/>
      <c r="BI213" s="232"/>
      <c r="BJ213" s="232"/>
      <c r="BK213" s="232"/>
      <c r="BL213" s="232"/>
      <c r="BM213" s="232"/>
      <c r="BN213" s="232"/>
      <c r="BO213" s="232"/>
      <c r="BP213" s="232"/>
      <c r="BQ213" s="232"/>
      <c r="BR213" s="232"/>
      <c r="BS213" s="232"/>
      <c r="BT213" s="232"/>
      <c r="BU213" s="232"/>
      <c r="BV213" s="232"/>
    </row>
    <row r="214" spans="1:74" ht="409.5" hidden="1" x14ac:dyDescent="0.25">
      <c r="A214" s="205" t="s">
        <v>496</v>
      </c>
      <c r="B214" s="205" t="s">
        <v>496</v>
      </c>
      <c r="C214" s="205" t="s">
        <v>496</v>
      </c>
      <c r="D214" s="205" t="s">
        <v>1127</v>
      </c>
      <c r="E214" s="206" t="s">
        <v>1128</v>
      </c>
      <c r="F214" s="458" t="s">
        <v>499</v>
      </c>
      <c r="G214" s="178">
        <v>1</v>
      </c>
      <c r="H214" s="458"/>
      <c r="I214" s="459" t="s">
        <v>496</v>
      </c>
      <c r="J214" s="207" t="s">
        <v>496</v>
      </c>
      <c r="K214" s="208" t="s">
        <v>496</v>
      </c>
      <c r="L214" s="209" t="s">
        <v>496</v>
      </c>
      <c r="M214" s="207" t="s">
        <v>496</v>
      </c>
      <c r="N214" s="210"/>
      <c r="O214" s="210"/>
      <c r="P214" s="210"/>
      <c r="Q214" s="211" t="s">
        <v>500</v>
      </c>
      <c r="R214" s="212" t="s">
        <v>500</v>
      </c>
      <c r="S214" s="212" t="s">
        <v>500</v>
      </c>
      <c r="T214" s="212" t="s">
        <v>500</v>
      </c>
      <c r="U214" s="212" t="s">
        <v>500</v>
      </c>
      <c r="V214" s="460" t="s">
        <v>496</v>
      </c>
      <c r="W214" s="213" t="s">
        <v>496</v>
      </c>
      <c r="X214" s="214" t="s">
        <v>496</v>
      </c>
      <c r="Y214" s="215" t="s">
        <v>496</v>
      </c>
      <c r="Z214" s="216" t="s">
        <v>165</v>
      </c>
      <c r="AA214" s="217" t="s">
        <v>496</v>
      </c>
      <c r="AB214" s="217" t="s">
        <v>496</v>
      </c>
      <c r="AC214" s="217" t="s">
        <v>496</v>
      </c>
      <c r="AD214" s="218" t="s">
        <v>496</v>
      </c>
      <c r="AE214" s="219" t="s">
        <v>496</v>
      </c>
      <c r="AF214" s="219">
        <v>1642500</v>
      </c>
      <c r="AG214" s="219">
        <v>5.5599999999999997E-2</v>
      </c>
      <c r="AH214" s="219">
        <v>1733823</v>
      </c>
      <c r="AI214" s="461" t="s">
        <v>496</v>
      </c>
      <c r="AJ214" s="220" t="s">
        <v>496</v>
      </c>
      <c r="AK214" s="221" t="s">
        <v>496</v>
      </c>
      <c r="AL214" s="222" t="s">
        <v>496</v>
      </c>
      <c r="AM214" s="223" t="s">
        <v>166</v>
      </c>
      <c r="AN214" s="224" t="s">
        <v>496</v>
      </c>
      <c r="AO214" s="224" t="s">
        <v>496</v>
      </c>
      <c r="AP214" s="225" t="s">
        <v>496</v>
      </c>
      <c r="AQ214" s="226">
        <v>1435462</v>
      </c>
      <c r="AR214" s="227">
        <v>272738</v>
      </c>
      <c r="AS214" s="227">
        <v>1708200</v>
      </c>
      <c r="AT214" s="227">
        <v>1435462</v>
      </c>
      <c r="AU214" s="227">
        <v>1708200</v>
      </c>
      <c r="AV214" s="228">
        <v>1721012</v>
      </c>
      <c r="AW214" s="228">
        <v>1721012</v>
      </c>
      <c r="AX214" s="228">
        <v>18118.2</v>
      </c>
      <c r="AY214" s="229">
        <v>1.0500000000000001E-2</v>
      </c>
      <c r="AZ214" s="230"/>
      <c r="BA214" s="231"/>
      <c r="BB214" s="231"/>
      <c r="BC214" s="231"/>
      <c r="BD214" s="231"/>
      <c r="BE214" s="231"/>
      <c r="BF214" s="231"/>
      <c r="BG214" s="231"/>
      <c r="BH214" s="231"/>
      <c r="BI214" s="232"/>
      <c r="BJ214" s="232"/>
      <c r="BK214" s="232"/>
      <c r="BL214" s="232"/>
      <c r="BM214" s="232"/>
      <c r="BN214" s="232"/>
      <c r="BO214" s="232"/>
      <c r="BP214" s="232"/>
      <c r="BQ214" s="232"/>
      <c r="BR214" s="232"/>
      <c r="BS214" s="232"/>
      <c r="BT214" s="232"/>
      <c r="BU214" s="232"/>
      <c r="BV214" s="232"/>
    </row>
    <row r="215" spans="1:74" ht="409.5" hidden="1" x14ac:dyDescent="0.25">
      <c r="A215" s="205" t="s">
        <v>496</v>
      </c>
      <c r="B215" s="205" t="s">
        <v>496</v>
      </c>
      <c r="C215" s="205" t="s">
        <v>496</v>
      </c>
      <c r="D215" s="205" t="s">
        <v>1129</v>
      </c>
      <c r="E215" s="206" t="s">
        <v>1130</v>
      </c>
      <c r="F215" s="458" t="s">
        <v>499</v>
      </c>
      <c r="G215" s="178">
        <v>1</v>
      </c>
      <c r="H215" s="458"/>
      <c r="I215" s="459" t="s">
        <v>496</v>
      </c>
      <c r="J215" s="207" t="s">
        <v>496</v>
      </c>
      <c r="K215" s="208" t="s">
        <v>496</v>
      </c>
      <c r="L215" s="209" t="s">
        <v>496</v>
      </c>
      <c r="M215" s="207" t="s">
        <v>496</v>
      </c>
      <c r="N215" s="210"/>
      <c r="O215" s="210"/>
      <c r="P215" s="210"/>
      <c r="Q215" s="211" t="s">
        <v>500</v>
      </c>
      <c r="R215" s="212" t="s">
        <v>500</v>
      </c>
      <c r="S215" s="212" t="s">
        <v>500</v>
      </c>
      <c r="T215" s="212" t="s">
        <v>500</v>
      </c>
      <c r="U215" s="212" t="s">
        <v>500</v>
      </c>
      <c r="V215" s="460" t="s">
        <v>496</v>
      </c>
      <c r="W215" s="213" t="s">
        <v>496</v>
      </c>
      <c r="X215" s="214" t="s">
        <v>496</v>
      </c>
      <c r="Y215" s="215" t="s">
        <v>496</v>
      </c>
      <c r="Z215" s="216" t="s">
        <v>165</v>
      </c>
      <c r="AA215" s="217" t="s">
        <v>496</v>
      </c>
      <c r="AB215" s="217" t="s">
        <v>496</v>
      </c>
      <c r="AC215" s="217" t="s">
        <v>496</v>
      </c>
      <c r="AD215" s="218" t="s">
        <v>496</v>
      </c>
      <c r="AE215" s="219" t="s">
        <v>496</v>
      </c>
      <c r="AF215" s="219">
        <v>1255750</v>
      </c>
      <c r="AG215" s="219">
        <v>5.5599999999999997E-2</v>
      </c>
      <c r="AH215" s="219">
        <v>1325570</v>
      </c>
      <c r="AI215" s="461" t="s">
        <v>496</v>
      </c>
      <c r="AJ215" s="220" t="s">
        <v>496</v>
      </c>
      <c r="AK215" s="221" t="s">
        <v>496</v>
      </c>
      <c r="AL215" s="222" t="s">
        <v>496</v>
      </c>
      <c r="AM215" s="223" t="s">
        <v>166</v>
      </c>
      <c r="AN215" s="224" t="s">
        <v>496</v>
      </c>
      <c r="AO215" s="224" t="s">
        <v>496</v>
      </c>
      <c r="AP215" s="225" t="s">
        <v>496</v>
      </c>
      <c r="AQ215" s="226">
        <v>1097462</v>
      </c>
      <c r="AR215" s="227">
        <v>208518</v>
      </c>
      <c r="AS215" s="227">
        <v>1305980</v>
      </c>
      <c r="AT215" s="227">
        <v>1097462</v>
      </c>
      <c r="AU215" s="227">
        <v>1305980</v>
      </c>
      <c r="AV215" s="228">
        <v>1315775</v>
      </c>
      <c r="AW215" s="228">
        <v>1315775</v>
      </c>
      <c r="AX215" s="228">
        <v>13852.01</v>
      </c>
      <c r="AY215" s="229">
        <v>1.0500000000000001E-2</v>
      </c>
      <c r="AZ215" s="230"/>
      <c r="BA215" s="231"/>
      <c r="BB215" s="231"/>
      <c r="BC215" s="231"/>
      <c r="BD215" s="231"/>
      <c r="BE215" s="231"/>
      <c r="BF215" s="231"/>
      <c r="BG215" s="231"/>
      <c r="BH215" s="231"/>
      <c r="BI215" s="232"/>
      <c r="BJ215" s="232"/>
      <c r="BK215" s="232"/>
      <c r="BL215" s="232"/>
      <c r="BM215" s="232"/>
      <c r="BN215" s="232"/>
      <c r="BO215" s="232"/>
      <c r="BP215" s="232"/>
      <c r="BQ215" s="232"/>
      <c r="BR215" s="232"/>
      <c r="BS215" s="232"/>
      <c r="BT215" s="232"/>
      <c r="BU215" s="232"/>
      <c r="BV215" s="232"/>
    </row>
    <row r="216" spans="1:74" ht="409.5" hidden="1" x14ac:dyDescent="0.25">
      <c r="A216" s="205" t="s">
        <v>496</v>
      </c>
      <c r="B216" s="205" t="s">
        <v>496</v>
      </c>
      <c r="C216" s="205" t="s">
        <v>496</v>
      </c>
      <c r="D216" s="205" t="s">
        <v>1131</v>
      </c>
      <c r="E216" s="206" t="s">
        <v>1132</v>
      </c>
      <c r="F216" s="458" t="s">
        <v>499</v>
      </c>
      <c r="G216" s="178">
        <v>1</v>
      </c>
      <c r="H216" s="458"/>
      <c r="I216" s="459" t="s">
        <v>496</v>
      </c>
      <c r="J216" s="207" t="s">
        <v>496</v>
      </c>
      <c r="K216" s="208" t="s">
        <v>496</v>
      </c>
      <c r="L216" s="209" t="s">
        <v>496</v>
      </c>
      <c r="M216" s="207" t="s">
        <v>496</v>
      </c>
      <c r="N216" s="210"/>
      <c r="O216" s="210"/>
      <c r="P216" s="210"/>
      <c r="Q216" s="211" t="s">
        <v>500</v>
      </c>
      <c r="R216" s="212" t="s">
        <v>500</v>
      </c>
      <c r="S216" s="212" t="s">
        <v>500</v>
      </c>
      <c r="T216" s="212" t="s">
        <v>500</v>
      </c>
      <c r="U216" s="212" t="s">
        <v>500</v>
      </c>
      <c r="V216" s="460" t="s">
        <v>496</v>
      </c>
      <c r="W216" s="213" t="s">
        <v>496</v>
      </c>
      <c r="X216" s="214" t="s">
        <v>496</v>
      </c>
      <c r="Y216" s="215" t="s">
        <v>496</v>
      </c>
      <c r="Z216" s="216" t="s">
        <v>165</v>
      </c>
      <c r="AA216" s="217" t="s">
        <v>496</v>
      </c>
      <c r="AB216" s="217" t="s">
        <v>496</v>
      </c>
      <c r="AC216" s="217" t="s">
        <v>496</v>
      </c>
      <c r="AD216" s="218" t="s">
        <v>496</v>
      </c>
      <c r="AE216" s="219" t="s">
        <v>496</v>
      </c>
      <c r="AF216" s="219">
        <v>1325000</v>
      </c>
      <c r="AG216" s="219">
        <v>5.5599999999999997E-2</v>
      </c>
      <c r="AH216" s="219">
        <v>1398670</v>
      </c>
      <c r="AI216" s="461" t="s">
        <v>496</v>
      </c>
      <c r="AJ216" s="220" t="s">
        <v>496</v>
      </c>
      <c r="AK216" s="221" t="s">
        <v>496</v>
      </c>
      <c r="AL216" s="222" t="s">
        <v>496</v>
      </c>
      <c r="AM216" s="223" t="s">
        <v>166</v>
      </c>
      <c r="AN216" s="224" t="s">
        <v>496</v>
      </c>
      <c r="AO216" s="224" t="s">
        <v>496</v>
      </c>
      <c r="AP216" s="225" t="s">
        <v>496</v>
      </c>
      <c r="AQ216" s="226">
        <v>1157983</v>
      </c>
      <c r="AR216" s="227">
        <v>220017</v>
      </c>
      <c r="AS216" s="227">
        <v>1378000</v>
      </c>
      <c r="AT216" s="227">
        <v>1157983</v>
      </c>
      <c r="AU216" s="227">
        <v>1378000</v>
      </c>
      <c r="AV216" s="228">
        <v>1388335</v>
      </c>
      <c r="AW216" s="228">
        <v>1388335</v>
      </c>
      <c r="AX216" s="228">
        <v>14615.9</v>
      </c>
      <c r="AY216" s="229">
        <v>1.0500000000000001E-2</v>
      </c>
      <c r="AZ216" s="230"/>
      <c r="BA216" s="231"/>
      <c r="BB216" s="231"/>
      <c r="BC216" s="231"/>
      <c r="BD216" s="231"/>
      <c r="BE216" s="231"/>
      <c r="BF216" s="231"/>
      <c r="BG216" s="231"/>
      <c r="BH216" s="231"/>
      <c r="BI216" s="232"/>
      <c r="BJ216" s="232"/>
      <c r="BK216" s="232"/>
      <c r="BL216" s="232"/>
      <c r="BM216" s="232"/>
      <c r="BN216" s="232"/>
      <c r="BO216" s="232"/>
      <c r="BP216" s="232"/>
      <c r="BQ216" s="232"/>
      <c r="BR216" s="232"/>
      <c r="BS216" s="232"/>
      <c r="BT216" s="232"/>
      <c r="BU216" s="232"/>
      <c r="BV216" s="232"/>
    </row>
    <row r="217" spans="1:74" ht="409.5" hidden="1" x14ac:dyDescent="0.25">
      <c r="A217" s="205" t="s">
        <v>438</v>
      </c>
      <c r="B217" s="205" t="s">
        <v>487</v>
      </c>
      <c r="C217" s="205">
        <v>78111803</v>
      </c>
      <c r="D217" s="205" t="s">
        <v>1133</v>
      </c>
      <c r="E217" s="206" t="s">
        <v>1134</v>
      </c>
      <c r="F217" s="458" t="s">
        <v>176</v>
      </c>
      <c r="G217" s="178">
        <v>1</v>
      </c>
      <c r="H217" s="458" t="s">
        <v>88</v>
      </c>
      <c r="I217" s="459" t="s">
        <v>440</v>
      </c>
      <c r="J217" s="207">
        <v>46085</v>
      </c>
      <c r="K217" s="208" t="s">
        <v>1135</v>
      </c>
      <c r="L217" s="209" t="s">
        <v>446</v>
      </c>
      <c r="M217" s="207" t="s">
        <v>1136</v>
      </c>
      <c r="N217" s="210">
        <v>468000</v>
      </c>
      <c r="O217" s="210" t="s">
        <v>450</v>
      </c>
      <c r="P217" s="210" t="s">
        <v>468</v>
      </c>
      <c r="Q217" s="211">
        <f t="shared" ref="Q217:Q230" si="157">IF(O217="IVA Incluido",(N217/1.19),N217)</f>
        <v>468000</v>
      </c>
      <c r="R217" s="212">
        <f t="shared" ref="R217:R230" si="158">IF(P217="Si tiene IVA",Q217*19%,0)</f>
        <v>0</v>
      </c>
      <c r="S217" s="212">
        <f t="shared" ref="S217:S230" si="159">Q217+R217</f>
        <v>468000</v>
      </c>
      <c r="T217" s="212">
        <f t="shared" ref="T217:T229" si="160">IF(B217="","",(N217*G217))</f>
        <v>468000</v>
      </c>
      <c r="U217" s="212">
        <f t="shared" ref="U217:U230" si="161">IF(B217="","",(S217*G217))</f>
        <v>468000</v>
      </c>
      <c r="V217" s="460" t="s">
        <v>605</v>
      </c>
      <c r="W217" s="213">
        <v>46140</v>
      </c>
      <c r="X217" s="214" t="s">
        <v>1137</v>
      </c>
      <c r="Y217" s="215" t="s">
        <v>446</v>
      </c>
      <c r="Z217" s="216" t="s">
        <v>1138</v>
      </c>
      <c r="AA217" s="217">
        <v>536000</v>
      </c>
      <c r="AB217" s="217" t="s">
        <v>450</v>
      </c>
      <c r="AC217" s="217" t="s">
        <v>468</v>
      </c>
      <c r="AD217" s="218">
        <f>IF(AB217="IVA Incluido",(AA217/1.19),IF(AB217="Ipoconsumo Incluido",(AA217/1.08),AA217))</f>
        <v>536000</v>
      </c>
      <c r="AE217" s="219">
        <f t="shared" ref="AE217:AE230" si="162">IF(AC217="Si tiene IVA",AD217*19%,0)</f>
        <v>0</v>
      </c>
      <c r="AF217" s="219">
        <f t="shared" ref="AF217:AF230" si="163">AD217+AE217</f>
        <v>536000</v>
      </c>
      <c r="AG217" s="219">
        <f t="shared" ref="AG217:AG222" si="164">IF(O217="","",(AA217*G217))</f>
        <v>536000</v>
      </c>
      <c r="AH217" s="219">
        <f t="shared" ref="AH217:AH222" si="165">IF(O217="","",(AF217*G217))</f>
        <v>536000</v>
      </c>
      <c r="AI217" s="461" t="s">
        <v>605</v>
      </c>
      <c r="AJ217" s="220">
        <v>46140</v>
      </c>
      <c r="AK217" s="221" t="s">
        <v>1139</v>
      </c>
      <c r="AL217" s="222" t="s">
        <v>446</v>
      </c>
      <c r="AM217" s="223" t="s">
        <v>1140</v>
      </c>
      <c r="AN217" s="224">
        <v>700000</v>
      </c>
      <c r="AO217" s="224" t="s">
        <v>450</v>
      </c>
      <c r="AP217" s="225" t="s">
        <v>468</v>
      </c>
      <c r="AQ217" s="226">
        <f>IF(AO217="IVA Incluido",(AN217/1.19),IF(AO217="Ipoconsumo Incluido",(AN217/1.08),AN217))</f>
        <v>700000</v>
      </c>
      <c r="AR217" s="227">
        <f>IF(AP217="Si tiene IVA",AQ217*19%,0)</f>
        <v>0</v>
      </c>
      <c r="AS217" s="227">
        <f>AQ217+AR217</f>
        <v>700000</v>
      </c>
      <c r="AT217" s="227">
        <f>IF(AB217="","",(AN217*G217))</f>
        <v>700000</v>
      </c>
      <c r="AU217" s="227">
        <f>IF(AB217="","",(AS217*G217))</f>
        <v>700000</v>
      </c>
      <c r="AV217" s="228">
        <f>IF(A217="","",AVERAGE(S217,AF217,AS217))</f>
        <v>568000</v>
      </c>
      <c r="AW217" s="228">
        <f>IF(A217="","",AVERAGE(U217,AH217,AU217))</f>
        <v>568000</v>
      </c>
      <c r="AX217" s="228">
        <f>IF(N217="","",STDEV(U217,AH217,AU217))</f>
        <v>119264.41212700459</v>
      </c>
      <c r="AY217" s="229">
        <f t="shared" ref="AY217:AY230" si="166">IF(N217="","",(AX217/AW217))</f>
        <v>0.2099725565616278</v>
      </c>
      <c r="AZ217" s="230"/>
      <c r="BA217" s="231">
        <f t="shared" ref="BA217:BA230" si="167">COUNTA(M217,Z217,AM217)</f>
        <v>3</v>
      </c>
      <c r="BB217" s="231"/>
      <c r="BC217" s="231"/>
      <c r="BD217" s="231"/>
      <c r="BE217" s="231"/>
      <c r="BF217" s="231"/>
      <c r="BG217" s="231"/>
      <c r="BH217" s="231">
        <v>18</v>
      </c>
      <c r="BI217" s="232"/>
      <c r="BJ217" s="232"/>
      <c r="BK217" s="232"/>
      <c r="BL217" s="232"/>
      <c r="BM217" s="232"/>
      <c r="BN217" s="232"/>
      <c r="BO217" s="232"/>
      <c r="BP217" s="232"/>
      <c r="BQ217" s="232"/>
      <c r="BR217" s="232"/>
      <c r="BS217" s="232"/>
      <c r="BT217" s="232"/>
      <c r="BU217" s="232"/>
      <c r="BV217" s="232"/>
    </row>
    <row r="218" spans="1:74" ht="409.5" hidden="1" x14ac:dyDescent="0.25">
      <c r="A218" s="205" t="s">
        <v>438</v>
      </c>
      <c r="B218" s="205" t="s">
        <v>487</v>
      </c>
      <c r="C218" s="205">
        <v>78111803</v>
      </c>
      <c r="D218" s="205" t="s">
        <v>1141</v>
      </c>
      <c r="E218" s="206" t="s">
        <v>1134</v>
      </c>
      <c r="F218" s="458" t="s">
        <v>176</v>
      </c>
      <c r="G218" s="178">
        <v>1</v>
      </c>
      <c r="H218" s="458" t="s">
        <v>88</v>
      </c>
      <c r="I218" s="459" t="s">
        <v>440</v>
      </c>
      <c r="J218" s="207">
        <v>46085</v>
      </c>
      <c r="K218" s="208" t="s">
        <v>1142</v>
      </c>
      <c r="L218" s="209" t="s">
        <v>441</v>
      </c>
      <c r="M218" s="207" t="s">
        <v>1143</v>
      </c>
      <c r="N218" s="210">
        <v>385000</v>
      </c>
      <c r="O218" s="210" t="s">
        <v>450</v>
      </c>
      <c r="P218" s="210" t="s">
        <v>468</v>
      </c>
      <c r="Q218" s="211">
        <f t="shared" si="157"/>
        <v>385000</v>
      </c>
      <c r="R218" s="212">
        <f t="shared" si="158"/>
        <v>0</v>
      </c>
      <c r="S218" s="212">
        <f t="shared" si="159"/>
        <v>385000</v>
      </c>
      <c r="T218" s="212">
        <f t="shared" si="160"/>
        <v>385000</v>
      </c>
      <c r="U218" s="212">
        <f t="shared" si="161"/>
        <v>385000</v>
      </c>
      <c r="V218" s="460" t="s">
        <v>605</v>
      </c>
      <c r="W218" s="213">
        <v>46140</v>
      </c>
      <c r="X218" s="214" t="s">
        <v>1139</v>
      </c>
      <c r="Y218" s="215" t="s">
        <v>446</v>
      </c>
      <c r="Z218" s="216" t="s">
        <v>1140</v>
      </c>
      <c r="AA218" s="217">
        <v>350000</v>
      </c>
      <c r="AB218" s="217" t="s">
        <v>450</v>
      </c>
      <c r="AC218" s="217" t="s">
        <v>468</v>
      </c>
      <c r="AD218" s="218">
        <f>IF(AB218="IVA Incluido",(AA218/1.19),AA218)</f>
        <v>350000</v>
      </c>
      <c r="AE218" s="219">
        <f t="shared" si="162"/>
        <v>0</v>
      </c>
      <c r="AF218" s="219">
        <f t="shared" si="163"/>
        <v>350000</v>
      </c>
      <c r="AG218" s="219">
        <f t="shared" si="164"/>
        <v>350000</v>
      </c>
      <c r="AH218" s="219">
        <f t="shared" si="165"/>
        <v>350000</v>
      </c>
      <c r="AI218" s="461" t="s">
        <v>677</v>
      </c>
      <c r="AJ218" s="220">
        <v>46149</v>
      </c>
      <c r="AK218" s="221" t="s">
        <v>1135</v>
      </c>
      <c r="AL218" s="222" t="s">
        <v>441</v>
      </c>
      <c r="AM218" s="223" t="s">
        <v>1135</v>
      </c>
      <c r="AN218" s="224">
        <v>285000</v>
      </c>
      <c r="AO218" s="224" t="s">
        <v>450</v>
      </c>
      <c r="AP218" s="225" t="s">
        <v>468</v>
      </c>
      <c r="AQ218" s="226">
        <f>IF(AO218="IVA Incluido",(AN218/1.19),AN218)</f>
        <v>285000</v>
      </c>
      <c r="AR218" s="227">
        <f>IF(AP218="Si tiene IVA",AQ218*19%,0)</f>
        <v>0</v>
      </c>
      <c r="AS218" s="227">
        <f>AQ218+AR218</f>
        <v>285000</v>
      </c>
      <c r="AT218" s="227">
        <f>IF(AB218="","",(AN218*G218))</f>
        <v>285000</v>
      </c>
      <c r="AU218" s="227">
        <f>IF(AB218="","",(AS218*G218))</f>
        <v>285000</v>
      </c>
      <c r="AV218" s="228">
        <f>IF(A218="","",AVERAGE(S218,AF218,AS218))</f>
        <v>340000</v>
      </c>
      <c r="AW218" s="228">
        <f>IF(A218="","",AVERAGE(U218,AH218,AU218))</f>
        <v>340000</v>
      </c>
      <c r="AX218" s="228">
        <f>IF(N218="","",STDEV(U218,AH218,AU218))</f>
        <v>50744.457825461097</v>
      </c>
      <c r="AY218" s="229">
        <f t="shared" si="166"/>
        <v>0.14924840536900322</v>
      </c>
      <c r="AZ218" s="230"/>
      <c r="BA218" s="231">
        <f t="shared" si="167"/>
        <v>3</v>
      </c>
      <c r="BB218" s="231"/>
      <c r="BC218" s="231"/>
      <c r="BD218" s="231"/>
      <c r="BE218" s="231"/>
      <c r="BF218" s="231"/>
      <c r="BG218" s="231"/>
      <c r="BH218" s="231">
        <v>20</v>
      </c>
      <c r="BI218" s="232"/>
      <c r="BJ218" s="232"/>
      <c r="BK218" s="232"/>
      <c r="BL218" s="232"/>
      <c r="BM218" s="232"/>
      <c r="BN218" s="232"/>
      <c r="BO218" s="232"/>
      <c r="BP218" s="232"/>
      <c r="BQ218" s="232"/>
      <c r="BR218" s="232"/>
      <c r="BS218" s="232"/>
      <c r="BT218" s="232"/>
      <c r="BU218" s="232"/>
      <c r="BV218" s="232"/>
    </row>
    <row r="219" spans="1:74" ht="409.5" hidden="1" x14ac:dyDescent="0.25">
      <c r="A219" s="205" t="s">
        <v>438</v>
      </c>
      <c r="B219" s="205" t="s">
        <v>487</v>
      </c>
      <c r="C219" s="205">
        <v>78111803</v>
      </c>
      <c r="D219" s="205" t="s">
        <v>1144</v>
      </c>
      <c r="E219" s="206" t="s">
        <v>1145</v>
      </c>
      <c r="F219" s="458" t="s">
        <v>176</v>
      </c>
      <c r="G219" s="178">
        <v>1</v>
      </c>
      <c r="H219" s="458" t="s">
        <v>88</v>
      </c>
      <c r="I219" s="459" t="s">
        <v>440</v>
      </c>
      <c r="J219" s="207">
        <v>46085</v>
      </c>
      <c r="K219" s="208" t="s">
        <v>1135</v>
      </c>
      <c r="L219" s="209" t="s">
        <v>446</v>
      </c>
      <c r="M219" s="207" t="s">
        <v>1136</v>
      </c>
      <c r="N219" s="210">
        <v>715000</v>
      </c>
      <c r="O219" s="210" t="s">
        <v>450</v>
      </c>
      <c r="P219" s="210" t="s">
        <v>468</v>
      </c>
      <c r="Q219" s="211">
        <f t="shared" si="157"/>
        <v>715000</v>
      </c>
      <c r="R219" s="212">
        <f t="shared" si="158"/>
        <v>0</v>
      </c>
      <c r="S219" s="212">
        <f t="shared" si="159"/>
        <v>715000</v>
      </c>
      <c r="T219" s="212">
        <f t="shared" si="160"/>
        <v>715000</v>
      </c>
      <c r="U219" s="212">
        <f t="shared" si="161"/>
        <v>715000</v>
      </c>
      <c r="V219" s="460" t="s">
        <v>440</v>
      </c>
      <c r="W219" s="213">
        <v>46085</v>
      </c>
      <c r="X219" s="214" t="s">
        <v>1142</v>
      </c>
      <c r="Y219" s="215" t="s">
        <v>441</v>
      </c>
      <c r="Z219" s="216" t="s">
        <v>1143</v>
      </c>
      <c r="AA219" s="217">
        <v>715000</v>
      </c>
      <c r="AB219" s="217" t="s">
        <v>450</v>
      </c>
      <c r="AC219" s="217" t="s">
        <v>468</v>
      </c>
      <c r="AD219" s="218">
        <f>IF(AB219="IVA Incluido",(AA219/1.19),AA219)</f>
        <v>715000</v>
      </c>
      <c r="AE219" s="219">
        <f t="shared" si="162"/>
        <v>0</v>
      </c>
      <c r="AF219" s="219">
        <f t="shared" si="163"/>
        <v>715000</v>
      </c>
      <c r="AG219" s="219">
        <f t="shared" si="164"/>
        <v>715000</v>
      </c>
      <c r="AH219" s="219">
        <f t="shared" si="165"/>
        <v>715000</v>
      </c>
      <c r="AI219" s="461"/>
      <c r="AJ219" s="220"/>
      <c r="AK219" s="221"/>
      <c r="AL219" s="222"/>
      <c r="AM219" s="223"/>
      <c r="AN219" s="224"/>
      <c r="AO219" s="224"/>
      <c r="AP219" s="225"/>
      <c r="AQ219" s="226"/>
      <c r="AR219" s="227"/>
      <c r="AS219" s="227"/>
      <c r="AT219" s="227"/>
      <c r="AU219" s="227"/>
      <c r="AV219" s="228">
        <f>IF(A219="","",AVERAGE(S219,AF219,AS219))</f>
        <v>715000</v>
      </c>
      <c r="AW219" s="228">
        <f>IF(A219="","",AVERAGE(U219,AH219,AU219))</f>
        <v>715000</v>
      </c>
      <c r="AX219" s="228">
        <f>IF(N219="","",STDEV(U219,AH219,AU219))</f>
        <v>0</v>
      </c>
      <c r="AY219" s="229">
        <f t="shared" si="166"/>
        <v>0</v>
      </c>
      <c r="AZ219" s="230"/>
      <c r="BA219" s="231">
        <f t="shared" si="167"/>
        <v>2</v>
      </c>
      <c r="BB219" s="231"/>
      <c r="BC219" s="231"/>
      <c r="BD219" s="231"/>
      <c r="BE219" s="231"/>
      <c r="BF219" s="231"/>
      <c r="BG219" s="231"/>
      <c r="BH219" s="231">
        <v>26</v>
      </c>
      <c r="BI219" s="232"/>
      <c r="BJ219" s="232"/>
      <c r="BK219" s="232"/>
      <c r="BL219" s="232"/>
      <c r="BM219" s="232"/>
      <c r="BN219" s="232"/>
      <c r="BO219" s="232"/>
      <c r="BP219" s="232"/>
      <c r="BQ219" s="232"/>
      <c r="BR219" s="232"/>
      <c r="BS219" s="232"/>
      <c r="BT219" s="232"/>
      <c r="BU219" s="232"/>
      <c r="BV219" s="232"/>
    </row>
    <row r="220" spans="1:74" ht="409.5" hidden="1" x14ac:dyDescent="0.25">
      <c r="A220" s="205" t="s">
        <v>438</v>
      </c>
      <c r="B220" s="205" t="s">
        <v>487</v>
      </c>
      <c r="C220" s="205">
        <v>78111803</v>
      </c>
      <c r="D220" s="205" t="s">
        <v>1146</v>
      </c>
      <c r="E220" s="206" t="s">
        <v>1145</v>
      </c>
      <c r="F220" s="458" t="s">
        <v>176</v>
      </c>
      <c r="G220" s="178">
        <v>1</v>
      </c>
      <c r="H220" s="458" t="s">
        <v>88</v>
      </c>
      <c r="I220" s="459" t="s">
        <v>440</v>
      </c>
      <c r="J220" s="207">
        <v>46085</v>
      </c>
      <c r="K220" s="208" t="s">
        <v>1135</v>
      </c>
      <c r="L220" s="209" t="s">
        <v>446</v>
      </c>
      <c r="M220" s="207" t="s">
        <v>1136</v>
      </c>
      <c r="N220" s="210">
        <v>390000</v>
      </c>
      <c r="O220" s="210" t="s">
        <v>450</v>
      </c>
      <c r="P220" s="210" t="s">
        <v>468</v>
      </c>
      <c r="Q220" s="211">
        <f t="shared" si="157"/>
        <v>390000</v>
      </c>
      <c r="R220" s="212">
        <f t="shared" si="158"/>
        <v>0</v>
      </c>
      <c r="S220" s="212">
        <f t="shared" si="159"/>
        <v>390000</v>
      </c>
      <c r="T220" s="212">
        <f t="shared" si="160"/>
        <v>390000</v>
      </c>
      <c r="U220" s="212">
        <f t="shared" si="161"/>
        <v>390000</v>
      </c>
      <c r="V220" s="460" t="s">
        <v>605</v>
      </c>
      <c r="W220" s="213">
        <v>46141</v>
      </c>
      <c r="X220" s="214" t="s">
        <v>1139</v>
      </c>
      <c r="Y220" s="215" t="s">
        <v>446</v>
      </c>
      <c r="Z220" s="216" t="s">
        <v>1140</v>
      </c>
      <c r="AA220" s="217">
        <v>510000</v>
      </c>
      <c r="AB220" s="217" t="s">
        <v>450</v>
      </c>
      <c r="AC220" s="217" t="s">
        <v>468</v>
      </c>
      <c r="AD220" s="218">
        <f>IF(AB220="IVA Incluido",(AA220/1.19),AA220)</f>
        <v>510000</v>
      </c>
      <c r="AE220" s="219">
        <f t="shared" si="162"/>
        <v>0</v>
      </c>
      <c r="AF220" s="219">
        <f t="shared" si="163"/>
        <v>510000</v>
      </c>
      <c r="AG220" s="219">
        <f t="shared" si="164"/>
        <v>510000</v>
      </c>
      <c r="AH220" s="219">
        <f t="shared" si="165"/>
        <v>510000</v>
      </c>
      <c r="AI220" s="461"/>
      <c r="AJ220" s="220"/>
      <c r="AK220" s="221"/>
      <c r="AL220" s="222"/>
      <c r="AM220" s="223"/>
      <c r="AN220" s="224"/>
      <c r="AO220" s="224"/>
      <c r="AP220" s="225"/>
      <c r="AQ220" s="226"/>
      <c r="AR220" s="227"/>
      <c r="AS220" s="227"/>
      <c r="AT220" s="227"/>
      <c r="AU220" s="227"/>
      <c r="AV220" s="228">
        <f>IF(A220="","",AVERAGE(S220,AF220))</f>
        <v>450000</v>
      </c>
      <c r="AW220" s="228">
        <f>IF(A220="","",AVERAGE(U220,AH220))</f>
        <v>450000</v>
      </c>
      <c r="AX220" s="228">
        <f>IF(N220="","",STDEV(U220,AH220))</f>
        <v>84852.813742385697</v>
      </c>
      <c r="AY220" s="229">
        <f t="shared" si="166"/>
        <v>0.18856180831641267</v>
      </c>
      <c r="AZ220" s="230" t="s">
        <v>1147</v>
      </c>
      <c r="BA220" s="231">
        <f t="shared" si="167"/>
        <v>2</v>
      </c>
      <c r="BB220" s="231"/>
      <c r="BC220" s="231"/>
      <c r="BD220" s="231"/>
      <c r="BE220" s="231"/>
      <c r="BF220" s="231"/>
      <c r="BG220" s="231"/>
      <c r="BH220" s="231">
        <v>28</v>
      </c>
      <c r="BI220" s="232"/>
      <c r="BJ220" s="232"/>
      <c r="BK220" s="232"/>
      <c r="BL220" s="232"/>
      <c r="BM220" s="232"/>
      <c r="BN220" s="232"/>
      <c r="BO220" s="232"/>
      <c r="BP220" s="232"/>
      <c r="BQ220" s="232"/>
      <c r="BR220" s="232"/>
      <c r="BS220" s="232"/>
      <c r="BT220" s="232"/>
      <c r="BU220" s="232"/>
      <c r="BV220" s="232"/>
    </row>
    <row r="221" spans="1:74" ht="409.5" hidden="1" x14ac:dyDescent="0.25">
      <c r="A221" s="205" t="s">
        <v>438</v>
      </c>
      <c r="B221" s="205" t="s">
        <v>487</v>
      </c>
      <c r="C221" s="205">
        <v>78111803</v>
      </c>
      <c r="D221" s="205" t="s">
        <v>1148</v>
      </c>
      <c r="E221" s="206" t="s">
        <v>1149</v>
      </c>
      <c r="F221" s="458" t="s">
        <v>176</v>
      </c>
      <c r="G221" s="178">
        <v>1</v>
      </c>
      <c r="H221" s="458" t="s">
        <v>88</v>
      </c>
      <c r="I221" s="459" t="s">
        <v>440</v>
      </c>
      <c r="J221" s="207">
        <v>46085</v>
      </c>
      <c r="K221" s="208" t="s">
        <v>1135</v>
      </c>
      <c r="L221" s="209" t="s">
        <v>446</v>
      </c>
      <c r="M221" s="207" t="s">
        <v>1136</v>
      </c>
      <c r="N221" s="210">
        <v>850000</v>
      </c>
      <c r="O221" s="210" t="s">
        <v>450</v>
      </c>
      <c r="P221" s="210" t="s">
        <v>468</v>
      </c>
      <c r="Q221" s="211">
        <f t="shared" si="157"/>
        <v>850000</v>
      </c>
      <c r="R221" s="212">
        <f t="shared" si="158"/>
        <v>0</v>
      </c>
      <c r="S221" s="212">
        <f t="shared" si="159"/>
        <v>850000</v>
      </c>
      <c r="T221" s="212">
        <f t="shared" si="160"/>
        <v>850000</v>
      </c>
      <c r="U221" s="212">
        <f t="shared" si="161"/>
        <v>850000</v>
      </c>
      <c r="V221" s="460" t="s">
        <v>440</v>
      </c>
      <c r="W221" s="213">
        <v>46085</v>
      </c>
      <c r="X221" s="214" t="s">
        <v>1142</v>
      </c>
      <c r="Y221" s="215" t="s">
        <v>441</v>
      </c>
      <c r="Z221" s="216" t="s">
        <v>1143</v>
      </c>
      <c r="AA221" s="217">
        <v>790000</v>
      </c>
      <c r="AB221" s="217" t="s">
        <v>450</v>
      </c>
      <c r="AC221" s="217" t="s">
        <v>468</v>
      </c>
      <c r="AD221" s="218">
        <f>IF(AB221="IVA Incluido",(AA221/1.19),AA221)</f>
        <v>790000</v>
      </c>
      <c r="AE221" s="219">
        <f t="shared" si="162"/>
        <v>0</v>
      </c>
      <c r="AF221" s="219">
        <f t="shared" si="163"/>
        <v>790000</v>
      </c>
      <c r="AG221" s="219">
        <f t="shared" si="164"/>
        <v>790000</v>
      </c>
      <c r="AH221" s="219">
        <f t="shared" si="165"/>
        <v>790000</v>
      </c>
      <c r="AI221" s="461"/>
      <c r="AJ221" s="220"/>
      <c r="AK221" s="221"/>
      <c r="AL221" s="222"/>
      <c r="AM221" s="223"/>
      <c r="AN221" s="224"/>
      <c r="AO221" s="224"/>
      <c r="AP221" s="225"/>
      <c r="AQ221" s="226"/>
      <c r="AR221" s="227"/>
      <c r="AS221" s="227"/>
      <c r="AT221" s="227"/>
      <c r="AU221" s="227"/>
      <c r="AV221" s="228">
        <f>IF(A221="","",AVERAGE(S221,AF221,AS221))</f>
        <v>820000</v>
      </c>
      <c r="AW221" s="228">
        <f>IF(A221="","",AVERAGE(U221,AH221,AU221))</f>
        <v>820000</v>
      </c>
      <c r="AX221" s="228">
        <f>IF(N221="","",STDEV(U221,AH221,AU221))</f>
        <v>42426.406871192848</v>
      </c>
      <c r="AY221" s="229">
        <f t="shared" si="166"/>
        <v>5.1739520574625428E-2</v>
      </c>
      <c r="AZ221" s="230"/>
      <c r="BA221" s="231">
        <f t="shared" si="167"/>
        <v>2</v>
      </c>
      <c r="BB221" s="231"/>
      <c r="BC221" s="231"/>
      <c r="BD221" s="231"/>
      <c r="BE221" s="231"/>
      <c r="BF221" s="231"/>
      <c r="BG221" s="231"/>
      <c r="BH221" s="231">
        <v>22</v>
      </c>
      <c r="BI221" s="232"/>
      <c r="BJ221" s="232"/>
      <c r="BK221" s="232"/>
      <c r="BL221" s="232"/>
      <c r="BM221" s="232"/>
      <c r="BN221" s="232"/>
      <c r="BO221" s="232"/>
      <c r="BP221" s="232"/>
      <c r="BQ221" s="232"/>
      <c r="BR221" s="232"/>
      <c r="BS221" s="232"/>
      <c r="BT221" s="232"/>
      <c r="BU221" s="232"/>
      <c r="BV221" s="232"/>
    </row>
    <row r="222" spans="1:74" ht="409.5" hidden="1" x14ac:dyDescent="0.25">
      <c r="A222" s="205" t="s">
        <v>438</v>
      </c>
      <c r="B222" s="205" t="s">
        <v>487</v>
      </c>
      <c r="C222" s="205">
        <v>78111803</v>
      </c>
      <c r="D222" s="205" t="s">
        <v>1150</v>
      </c>
      <c r="E222" s="206" t="s">
        <v>1151</v>
      </c>
      <c r="F222" s="458" t="s">
        <v>176</v>
      </c>
      <c r="G222" s="178">
        <v>1</v>
      </c>
      <c r="H222" s="458" t="s">
        <v>88</v>
      </c>
      <c r="I222" s="459" t="s">
        <v>440</v>
      </c>
      <c r="J222" s="207">
        <v>46085</v>
      </c>
      <c r="K222" s="208" t="s">
        <v>1142</v>
      </c>
      <c r="L222" s="209" t="s">
        <v>441</v>
      </c>
      <c r="M222" s="207" t="s">
        <v>1143</v>
      </c>
      <c r="N222" s="210">
        <v>590000</v>
      </c>
      <c r="O222" s="210" t="s">
        <v>450</v>
      </c>
      <c r="P222" s="210" t="s">
        <v>468</v>
      </c>
      <c r="Q222" s="211">
        <f t="shared" si="157"/>
        <v>590000</v>
      </c>
      <c r="R222" s="212">
        <f t="shared" si="158"/>
        <v>0</v>
      </c>
      <c r="S222" s="212">
        <f t="shared" si="159"/>
        <v>590000</v>
      </c>
      <c r="T222" s="212">
        <f t="shared" si="160"/>
        <v>590000</v>
      </c>
      <c r="U222" s="212">
        <f t="shared" si="161"/>
        <v>590000</v>
      </c>
      <c r="V222" s="460" t="s">
        <v>605</v>
      </c>
      <c r="W222" s="213">
        <v>46140</v>
      </c>
      <c r="X222" s="214" t="s">
        <v>1139</v>
      </c>
      <c r="Y222" s="215" t="s">
        <v>1152</v>
      </c>
      <c r="Z222" s="216" t="s">
        <v>1153</v>
      </c>
      <c r="AA222" s="217">
        <v>570000</v>
      </c>
      <c r="AB222" s="217" t="s">
        <v>450</v>
      </c>
      <c r="AC222" s="217" t="s">
        <v>468</v>
      </c>
      <c r="AD222" s="218">
        <f>IF(AB222="IVA Incluido",(AA222/1.19),AA222)</f>
        <v>570000</v>
      </c>
      <c r="AE222" s="219">
        <f t="shared" si="162"/>
        <v>0</v>
      </c>
      <c r="AF222" s="219">
        <f t="shared" si="163"/>
        <v>570000</v>
      </c>
      <c r="AG222" s="219">
        <f t="shared" si="164"/>
        <v>570000</v>
      </c>
      <c r="AH222" s="219">
        <f t="shared" si="165"/>
        <v>570000</v>
      </c>
      <c r="AI222" s="461" t="s">
        <v>677</v>
      </c>
      <c r="AJ222" s="220">
        <v>46149</v>
      </c>
      <c r="AK222" s="221" t="s">
        <v>1135</v>
      </c>
      <c r="AL222" s="222" t="s">
        <v>441</v>
      </c>
      <c r="AM222" s="223" t="s">
        <v>1135</v>
      </c>
      <c r="AN222" s="224">
        <v>466000</v>
      </c>
      <c r="AO222" s="224" t="s">
        <v>450</v>
      </c>
      <c r="AP222" s="225" t="s">
        <v>468</v>
      </c>
      <c r="AQ222" s="226">
        <f t="shared" ref="AQ222:AQ227" si="168">IF(AO222="IVA Incluido",(AN222/1.19),AN222)</f>
        <v>466000</v>
      </c>
      <c r="AR222" s="227">
        <f t="shared" ref="AR222:AR227" si="169">IF(AP222="Si tiene IVA",AQ222*19%,0)</f>
        <v>0</v>
      </c>
      <c r="AS222" s="227">
        <f t="shared" ref="AS222:AS227" si="170">AQ222+AR222</f>
        <v>466000</v>
      </c>
      <c r="AT222" s="227">
        <f t="shared" ref="AT222:AT227" si="171">IF(AB222="","",(AN222*G222))</f>
        <v>466000</v>
      </c>
      <c r="AU222" s="227">
        <f t="shared" ref="AU222:AU227" si="172">IF(AB222="","",(AS222*G222))</f>
        <v>466000</v>
      </c>
      <c r="AV222" s="228">
        <f>IF(A222="","",AVERAGE(S222,AF222,AS222))</f>
        <v>542000</v>
      </c>
      <c r="AW222" s="228">
        <f>IF(A222="","",AVERAGE(U222,AH222,AU222))</f>
        <v>542000</v>
      </c>
      <c r="AX222" s="228">
        <f>IF(N222="","",STDEV(U222,AH222,AU222))</f>
        <v>66573.267908372945</v>
      </c>
      <c r="AY222" s="229">
        <f t="shared" si="166"/>
        <v>0.12282890758002389</v>
      </c>
      <c r="AZ222" s="230"/>
      <c r="BA222" s="231">
        <f t="shared" si="167"/>
        <v>3</v>
      </c>
      <c r="BB222" s="231"/>
      <c r="BC222" s="231"/>
      <c r="BD222" s="231"/>
      <c r="BE222" s="231"/>
      <c r="BF222" s="231"/>
      <c r="BG222" s="231"/>
      <c r="BH222" s="231">
        <v>24</v>
      </c>
      <c r="BI222" s="232"/>
      <c r="BJ222" s="232"/>
      <c r="BK222" s="232"/>
      <c r="BL222" s="232"/>
      <c r="BM222" s="232"/>
      <c r="BN222" s="232"/>
      <c r="BO222" s="232"/>
      <c r="BP222" s="232"/>
      <c r="BQ222" s="232"/>
      <c r="BR222" s="232"/>
      <c r="BS222" s="232"/>
      <c r="BT222" s="232"/>
      <c r="BU222" s="232"/>
      <c r="BV222" s="232"/>
    </row>
    <row r="223" spans="1:74" ht="409.5" hidden="1" x14ac:dyDescent="0.25">
      <c r="A223" s="205" t="s">
        <v>438</v>
      </c>
      <c r="B223" s="205" t="s">
        <v>487</v>
      </c>
      <c r="C223" s="205">
        <v>78111803</v>
      </c>
      <c r="D223" s="205" t="s">
        <v>1154</v>
      </c>
      <c r="E223" s="206" t="s">
        <v>1134</v>
      </c>
      <c r="F223" s="458" t="s">
        <v>41</v>
      </c>
      <c r="G223" s="178">
        <v>1</v>
      </c>
      <c r="H223" s="458" t="s">
        <v>42</v>
      </c>
      <c r="I223" s="459" t="s">
        <v>440</v>
      </c>
      <c r="J223" s="207">
        <v>46085</v>
      </c>
      <c r="K223" s="208" t="s">
        <v>1135</v>
      </c>
      <c r="L223" s="209" t="s">
        <v>446</v>
      </c>
      <c r="M223" s="207" t="s">
        <v>1136</v>
      </c>
      <c r="N223" s="210">
        <v>317000</v>
      </c>
      <c r="O223" s="210" t="s">
        <v>450</v>
      </c>
      <c r="P223" s="210" t="s">
        <v>468</v>
      </c>
      <c r="Q223" s="211">
        <f t="shared" si="157"/>
        <v>317000</v>
      </c>
      <c r="R223" s="212">
        <f t="shared" si="158"/>
        <v>0</v>
      </c>
      <c r="S223" s="212">
        <f t="shared" si="159"/>
        <v>317000</v>
      </c>
      <c r="T223" s="212">
        <f t="shared" si="160"/>
        <v>317000</v>
      </c>
      <c r="U223" s="212">
        <f t="shared" si="161"/>
        <v>317000</v>
      </c>
      <c r="V223" s="460" t="s">
        <v>605</v>
      </c>
      <c r="W223" s="213">
        <v>46140</v>
      </c>
      <c r="X223" s="214" t="s">
        <v>1139</v>
      </c>
      <c r="Y223" s="215" t="s">
        <v>1155</v>
      </c>
      <c r="Z223" s="216" t="s">
        <v>1140</v>
      </c>
      <c r="AA223" s="217">
        <v>350000</v>
      </c>
      <c r="AB223" s="217" t="s">
        <v>450</v>
      </c>
      <c r="AC223" s="217" t="s">
        <v>468</v>
      </c>
      <c r="AD223" s="218">
        <f>IF(AB223="IVA Incluido",(AA223/1.19),IF(AB223="Ipoconsumo Incluido",(AA223/1.08),AA223))</f>
        <v>350000</v>
      </c>
      <c r="AE223" s="219">
        <f t="shared" si="162"/>
        <v>0</v>
      </c>
      <c r="AF223" s="219">
        <f t="shared" si="163"/>
        <v>350000</v>
      </c>
      <c r="AG223" s="219">
        <f>IF(AB223="","",(AA223*G223))</f>
        <v>350000</v>
      </c>
      <c r="AH223" s="219">
        <f>IF(AB223="","",(AF223*G223))</f>
        <v>350000</v>
      </c>
      <c r="AI223" s="461"/>
      <c r="AJ223" s="220"/>
      <c r="AK223" s="221"/>
      <c r="AL223" s="222"/>
      <c r="AM223" s="223"/>
      <c r="AN223" s="224"/>
      <c r="AO223" s="224"/>
      <c r="AP223" s="225"/>
      <c r="AQ223" s="226">
        <f t="shared" si="168"/>
        <v>0</v>
      </c>
      <c r="AR223" s="227">
        <f t="shared" si="169"/>
        <v>0</v>
      </c>
      <c r="AS223" s="227">
        <f t="shared" si="170"/>
        <v>0</v>
      </c>
      <c r="AT223" s="227">
        <f t="shared" si="171"/>
        <v>0</v>
      </c>
      <c r="AU223" s="227">
        <f t="shared" si="172"/>
        <v>0</v>
      </c>
      <c r="AV223" s="228">
        <f>IF(A223="","",AVERAGE(S223,AF223))</f>
        <v>333500</v>
      </c>
      <c r="AW223" s="228">
        <f>IF(A223="","",AVERAGE(U223,AH223))</f>
        <v>333500</v>
      </c>
      <c r="AX223" s="228">
        <f>IF(N223="","",STDEV(U223,AH223))</f>
        <v>23334.523779156068</v>
      </c>
      <c r="AY223" s="229">
        <f t="shared" si="166"/>
        <v>6.9968587043946234E-2</v>
      </c>
      <c r="AZ223" s="230" t="s">
        <v>1147</v>
      </c>
      <c r="BA223" s="231">
        <f t="shared" si="167"/>
        <v>2</v>
      </c>
      <c r="BB223" s="231"/>
      <c r="BC223" s="231"/>
      <c r="BD223" s="231"/>
      <c r="BE223" s="231"/>
      <c r="BF223" s="231"/>
      <c r="BG223" s="231"/>
      <c r="BH223" s="231">
        <v>17</v>
      </c>
      <c r="BI223" s="232"/>
      <c r="BJ223" s="232"/>
      <c r="BK223" s="232"/>
      <c r="BL223" s="232"/>
      <c r="BM223" s="232"/>
      <c r="BN223" s="232"/>
      <c r="BO223" s="232"/>
      <c r="BP223" s="232"/>
      <c r="BQ223" s="232"/>
      <c r="BR223" s="232"/>
      <c r="BS223" s="232"/>
      <c r="BT223" s="232"/>
      <c r="BU223" s="232"/>
      <c r="BV223" s="232"/>
    </row>
    <row r="224" spans="1:74" ht="409.5" hidden="1" x14ac:dyDescent="0.25">
      <c r="A224" s="205" t="s">
        <v>438</v>
      </c>
      <c r="B224" s="205" t="s">
        <v>487</v>
      </c>
      <c r="C224" s="205">
        <v>78111803</v>
      </c>
      <c r="D224" s="205" t="s">
        <v>1156</v>
      </c>
      <c r="E224" s="206" t="s">
        <v>1134</v>
      </c>
      <c r="F224" s="458" t="s">
        <v>176</v>
      </c>
      <c r="G224" s="178">
        <v>1</v>
      </c>
      <c r="H224" s="458" t="s">
        <v>88</v>
      </c>
      <c r="I224" s="459" t="s">
        <v>605</v>
      </c>
      <c r="J224" s="207">
        <v>46140</v>
      </c>
      <c r="K224" s="208" t="s">
        <v>1139</v>
      </c>
      <c r="L224" s="209" t="s">
        <v>446</v>
      </c>
      <c r="M224" s="207" t="s">
        <v>1140</v>
      </c>
      <c r="N224" s="210">
        <v>175000</v>
      </c>
      <c r="O224" s="210" t="s">
        <v>450</v>
      </c>
      <c r="P224" s="210" t="s">
        <v>468</v>
      </c>
      <c r="Q224" s="211">
        <f t="shared" si="157"/>
        <v>175000</v>
      </c>
      <c r="R224" s="212">
        <f t="shared" si="158"/>
        <v>0</v>
      </c>
      <c r="S224" s="212">
        <f t="shared" si="159"/>
        <v>175000</v>
      </c>
      <c r="T224" s="212">
        <f t="shared" si="160"/>
        <v>175000</v>
      </c>
      <c r="U224" s="212">
        <f t="shared" si="161"/>
        <v>175000</v>
      </c>
      <c r="V224" s="460" t="s">
        <v>440</v>
      </c>
      <c r="W224" s="213">
        <v>46085</v>
      </c>
      <c r="X224" s="214" t="s">
        <v>1135</v>
      </c>
      <c r="Y224" s="215" t="s">
        <v>446</v>
      </c>
      <c r="Z224" s="216" t="s">
        <v>1136</v>
      </c>
      <c r="AA224" s="217">
        <v>165000</v>
      </c>
      <c r="AB224" s="217" t="s">
        <v>450</v>
      </c>
      <c r="AC224" s="217" t="s">
        <v>468</v>
      </c>
      <c r="AD224" s="218">
        <f t="shared" ref="AD224:AD230" si="173">IF(AB224="IVA Incluido",(AA224/1.19),AA224)</f>
        <v>165000</v>
      </c>
      <c r="AE224" s="219">
        <f t="shared" si="162"/>
        <v>0</v>
      </c>
      <c r="AF224" s="219">
        <f t="shared" si="163"/>
        <v>165000</v>
      </c>
      <c r="AG224" s="219">
        <f t="shared" ref="AG224:AG230" si="174">IF(O224="","",(AA224*G224))</f>
        <v>165000</v>
      </c>
      <c r="AH224" s="219">
        <f t="shared" ref="AH224:AH230" si="175">IF(O224="","",(AF224*G224))</f>
        <v>165000</v>
      </c>
      <c r="AI224" s="461"/>
      <c r="AJ224" s="220"/>
      <c r="AK224" s="221"/>
      <c r="AL224" s="222"/>
      <c r="AM224" s="223"/>
      <c r="AN224" s="224"/>
      <c r="AO224" s="224"/>
      <c r="AP224" s="225"/>
      <c r="AQ224" s="226">
        <f t="shared" si="168"/>
        <v>0</v>
      </c>
      <c r="AR224" s="227">
        <f t="shared" si="169"/>
        <v>0</v>
      </c>
      <c r="AS224" s="227">
        <f t="shared" si="170"/>
        <v>0</v>
      </c>
      <c r="AT224" s="227">
        <f t="shared" si="171"/>
        <v>0</v>
      </c>
      <c r="AU224" s="227">
        <f t="shared" si="172"/>
        <v>0</v>
      </c>
      <c r="AV224" s="228">
        <f>IF(A224="","",AVERAGE(S224,AF224))</f>
        <v>170000</v>
      </c>
      <c r="AW224" s="228">
        <f>IF(A224="","",AVERAGE(U224,AH224))</f>
        <v>170000</v>
      </c>
      <c r="AX224" s="228">
        <f>IF(N224="","",STDEV(U224,AH224))</f>
        <v>7071.0678118654751</v>
      </c>
      <c r="AY224" s="229">
        <f t="shared" si="166"/>
        <v>4.1594516540385144E-2</v>
      </c>
      <c r="AZ224" s="230" t="s">
        <v>1147</v>
      </c>
      <c r="BA224" s="231">
        <f t="shared" si="167"/>
        <v>2</v>
      </c>
      <c r="BB224" s="231"/>
      <c r="BC224" s="231"/>
      <c r="BD224" s="231"/>
      <c r="BE224" s="231"/>
      <c r="BF224" s="231"/>
      <c r="BG224" s="231"/>
      <c r="BH224" s="231">
        <v>19</v>
      </c>
      <c r="BI224" s="232"/>
      <c r="BJ224" s="232"/>
      <c r="BK224" s="232"/>
      <c r="BL224" s="232"/>
      <c r="BM224" s="232"/>
      <c r="BN224" s="232"/>
      <c r="BO224" s="232"/>
      <c r="BP224" s="232"/>
      <c r="BQ224" s="232"/>
      <c r="BR224" s="232"/>
      <c r="BS224" s="232"/>
      <c r="BT224" s="232"/>
      <c r="BU224" s="232"/>
      <c r="BV224" s="232"/>
    </row>
    <row r="225" spans="1:74" ht="409.5" hidden="1" x14ac:dyDescent="0.25">
      <c r="A225" s="205" t="s">
        <v>438</v>
      </c>
      <c r="B225" s="205" t="s">
        <v>487</v>
      </c>
      <c r="C225" s="205">
        <v>78111803</v>
      </c>
      <c r="D225" s="205" t="s">
        <v>1157</v>
      </c>
      <c r="E225" s="206" t="s">
        <v>1145</v>
      </c>
      <c r="F225" s="458" t="s">
        <v>176</v>
      </c>
      <c r="G225" s="178">
        <v>1</v>
      </c>
      <c r="H225" s="458" t="s">
        <v>88</v>
      </c>
      <c r="I225" s="459" t="s">
        <v>440</v>
      </c>
      <c r="J225" s="207">
        <v>46085</v>
      </c>
      <c r="K225" s="208" t="s">
        <v>1135</v>
      </c>
      <c r="L225" s="209" t="s">
        <v>446</v>
      </c>
      <c r="M225" s="207" t="s">
        <v>1136</v>
      </c>
      <c r="N225" s="210">
        <v>300000</v>
      </c>
      <c r="O225" s="210" t="s">
        <v>450</v>
      </c>
      <c r="P225" s="210" t="s">
        <v>468</v>
      </c>
      <c r="Q225" s="211">
        <f t="shared" si="157"/>
        <v>300000</v>
      </c>
      <c r="R225" s="212">
        <f t="shared" si="158"/>
        <v>0</v>
      </c>
      <c r="S225" s="212">
        <f t="shared" si="159"/>
        <v>300000</v>
      </c>
      <c r="T225" s="212">
        <f t="shared" si="160"/>
        <v>300000</v>
      </c>
      <c r="U225" s="212">
        <f t="shared" si="161"/>
        <v>300000</v>
      </c>
      <c r="V225" s="460" t="s">
        <v>440</v>
      </c>
      <c r="W225" s="213">
        <v>46085</v>
      </c>
      <c r="X225" s="214" t="s">
        <v>1142</v>
      </c>
      <c r="Y225" s="215" t="s">
        <v>441</v>
      </c>
      <c r="Z225" s="216" t="s">
        <v>1143</v>
      </c>
      <c r="AA225" s="217">
        <v>400000</v>
      </c>
      <c r="AB225" s="217" t="s">
        <v>450</v>
      </c>
      <c r="AC225" s="217" t="s">
        <v>468</v>
      </c>
      <c r="AD225" s="218">
        <f t="shared" si="173"/>
        <v>400000</v>
      </c>
      <c r="AE225" s="219">
        <f t="shared" si="162"/>
        <v>0</v>
      </c>
      <c r="AF225" s="219">
        <f t="shared" si="163"/>
        <v>400000</v>
      </c>
      <c r="AG225" s="219">
        <f t="shared" si="174"/>
        <v>400000</v>
      </c>
      <c r="AH225" s="219">
        <f t="shared" si="175"/>
        <v>400000</v>
      </c>
      <c r="AI225" s="461" t="s">
        <v>605</v>
      </c>
      <c r="AJ225" s="220">
        <v>46141</v>
      </c>
      <c r="AK225" s="221" t="s">
        <v>1139</v>
      </c>
      <c r="AL225" s="222" t="s">
        <v>446</v>
      </c>
      <c r="AM225" s="223" t="s">
        <v>1140</v>
      </c>
      <c r="AN225" s="224">
        <v>250000</v>
      </c>
      <c r="AO225" s="224" t="s">
        <v>450</v>
      </c>
      <c r="AP225" s="225" t="s">
        <v>468</v>
      </c>
      <c r="AQ225" s="226">
        <f t="shared" si="168"/>
        <v>250000</v>
      </c>
      <c r="AR225" s="227">
        <f t="shared" si="169"/>
        <v>0</v>
      </c>
      <c r="AS225" s="227">
        <f t="shared" si="170"/>
        <v>250000</v>
      </c>
      <c r="AT225" s="227">
        <f t="shared" si="171"/>
        <v>250000</v>
      </c>
      <c r="AU225" s="227">
        <f t="shared" si="172"/>
        <v>250000</v>
      </c>
      <c r="AV225" s="228">
        <f>IF(A225="","",AVERAGE(S225,AS225))</f>
        <v>275000</v>
      </c>
      <c r="AW225" s="228">
        <f>IF(A225="","",AVERAGE(U225,AU225))</f>
        <v>275000</v>
      </c>
      <c r="AX225" s="228">
        <f>IF(N225="","",STDEV(U225,AU225))</f>
        <v>35355.33905932738</v>
      </c>
      <c r="AY225" s="229">
        <f t="shared" si="166"/>
        <v>0.12856486930664501</v>
      </c>
      <c r="AZ225" s="230"/>
      <c r="BA225" s="231">
        <f t="shared" si="167"/>
        <v>3</v>
      </c>
      <c r="BB225" s="231"/>
      <c r="BC225" s="231"/>
      <c r="BD225" s="231"/>
      <c r="BE225" s="231"/>
      <c r="BF225" s="231"/>
      <c r="BG225" s="231"/>
      <c r="BH225" s="231">
        <v>27</v>
      </c>
      <c r="BI225" s="232"/>
      <c r="BJ225" s="232"/>
      <c r="BK225" s="232"/>
      <c r="BL225" s="232"/>
      <c r="BM225" s="232"/>
      <c r="BN225" s="232"/>
      <c r="BO225" s="232"/>
      <c r="BP225" s="232"/>
      <c r="BQ225" s="232"/>
      <c r="BR225" s="232"/>
      <c r="BS225" s="232"/>
      <c r="BT225" s="232"/>
      <c r="BU225" s="232"/>
      <c r="BV225" s="232"/>
    </row>
    <row r="226" spans="1:74" ht="409.5" hidden="1" x14ac:dyDescent="0.25">
      <c r="A226" s="205" t="s">
        <v>438</v>
      </c>
      <c r="B226" s="205" t="s">
        <v>487</v>
      </c>
      <c r="C226" s="205">
        <v>78111803</v>
      </c>
      <c r="D226" s="205" t="s">
        <v>1158</v>
      </c>
      <c r="E226" s="206" t="s">
        <v>1145</v>
      </c>
      <c r="F226" s="458" t="s">
        <v>176</v>
      </c>
      <c r="G226" s="178">
        <v>1</v>
      </c>
      <c r="H226" s="458" t="s">
        <v>88</v>
      </c>
      <c r="I226" s="459" t="s">
        <v>440</v>
      </c>
      <c r="J226" s="207">
        <v>46085</v>
      </c>
      <c r="K226" s="208" t="s">
        <v>1142</v>
      </c>
      <c r="L226" s="209" t="s">
        <v>441</v>
      </c>
      <c r="M226" s="207" t="s">
        <v>1143</v>
      </c>
      <c r="N226" s="210">
        <v>585000</v>
      </c>
      <c r="O226" s="210" t="s">
        <v>450</v>
      </c>
      <c r="P226" s="210" t="s">
        <v>468</v>
      </c>
      <c r="Q226" s="211">
        <f t="shared" si="157"/>
        <v>585000</v>
      </c>
      <c r="R226" s="212">
        <f t="shared" si="158"/>
        <v>0</v>
      </c>
      <c r="S226" s="212">
        <f t="shared" si="159"/>
        <v>585000</v>
      </c>
      <c r="T226" s="212">
        <f t="shared" si="160"/>
        <v>585000</v>
      </c>
      <c r="U226" s="212">
        <f t="shared" si="161"/>
        <v>585000</v>
      </c>
      <c r="V226" s="460" t="s">
        <v>605</v>
      </c>
      <c r="W226" s="213">
        <v>46140</v>
      </c>
      <c r="X226" s="214" t="s">
        <v>1139</v>
      </c>
      <c r="Y226" s="215" t="s">
        <v>446</v>
      </c>
      <c r="Z226" s="216" t="s">
        <v>1153</v>
      </c>
      <c r="AA226" s="217">
        <v>500000</v>
      </c>
      <c r="AB226" s="217" t="s">
        <v>450</v>
      </c>
      <c r="AC226" s="217" t="s">
        <v>468</v>
      </c>
      <c r="AD226" s="218">
        <f t="shared" si="173"/>
        <v>500000</v>
      </c>
      <c r="AE226" s="219">
        <f t="shared" si="162"/>
        <v>0</v>
      </c>
      <c r="AF226" s="219">
        <f t="shared" si="163"/>
        <v>500000</v>
      </c>
      <c r="AG226" s="219">
        <f t="shared" si="174"/>
        <v>500000</v>
      </c>
      <c r="AH226" s="219">
        <f t="shared" si="175"/>
        <v>500000</v>
      </c>
      <c r="AI226" s="461" t="s">
        <v>440</v>
      </c>
      <c r="AJ226" s="220">
        <v>46085</v>
      </c>
      <c r="AK226" s="221" t="s">
        <v>1135</v>
      </c>
      <c r="AL226" s="222" t="s">
        <v>446</v>
      </c>
      <c r="AM226" s="223" t="s">
        <v>1136</v>
      </c>
      <c r="AN226" s="224">
        <v>590000</v>
      </c>
      <c r="AO226" s="224" t="s">
        <v>450</v>
      </c>
      <c r="AP226" s="225" t="s">
        <v>468</v>
      </c>
      <c r="AQ226" s="226">
        <f t="shared" si="168"/>
        <v>590000</v>
      </c>
      <c r="AR226" s="227">
        <f t="shared" si="169"/>
        <v>0</v>
      </c>
      <c r="AS226" s="227">
        <f t="shared" si="170"/>
        <v>590000</v>
      </c>
      <c r="AT226" s="227">
        <f t="shared" si="171"/>
        <v>590000</v>
      </c>
      <c r="AU226" s="227">
        <f t="shared" si="172"/>
        <v>590000</v>
      </c>
      <c r="AV226" s="228">
        <f>IF(A226="","",AVERAGE(S226,AF226,AS226))</f>
        <v>558333.33333333337</v>
      </c>
      <c r="AW226" s="228">
        <f>IF(A226="","",AVERAGE(U226,AH226,AU226))</f>
        <v>558333.33333333337</v>
      </c>
      <c r="AX226" s="228">
        <f>IF(N226="","",STDEV(U226,AH226,AU226))</f>
        <v>50579.969684978394</v>
      </c>
      <c r="AY226" s="229">
        <f t="shared" si="166"/>
        <v>9.0590990480558312E-2</v>
      </c>
      <c r="AZ226" s="230"/>
      <c r="BA226" s="231">
        <f t="shared" si="167"/>
        <v>3</v>
      </c>
      <c r="BB226" s="231"/>
      <c r="BC226" s="231"/>
      <c r="BD226" s="231"/>
      <c r="BE226" s="231"/>
      <c r="BF226" s="231"/>
      <c r="BG226" s="231"/>
      <c r="BH226" s="231">
        <v>25</v>
      </c>
      <c r="BI226" s="232"/>
      <c r="BJ226" s="232"/>
      <c r="BK226" s="232"/>
      <c r="BL226" s="232"/>
      <c r="BM226" s="232"/>
      <c r="BN226" s="232"/>
      <c r="BO226" s="232"/>
      <c r="BP226" s="232"/>
      <c r="BQ226" s="232"/>
      <c r="BR226" s="232"/>
      <c r="BS226" s="232"/>
      <c r="BT226" s="232"/>
      <c r="BU226" s="232"/>
      <c r="BV226" s="232"/>
    </row>
    <row r="227" spans="1:74" ht="409.5" hidden="1" x14ac:dyDescent="0.25">
      <c r="A227" s="205" t="s">
        <v>438</v>
      </c>
      <c r="B227" s="205" t="s">
        <v>487</v>
      </c>
      <c r="C227" s="205">
        <v>78111803</v>
      </c>
      <c r="D227" s="205" t="s">
        <v>1159</v>
      </c>
      <c r="E227" s="206" t="s">
        <v>1149</v>
      </c>
      <c r="F227" s="458" t="s">
        <v>176</v>
      </c>
      <c r="G227" s="178">
        <v>1</v>
      </c>
      <c r="H227" s="458" t="s">
        <v>88</v>
      </c>
      <c r="I227" s="459" t="s">
        <v>605</v>
      </c>
      <c r="J227" s="207">
        <v>46085</v>
      </c>
      <c r="K227" s="208" t="s">
        <v>1135</v>
      </c>
      <c r="L227" s="209" t="s">
        <v>446</v>
      </c>
      <c r="M227" s="207" t="s">
        <v>1136</v>
      </c>
      <c r="N227" s="210">
        <v>850000</v>
      </c>
      <c r="O227" s="210" t="s">
        <v>450</v>
      </c>
      <c r="P227" s="210" t="s">
        <v>468</v>
      </c>
      <c r="Q227" s="211">
        <f t="shared" si="157"/>
        <v>850000</v>
      </c>
      <c r="R227" s="212">
        <f t="shared" si="158"/>
        <v>0</v>
      </c>
      <c r="S227" s="212">
        <f t="shared" si="159"/>
        <v>850000</v>
      </c>
      <c r="T227" s="212">
        <f t="shared" si="160"/>
        <v>850000</v>
      </c>
      <c r="U227" s="212">
        <f t="shared" si="161"/>
        <v>850000</v>
      </c>
      <c r="V227" s="460" t="s">
        <v>616</v>
      </c>
      <c r="W227" s="213">
        <v>46085</v>
      </c>
      <c r="X227" s="214" t="s">
        <v>1142</v>
      </c>
      <c r="Y227" s="215" t="s">
        <v>441</v>
      </c>
      <c r="Z227" s="216" t="s">
        <v>1143</v>
      </c>
      <c r="AA227" s="217">
        <v>640000</v>
      </c>
      <c r="AB227" s="217" t="s">
        <v>450</v>
      </c>
      <c r="AC227" s="217" t="s">
        <v>468</v>
      </c>
      <c r="AD227" s="218">
        <f t="shared" si="173"/>
        <v>640000</v>
      </c>
      <c r="AE227" s="219">
        <f t="shared" si="162"/>
        <v>0</v>
      </c>
      <c r="AF227" s="219">
        <f t="shared" si="163"/>
        <v>640000</v>
      </c>
      <c r="AG227" s="219">
        <f t="shared" si="174"/>
        <v>640000</v>
      </c>
      <c r="AH227" s="219">
        <f t="shared" si="175"/>
        <v>640000</v>
      </c>
      <c r="AI227" s="461" t="s">
        <v>1160</v>
      </c>
      <c r="AJ227" s="220">
        <v>46133</v>
      </c>
      <c r="AK227" s="221" t="s">
        <v>1161</v>
      </c>
      <c r="AL227" s="222" t="s">
        <v>446</v>
      </c>
      <c r="AM227" s="223" t="s">
        <v>1162</v>
      </c>
      <c r="AN227" s="224">
        <v>540000</v>
      </c>
      <c r="AO227" s="224" t="s">
        <v>450</v>
      </c>
      <c r="AP227" s="225" t="s">
        <v>468</v>
      </c>
      <c r="AQ227" s="226">
        <f t="shared" si="168"/>
        <v>540000</v>
      </c>
      <c r="AR227" s="227">
        <f t="shared" si="169"/>
        <v>0</v>
      </c>
      <c r="AS227" s="227">
        <f t="shared" si="170"/>
        <v>540000</v>
      </c>
      <c r="AT227" s="227">
        <f t="shared" si="171"/>
        <v>540000</v>
      </c>
      <c r="AU227" s="227">
        <f t="shared" si="172"/>
        <v>540000</v>
      </c>
      <c r="AV227" s="228">
        <f>IF(A227="","",AVERAGE(AF227,AS227))</f>
        <v>590000</v>
      </c>
      <c r="AW227" s="228">
        <f>IF(A227="","",AVERAGE(AH227,AU227))</f>
        <v>590000</v>
      </c>
      <c r="AX227" s="228">
        <f>IF(N227="","",STDEV(AH227,AU227))</f>
        <v>70710.67811865476</v>
      </c>
      <c r="AY227" s="229">
        <f t="shared" si="166"/>
        <v>0.11984860698077078</v>
      </c>
      <c r="AZ227" s="230"/>
      <c r="BA227" s="231">
        <f t="shared" si="167"/>
        <v>3</v>
      </c>
      <c r="BB227" s="231"/>
      <c r="BC227" s="231"/>
      <c r="BD227" s="231"/>
      <c r="BE227" s="231"/>
      <c r="BF227" s="231"/>
      <c r="BG227" s="231"/>
      <c r="BH227" s="231">
        <v>21</v>
      </c>
      <c r="BI227" s="232"/>
      <c r="BJ227" s="232"/>
      <c r="BK227" s="232"/>
      <c r="BL227" s="232"/>
      <c r="BM227" s="232"/>
      <c r="BN227" s="232"/>
      <c r="BO227" s="232"/>
      <c r="BP227" s="232"/>
      <c r="BQ227" s="232"/>
      <c r="BR227" s="232"/>
      <c r="BS227" s="232"/>
      <c r="BT227" s="232"/>
      <c r="BU227" s="232"/>
      <c r="BV227" s="232"/>
    </row>
    <row r="228" spans="1:74" ht="409.5" hidden="1" x14ac:dyDescent="0.25">
      <c r="A228" s="205" t="s">
        <v>438</v>
      </c>
      <c r="B228" s="205" t="s">
        <v>487</v>
      </c>
      <c r="C228" s="205">
        <v>78111803</v>
      </c>
      <c r="D228" s="205" t="s">
        <v>1163</v>
      </c>
      <c r="E228" s="206" t="s">
        <v>1149</v>
      </c>
      <c r="F228" s="458" t="s">
        <v>176</v>
      </c>
      <c r="G228" s="178">
        <v>1</v>
      </c>
      <c r="H228" s="458" t="s">
        <v>88</v>
      </c>
      <c r="I228" s="459" t="s">
        <v>677</v>
      </c>
      <c r="J228" s="207">
        <v>46149</v>
      </c>
      <c r="K228" s="208" t="s">
        <v>1135</v>
      </c>
      <c r="L228" s="209" t="s">
        <v>441</v>
      </c>
      <c r="M228" s="207" t="s">
        <v>1135</v>
      </c>
      <c r="N228" s="210">
        <v>325000</v>
      </c>
      <c r="O228" s="210" t="s">
        <v>450</v>
      </c>
      <c r="P228" s="210" t="s">
        <v>468</v>
      </c>
      <c r="Q228" s="211">
        <f t="shared" si="157"/>
        <v>325000</v>
      </c>
      <c r="R228" s="212">
        <f t="shared" si="158"/>
        <v>0</v>
      </c>
      <c r="S228" s="212">
        <f t="shared" si="159"/>
        <v>325000</v>
      </c>
      <c r="T228" s="212">
        <f t="shared" si="160"/>
        <v>325000</v>
      </c>
      <c r="U228" s="212">
        <f t="shared" si="161"/>
        <v>325000</v>
      </c>
      <c r="V228" s="460" t="s">
        <v>677</v>
      </c>
      <c r="W228" s="213">
        <v>46149</v>
      </c>
      <c r="X228" s="214" t="s">
        <v>1139</v>
      </c>
      <c r="Y228" s="215" t="s">
        <v>441</v>
      </c>
      <c r="Z228" s="216" t="s">
        <v>1153</v>
      </c>
      <c r="AA228" s="217">
        <v>270000</v>
      </c>
      <c r="AB228" s="217" t="s">
        <v>450</v>
      </c>
      <c r="AC228" s="217" t="s">
        <v>468</v>
      </c>
      <c r="AD228" s="218">
        <f t="shared" si="173"/>
        <v>270000</v>
      </c>
      <c r="AE228" s="219">
        <f t="shared" si="162"/>
        <v>0</v>
      </c>
      <c r="AF228" s="219">
        <f t="shared" si="163"/>
        <v>270000</v>
      </c>
      <c r="AG228" s="219">
        <f t="shared" si="174"/>
        <v>270000</v>
      </c>
      <c r="AH228" s="219">
        <f t="shared" si="175"/>
        <v>270000</v>
      </c>
      <c r="AI228" s="461"/>
      <c r="AJ228" s="220"/>
      <c r="AK228" s="221"/>
      <c r="AL228" s="222"/>
      <c r="AM228" s="223"/>
      <c r="AN228" s="224"/>
      <c r="AO228" s="224"/>
      <c r="AP228" s="225"/>
      <c r="AQ228" s="226"/>
      <c r="AR228" s="227"/>
      <c r="AS228" s="227"/>
      <c r="AT228" s="227"/>
      <c r="AU228" s="227"/>
      <c r="AV228" s="228">
        <f>IF(A228="","",AVERAGE(AF228,AS228))</f>
        <v>270000</v>
      </c>
      <c r="AW228" s="228">
        <f>IF(A228="","",AVERAGE(AH228,AU228))</f>
        <v>270000</v>
      </c>
      <c r="AX228" s="228">
        <f>IF(N228="","",STDEV(U228,AH228,AU228))</f>
        <v>38890.872965260111</v>
      </c>
      <c r="AY228" s="229">
        <f t="shared" si="166"/>
        <v>0.1440402702417041</v>
      </c>
      <c r="AZ228" s="230" t="s">
        <v>1164</v>
      </c>
      <c r="BA228" s="231">
        <f t="shared" si="167"/>
        <v>2</v>
      </c>
      <c r="BB228" s="231"/>
      <c r="BC228" s="231"/>
      <c r="BD228" s="231"/>
      <c r="BE228" s="231"/>
      <c r="BF228" s="231"/>
      <c r="BG228" s="231"/>
      <c r="BH228" s="231">
        <v>23</v>
      </c>
      <c r="BI228" s="232"/>
      <c r="BJ228" s="232"/>
      <c r="BK228" s="232"/>
      <c r="BL228" s="232"/>
      <c r="BM228" s="232"/>
      <c r="BN228" s="232"/>
      <c r="BO228" s="232"/>
      <c r="BP228" s="232"/>
      <c r="BQ228" s="232"/>
      <c r="BR228" s="232"/>
      <c r="BS228" s="232"/>
      <c r="BT228" s="232"/>
      <c r="BU228" s="232"/>
      <c r="BV228" s="232"/>
    </row>
    <row r="229" spans="1:74" ht="84" hidden="1" x14ac:dyDescent="0.25">
      <c r="A229" s="205" t="s">
        <v>438</v>
      </c>
      <c r="B229" s="205" t="s">
        <v>501</v>
      </c>
      <c r="C229" s="205">
        <v>31201632</v>
      </c>
      <c r="D229" s="205" t="s">
        <v>1165</v>
      </c>
      <c r="E229" s="206" t="s">
        <v>1166</v>
      </c>
      <c r="F229" s="458" t="s">
        <v>41</v>
      </c>
      <c r="G229" s="178">
        <v>1</v>
      </c>
      <c r="H229" s="458" t="s">
        <v>42</v>
      </c>
      <c r="I229" s="459" t="s">
        <v>440</v>
      </c>
      <c r="J229" s="207">
        <v>46091</v>
      </c>
      <c r="K229" s="208" t="s">
        <v>809</v>
      </c>
      <c r="L229" s="209" t="s">
        <v>446</v>
      </c>
      <c r="M229" s="207" t="s">
        <v>810</v>
      </c>
      <c r="N229" s="210">
        <v>13950</v>
      </c>
      <c r="O229" s="210" t="s">
        <v>450</v>
      </c>
      <c r="P229" s="210" t="s">
        <v>444</v>
      </c>
      <c r="Q229" s="211">
        <f t="shared" si="157"/>
        <v>13950</v>
      </c>
      <c r="R229" s="212">
        <f t="shared" si="158"/>
        <v>2650.5</v>
      </c>
      <c r="S229" s="212">
        <f t="shared" si="159"/>
        <v>16600.5</v>
      </c>
      <c r="T229" s="212">
        <f t="shared" si="160"/>
        <v>13950</v>
      </c>
      <c r="U229" s="212">
        <f t="shared" si="161"/>
        <v>16600.5</v>
      </c>
      <c r="V229" s="460" t="s">
        <v>440</v>
      </c>
      <c r="W229" s="213">
        <v>46091</v>
      </c>
      <c r="X229" s="214" t="s">
        <v>938</v>
      </c>
      <c r="Y229" s="215" t="s">
        <v>446</v>
      </c>
      <c r="Z229" s="216" t="s">
        <v>1102</v>
      </c>
      <c r="AA229" s="217">
        <v>14800</v>
      </c>
      <c r="AB229" s="217" t="s">
        <v>443</v>
      </c>
      <c r="AC229" s="217" t="s">
        <v>444</v>
      </c>
      <c r="AD229" s="218">
        <f t="shared" si="173"/>
        <v>12436.974789915967</v>
      </c>
      <c r="AE229" s="219">
        <f t="shared" si="162"/>
        <v>2363.0252100840335</v>
      </c>
      <c r="AF229" s="219">
        <f t="shared" si="163"/>
        <v>14800</v>
      </c>
      <c r="AG229" s="219">
        <f t="shared" si="174"/>
        <v>14800</v>
      </c>
      <c r="AH229" s="219">
        <f t="shared" si="175"/>
        <v>14800</v>
      </c>
      <c r="AI229" s="461" t="s">
        <v>440</v>
      </c>
      <c r="AJ229" s="220">
        <v>46091</v>
      </c>
      <c r="AK229" s="221" t="s">
        <v>1167</v>
      </c>
      <c r="AL229" s="222" t="s">
        <v>446</v>
      </c>
      <c r="AM229" s="223" t="s">
        <v>1168</v>
      </c>
      <c r="AN229" s="224">
        <v>14000</v>
      </c>
      <c r="AO229" s="224" t="s">
        <v>443</v>
      </c>
      <c r="AP229" s="225" t="s">
        <v>444</v>
      </c>
      <c r="AQ229" s="226">
        <f>IF(AO229="IVA Incluido",(AN229/1.19),AN229)</f>
        <v>11764.705882352942</v>
      </c>
      <c r="AR229" s="227">
        <f>IF(AP229="Si tiene IVA",AQ229*19%,0)</f>
        <v>2235.294117647059</v>
      </c>
      <c r="AS229" s="227">
        <f>AQ229+AR229</f>
        <v>14000.000000000002</v>
      </c>
      <c r="AT229" s="227">
        <f>IF(AB229="","",(AN229*G229))</f>
        <v>14000</v>
      </c>
      <c r="AU229" s="227">
        <f>IF(AB229="","",(AS229*G229))</f>
        <v>14000.000000000002</v>
      </c>
      <c r="AV229" s="228">
        <f>IF(A229="","",AVERAGE(S229,AF229,AS229))</f>
        <v>15133.5</v>
      </c>
      <c r="AW229" s="228">
        <f>IF(A229="","",AVERAGE(U229,AH229,AU229))</f>
        <v>15133.5</v>
      </c>
      <c r="AX229" s="228">
        <f>IF(N229="","",STDEV(U229,AH229,AU229))</f>
        <v>1331.940970914251</v>
      </c>
      <c r="AY229" s="229">
        <f t="shared" si="166"/>
        <v>8.8012751241566795E-2</v>
      </c>
      <c r="AZ229" s="230"/>
      <c r="BA229" s="231">
        <f t="shared" si="167"/>
        <v>3</v>
      </c>
      <c r="BB229" s="231"/>
      <c r="BC229" s="231"/>
      <c r="BD229" s="231"/>
      <c r="BE229" s="231"/>
      <c r="BF229" s="231"/>
      <c r="BG229" s="231"/>
      <c r="BH229" s="231">
        <v>76</v>
      </c>
      <c r="BI229" s="232"/>
      <c r="BJ229" s="232"/>
      <c r="BK229" s="232"/>
      <c r="BL229" s="232"/>
      <c r="BM229" s="232"/>
      <c r="BN229" s="232"/>
      <c r="BO229" s="232"/>
      <c r="BP229" s="232"/>
      <c r="BQ229" s="232"/>
      <c r="BR229" s="232"/>
      <c r="BS229" s="232"/>
      <c r="BT229" s="232"/>
      <c r="BU229" s="232"/>
      <c r="BV229" s="232"/>
    </row>
    <row r="230" spans="1:74" ht="84" hidden="1" x14ac:dyDescent="0.25">
      <c r="A230" s="205" t="s">
        <v>438</v>
      </c>
      <c r="B230" s="205" t="s">
        <v>501</v>
      </c>
      <c r="C230" s="205">
        <v>31201632</v>
      </c>
      <c r="D230" s="205" t="s">
        <v>1169</v>
      </c>
      <c r="E230" s="206" t="s">
        <v>1170</v>
      </c>
      <c r="F230" s="458" t="s">
        <v>41</v>
      </c>
      <c r="G230" s="178">
        <v>1</v>
      </c>
      <c r="H230" s="458" t="s">
        <v>42</v>
      </c>
      <c r="I230" s="459" t="s">
        <v>440</v>
      </c>
      <c r="J230" s="207">
        <v>46091</v>
      </c>
      <c r="K230" s="208" t="s">
        <v>809</v>
      </c>
      <c r="L230" s="209" t="s">
        <v>446</v>
      </c>
      <c r="M230" s="207" t="s">
        <v>810</v>
      </c>
      <c r="N230" s="210">
        <v>13950</v>
      </c>
      <c r="O230" s="210" t="s">
        <v>450</v>
      </c>
      <c r="P230" s="210" t="s">
        <v>444</v>
      </c>
      <c r="Q230" s="211">
        <f t="shared" si="157"/>
        <v>13950</v>
      </c>
      <c r="R230" s="212">
        <f t="shared" si="158"/>
        <v>2650.5</v>
      </c>
      <c r="S230" s="212">
        <f t="shared" si="159"/>
        <v>16600.5</v>
      </c>
      <c r="T230" s="212"/>
      <c r="U230" s="212">
        <f t="shared" si="161"/>
        <v>16600.5</v>
      </c>
      <c r="V230" s="460" t="s">
        <v>440</v>
      </c>
      <c r="W230" s="213">
        <v>46091</v>
      </c>
      <c r="X230" s="214" t="s">
        <v>938</v>
      </c>
      <c r="Y230" s="215" t="s">
        <v>446</v>
      </c>
      <c r="Z230" s="216" t="s">
        <v>1102</v>
      </c>
      <c r="AA230" s="217">
        <v>14800</v>
      </c>
      <c r="AB230" s="217" t="s">
        <v>443</v>
      </c>
      <c r="AC230" s="217" t="s">
        <v>444</v>
      </c>
      <c r="AD230" s="218">
        <f t="shared" si="173"/>
        <v>12436.974789915967</v>
      </c>
      <c r="AE230" s="219">
        <f t="shared" si="162"/>
        <v>2363.0252100840335</v>
      </c>
      <c r="AF230" s="219">
        <f t="shared" si="163"/>
        <v>14800</v>
      </c>
      <c r="AG230" s="219">
        <f t="shared" si="174"/>
        <v>14800</v>
      </c>
      <c r="AH230" s="219">
        <f t="shared" si="175"/>
        <v>14800</v>
      </c>
      <c r="AI230" s="461" t="s">
        <v>440</v>
      </c>
      <c r="AJ230" s="220">
        <v>46091</v>
      </c>
      <c r="AK230" s="221" t="s">
        <v>508</v>
      </c>
      <c r="AL230" s="222" t="s">
        <v>446</v>
      </c>
      <c r="AM230" s="223" t="s">
        <v>1171</v>
      </c>
      <c r="AN230" s="224">
        <v>14400</v>
      </c>
      <c r="AO230" s="224" t="s">
        <v>443</v>
      </c>
      <c r="AP230" s="225" t="s">
        <v>444</v>
      </c>
      <c r="AQ230" s="226">
        <f>IF(AO230="IVA Incluido",(AN230/1.19),AN230)</f>
        <v>12100.840336134454</v>
      </c>
      <c r="AR230" s="227">
        <f>IF(AP230="Si tiene IVA",AQ230*19%,0)</f>
        <v>2299.159663865546</v>
      </c>
      <c r="AS230" s="227">
        <f>AQ230+AR230</f>
        <v>14400</v>
      </c>
      <c r="AT230" s="227">
        <f>IF(AB230="","",(AN230*G230))</f>
        <v>14400</v>
      </c>
      <c r="AU230" s="227">
        <f>IF(AB230="","",(AS230*G230))</f>
        <v>14400</v>
      </c>
      <c r="AV230" s="228">
        <f>IF(A230="","",AVERAGE(S230,AF230,AS230))</f>
        <v>15266.833333333334</v>
      </c>
      <c r="AW230" s="228">
        <f>IF(A230="","",AVERAGE(U230,AH230,AU230))</f>
        <v>15266.833333333334</v>
      </c>
      <c r="AX230" s="228">
        <f>IF(N230="","",STDEV(U230,AH230,AU230))</f>
        <v>1172.1774965137888</v>
      </c>
      <c r="AY230" s="229">
        <f t="shared" si="166"/>
        <v>7.6779347158685299E-2</v>
      </c>
      <c r="AZ230" s="230"/>
      <c r="BA230" s="231">
        <f t="shared" si="167"/>
        <v>3</v>
      </c>
      <c r="BB230" s="231"/>
      <c r="BC230" s="231"/>
      <c r="BD230" s="231"/>
      <c r="BE230" s="231"/>
      <c r="BF230" s="231"/>
      <c r="BG230" s="231"/>
      <c r="BH230" s="231">
        <v>77</v>
      </c>
      <c r="BI230" s="232"/>
      <c r="BJ230" s="232"/>
      <c r="BK230" s="232"/>
      <c r="BL230" s="232"/>
      <c r="BM230" s="232"/>
      <c r="BN230" s="232"/>
      <c r="BO230" s="232"/>
      <c r="BP230" s="232"/>
      <c r="BQ230" s="232"/>
      <c r="BR230" s="232"/>
      <c r="BS230" s="232"/>
      <c r="BT230" s="232"/>
      <c r="BU230" s="232"/>
      <c r="BV230" s="232"/>
    </row>
    <row r="231" spans="1:74" ht="378" hidden="1" x14ac:dyDescent="0.25">
      <c r="A231" s="205" t="s">
        <v>496</v>
      </c>
      <c r="B231" s="205" t="s">
        <v>496</v>
      </c>
      <c r="C231" s="205" t="s">
        <v>496</v>
      </c>
      <c r="D231" s="205" t="s">
        <v>1172</v>
      </c>
      <c r="E231" s="206" t="s">
        <v>1173</v>
      </c>
      <c r="F231" s="458" t="s">
        <v>499</v>
      </c>
      <c r="G231" s="178">
        <v>1</v>
      </c>
      <c r="H231" s="458"/>
      <c r="I231" s="459" t="s">
        <v>496</v>
      </c>
      <c r="J231" s="207" t="s">
        <v>496</v>
      </c>
      <c r="K231" s="208" t="s">
        <v>496</v>
      </c>
      <c r="L231" s="209" t="s">
        <v>496</v>
      </c>
      <c r="M231" s="207" t="s">
        <v>496</v>
      </c>
      <c r="N231" s="210"/>
      <c r="O231" s="210"/>
      <c r="P231" s="210"/>
      <c r="Q231" s="211" t="s">
        <v>500</v>
      </c>
      <c r="R231" s="212" t="s">
        <v>500</v>
      </c>
      <c r="S231" s="212" t="s">
        <v>500</v>
      </c>
      <c r="T231" s="212" t="s">
        <v>500</v>
      </c>
      <c r="U231" s="212" t="s">
        <v>500</v>
      </c>
      <c r="V231" s="460" t="s">
        <v>496</v>
      </c>
      <c r="W231" s="213" t="s">
        <v>496</v>
      </c>
      <c r="X231" s="214" t="s">
        <v>496</v>
      </c>
      <c r="Y231" s="215" t="s">
        <v>496</v>
      </c>
      <c r="Z231" s="216" t="s">
        <v>165</v>
      </c>
      <c r="AA231" s="217" t="s">
        <v>496</v>
      </c>
      <c r="AB231" s="217" t="s">
        <v>496</v>
      </c>
      <c r="AC231" s="217" t="s">
        <v>496</v>
      </c>
      <c r="AD231" s="218" t="s">
        <v>496</v>
      </c>
      <c r="AE231" s="219" t="s">
        <v>496</v>
      </c>
      <c r="AF231" s="219">
        <v>171496</v>
      </c>
      <c r="AG231" s="219">
        <v>5.5599999999999997E-2</v>
      </c>
      <c r="AH231" s="219">
        <v>181031</v>
      </c>
      <c r="AI231" s="461" t="s">
        <v>496</v>
      </c>
      <c r="AJ231" s="220" t="s">
        <v>496</v>
      </c>
      <c r="AK231" s="221" t="s">
        <v>496</v>
      </c>
      <c r="AL231" s="222" t="s">
        <v>496</v>
      </c>
      <c r="AM231" s="223" t="s">
        <v>166</v>
      </c>
      <c r="AN231" s="224" t="s">
        <v>496</v>
      </c>
      <c r="AO231" s="224" t="s">
        <v>496</v>
      </c>
      <c r="AP231" s="225" t="s">
        <v>496</v>
      </c>
      <c r="AQ231" s="226">
        <v>146996</v>
      </c>
      <c r="AR231" s="227">
        <v>27929</v>
      </c>
      <c r="AS231" s="227">
        <v>174925</v>
      </c>
      <c r="AT231" s="227">
        <v>146996</v>
      </c>
      <c r="AU231" s="227">
        <v>174925</v>
      </c>
      <c r="AV231" s="228">
        <v>177978</v>
      </c>
      <c r="AW231" s="228">
        <v>177978</v>
      </c>
      <c r="AX231" s="228">
        <v>4317.0600000000004</v>
      </c>
      <c r="AY231" s="229">
        <v>2.4299999999999999E-2</v>
      </c>
      <c r="AZ231" s="230"/>
      <c r="BA231" s="231"/>
      <c r="BB231" s="231"/>
      <c r="BC231" s="231"/>
      <c r="BD231" s="231"/>
      <c r="BE231" s="231"/>
      <c r="BF231" s="231"/>
      <c r="BG231" s="231"/>
      <c r="BH231" s="231"/>
      <c r="BI231" s="232"/>
      <c r="BJ231" s="232"/>
      <c r="BK231" s="232"/>
      <c r="BL231" s="232"/>
      <c r="BM231" s="232"/>
      <c r="BN231" s="232"/>
      <c r="BO231" s="232"/>
      <c r="BP231" s="232"/>
      <c r="BQ231" s="232"/>
      <c r="BR231" s="232"/>
      <c r="BS231" s="232"/>
      <c r="BT231" s="232"/>
      <c r="BU231" s="232"/>
      <c r="BV231" s="232"/>
    </row>
    <row r="232" spans="1:74" ht="63" hidden="1" x14ac:dyDescent="0.25">
      <c r="A232" s="205" t="s">
        <v>438</v>
      </c>
      <c r="B232" s="205" t="s">
        <v>501</v>
      </c>
      <c r="C232" s="205">
        <v>44121506</v>
      </c>
      <c r="D232" s="205" t="s">
        <v>1174</v>
      </c>
      <c r="E232" s="206" t="s">
        <v>1175</v>
      </c>
      <c r="F232" s="458" t="s">
        <v>41</v>
      </c>
      <c r="G232" s="178">
        <v>1</v>
      </c>
      <c r="H232" s="458" t="s">
        <v>42</v>
      </c>
      <c r="I232" s="459" t="s">
        <v>452</v>
      </c>
      <c r="J232" s="207">
        <v>46069</v>
      </c>
      <c r="K232" s="208" t="s">
        <v>508</v>
      </c>
      <c r="L232" s="209" t="s">
        <v>446</v>
      </c>
      <c r="M232" s="207" t="s">
        <v>63</v>
      </c>
      <c r="N232" s="210">
        <v>8200</v>
      </c>
      <c r="O232" s="210" t="s">
        <v>443</v>
      </c>
      <c r="P232" s="210" t="s">
        <v>444</v>
      </c>
      <c r="Q232" s="211">
        <f>IF(O232="IVA Incluido",(N232/1.19),N232)</f>
        <v>6890.7563025210084</v>
      </c>
      <c r="R232" s="212">
        <f>IF(P232="Si tiene IVA",Q232*19%,0)</f>
        <v>1309.2436974789916</v>
      </c>
      <c r="S232" s="212">
        <f>Q232+R232</f>
        <v>8200</v>
      </c>
      <c r="T232" s="212">
        <f>IF(B232="","",(N232*G232))</f>
        <v>8200</v>
      </c>
      <c r="U232" s="212">
        <f>IF(B232="","",(S232*G232))</f>
        <v>8200</v>
      </c>
      <c r="V232" s="460" t="s">
        <v>452</v>
      </c>
      <c r="W232" s="213">
        <v>46069</v>
      </c>
      <c r="X232" s="214" t="s">
        <v>1176</v>
      </c>
      <c r="Y232" s="215" t="s">
        <v>446</v>
      </c>
      <c r="Z232" s="216" t="s">
        <v>1177</v>
      </c>
      <c r="AA232" s="217">
        <v>10500</v>
      </c>
      <c r="AB232" s="217" t="s">
        <v>443</v>
      </c>
      <c r="AC232" s="217" t="s">
        <v>444</v>
      </c>
      <c r="AD232" s="218">
        <f>IF(AB232="IVA Incluido",(AA232/1.19),AA232)</f>
        <v>8823.5294117647063</v>
      </c>
      <c r="AE232" s="219">
        <f>IF(AC232="Si tiene IVA",AD232*19%,0)</f>
        <v>1676.4705882352941</v>
      </c>
      <c r="AF232" s="219">
        <f>AD232+AE232</f>
        <v>10500</v>
      </c>
      <c r="AG232" s="219">
        <f>IF(O232="","",(AA232*G232))</f>
        <v>10500</v>
      </c>
      <c r="AH232" s="219">
        <f>IF(O232="","",(AF232*G232))</f>
        <v>10500</v>
      </c>
      <c r="AI232" s="461" t="s">
        <v>452</v>
      </c>
      <c r="AJ232" s="220">
        <v>46069</v>
      </c>
      <c r="AK232" s="221" t="s">
        <v>705</v>
      </c>
      <c r="AL232" s="222" t="s">
        <v>446</v>
      </c>
      <c r="AM232" s="223" t="s">
        <v>706</v>
      </c>
      <c r="AN232" s="224">
        <v>6126</v>
      </c>
      <c r="AO232" s="224" t="s">
        <v>450</v>
      </c>
      <c r="AP232" s="225" t="s">
        <v>444</v>
      </c>
      <c r="AQ232" s="226">
        <f>IF(AO232="IVA Incluido",(AN232/1.19),AN232)</f>
        <v>6126</v>
      </c>
      <c r="AR232" s="227">
        <f>IF(AP232="Si tiene IVA",AQ232*19%,0)</f>
        <v>1163.94</v>
      </c>
      <c r="AS232" s="227">
        <f>AQ232+AR232</f>
        <v>7289.9400000000005</v>
      </c>
      <c r="AT232" s="227">
        <f>IF(AB232="","",(AN232*G232))</f>
        <v>6126</v>
      </c>
      <c r="AU232" s="227">
        <f>IF(AB232="","",(AS232*G232))</f>
        <v>7289.9400000000005</v>
      </c>
      <c r="AV232" s="228">
        <f>IF(A232="","",AVERAGE(S232,AF232,AS232))</f>
        <v>8663.3133333333335</v>
      </c>
      <c r="AW232" s="228">
        <f>IF(A232="","",AVERAGE(U232,AH232,AU232))</f>
        <v>8663.3133333333335</v>
      </c>
      <c r="AX232" s="228">
        <f>IF(N232="","",STDEV(U232,AH232,AU232))</f>
        <v>1654.423082084294</v>
      </c>
      <c r="AY232" s="229">
        <f>IF(N232="","",(AX232/AW232))</f>
        <v>0.19096886126912499</v>
      </c>
      <c r="AZ232" s="230"/>
      <c r="BA232" s="231">
        <f>COUNTA(M232,Z232,AM232)</f>
        <v>3</v>
      </c>
      <c r="BB232" s="231"/>
      <c r="BC232" s="231"/>
      <c r="BD232" s="231"/>
      <c r="BE232" s="231"/>
      <c r="BF232" s="231"/>
      <c r="BG232" s="231"/>
      <c r="BH232" s="231">
        <v>78</v>
      </c>
      <c r="BI232" s="232"/>
      <c r="BJ232" s="232"/>
      <c r="BK232" s="232"/>
      <c r="BL232" s="232"/>
      <c r="BM232" s="232"/>
      <c r="BN232" s="232"/>
      <c r="BO232" s="232"/>
      <c r="BP232" s="232"/>
      <c r="BQ232" s="232"/>
      <c r="BR232" s="232"/>
      <c r="BS232" s="232"/>
      <c r="BT232" s="232"/>
      <c r="BU232" s="232"/>
      <c r="BV232" s="232"/>
    </row>
    <row r="233" spans="1:74" ht="378" hidden="1" x14ac:dyDescent="0.25">
      <c r="A233" s="205" t="s">
        <v>496</v>
      </c>
      <c r="B233" s="205" t="s">
        <v>496</v>
      </c>
      <c r="C233" s="205" t="s">
        <v>496</v>
      </c>
      <c r="D233" s="205" t="s">
        <v>1178</v>
      </c>
      <c r="E233" s="206" t="s">
        <v>1179</v>
      </c>
      <c r="F233" s="458" t="s">
        <v>499</v>
      </c>
      <c r="G233" s="178">
        <v>1</v>
      </c>
      <c r="H233" s="458"/>
      <c r="I233" s="459" t="s">
        <v>496</v>
      </c>
      <c r="J233" s="207" t="s">
        <v>496</v>
      </c>
      <c r="K233" s="208" t="s">
        <v>496</v>
      </c>
      <c r="L233" s="209" t="s">
        <v>496</v>
      </c>
      <c r="M233" s="207" t="s">
        <v>496</v>
      </c>
      <c r="N233" s="210"/>
      <c r="O233" s="210"/>
      <c r="P233" s="210"/>
      <c r="Q233" s="211" t="s">
        <v>500</v>
      </c>
      <c r="R233" s="212" t="s">
        <v>500</v>
      </c>
      <c r="S233" s="212" t="s">
        <v>500</v>
      </c>
      <c r="T233" s="212" t="s">
        <v>500</v>
      </c>
      <c r="U233" s="212" t="s">
        <v>500</v>
      </c>
      <c r="V233" s="460" t="s">
        <v>496</v>
      </c>
      <c r="W233" s="213" t="s">
        <v>496</v>
      </c>
      <c r="X233" s="214" t="s">
        <v>496</v>
      </c>
      <c r="Y233" s="215" t="s">
        <v>496</v>
      </c>
      <c r="Z233" s="216" t="s">
        <v>165</v>
      </c>
      <c r="AA233" s="217" t="s">
        <v>496</v>
      </c>
      <c r="AB233" s="217" t="s">
        <v>496</v>
      </c>
      <c r="AC233" s="217" t="s">
        <v>496</v>
      </c>
      <c r="AD233" s="218" t="s">
        <v>496</v>
      </c>
      <c r="AE233" s="219" t="s">
        <v>496</v>
      </c>
      <c r="AF233" s="219">
        <v>277125</v>
      </c>
      <c r="AG233" s="219">
        <v>5.5599999999999997E-2</v>
      </c>
      <c r="AH233" s="219">
        <v>292533</v>
      </c>
      <c r="AI233" s="461" t="s">
        <v>496</v>
      </c>
      <c r="AJ233" s="220" t="s">
        <v>496</v>
      </c>
      <c r="AK233" s="221" t="s">
        <v>496</v>
      </c>
      <c r="AL233" s="222" t="s">
        <v>496</v>
      </c>
      <c r="AM233" s="223" t="s">
        <v>166</v>
      </c>
      <c r="AN233" s="224" t="s">
        <v>496</v>
      </c>
      <c r="AO233" s="224" t="s">
        <v>496</v>
      </c>
      <c r="AP233" s="225" t="s">
        <v>496</v>
      </c>
      <c r="AQ233" s="226">
        <v>237536</v>
      </c>
      <c r="AR233" s="227">
        <v>45132</v>
      </c>
      <c r="AS233" s="227">
        <v>282668</v>
      </c>
      <c r="AT233" s="227">
        <v>237536</v>
      </c>
      <c r="AU233" s="227">
        <v>282668</v>
      </c>
      <c r="AV233" s="228">
        <v>287600</v>
      </c>
      <c r="AW233" s="228">
        <v>287600</v>
      </c>
      <c r="AX233" s="228">
        <v>6976.07</v>
      </c>
      <c r="AY233" s="229">
        <v>2.4299999999999999E-2</v>
      </c>
      <c r="AZ233" s="230"/>
      <c r="BA233" s="231"/>
      <c r="BB233" s="231"/>
      <c r="BC233" s="231"/>
      <c r="BD233" s="231"/>
      <c r="BE233" s="231"/>
      <c r="BF233" s="231"/>
      <c r="BG233" s="231"/>
      <c r="BH233" s="231"/>
      <c r="BI233" s="232"/>
      <c r="BJ233" s="232"/>
      <c r="BK233" s="232"/>
      <c r="BL233" s="232"/>
      <c r="BM233" s="232"/>
      <c r="BN233" s="232"/>
      <c r="BO233" s="232"/>
      <c r="BP233" s="232"/>
      <c r="BQ233" s="232"/>
      <c r="BR233" s="232"/>
      <c r="BS233" s="232"/>
      <c r="BT233" s="232"/>
      <c r="BU233" s="232"/>
      <c r="BV233" s="232"/>
    </row>
    <row r="234" spans="1:74" ht="378" hidden="1" x14ac:dyDescent="0.25">
      <c r="A234" s="205" t="s">
        <v>496</v>
      </c>
      <c r="B234" s="205" t="s">
        <v>496</v>
      </c>
      <c r="C234" s="205" t="s">
        <v>496</v>
      </c>
      <c r="D234" s="205" t="s">
        <v>1180</v>
      </c>
      <c r="E234" s="206" t="s">
        <v>1181</v>
      </c>
      <c r="F234" s="458" t="s">
        <v>499</v>
      </c>
      <c r="G234" s="178">
        <v>1</v>
      </c>
      <c r="H234" s="458"/>
      <c r="I234" s="459" t="s">
        <v>496</v>
      </c>
      <c r="J234" s="207" t="s">
        <v>496</v>
      </c>
      <c r="K234" s="208" t="s">
        <v>496</v>
      </c>
      <c r="L234" s="209" t="s">
        <v>496</v>
      </c>
      <c r="M234" s="207" t="s">
        <v>496</v>
      </c>
      <c r="N234" s="210"/>
      <c r="O234" s="210"/>
      <c r="P234" s="210"/>
      <c r="Q234" s="211" t="s">
        <v>500</v>
      </c>
      <c r="R234" s="212" t="s">
        <v>500</v>
      </c>
      <c r="S234" s="212" t="s">
        <v>500</v>
      </c>
      <c r="T234" s="212" t="s">
        <v>500</v>
      </c>
      <c r="U234" s="212" t="s">
        <v>500</v>
      </c>
      <c r="V234" s="460" t="s">
        <v>496</v>
      </c>
      <c r="W234" s="213" t="s">
        <v>496</v>
      </c>
      <c r="X234" s="214" t="s">
        <v>496</v>
      </c>
      <c r="Y234" s="215" t="s">
        <v>496</v>
      </c>
      <c r="Z234" s="216" t="s">
        <v>165</v>
      </c>
      <c r="AA234" s="217" t="s">
        <v>496</v>
      </c>
      <c r="AB234" s="217" t="s">
        <v>496</v>
      </c>
      <c r="AC234" s="217" t="s">
        <v>496</v>
      </c>
      <c r="AD234" s="218" t="s">
        <v>496</v>
      </c>
      <c r="AE234" s="219" t="s">
        <v>496</v>
      </c>
      <c r="AF234" s="219">
        <v>5920228</v>
      </c>
      <c r="AG234" s="219">
        <v>5.5599999999999997E-2</v>
      </c>
      <c r="AH234" s="219">
        <v>6249392</v>
      </c>
      <c r="AI234" s="461" t="s">
        <v>496</v>
      </c>
      <c r="AJ234" s="220" t="s">
        <v>496</v>
      </c>
      <c r="AK234" s="221" t="s">
        <v>496</v>
      </c>
      <c r="AL234" s="222" t="s">
        <v>496</v>
      </c>
      <c r="AM234" s="223" t="s">
        <v>166</v>
      </c>
      <c r="AN234" s="224" t="s">
        <v>496</v>
      </c>
      <c r="AO234" s="224" t="s">
        <v>496</v>
      </c>
      <c r="AP234" s="225" t="s">
        <v>496</v>
      </c>
      <c r="AQ234" s="226">
        <v>5074481</v>
      </c>
      <c r="AR234" s="227">
        <v>964151</v>
      </c>
      <c r="AS234" s="227">
        <v>6038632</v>
      </c>
      <c r="AT234" s="227">
        <v>5074481</v>
      </c>
      <c r="AU234" s="227">
        <v>6038632</v>
      </c>
      <c r="AV234" s="228">
        <v>6144012</v>
      </c>
      <c r="AW234" s="228">
        <v>6144012</v>
      </c>
      <c r="AX234" s="228">
        <v>149029.9</v>
      </c>
      <c r="AY234" s="229">
        <v>2.4299999999999999E-2</v>
      </c>
      <c r="AZ234" s="230"/>
      <c r="BA234" s="231"/>
      <c r="BB234" s="231"/>
      <c r="BC234" s="231"/>
      <c r="BD234" s="231"/>
      <c r="BE234" s="231"/>
      <c r="BF234" s="231"/>
      <c r="BG234" s="231"/>
      <c r="BH234" s="231"/>
      <c r="BI234" s="232"/>
      <c r="BJ234" s="232"/>
      <c r="BK234" s="232"/>
      <c r="BL234" s="232"/>
      <c r="BM234" s="232"/>
      <c r="BN234" s="232"/>
      <c r="BO234" s="232"/>
      <c r="BP234" s="232"/>
      <c r="BQ234" s="232"/>
      <c r="BR234" s="232"/>
      <c r="BS234" s="232"/>
      <c r="BT234" s="232"/>
      <c r="BU234" s="232"/>
      <c r="BV234" s="232"/>
    </row>
    <row r="235" spans="1:74" ht="378" hidden="1" x14ac:dyDescent="0.25">
      <c r="A235" s="205" t="s">
        <v>496</v>
      </c>
      <c r="B235" s="205" t="s">
        <v>496</v>
      </c>
      <c r="C235" s="205" t="s">
        <v>496</v>
      </c>
      <c r="D235" s="205" t="s">
        <v>1182</v>
      </c>
      <c r="E235" s="206" t="s">
        <v>1183</v>
      </c>
      <c r="F235" s="458" t="s">
        <v>499</v>
      </c>
      <c r="G235" s="178">
        <v>1</v>
      </c>
      <c r="H235" s="458"/>
      <c r="I235" s="459" t="s">
        <v>496</v>
      </c>
      <c r="J235" s="207" t="s">
        <v>496</v>
      </c>
      <c r="K235" s="208" t="s">
        <v>496</v>
      </c>
      <c r="L235" s="209" t="s">
        <v>496</v>
      </c>
      <c r="M235" s="207" t="s">
        <v>496</v>
      </c>
      <c r="N235" s="210"/>
      <c r="O235" s="210"/>
      <c r="P235" s="210"/>
      <c r="Q235" s="211" t="s">
        <v>500</v>
      </c>
      <c r="R235" s="212" t="s">
        <v>500</v>
      </c>
      <c r="S235" s="212" t="s">
        <v>500</v>
      </c>
      <c r="T235" s="212" t="s">
        <v>500</v>
      </c>
      <c r="U235" s="212" t="s">
        <v>500</v>
      </c>
      <c r="V235" s="460" t="s">
        <v>496</v>
      </c>
      <c r="W235" s="213" t="s">
        <v>496</v>
      </c>
      <c r="X235" s="214" t="s">
        <v>496</v>
      </c>
      <c r="Y235" s="215" t="s">
        <v>496</v>
      </c>
      <c r="Z235" s="216" t="s">
        <v>165</v>
      </c>
      <c r="AA235" s="217" t="s">
        <v>496</v>
      </c>
      <c r="AB235" s="217" t="s">
        <v>496</v>
      </c>
      <c r="AC235" s="217" t="s">
        <v>496</v>
      </c>
      <c r="AD235" s="218" t="s">
        <v>496</v>
      </c>
      <c r="AE235" s="219" t="s">
        <v>496</v>
      </c>
      <c r="AF235" s="219">
        <v>9767300</v>
      </c>
      <c r="AG235" s="219">
        <v>5.5599999999999997E-2</v>
      </c>
      <c r="AH235" s="219">
        <v>10310362</v>
      </c>
      <c r="AI235" s="461" t="s">
        <v>496</v>
      </c>
      <c r="AJ235" s="220" t="s">
        <v>496</v>
      </c>
      <c r="AK235" s="221" t="s">
        <v>496</v>
      </c>
      <c r="AL235" s="222" t="s">
        <v>496</v>
      </c>
      <c r="AM235" s="223" t="s">
        <v>166</v>
      </c>
      <c r="AN235" s="224" t="s">
        <v>496</v>
      </c>
      <c r="AO235" s="224" t="s">
        <v>496</v>
      </c>
      <c r="AP235" s="225" t="s">
        <v>496</v>
      </c>
      <c r="AQ235" s="226">
        <v>8371971</v>
      </c>
      <c r="AR235" s="227">
        <v>1590675</v>
      </c>
      <c r="AS235" s="227">
        <v>9962646</v>
      </c>
      <c r="AT235" s="227">
        <v>8371971</v>
      </c>
      <c r="AU235" s="227">
        <v>9962646</v>
      </c>
      <c r="AV235" s="228">
        <v>10136504</v>
      </c>
      <c r="AW235" s="228">
        <v>10136504</v>
      </c>
      <c r="AX235" s="228">
        <v>245872.26</v>
      </c>
      <c r="AY235" s="229">
        <v>2.4299999999999999E-2</v>
      </c>
      <c r="AZ235" s="230"/>
      <c r="BA235" s="231"/>
      <c r="BB235" s="231"/>
      <c r="BC235" s="231"/>
      <c r="BD235" s="231"/>
      <c r="BE235" s="231"/>
      <c r="BF235" s="231"/>
      <c r="BG235" s="231"/>
      <c r="BH235" s="231"/>
      <c r="BI235" s="232"/>
      <c r="BJ235" s="232"/>
      <c r="BK235" s="232"/>
      <c r="BL235" s="232"/>
      <c r="BM235" s="232"/>
      <c r="BN235" s="232"/>
      <c r="BO235" s="232"/>
      <c r="BP235" s="232"/>
      <c r="BQ235" s="232"/>
      <c r="BR235" s="232"/>
      <c r="BS235" s="232"/>
      <c r="BT235" s="232"/>
      <c r="BU235" s="232"/>
      <c r="BV235" s="232"/>
    </row>
    <row r="236" spans="1:74" ht="63" hidden="1" x14ac:dyDescent="0.25">
      <c r="A236" s="205" t="s">
        <v>438</v>
      </c>
      <c r="B236" s="205" t="s">
        <v>501</v>
      </c>
      <c r="C236" s="205">
        <v>44122012</v>
      </c>
      <c r="D236" s="205" t="s">
        <v>1184</v>
      </c>
      <c r="E236" s="206" t="s">
        <v>1184</v>
      </c>
      <c r="F236" s="458" t="s">
        <v>41</v>
      </c>
      <c r="G236" s="178">
        <v>1</v>
      </c>
      <c r="H236" s="458" t="s">
        <v>42</v>
      </c>
      <c r="I236" s="459" t="s">
        <v>440</v>
      </c>
      <c r="J236" s="207">
        <v>46091</v>
      </c>
      <c r="K236" s="208" t="s">
        <v>1185</v>
      </c>
      <c r="L236" s="209" t="s">
        <v>446</v>
      </c>
      <c r="M236" s="207" t="s">
        <v>1186</v>
      </c>
      <c r="N236" s="210">
        <v>5200</v>
      </c>
      <c r="O236" s="210" t="s">
        <v>443</v>
      </c>
      <c r="P236" s="210" t="s">
        <v>444</v>
      </c>
      <c r="Q236" s="211">
        <f t="shared" ref="Q236:Q247" si="176">IF(O236="IVA Incluido",(N236/1.19),N236)</f>
        <v>4369.7478991596645</v>
      </c>
      <c r="R236" s="212">
        <f>IF(P236="Si tiene IVA",Q236*19%,0)</f>
        <v>830.25210084033631</v>
      </c>
      <c r="S236" s="212">
        <f t="shared" ref="S236:S247" si="177">Q236+R236</f>
        <v>5200.0000000000009</v>
      </c>
      <c r="T236" s="212">
        <f t="shared" ref="T236:T247" si="178">IF(B236="","",(N236*G236))</f>
        <v>5200</v>
      </c>
      <c r="U236" s="212">
        <f t="shared" ref="U236:U247" si="179">IF(B236="","",(S236*G236))</f>
        <v>5200.0000000000009</v>
      </c>
      <c r="V236" s="460" t="s">
        <v>440</v>
      </c>
      <c r="W236" s="213">
        <v>46091</v>
      </c>
      <c r="X236" s="214" t="s">
        <v>809</v>
      </c>
      <c r="Y236" s="215" t="s">
        <v>446</v>
      </c>
      <c r="Z236" s="216" t="s">
        <v>960</v>
      </c>
      <c r="AA236" s="217">
        <v>4200</v>
      </c>
      <c r="AB236" s="217" t="s">
        <v>450</v>
      </c>
      <c r="AC236" s="217" t="s">
        <v>444</v>
      </c>
      <c r="AD236" s="218">
        <f t="shared" ref="AD236:AD247" si="180">IF(AB236="IVA Incluido",(AA236/1.19),AA236)</f>
        <v>4200</v>
      </c>
      <c r="AE236" s="219">
        <f>IF(AC236="Si tiene IVA",AD236*19%,0)</f>
        <v>798</v>
      </c>
      <c r="AF236" s="219">
        <f t="shared" ref="AF236:AF247" si="181">AD236+AE236</f>
        <v>4998</v>
      </c>
      <c r="AG236" s="219">
        <f t="shared" ref="AG236:AG247" si="182">IF(O236="","",(AA236*G236))</f>
        <v>4200</v>
      </c>
      <c r="AH236" s="219">
        <f t="shared" ref="AH236:AH247" si="183">IF(O236="","",(AF236*G236))</f>
        <v>4998</v>
      </c>
      <c r="AI236" s="461" t="s">
        <v>440</v>
      </c>
      <c r="AJ236" s="220">
        <v>46091</v>
      </c>
      <c r="AK236" s="221" t="s">
        <v>938</v>
      </c>
      <c r="AL236" s="222" t="s">
        <v>446</v>
      </c>
      <c r="AM236" s="223" t="s">
        <v>939</v>
      </c>
      <c r="AN236" s="224">
        <v>4800</v>
      </c>
      <c r="AO236" s="224" t="s">
        <v>443</v>
      </c>
      <c r="AP236" s="225" t="s">
        <v>444</v>
      </c>
      <c r="AQ236" s="226">
        <f>IF(AO236="IVA Incluido",(AN236/1.19),AN236)</f>
        <v>4033.6134453781515</v>
      </c>
      <c r="AR236" s="227">
        <f>IF(AP236="Si tiene IVA",AQ236*19%,0)</f>
        <v>766.38655462184875</v>
      </c>
      <c r="AS236" s="227">
        <f t="shared" ref="AS236:AS247" si="184">AQ236+AR236</f>
        <v>4800</v>
      </c>
      <c r="AT236" s="227">
        <f t="shared" ref="AT236:AT247" si="185">IF(AB236="","",(AN236*G236))</f>
        <v>4800</v>
      </c>
      <c r="AU236" s="227">
        <f t="shared" ref="AU236:AU247" si="186">IF(AB236="","",(AS236*G236))</f>
        <v>4800</v>
      </c>
      <c r="AV236" s="228">
        <f>IF(A236="","",AVERAGE(S236,AF236,AS236))</f>
        <v>4999.333333333333</v>
      </c>
      <c r="AW236" s="228">
        <f>IF(A236="","",AVERAGE(U236,AH236,AU236))</f>
        <v>4999.333333333333</v>
      </c>
      <c r="AX236" s="228">
        <f>IF(N236="","",STDEV(U236,AH236,AU236))</f>
        <v>200.00333330555648</v>
      </c>
      <c r="AY236" s="229">
        <f t="shared" ref="AY236:AY247" si="187">IF(N236="","",(AX236/AW236))</f>
        <v>4.0006000794550571E-2</v>
      </c>
      <c r="AZ236" s="230"/>
      <c r="BA236" s="231">
        <f t="shared" ref="BA236:BA247" si="188">COUNTA(M236,Z236,AM236)</f>
        <v>3</v>
      </c>
      <c r="BB236" s="231"/>
      <c r="BC236" s="231"/>
      <c r="BD236" s="231"/>
      <c r="BE236" s="231"/>
      <c r="BF236" s="231"/>
      <c r="BG236" s="231"/>
      <c r="BH236" s="231">
        <v>79</v>
      </c>
      <c r="BI236" s="232"/>
      <c r="BJ236" s="232"/>
      <c r="BK236" s="232"/>
      <c r="BL236" s="232"/>
      <c r="BM236" s="232"/>
      <c r="BN236" s="232"/>
      <c r="BO236" s="232"/>
      <c r="BP236" s="232"/>
      <c r="BQ236" s="232"/>
      <c r="BR236" s="232"/>
      <c r="BS236" s="232"/>
      <c r="BT236" s="232"/>
      <c r="BU236" s="232"/>
      <c r="BV236" s="232"/>
    </row>
    <row r="237" spans="1:74" ht="84" hidden="1" x14ac:dyDescent="0.25">
      <c r="A237" s="205" t="s">
        <v>438</v>
      </c>
      <c r="B237" s="205" t="s">
        <v>501</v>
      </c>
      <c r="C237" s="205">
        <v>44111905</v>
      </c>
      <c r="D237" s="205" t="s">
        <v>387</v>
      </c>
      <c r="E237" s="206" t="s">
        <v>388</v>
      </c>
      <c r="F237" s="458" t="s">
        <v>41</v>
      </c>
      <c r="G237" s="178">
        <v>1</v>
      </c>
      <c r="H237" s="458" t="s">
        <v>42</v>
      </c>
      <c r="I237" s="459" t="s">
        <v>440</v>
      </c>
      <c r="J237" s="207">
        <v>46091</v>
      </c>
      <c r="K237" s="208" t="s">
        <v>809</v>
      </c>
      <c r="L237" s="209" t="s">
        <v>446</v>
      </c>
      <c r="M237" s="207" t="s">
        <v>810</v>
      </c>
      <c r="N237" s="210">
        <v>106000</v>
      </c>
      <c r="O237" s="210" t="s">
        <v>450</v>
      </c>
      <c r="P237" s="210" t="s">
        <v>444</v>
      </c>
      <c r="Q237" s="211">
        <f t="shared" si="176"/>
        <v>106000</v>
      </c>
      <c r="R237" s="212">
        <f>IF(P237="Si tiene IVA",Q237*19%,0)</f>
        <v>20140</v>
      </c>
      <c r="S237" s="212">
        <f t="shared" si="177"/>
        <v>126140</v>
      </c>
      <c r="T237" s="212">
        <f t="shared" si="178"/>
        <v>106000</v>
      </c>
      <c r="U237" s="212">
        <f t="shared" si="179"/>
        <v>126140</v>
      </c>
      <c r="V237" s="460" t="s">
        <v>440</v>
      </c>
      <c r="W237" s="213">
        <v>46091</v>
      </c>
      <c r="X237" s="214" t="s">
        <v>1187</v>
      </c>
      <c r="Y237" s="215" t="s">
        <v>446</v>
      </c>
      <c r="Z237" s="216" t="s">
        <v>1188</v>
      </c>
      <c r="AA237" s="217">
        <v>132000</v>
      </c>
      <c r="AB237" s="217" t="s">
        <v>443</v>
      </c>
      <c r="AC237" s="217" t="s">
        <v>444</v>
      </c>
      <c r="AD237" s="218">
        <f t="shared" si="180"/>
        <v>110924.36974789917</v>
      </c>
      <c r="AE237" s="219">
        <f>IF(AC237="Si tiene IVA",AD237*19%,0)</f>
        <v>21075.630252100844</v>
      </c>
      <c r="AF237" s="219">
        <f t="shared" si="181"/>
        <v>132000</v>
      </c>
      <c r="AG237" s="219">
        <f t="shared" si="182"/>
        <v>132000</v>
      </c>
      <c r="AH237" s="219">
        <f t="shared" si="183"/>
        <v>132000</v>
      </c>
      <c r="AI237" s="461" t="s">
        <v>440</v>
      </c>
      <c r="AJ237" s="220">
        <v>46091</v>
      </c>
      <c r="AK237" s="221" t="s">
        <v>1189</v>
      </c>
      <c r="AL237" s="222" t="s">
        <v>446</v>
      </c>
      <c r="AM237" s="223" t="s">
        <v>953</v>
      </c>
      <c r="AN237" s="224">
        <v>159900</v>
      </c>
      <c r="AO237" s="224" t="s">
        <v>443</v>
      </c>
      <c r="AP237" s="225" t="s">
        <v>444</v>
      </c>
      <c r="AQ237" s="226">
        <f>IF(AO237="IVA Incluido",(AN237/1.19),AN237)</f>
        <v>134369.74789915967</v>
      </c>
      <c r="AR237" s="227">
        <f>IF(AP237="Si tiene IVA",AQ237*19%,0)</f>
        <v>25530.252100840338</v>
      </c>
      <c r="AS237" s="227">
        <f t="shared" si="184"/>
        <v>159900</v>
      </c>
      <c r="AT237" s="227">
        <f t="shared" si="185"/>
        <v>159900</v>
      </c>
      <c r="AU237" s="227">
        <f t="shared" si="186"/>
        <v>159900</v>
      </c>
      <c r="AV237" s="228">
        <f>IF(A237="","",AVERAGE(S237,AF237,AS237))</f>
        <v>139346.66666666666</v>
      </c>
      <c r="AW237" s="228">
        <f>IF(A237="","",AVERAGE(U237,AH237,AU237))</f>
        <v>139346.66666666666</v>
      </c>
      <c r="AX237" s="228">
        <f>IF(N237="","",STDEV(U237,AH237,AU237))</f>
        <v>18039.249799626705</v>
      </c>
      <c r="AY237" s="229">
        <f t="shared" si="187"/>
        <v>0.12945591187178287</v>
      </c>
      <c r="AZ237" s="230"/>
      <c r="BA237" s="231">
        <f t="shared" si="188"/>
        <v>3</v>
      </c>
      <c r="BB237" s="231"/>
      <c r="BC237" s="231"/>
      <c r="BD237" s="231"/>
      <c r="BE237" s="231"/>
      <c r="BF237" s="231"/>
      <c r="BG237" s="231"/>
      <c r="BH237" s="231">
        <v>80</v>
      </c>
      <c r="BI237" s="232"/>
      <c r="BJ237" s="232"/>
      <c r="BK237" s="232"/>
      <c r="BL237" s="232"/>
      <c r="BM237" s="232"/>
      <c r="BN237" s="232"/>
      <c r="BO237" s="232"/>
      <c r="BP237" s="232"/>
      <c r="BQ237" s="232"/>
      <c r="BR237" s="232"/>
      <c r="BS237" s="232"/>
      <c r="BT237" s="232"/>
      <c r="BU237" s="232"/>
      <c r="BV237" s="232"/>
    </row>
    <row r="238" spans="1:74" ht="63" hidden="1" x14ac:dyDescent="0.25">
      <c r="A238" s="205" t="s">
        <v>438</v>
      </c>
      <c r="B238" s="205" t="s">
        <v>501</v>
      </c>
      <c r="C238" s="205">
        <v>60121201</v>
      </c>
      <c r="D238" s="205" t="s">
        <v>1190</v>
      </c>
      <c r="E238" s="206" t="s">
        <v>1191</v>
      </c>
      <c r="F238" s="458" t="s">
        <v>41</v>
      </c>
      <c r="G238" s="178">
        <v>1</v>
      </c>
      <c r="H238" s="458" t="s">
        <v>42</v>
      </c>
      <c r="I238" s="459" t="s">
        <v>440</v>
      </c>
      <c r="J238" s="207">
        <v>46091</v>
      </c>
      <c r="K238" s="208" t="s">
        <v>1192</v>
      </c>
      <c r="L238" s="209" t="s">
        <v>446</v>
      </c>
      <c r="M238" s="207" t="s">
        <v>1193</v>
      </c>
      <c r="N238" s="210">
        <v>1316</v>
      </c>
      <c r="O238" s="210" t="s">
        <v>443</v>
      </c>
      <c r="P238" s="210" t="s">
        <v>444</v>
      </c>
      <c r="Q238" s="211">
        <f t="shared" si="176"/>
        <v>1105.8823529411766</v>
      </c>
      <c r="R238" s="212">
        <f>IF(P238="Si tiene IVA",Q238*19%,0)</f>
        <v>210.11764705882356</v>
      </c>
      <c r="S238" s="212">
        <f t="shared" si="177"/>
        <v>1316.0000000000002</v>
      </c>
      <c r="T238" s="212">
        <f t="shared" si="178"/>
        <v>1316</v>
      </c>
      <c r="U238" s="212">
        <f t="shared" si="179"/>
        <v>1316.0000000000002</v>
      </c>
      <c r="V238" s="460" t="s">
        <v>440</v>
      </c>
      <c r="W238" s="213">
        <v>46099</v>
      </c>
      <c r="X238" s="214" t="s">
        <v>1194</v>
      </c>
      <c r="Y238" s="215" t="s">
        <v>446</v>
      </c>
      <c r="Z238" s="216" t="s">
        <v>1195</v>
      </c>
      <c r="AA238" s="217">
        <v>1500</v>
      </c>
      <c r="AB238" s="217" t="s">
        <v>443</v>
      </c>
      <c r="AC238" s="217" t="s">
        <v>444</v>
      </c>
      <c r="AD238" s="218">
        <f t="shared" si="180"/>
        <v>1260.5042016806724</v>
      </c>
      <c r="AE238" s="219">
        <f>IF(AC238="Si tiene IVA",AD238*19%,0)</f>
        <v>239.49579831932775</v>
      </c>
      <c r="AF238" s="219">
        <f t="shared" si="181"/>
        <v>1500.0000000000002</v>
      </c>
      <c r="AG238" s="219">
        <f t="shared" si="182"/>
        <v>1500</v>
      </c>
      <c r="AH238" s="219">
        <f t="shared" si="183"/>
        <v>1500.0000000000002</v>
      </c>
      <c r="AI238" s="461" t="s">
        <v>440</v>
      </c>
      <c r="AJ238" s="220">
        <v>46099</v>
      </c>
      <c r="AK238" s="221" t="s">
        <v>1196</v>
      </c>
      <c r="AL238" s="222" t="s">
        <v>446</v>
      </c>
      <c r="AM238" s="223" t="s">
        <v>1197</v>
      </c>
      <c r="AN238" s="224">
        <v>1200</v>
      </c>
      <c r="AO238" s="224" t="s">
        <v>443</v>
      </c>
      <c r="AP238" s="225" t="s">
        <v>444</v>
      </c>
      <c r="AQ238" s="226">
        <f>IF(AO238="IVA Incluido",(AN238/1.19),AN238)</f>
        <v>1008.4033613445379</v>
      </c>
      <c r="AR238" s="227">
        <f>IF(AP238="Si tiene IVA",AQ238*19%,0)</f>
        <v>191.59663865546219</v>
      </c>
      <c r="AS238" s="227">
        <f t="shared" si="184"/>
        <v>1200</v>
      </c>
      <c r="AT238" s="227">
        <f t="shared" si="185"/>
        <v>1200</v>
      </c>
      <c r="AU238" s="227">
        <f t="shared" si="186"/>
        <v>1200</v>
      </c>
      <c r="AV238" s="228">
        <f>IF(A238="","",AVERAGE(S238,AF238,AS238))</f>
        <v>1338.6666666666667</v>
      </c>
      <c r="AW238" s="228">
        <f>IF(A238="","",AVERAGE(U238,AH238,AU238))</f>
        <v>1338.6666666666667</v>
      </c>
      <c r="AX238" s="228">
        <f>IF(N238="","",STDEV(U238,AH238,AU238))</f>
        <v>151.27899171178186</v>
      </c>
      <c r="AY238" s="229">
        <f t="shared" si="187"/>
        <v>0.11300721492413983</v>
      </c>
      <c r="AZ238" s="230"/>
      <c r="BA238" s="231">
        <f t="shared" si="188"/>
        <v>3</v>
      </c>
      <c r="BB238" s="231"/>
      <c r="BC238" s="231"/>
      <c r="BD238" s="231"/>
      <c r="BE238" s="231"/>
      <c r="BF238" s="231"/>
      <c r="BG238" s="231"/>
      <c r="BH238" s="231">
        <v>81</v>
      </c>
      <c r="BI238" s="232"/>
      <c r="BJ238" s="232"/>
      <c r="BK238" s="232"/>
      <c r="BL238" s="232"/>
      <c r="BM238" s="232"/>
      <c r="BN238" s="232"/>
      <c r="BO238" s="232"/>
      <c r="BP238" s="232"/>
      <c r="BQ238" s="232"/>
      <c r="BR238" s="232"/>
      <c r="BS238" s="232"/>
      <c r="BT238" s="232"/>
      <c r="BU238" s="232"/>
      <c r="BV238" s="232"/>
    </row>
    <row r="239" spans="1:74" ht="63" hidden="1" x14ac:dyDescent="0.25">
      <c r="A239" s="205" t="s">
        <v>438</v>
      </c>
      <c r="B239" s="205" t="s">
        <v>501</v>
      </c>
      <c r="C239" s="205">
        <v>60121201</v>
      </c>
      <c r="D239" s="205" t="s">
        <v>1198</v>
      </c>
      <c r="E239" s="206" t="s">
        <v>1199</v>
      </c>
      <c r="F239" s="458" t="s">
        <v>41</v>
      </c>
      <c r="G239" s="178">
        <v>1</v>
      </c>
      <c r="H239" s="458" t="s">
        <v>42</v>
      </c>
      <c r="I239" s="459" t="s">
        <v>440</v>
      </c>
      <c r="J239" s="207">
        <v>46091</v>
      </c>
      <c r="K239" s="208" t="s">
        <v>1200</v>
      </c>
      <c r="L239" s="209" t="s">
        <v>446</v>
      </c>
      <c r="M239" s="207" t="s">
        <v>1201</v>
      </c>
      <c r="N239" s="210">
        <v>3900</v>
      </c>
      <c r="O239" s="210" t="s">
        <v>443</v>
      </c>
      <c r="P239" s="210" t="s">
        <v>444</v>
      </c>
      <c r="Q239" s="211">
        <f t="shared" si="176"/>
        <v>3277.3109243697481</v>
      </c>
      <c r="R239" s="212">
        <f>IF(P239="Si tiene IVA",Q239*19%,0)</f>
        <v>622.6890756302522</v>
      </c>
      <c r="S239" s="212">
        <f t="shared" si="177"/>
        <v>3900.0000000000005</v>
      </c>
      <c r="T239" s="212">
        <f t="shared" si="178"/>
        <v>3900</v>
      </c>
      <c r="U239" s="212">
        <f t="shared" si="179"/>
        <v>3900.0000000000005</v>
      </c>
      <c r="V239" s="460" t="s">
        <v>440</v>
      </c>
      <c r="W239" s="213">
        <v>46091</v>
      </c>
      <c r="X239" s="214" t="s">
        <v>1202</v>
      </c>
      <c r="Y239" s="215" t="s">
        <v>446</v>
      </c>
      <c r="Z239" s="216" t="s">
        <v>1078</v>
      </c>
      <c r="AA239" s="217">
        <v>3200</v>
      </c>
      <c r="AB239" s="217" t="s">
        <v>443</v>
      </c>
      <c r="AC239" s="217" t="s">
        <v>444</v>
      </c>
      <c r="AD239" s="218">
        <f t="shared" si="180"/>
        <v>2689.0756302521008</v>
      </c>
      <c r="AE239" s="219">
        <f>IF(AC239="Si tiene IVA",AD239*19%,0)</f>
        <v>510.92436974789916</v>
      </c>
      <c r="AF239" s="219">
        <f t="shared" si="181"/>
        <v>3200</v>
      </c>
      <c r="AG239" s="219">
        <f t="shared" si="182"/>
        <v>3200</v>
      </c>
      <c r="AH239" s="219">
        <f t="shared" si="183"/>
        <v>3200</v>
      </c>
      <c r="AI239" s="461" t="s">
        <v>440</v>
      </c>
      <c r="AJ239" s="220">
        <v>46091</v>
      </c>
      <c r="AK239" s="221" t="s">
        <v>938</v>
      </c>
      <c r="AL239" s="222" t="s">
        <v>446</v>
      </c>
      <c r="AM239" s="223" t="s">
        <v>939</v>
      </c>
      <c r="AN239" s="224">
        <v>3900</v>
      </c>
      <c r="AO239" s="224" t="s">
        <v>443</v>
      </c>
      <c r="AP239" s="225" t="s">
        <v>444</v>
      </c>
      <c r="AQ239" s="226">
        <f>IF(AO239="IVA Incluido",(AN239/1.19),AN239)</f>
        <v>3277.3109243697481</v>
      </c>
      <c r="AR239" s="227">
        <f>IF(AP239="Si tiene IVA",AQ239*19%,0)</f>
        <v>622.6890756302522</v>
      </c>
      <c r="AS239" s="227">
        <f t="shared" si="184"/>
        <v>3900.0000000000005</v>
      </c>
      <c r="AT239" s="227">
        <f t="shared" si="185"/>
        <v>3900</v>
      </c>
      <c r="AU239" s="227">
        <f t="shared" si="186"/>
        <v>3900.0000000000005</v>
      </c>
      <c r="AV239" s="228">
        <f>IF(A239="","",AVERAGE(S239,AF239,AS239))</f>
        <v>3666.6666666666665</v>
      </c>
      <c r="AW239" s="228">
        <f>IF(A239="","",AVERAGE(U239,AH239,AU239))</f>
        <v>3666.6666666666665</v>
      </c>
      <c r="AX239" s="228">
        <f>IF(N239="","",STDEV(U239,AH239,AU239))</f>
        <v>404.14518843273828</v>
      </c>
      <c r="AY239" s="229">
        <f t="shared" si="187"/>
        <v>0.11022141502711044</v>
      </c>
      <c r="AZ239" s="230"/>
      <c r="BA239" s="231">
        <f t="shared" si="188"/>
        <v>3</v>
      </c>
      <c r="BB239" s="231"/>
      <c r="BC239" s="231"/>
      <c r="BD239" s="231"/>
      <c r="BE239" s="231"/>
      <c r="BF239" s="231"/>
      <c r="BG239" s="231"/>
      <c r="BH239" s="231">
        <v>82</v>
      </c>
      <c r="BI239" s="232"/>
      <c r="BJ239" s="232"/>
      <c r="BK239" s="232"/>
      <c r="BL239" s="232"/>
      <c r="BM239" s="232"/>
      <c r="BN239" s="232"/>
      <c r="BO239" s="232"/>
      <c r="BP239" s="232"/>
      <c r="BQ239" s="232"/>
      <c r="BR239" s="232"/>
      <c r="BS239" s="232"/>
      <c r="BT239" s="232"/>
      <c r="BU239" s="232"/>
      <c r="BV239" s="232"/>
    </row>
    <row r="240" spans="1:74" ht="210" hidden="1" x14ac:dyDescent="0.25">
      <c r="A240" s="205" t="s">
        <v>438</v>
      </c>
      <c r="B240" s="205" t="s">
        <v>501</v>
      </c>
      <c r="C240" s="205">
        <v>44121618</v>
      </c>
      <c r="D240" s="205" t="s">
        <v>1203</v>
      </c>
      <c r="E240" s="206" t="s">
        <v>1204</v>
      </c>
      <c r="F240" s="458" t="s">
        <v>41</v>
      </c>
      <c r="G240" s="178">
        <v>1</v>
      </c>
      <c r="H240" s="458" t="s">
        <v>42</v>
      </c>
      <c r="I240" s="459" t="s">
        <v>452</v>
      </c>
      <c r="J240" s="207">
        <v>46105</v>
      </c>
      <c r="K240" s="208" t="s">
        <v>1205</v>
      </c>
      <c r="L240" s="209" t="s">
        <v>446</v>
      </c>
      <c r="M240" s="207" t="s">
        <v>1206</v>
      </c>
      <c r="N240" s="210">
        <v>6373</v>
      </c>
      <c r="O240" s="210" t="s">
        <v>443</v>
      </c>
      <c r="P240" s="210" t="s">
        <v>444</v>
      </c>
      <c r="Q240" s="211">
        <f t="shared" si="176"/>
        <v>5355.4621848739498</v>
      </c>
      <c r="R240" s="212">
        <f>IF(P240="Si tiene IVA",Q240*19%,0)</f>
        <v>1017.5378151260505</v>
      </c>
      <c r="S240" s="212">
        <f t="shared" si="177"/>
        <v>6373</v>
      </c>
      <c r="T240" s="212">
        <f t="shared" si="178"/>
        <v>6373</v>
      </c>
      <c r="U240" s="212">
        <f t="shared" si="179"/>
        <v>6373</v>
      </c>
      <c r="V240" s="460" t="s">
        <v>452</v>
      </c>
      <c r="W240" s="213">
        <v>46105</v>
      </c>
      <c r="X240" s="214" t="s">
        <v>1207</v>
      </c>
      <c r="Y240" s="215" t="s">
        <v>446</v>
      </c>
      <c r="Z240" s="216" t="s">
        <v>1208</v>
      </c>
      <c r="AA240" s="217">
        <v>6900</v>
      </c>
      <c r="AB240" s="217" t="s">
        <v>443</v>
      </c>
      <c r="AC240" s="217" t="s">
        <v>444</v>
      </c>
      <c r="AD240" s="218">
        <f t="shared" si="180"/>
        <v>5798.3193277310929</v>
      </c>
      <c r="AE240" s="219">
        <f>IF(AC240="Si tiene IVA",AD240*19%,0)</f>
        <v>1101.6806722689078</v>
      </c>
      <c r="AF240" s="219">
        <f t="shared" si="181"/>
        <v>6900.0000000000009</v>
      </c>
      <c r="AG240" s="219">
        <f t="shared" si="182"/>
        <v>6900</v>
      </c>
      <c r="AH240" s="219">
        <f t="shared" si="183"/>
        <v>6900.0000000000009</v>
      </c>
      <c r="AI240" s="461"/>
      <c r="AJ240" s="220"/>
      <c r="AK240" s="221"/>
      <c r="AL240" s="222"/>
      <c r="AM240" s="223"/>
      <c r="AN240" s="224"/>
      <c r="AO240" s="224"/>
      <c r="AP240" s="225"/>
      <c r="AQ240" s="226"/>
      <c r="AR240" s="227"/>
      <c r="AS240" s="227">
        <f t="shared" si="184"/>
        <v>0</v>
      </c>
      <c r="AT240" s="227">
        <f t="shared" si="185"/>
        <v>0</v>
      </c>
      <c r="AU240" s="227">
        <f t="shared" si="186"/>
        <v>0</v>
      </c>
      <c r="AV240" s="228">
        <f>IF(A240="","",AVERAGE(S240,AF240))</f>
        <v>6636.5</v>
      </c>
      <c r="AW240" s="228">
        <f>IF(A240="","",AVERAGE(U240,AH240))</f>
        <v>6636.5</v>
      </c>
      <c r="AX240" s="228">
        <f>IF(N240="","",STDEV(U240,AH240))</f>
        <v>372.64527368531117</v>
      </c>
      <c r="AY240" s="229">
        <f t="shared" si="187"/>
        <v>5.6150873756545039E-2</v>
      </c>
      <c r="AZ240" s="230" t="s">
        <v>1209</v>
      </c>
      <c r="BA240" s="231">
        <f t="shared" si="188"/>
        <v>2</v>
      </c>
      <c r="BB240" s="231"/>
      <c r="BC240" s="231"/>
      <c r="BD240" s="231"/>
      <c r="BE240" s="231"/>
      <c r="BF240" s="231"/>
      <c r="BG240" s="231"/>
      <c r="BH240" s="231">
        <v>83</v>
      </c>
      <c r="BI240" s="232"/>
      <c r="BJ240" s="232"/>
      <c r="BK240" s="232"/>
      <c r="BL240" s="232"/>
      <c r="BM240" s="232"/>
      <c r="BN240" s="232"/>
      <c r="BO240" s="232"/>
      <c r="BP240" s="232"/>
      <c r="BQ240" s="232"/>
      <c r="BR240" s="232"/>
      <c r="BS240" s="232"/>
      <c r="BT240" s="232"/>
      <c r="BU240" s="232"/>
      <c r="BV240" s="232"/>
    </row>
    <row r="241" spans="1:74" ht="63" hidden="1" x14ac:dyDescent="0.25">
      <c r="A241" s="205" t="s">
        <v>438</v>
      </c>
      <c r="B241" s="205" t="s">
        <v>501</v>
      </c>
      <c r="C241" s="205">
        <v>44121618</v>
      </c>
      <c r="D241" s="205" t="s">
        <v>1210</v>
      </c>
      <c r="E241" s="206" t="s">
        <v>1211</v>
      </c>
      <c r="F241" s="458" t="s">
        <v>41</v>
      </c>
      <c r="G241" s="178">
        <v>1</v>
      </c>
      <c r="H241" s="458" t="s">
        <v>42</v>
      </c>
      <c r="I241" s="459" t="s">
        <v>452</v>
      </c>
      <c r="J241" s="207">
        <v>46090</v>
      </c>
      <c r="K241" s="208" t="s">
        <v>1212</v>
      </c>
      <c r="L241" s="209" t="s">
        <v>446</v>
      </c>
      <c r="M241" s="207" t="s">
        <v>133</v>
      </c>
      <c r="N241" s="210">
        <v>45900</v>
      </c>
      <c r="O241" s="210" t="s">
        <v>443</v>
      </c>
      <c r="P241" s="210" t="s">
        <v>444</v>
      </c>
      <c r="Q241" s="211">
        <f t="shared" si="176"/>
        <v>38571.428571428572</v>
      </c>
      <c r="R241" s="212">
        <v>7329</v>
      </c>
      <c r="S241" s="212">
        <f t="shared" si="177"/>
        <v>45900.428571428572</v>
      </c>
      <c r="T241" s="212">
        <f t="shared" si="178"/>
        <v>45900</v>
      </c>
      <c r="U241" s="212">
        <f t="shared" si="179"/>
        <v>45900.428571428572</v>
      </c>
      <c r="V241" s="460" t="s">
        <v>452</v>
      </c>
      <c r="W241" s="213">
        <v>46090</v>
      </c>
      <c r="X241" s="214" t="s">
        <v>1213</v>
      </c>
      <c r="Y241" s="215" t="s">
        <v>446</v>
      </c>
      <c r="Z241" s="216" t="s">
        <v>1214</v>
      </c>
      <c r="AA241" s="217">
        <v>54000</v>
      </c>
      <c r="AB241" s="217" t="s">
        <v>443</v>
      </c>
      <c r="AC241" s="217" t="s">
        <v>444</v>
      </c>
      <c r="AD241" s="218">
        <f t="shared" si="180"/>
        <v>45378.151260504201</v>
      </c>
      <c r="AE241" s="219">
        <v>8622</v>
      </c>
      <c r="AF241" s="219">
        <f t="shared" si="181"/>
        <v>54000.151260504201</v>
      </c>
      <c r="AG241" s="219">
        <f t="shared" si="182"/>
        <v>54000</v>
      </c>
      <c r="AH241" s="219">
        <f t="shared" si="183"/>
        <v>54000.151260504201</v>
      </c>
      <c r="AI241" s="461" t="s">
        <v>452</v>
      </c>
      <c r="AJ241" s="220">
        <v>46090</v>
      </c>
      <c r="AK241" s="221" t="s">
        <v>1215</v>
      </c>
      <c r="AL241" s="222" t="s">
        <v>446</v>
      </c>
      <c r="AM241" s="223" t="s">
        <v>1216</v>
      </c>
      <c r="AN241" s="224">
        <v>39418</v>
      </c>
      <c r="AO241" s="224" t="s">
        <v>443</v>
      </c>
      <c r="AP241" s="225" t="s">
        <v>444</v>
      </c>
      <c r="AQ241" s="226">
        <f t="shared" ref="AQ241:AQ247" si="189">IF(AO241="IVA Incluido",(AN241/1.19),AN241)</f>
        <v>33124.36974789916</v>
      </c>
      <c r="AR241" s="227">
        <v>6294</v>
      </c>
      <c r="AS241" s="227">
        <f t="shared" si="184"/>
        <v>39418.36974789916</v>
      </c>
      <c r="AT241" s="227">
        <f t="shared" si="185"/>
        <v>39418</v>
      </c>
      <c r="AU241" s="227">
        <f t="shared" si="186"/>
        <v>39418.36974789916</v>
      </c>
      <c r="AV241" s="228">
        <f t="shared" ref="AV241:AV247" si="190">IF(A241="","",AVERAGE(S241,AF241,AS241))</f>
        <v>46439.64985994398</v>
      </c>
      <c r="AW241" s="228">
        <f t="shared" ref="AW241:AW247" si="191">IF(A241="","",AVERAGE(U241,AH241,AU241))</f>
        <v>46439.64985994398</v>
      </c>
      <c r="AX241" s="228">
        <f t="shared" ref="AX241:AX247" si="192">IF(N241="","",STDEV(U241,AH241,AU241))</f>
        <v>7305.8303921476117</v>
      </c>
      <c r="AY241" s="229">
        <f t="shared" si="187"/>
        <v>0.15731880869431741</v>
      </c>
      <c r="AZ241" s="230"/>
      <c r="BA241" s="231">
        <f t="shared" si="188"/>
        <v>3</v>
      </c>
      <c r="BB241" s="231"/>
      <c r="BC241" s="231"/>
      <c r="BD241" s="231"/>
      <c r="BE241" s="231"/>
      <c r="BF241" s="231"/>
      <c r="BG241" s="231"/>
      <c r="BH241" s="231">
        <v>84</v>
      </c>
      <c r="BI241" s="232"/>
      <c r="BJ241" s="232"/>
      <c r="BK241" s="232"/>
      <c r="BL241" s="232"/>
      <c r="BM241" s="232"/>
      <c r="BN241" s="232"/>
      <c r="BO241" s="232"/>
      <c r="BP241" s="232"/>
      <c r="BQ241" s="232"/>
      <c r="BR241" s="232"/>
      <c r="BS241" s="232"/>
      <c r="BT241" s="232"/>
      <c r="BU241" s="232"/>
      <c r="BV241" s="232"/>
    </row>
    <row r="242" spans="1:74" ht="78.75" hidden="1" x14ac:dyDescent="0.25">
      <c r="A242" s="205" t="s">
        <v>438</v>
      </c>
      <c r="B242" s="205" t="s">
        <v>501</v>
      </c>
      <c r="C242" s="205">
        <v>44121618</v>
      </c>
      <c r="D242" s="205" t="s">
        <v>383</v>
      </c>
      <c r="E242" s="206" t="s">
        <v>384</v>
      </c>
      <c r="F242" s="458" t="s">
        <v>41</v>
      </c>
      <c r="G242" s="178">
        <v>1</v>
      </c>
      <c r="H242" s="458" t="s">
        <v>42</v>
      </c>
      <c r="I242" s="459" t="s">
        <v>440</v>
      </c>
      <c r="J242" s="207">
        <v>46091</v>
      </c>
      <c r="K242" s="208" t="s">
        <v>1217</v>
      </c>
      <c r="L242" s="209" t="s">
        <v>446</v>
      </c>
      <c r="M242" s="207" t="s">
        <v>1218</v>
      </c>
      <c r="N242" s="210">
        <v>1500</v>
      </c>
      <c r="O242" s="210" t="s">
        <v>443</v>
      </c>
      <c r="P242" s="210" t="s">
        <v>444</v>
      </c>
      <c r="Q242" s="211">
        <f t="shared" si="176"/>
        <v>1260.5042016806724</v>
      </c>
      <c r="R242" s="212">
        <f>Q242*19%</f>
        <v>239.49579831932775</v>
      </c>
      <c r="S242" s="212">
        <f t="shared" si="177"/>
        <v>1500.0000000000002</v>
      </c>
      <c r="T242" s="212">
        <f t="shared" si="178"/>
        <v>1500</v>
      </c>
      <c r="U242" s="212">
        <f t="shared" si="179"/>
        <v>1500.0000000000002</v>
      </c>
      <c r="V242" s="460" t="s">
        <v>440</v>
      </c>
      <c r="W242" s="213">
        <v>46091</v>
      </c>
      <c r="X242" s="214" t="s">
        <v>1219</v>
      </c>
      <c r="Y242" s="215" t="s">
        <v>446</v>
      </c>
      <c r="Z242" s="216" t="s">
        <v>490</v>
      </c>
      <c r="AA242" s="217">
        <v>2000</v>
      </c>
      <c r="AB242" s="217" t="s">
        <v>443</v>
      </c>
      <c r="AC242" s="217" t="s">
        <v>444</v>
      </c>
      <c r="AD242" s="218">
        <f t="shared" si="180"/>
        <v>1680.6722689075632</v>
      </c>
      <c r="AE242" s="219">
        <f>AD242*19%</f>
        <v>319.32773109243703</v>
      </c>
      <c r="AF242" s="219">
        <f t="shared" si="181"/>
        <v>2000.0000000000002</v>
      </c>
      <c r="AG242" s="219">
        <f t="shared" si="182"/>
        <v>2000</v>
      </c>
      <c r="AH242" s="219">
        <f t="shared" si="183"/>
        <v>2000.0000000000002</v>
      </c>
      <c r="AI242" s="461" t="s">
        <v>440</v>
      </c>
      <c r="AJ242" s="220">
        <v>46091</v>
      </c>
      <c r="AK242" s="221" t="s">
        <v>1220</v>
      </c>
      <c r="AL242" s="222" t="s">
        <v>446</v>
      </c>
      <c r="AM242" s="223" t="s">
        <v>1201</v>
      </c>
      <c r="AN242" s="224">
        <v>1400</v>
      </c>
      <c r="AO242" s="224" t="s">
        <v>443</v>
      </c>
      <c r="AP242" s="225" t="s">
        <v>444</v>
      </c>
      <c r="AQ242" s="226">
        <f t="shared" si="189"/>
        <v>1176.4705882352941</v>
      </c>
      <c r="AR242" s="227">
        <f>AQ242*19%</f>
        <v>223.52941176470588</v>
      </c>
      <c r="AS242" s="227">
        <f t="shared" si="184"/>
        <v>1400</v>
      </c>
      <c r="AT242" s="227">
        <f t="shared" si="185"/>
        <v>1400</v>
      </c>
      <c r="AU242" s="227">
        <f t="shared" si="186"/>
        <v>1400</v>
      </c>
      <c r="AV242" s="228">
        <f t="shared" si="190"/>
        <v>1633.3333333333333</v>
      </c>
      <c r="AW242" s="228">
        <f t="shared" si="191"/>
        <v>1633.3333333333333</v>
      </c>
      <c r="AX242" s="228">
        <f t="shared" si="192"/>
        <v>321.45502536643352</v>
      </c>
      <c r="AY242" s="229">
        <f t="shared" si="187"/>
        <v>0.19680919920393888</v>
      </c>
      <c r="AZ242" s="230"/>
      <c r="BA242" s="231">
        <f t="shared" si="188"/>
        <v>3</v>
      </c>
      <c r="BB242" s="231"/>
      <c r="BC242" s="231"/>
      <c r="BD242" s="231"/>
      <c r="BE242" s="231"/>
      <c r="BF242" s="231"/>
      <c r="BG242" s="231"/>
      <c r="BH242" s="231">
        <v>85</v>
      </c>
      <c r="BI242" s="232"/>
      <c r="BJ242" s="232"/>
      <c r="BK242" s="232"/>
      <c r="BL242" s="232"/>
      <c r="BM242" s="232"/>
      <c r="BN242" s="232"/>
      <c r="BO242" s="232"/>
      <c r="BP242" s="232"/>
      <c r="BQ242" s="232"/>
      <c r="BR242" s="232"/>
      <c r="BS242" s="232"/>
      <c r="BT242" s="232"/>
      <c r="BU242" s="232"/>
      <c r="BV242" s="232"/>
    </row>
    <row r="243" spans="1:74" ht="84" hidden="1" x14ac:dyDescent="0.25">
      <c r="A243" s="205" t="s">
        <v>438</v>
      </c>
      <c r="B243" s="205" t="s">
        <v>501</v>
      </c>
      <c r="C243" s="205"/>
      <c r="D243" s="205" t="s">
        <v>1221</v>
      </c>
      <c r="E243" s="206" t="s">
        <v>1222</v>
      </c>
      <c r="F243" s="458" t="s">
        <v>41</v>
      </c>
      <c r="G243" s="178">
        <v>1</v>
      </c>
      <c r="H243" s="458" t="s">
        <v>42</v>
      </c>
      <c r="I243" s="459" t="s">
        <v>452</v>
      </c>
      <c r="J243" s="207">
        <v>46090</v>
      </c>
      <c r="K243" s="208" t="s">
        <v>809</v>
      </c>
      <c r="L243" s="209" t="s">
        <v>441</v>
      </c>
      <c r="M243" s="207" t="s">
        <v>810</v>
      </c>
      <c r="N243" s="210">
        <v>3300</v>
      </c>
      <c r="O243" s="210" t="s">
        <v>443</v>
      </c>
      <c r="P243" s="210" t="s">
        <v>444</v>
      </c>
      <c r="Q243" s="211">
        <f t="shared" si="176"/>
        <v>2773.1092436974791</v>
      </c>
      <c r="R243" s="212">
        <f>Q243*19%</f>
        <v>526.89075630252103</v>
      </c>
      <c r="S243" s="212">
        <f t="shared" si="177"/>
        <v>3300</v>
      </c>
      <c r="T243" s="212">
        <f t="shared" si="178"/>
        <v>3300</v>
      </c>
      <c r="U243" s="212">
        <f t="shared" si="179"/>
        <v>3300</v>
      </c>
      <c r="V243" s="460" t="s">
        <v>452</v>
      </c>
      <c r="W243" s="213">
        <v>46090</v>
      </c>
      <c r="X243" s="214" t="s">
        <v>1223</v>
      </c>
      <c r="Y243" s="215" t="s">
        <v>446</v>
      </c>
      <c r="Z243" s="216" t="s">
        <v>1216</v>
      </c>
      <c r="AA243" s="217">
        <v>2827</v>
      </c>
      <c r="AB243" s="217" t="s">
        <v>443</v>
      </c>
      <c r="AC243" s="217" t="s">
        <v>443</v>
      </c>
      <c r="AD243" s="218">
        <f t="shared" si="180"/>
        <v>2375.6302521008406</v>
      </c>
      <c r="AE243" s="219">
        <f>AD243*19%</f>
        <v>451.36974789915973</v>
      </c>
      <c r="AF243" s="219">
        <f t="shared" si="181"/>
        <v>2827.0000000000005</v>
      </c>
      <c r="AG243" s="219">
        <f t="shared" si="182"/>
        <v>2827</v>
      </c>
      <c r="AH243" s="219">
        <f t="shared" si="183"/>
        <v>2827.0000000000005</v>
      </c>
      <c r="AI243" s="461" t="s">
        <v>452</v>
      </c>
      <c r="AJ243" s="220">
        <v>46090</v>
      </c>
      <c r="AK243" s="221" t="s">
        <v>1224</v>
      </c>
      <c r="AL243" s="222" t="s">
        <v>446</v>
      </c>
      <c r="AM243" s="223" t="s">
        <v>1225</v>
      </c>
      <c r="AN243" s="224">
        <v>3161</v>
      </c>
      <c r="AO243" s="224" t="s">
        <v>443</v>
      </c>
      <c r="AP243" s="225" t="s">
        <v>443</v>
      </c>
      <c r="AQ243" s="226">
        <f t="shared" si="189"/>
        <v>2656.3025210084033</v>
      </c>
      <c r="AR243" s="227">
        <f>AQ243*19%</f>
        <v>504.69747899159665</v>
      </c>
      <c r="AS243" s="227">
        <f t="shared" si="184"/>
        <v>3161</v>
      </c>
      <c r="AT243" s="227">
        <f t="shared" si="185"/>
        <v>3161</v>
      </c>
      <c r="AU243" s="227">
        <f t="shared" si="186"/>
        <v>3161</v>
      </c>
      <c r="AV243" s="228">
        <f t="shared" si="190"/>
        <v>3096</v>
      </c>
      <c r="AW243" s="228">
        <f t="shared" si="191"/>
        <v>3096</v>
      </c>
      <c r="AX243" s="228">
        <f t="shared" si="192"/>
        <v>243.10697233933845</v>
      </c>
      <c r="AY243" s="229">
        <f t="shared" si="187"/>
        <v>7.8522923882215268E-2</v>
      </c>
      <c r="AZ243" s="230"/>
      <c r="BA243" s="231">
        <f t="shared" si="188"/>
        <v>3</v>
      </c>
      <c r="BB243" s="231"/>
      <c r="BC243" s="231"/>
      <c r="BD243" s="231"/>
      <c r="BE243" s="231"/>
      <c r="BF243" s="231"/>
      <c r="BG243" s="231"/>
      <c r="BH243" s="231">
        <v>1</v>
      </c>
      <c r="BI243" s="232"/>
      <c r="BJ243" s="232"/>
      <c r="BK243" s="232"/>
      <c r="BL243" s="232"/>
      <c r="BM243" s="232"/>
      <c r="BN243" s="232"/>
      <c r="BO243" s="232"/>
      <c r="BP243" s="232"/>
      <c r="BQ243" s="232"/>
      <c r="BR243" s="232"/>
      <c r="BS243" s="232"/>
      <c r="BT243" s="232"/>
      <c r="BU243" s="232"/>
      <c r="BV243" s="232"/>
    </row>
    <row r="244" spans="1:74" ht="63" hidden="1" x14ac:dyDescent="0.25">
      <c r="A244" s="205" t="s">
        <v>438</v>
      </c>
      <c r="B244" s="205" t="s">
        <v>501</v>
      </c>
      <c r="C244" s="205"/>
      <c r="D244" s="205" t="s">
        <v>1226</v>
      </c>
      <c r="E244" s="206" t="s">
        <v>1227</v>
      </c>
      <c r="F244" s="458" t="s">
        <v>41</v>
      </c>
      <c r="G244" s="178">
        <v>1</v>
      </c>
      <c r="H244" s="458" t="s">
        <v>42</v>
      </c>
      <c r="I244" s="459" t="s">
        <v>440</v>
      </c>
      <c r="J244" s="207">
        <v>46091</v>
      </c>
      <c r="K244" s="208" t="s">
        <v>1228</v>
      </c>
      <c r="L244" s="209" t="s">
        <v>446</v>
      </c>
      <c r="M244" s="207" t="s">
        <v>1229</v>
      </c>
      <c r="N244" s="210">
        <v>1000</v>
      </c>
      <c r="O244" s="210" t="s">
        <v>443</v>
      </c>
      <c r="P244" s="210" t="s">
        <v>444</v>
      </c>
      <c r="Q244" s="211">
        <f t="shared" si="176"/>
        <v>840.3361344537816</v>
      </c>
      <c r="R244" s="212">
        <f>Q244*19%</f>
        <v>159.66386554621852</v>
      </c>
      <c r="S244" s="212">
        <f t="shared" si="177"/>
        <v>1000.0000000000001</v>
      </c>
      <c r="T244" s="212">
        <f t="shared" si="178"/>
        <v>1000</v>
      </c>
      <c r="U244" s="212">
        <f t="shared" si="179"/>
        <v>1000.0000000000001</v>
      </c>
      <c r="V244" s="460" t="s">
        <v>440</v>
      </c>
      <c r="W244" s="213">
        <v>46091</v>
      </c>
      <c r="X244" s="214" t="s">
        <v>1230</v>
      </c>
      <c r="Y244" s="215" t="s">
        <v>446</v>
      </c>
      <c r="Z244" s="216" t="s">
        <v>1231</v>
      </c>
      <c r="AA244" s="217">
        <v>1200</v>
      </c>
      <c r="AB244" s="217" t="s">
        <v>443</v>
      </c>
      <c r="AC244" s="217" t="s">
        <v>444</v>
      </c>
      <c r="AD244" s="218">
        <f t="shared" si="180"/>
        <v>1008.4033613445379</v>
      </c>
      <c r="AE244" s="219">
        <f>AD244*19%</f>
        <v>191.59663865546219</v>
      </c>
      <c r="AF244" s="219">
        <f t="shared" si="181"/>
        <v>1200</v>
      </c>
      <c r="AG244" s="219">
        <f t="shared" si="182"/>
        <v>1200</v>
      </c>
      <c r="AH244" s="219">
        <f t="shared" si="183"/>
        <v>1200</v>
      </c>
      <c r="AI244" s="461" t="s">
        <v>440</v>
      </c>
      <c r="AJ244" s="220">
        <v>46091</v>
      </c>
      <c r="AK244" s="221" t="s">
        <v>1232</v>
      </c>
      <c r="AL244" s="222" t="s">
        <v>446</v>
      </c>
      <c r="AM244" s="223" t="s">
        <v>1233</v>
      </c>
      <c r="AN244" s="224">
        <v>1200</v>
      </c>
      <c r="AO244" s="224" t="s">
        <v>443</v>
      </c>
      <c r="AP244" s="225" t="s">
        <v>444</v>
      </c>
      <c r="AQ244" s="226">
        <f t="shared" si="189"/>
        <v>1008.4033613445379</v>
      </c>
      <c r="AR244" s="227">
        <f>AQ244*19%</f>
        <v>191.59663865546219</v>
      </c>
      <c r="AS244" s="227">
        <f t="shared" si="184"/>
        <v>1200</v>
      </c>
      <c r="AT244" s="227">
        <f t="shared" si="185"/>
        <v>1200</v>
      </c>
      <c r="AU244" s="227">
        <f t="shared" si="186"/>
        <v>1200</v>
      </c>
      <c r="AV244" s="228">
        <f t="shared" si="190"/>
        <v>1133.3333333333333</v>
      </c>
      <c r="AW244" s="228">
        <f t="shared" si="191"/>
        <v>1133.3333333333333</v>
      </c>
      <c r="AX244" s="228">
        <f t="shared" si="192"/>
        <v>115.47005383792508</v>
      </c>
      <c r="AY244" s="229">
        <f t="shared" si="187"/>
        <v>0.1018853416216986</v>
      </c>
      <c r="AZ244" s="230"/>
      <c r="BA244" s="231">
        <f t="shared" si="188"/>
        <v>3</v>
      </c>
      <c r="BB244" s="231"/>
      <c r="BC244" s="231"/>
      <c r="BD244" s="231"/>
      <c r="BE244" s="231"/>
      <c r="BF244" s="231"/>
      <c r="BG244" s="231"/>
      <c r="BH244" s="231">
        <v>2</v>
      </c>
      <c r="BI244" s="232"/>
      <c r="BJ244" s="232"/>
      <c r="BK244" s="232"/>
      <c r="BL244" s="232"/>
      <c r="BM244" s="232"/>
      <c r="BN244" s="232"/>
      <c r="BO244" s="232"/>
      <c r="BP244" s="232"/>
      <c r="BQ244" s="232"/>
      <c r="BR244" s="232"/>
      <c r="BS244" s="232"/>
      <c r="BT244" s="232"/>
      <c r="BU244" s="232"/>
      <c r="BV244" s="232"/>
    </row>
    <row r="245" spans="1:74" ht="94.5" hidden="1" x14ac:dyDescent="0.25">
      <c r="A245" s="205" t="s">
        <v>438</v>
      </c>
      <c r="B245" s="205" t="s">
        <v>439</v>
      </c>
      <c r="C245" s="205">
        <v>53121602</v>
      </c>
      <c r="D245" s="205" t="s">
        <v>126</v>
      </c>
      <c r="E245" s="206" t="s">
        <v>1234</v>
      </c>
      <c r="F245" s="458" t="s">
        <v>41</v>
      </c>
      <c r="G245" s="178">
        <v>1</v>
      </c>
      <c r="H245" s="458" t="s">
        <v>42</v>
      </c>
      <c r="I245" s="459" t="s">
        <v>482</v>
      </c>
      <c r="J245" s="207">
        <v>46070</v>
      </c>
      <c r="K245" s="208" t="s">
        <v>453</v>
      </c>
      <c r="L245" s="209" t="s">
        <v>446</v>
      </c>
      <c r="M245" s="207" t="s">
        <v>449</v>
      </c>
      <c r="N245" s="210">
        <v>17500</v>
      </c>
      <c r="O245" s="210" t="s">
        <v>450</v>
      </c>
      <c r="P245" s="210" t="s">
        <v>444</v>
      </c>
      <c r="Q245" s="211">
        <f t="shared" si="176"/>
        <v>17500</v>
      </c>
      <c r="R245" s="212">
        <f>IF(P245="Si tiene IVA",Q245*19%,0)</f>
        <v>3325</v>
      </c>
      <c r="S245" s="212">
        <f t="shared" si="177"/>
        <v>20825</v>
      </c>
      <c r="T245" s="212">
        <f t="shared" si="178"/>
        <v>17500</v>
      </c>
      <c r="U245" s="212">
        <f t="shared" si="179"/>
        <v>20825</v>
      </c>
      <c r="V245" s="460" t="s">
        <v>482</v>
      </c>
      <c r="W245" s="213">
        <v>46070</v>
      </c>
      <c r="X245" s="214" t="s">
        <v>472</v>
      </c>
      <c r="Y245" s="215" t="s">
        <v>446</v>
      </c>
      <c r="Z245" s="216" t="s">
        <v>763</v>
      </c>
      <c r="AA245" s="217">
        <v>20000</v>
      </c>
      <c r="AB245" s="217" t="s">
        <v>450</v>
      </c>
      <c r="AC245" s="217" t="s">
        <v>444</v>
      </c>
      <c r="AD245" s="218">
        <f t="shared" si="180"/>
        <v>20000</v>
      </c>
      <c r="AE245" s="219">
        <f>IF(AC245="Si tiene IVA",AD245*19%,0)</f>
        <v>3800</v>
      </c>
      <c r="AF245" s="219">
        <f t="shared" si="181"/>
        <v>23800</v>
      </c>
      <c r="AG245" s="219">
        <f t="shared" si="182"/>
        <v>20000</v>
      </c>
      <c r="AH245" s="219">
        <f t="shared" si="183"/>
        <v>23800</v>
      </c>
      <c r="AI245" s="461" t="s">
        <v>482</v>
      </c>
      <c r="AJ245" s="220">
        <v>46071</v>
      </c>
      <c r="AK245" s="221" t="s">
        <v>466</v>
      </c>
      <c r="AL245" s="222" t="s">
        <v>446</v>
      </c>
      <c r="AM245" s="223" t="s">
        <v>467</v>
      </c>
      <c r="AN245" s="224">
        <v>18000</v>
      </c>
      <c r="AO245" s="224" t="s">
        <v>450</v>
      </c>
      <c r="AP245" s="225" t="s">
        <v>468</v>
      </c>
      <c r="AQ245" s="226">
        <f t="shared" si="189"/>
        <v>18000</v>
      </c>
      <c r="AR245" s="227">
        <f>IF(AP245="Si tiene IVA",AQ245*19%,0)</f>
        <v>0</v>
      </c>
      <c r="AS245" s="227">
        <f t="shared" si="184"/>
        <v>18000</v>
      </c>
      <c r="AT245" s="227">
        <f t="shared" si="185"/>
        <v>18000</v>
      </c>
      <c r="AU245" s="227">
        <f t="shared" si="186"/>
        <v>18000</v>
      </c>
      <c r="AV245" s="228">
        <f t="shared" si="190"/>
        <v>20875</v>
      </c>
      <c r="AW245" s="228">
        <f t="shared" si="191"/>
        <v>20875</v>
      </c>
      <c r="AX245" s="228">
        <f t="shared" si="192"/>
        <v>2900.3232578455804</v>
      </c>
      <c r="AY245" s="229">
        <f t="shared" si="187"/>
        <v>0.13893764109439907</v>
      </c>
      <c r="AZ245" s="230"/>
      <c r="BA245" s="231">
        <f t="shared" si="188"/>
        <v>3</v>
      </c>
      <c r="BB245" s="231"/>
      <c r="BC245" s="231"/>
      <c r="BD245" s="231"/>
      <c r="BE245" s="231"/>
      <c r="BF245" s="231"/>
      <c r="BG245" s="231"/>
      <c r="BH245" s="231">
        <v>3</v>
      </c>
      <c r="BI245" s="232"/>
      <c r="BJ245" s="232"/>
      <c r="BK245" s="232"/>
      <c r="BL245" s="232"/>
      <c r="BM245" s="232"/>
      <c r="BN245" s="232"/>
      <c r="BO245" s="232"/>
      <c r="BP245" s="232"/>
      <c r="BQ245" s="232"/>
      <c r="BR245" s="232"/>
      <c r="BS245" s="232"/>
      <c r="BT245" s="232"/>
      <c r="BU245" s="232"/>
      <c r="BV245" s="232"/>
    </row>
    <row r="246" spans="1:74" ht="63" hidden="1" x14ac:dyDescent="0.25">
      <c r="A246" s="205" t="s">
        <v>438</v>
      </c>
      <c r="B246" s="205" t="s">
        <v>439</v>
      </c>
      <c r="C246" s="205">
        <v>82101505</v>
      </c>
      <c r="D246" s="205" t="s">
        <v>1235</v>
      </c>
      <c r="E246" s="206" t="s">
        <v>1236</v>
      </c>
      <c r="F246" s="458" t="s">
        <v>1237</v>
      </c>
      <c r="G246" s="178">
        <v>100</v>
      </c>
      <c r="H246" s="458" t="s">
        <v>42</v>
      </c>
      <c r="I246" s="459" t="s">
        <v>452</v>
      </c>
      <c r="J246" s="207">
        <v>46147</v>
      </c>
      <c r="K246" s="208" t="s">
        <v>1238</v>
      </c>
      <c r="L246" s="209" t="s">
        <v>441</v>
      </c>
      <c r="M246" s="207" t="s">
        <v>1239</v>
      </c>
      <c r="N246" s="210">
        <v>110000</v>
      </c>
      <c r="O246" s="210" t="s">
        <v>443</v>
      </c>
      <c r="P246" s="210" t="s">
        <v>444</v>
      </c>
      <c r="Q246" s="211">
        <f t="shared" si="176"/>
        <v>92436.97478991597</v>
      </c>
      <c r="R246" s="212">
        <f>IF(P246="Si tiene IVA",Q246*19%,0)</f>
        <v>17563.025210084033</v>
      </c>
      <c r="S246" s="212">
        <f t="shared" si="177"/>
        <v>110000</v>
      </c>
      <c r="T246" s="212">
        <f t="shared" si="178"/>
        <v>11000000</v>
      </c>
      <c r="U246" s="212">
        <f t="shared" si="179"/>
        <v>11000000</v>
      </c>
      <c r="V246" s="460" t="s">
        <v>454</v>
      </c>
      <c r="W246" s="213">
        <v>46070</v>
      </c>
      <c r="X246" s="214" t="s">
        <v>483</v>
      </c>
      <c r="Y246" s="215" t="s">
        <v>441</v>
      </c>
      <c r="Z246" s="216" t="s">
        <v>462</v>
      </c>
      <c r="AA246" s="217">
        <v>120000</v>
      </c>
      <c r="AB246" s="217" t="s">
        <v>450</v>
      </c>
      <c r="AC246" s="217" t="s">
        <v>444</v>
      </c>
      <c r="AD246" s="218">
        <f t="shared" si="180"/>
        <v>120000</v>
      </c>
      <c r="AE246" s="219">
        <f>IF(AC246="Si tiene IVA",AD246*19%,0)</f>
        <v>22800</v>
      </c>
      <c r="AF246" s="219">
        <f t="shared" si="181"/>
        <v>142800</v>
      </c>
      <c r="AG246" s="219">
        <f t="shared" si="182"/>
        <v>12000000</v>
      </c>
      <c r="AH246" s="219">
        <f t="shared" si="183"/>
        <v>14280000</v>
      </c>
      <c r="AI246" s="461" t="s">
        <v>482</v>
      </c>
      <c r="AJ246" s="220">
        <v>46072</v>
      </c>
      <c r="AK246" s="221" t="s">
        <v>484</v>
      </c>
      <c r="AL246" s="222" t="s">
        <v>441</v>
      </c>
      <c r="AM246" s="223" t="s">
        <v>485</v>
      </c>
      <c r="AN246" s="224">
        <v>120000</v>
      </c>
      <c r="AO246" s="224" t="s">
        <v>450</v>
      </c>
      <c r="AP246" s="225" t="s">
        <v>468</v>
      </c>
      <c r="AQ246" s="226">
        <f t="shared" si="189"/>
        <v>120000</v>
      </c>
      <c r="AR246" s="227">
        <f>IF(AP246="Si tiene IVA",AQ246*19%,0)</f>
        <v>0</v>
      </c>
      <c r="AS246" s="227">
        <f t="shared" si="184"/>
        <v>120000</v>
      </c>
      <c r="AT246" s="227">
        <f t="shared" si="185"/>
        <v>12000000</v>
      </c>
      <c r="AU246" s="227">
        <f t="shared" si="186"/>
        <v>12000000</v>
      </c>
      <c r="AV246" s="228">
        <f t="shared" si="190"/>
        <v>124266.66666666667</v>
      </c>
      <c r="AW246" s="228">
        <f t="shared" si="191"/>
        <v>12426666.666666666</v>
      </c>
      <c r="AX246" s="228">
        <f t="shared" si="192"/>
        <v>1681110.7439230003</v>
      </c>
      <c r="AY246" s="229">
        <f t="shared" si="187"/>
        <v>0.13528251694659338</v>
      </c>
      <c r="AZ246" s="230" t="s">
        <v>1240</v>
      </c>
      <c r="BA246" s="231">
        <f t="shared" si="188"/>
        <v>3</v>
      </c>
      <c r="BB246" s="231"/>
      <c r="BC246" s="231"/>
      <c r="BD246" s="231"/>
      <c r="BE246" s="231"/>
      <c r="BF246" s="231"/>
      <c r="BG246" s="231"/>
      <c r="BH246" s="231">
        <v>4</v>
      </c>
      <c r="BI246" s="232"/>
      <c r="BJ246" s="232"/>
      <c r="BK246" s="232"/>
      <c r="BL246" s="232"/>
      <c r="BM246" s="232"/>
      <c r="BN246" s="232"/>
      <c r="BO246" s="232"/>
      <c r="BP246" s="232"/>
      <c r="BQ246" s="232"/>
      <c r="BR246" s="232"/>
      <c r="BS246" s="232"/>
      <c r="BT246" s="232"/>
      <c r="BU246" s="232"/>
      <c r="BV246" s="232"/>
    </row>
    <row r="247" spans="1:74" ht="63" hidden="1" x14ac:dyDescent="0.25">
      <c r="A247" s="205" t="s">
        <v>438</v>
      </c>
      <c r="B247" s="205" t="s">
        <v>439</v>
      </c>
      <c r="C247" s="205">
        <v>82101505</v>
      </c>
      <c r="D247" s="205" t="s">
        <v>1241</v>
      </c>
      <c r="E247" s="206" t="s">
        <v>1236</v>
      </c>
      <c r="F247" s="458" t="s">
        <v>41</v>
      </c>
      <c r="G247" s="178">
        <v>1</v>
      </c>
      <c r="H247" s="458" t="s">
        <v>42</v>
      </c>
      <c r="I247" s="459" t="s">
        <v>1242</v>
      </c>
      <c r="J247" s="207">
        <v>46147</v>
      </c>
      <c r="K247" s="208" t="s">
        <v>445</v>
      </c>
      <c r="L247" s="209" t="s">
        <v>441</v>
      </c>
      <c r="M247" s="207" t="s">
        <v>457</v>
      </c>
      <c r="N247" s="210">
        <v>290000</v>
      </c>
      <c r="O247" s="210" t="s">
        <v>443</v>
      </c>
      <c r="P247" s="210" t="s">
        <v>444</v>
      </c>
      <c r="Q247" s="211">
        <f t="shared" si="176"/>
        <v>243697.47899159664</v>
      </c>
      <c r="R247" s="212">
        <f>IF(P247="Si tiene IVA",Q247*19%,0)</f>
        <v>46302.521008403361</v>
      </c>
      <c r="S247" s="212">
        <f t="shared" si="177"/>
        <v>290000</v>
      </c>
      <c r="T247" s="212">
        <f t="shared" si="178"/>
        <v>290000</v>
      </c>
      <c r="U247" s="212">
        <f t="shared" si="179"/>
        <v>290000</v>
      </c>
      <c r="V247" s="460" t="s">
        <v>454</v>
      </c>
      <c r="W247" s="213">
        <v>46147</v>
      </c>
      <c r="X247" s="214" t="s">
        <v>466</v>
      </c>
      <c r="Y247" s="215" t="s">
        <v>441</v>
      </c>
      <c r="Z247" s="216" t="s">
        <v>467</v>
      </c>
      <c r="AA247" s="217">
        <v>200000</v>
      </c>
      <c r="AB247" s="217" t="s">
        <v>450</v>
      </c>
      <c r="AC247" s="217" t="s">
        <v>468</v>
      </c>
      <c r="AD247" s="218">
        <f t="shared" si="180"/>
        <v>200000</v>
      </c>
      <c r="AE247" s="219">
        <f>IF(AC247="Si tiene IVA",AD247*19%,0)</f>
        <v>0</v>
      </c>
      <c r="AF247" s="219">
        <f t="shared" si="181"/>
        <v>200000</v>
      </c>
      <c r="AG247" s="219">
        <f t="shared" si="182"/>
        <v>200000</v>
      </c>
      <c r="AH247" s="219">
        <f t="shared" si="183"/>
        <v>200000</v>
      </c>
      <c r="AI247" s="461" t="s">
        <v>454</v>
      </c>
      <c r="AJ247" s="220">
        <v>46147</v>
      </c>
      <c r="AK247" s="221" t="s">
        <v>1243</v>
      </c>
      <c r="AL247" s="222" t="s">
        <v>441</v>
      </c>
      <c r="AM247" s="223" t="s">
        <v>478</v>
      </c>
      <c r="AN247" s="224">
        <v>240000</v>
      </c>
      <c r="AO247" s="224" t="s">
        <v>450</v>
      </c>
      <c r="AP247" s="225" t="s">
        <v>468</v>
      </c>
      <c r="AQ247" s="226">
        <f t="shared" si="189"/>
        <v>240000</v>
      </c>
      <c r="AR247" s="227">
        <f>IF(AP247="Si tiene IVA",AQ247*19%,0)</f>
        <v>0</v>
      </c>
      <c r="AS247" s="227">
        <f t="shared" si="184"/>
        <v>240000</v>
      </c>
      <c r="AT247" s="227">
        <f t="shared" si="185"/>
        <v>240000</v>
      </c>
      <c r="AU247" s="227">
        <f t="shared" si="186"/>
        <v>240000</v>
      </c>
      <c r="AV247" s="228">
        <f t="shared" si="190"/>
        <v>243333.33333333334</v>
      </c>
      <c r="AW247" s="228">
        <f t="shared" si="191"/>
        <v>243333.33333333334</v>
      </c>
      <c r="AX247" s="228">
        <f t="shared" si="192"/>
        <v>45092.497528228887</v>
      </c>
      <c r="AY247" s="229">
        <f t="shared" si="187"/>
        <v>0.18531163367765296</v>
      </c>
      <c r="AZ247" s="230"/>
      <c r="BA247" s="231">
        <f t="shared" si="188"/>
        <v>3</v>
      </c>
      <c r="BB247" s="231"/>
      <c r="BC247" s="231"/>
      <c r="BD247" s="231"/>
      <c r="BE247" s="231"/>
      <c r="BF247" s="231"/>
      <c r="BG247" s="231"/>
      <c r="BH247" s="231">
        <v>12</v>
      </c>
      <c r="BI247" s="232"/>
      <c r="BJ247" s="232"/>
      <c r="BK247" s="232"/>
      <c r="BL247" s="232"/>
      <c r="BM247" s="232"/>
      <c r="BN247" s="232"/>
      <c r="BO247" s="232"/>
      <c r="BP247" s="232"/>
      <c r="BQ247" s="232"/>
      <c r="BR247" s="232"/>
      <c r="BS247" s="232"/>
      <c r="BT247" s="232"/>
      <c r="BU247" s="232"/>
      <c r="BV247" s="232"/>
    </row>
    <row r="248" spans="1:74" x14ac:dyDescent="0.25"/>
    <row r="249" spans="1:74" x14ac:dyDescent="0.25"/>
    <row r="250" spans="1:74" x14ac:dyDescent="0.25"/>
    <row r="251" spans="1:74" x14ac:dyDescent="0.25"/>
    <row r="252" spans="1:74" x14ac:dyDescent="0.25"/>
    <row r="253" spans="1:74" x14ac:dyDescent="0.25"/>
    <row r="254" spans="1:74" ht="105" x14ac:dyDescent="0.25">
      <c r="A254" s="254" t="s">
        <v>416</v>
      </c>
      <c r="B254" s="254" t="s">
        <v>417</v>
      </c>
      <c r="C254" s="254" t="s">
        <v>418</v>
      </c>
      <c r="D254" s="254" t="s">
        <v>20</v>
      </c>
      <c r="E254" s="254" t="s">
        <v>21</v>
      </c>
      <c r="F254" s="254" t="s">
        <v>22</v>
      </c>
      <c r="G254" s="254" t="s">
        <v>1244</v>
      </c>
      <c r="H254" s="254" t="s">
        <v>24</v>
      </c>
      <c r="I254" s="254" t="s">
        <v>419</v>
      </c>
      <c r="J254" s="254" t="s">
        <v>420</v>
      </c>
      <c r="K254" s="254" t="s">
        <v>421</v>
      </c>
      <c r="L254" s="254" t="s">
        <v>422</v>
      </c>
      <c r="M254" s="254" t="s">
        <v>25</v>
      </c>
      <c r="N254" s="254" t="s">
        <v>423</v>
      </c>
      <c r="O254" s="254" t="s">
        <v>424</v>
      </c>
      <c r="P254" s="254" t="s">
        <v>425</v>
      </c>
      <c r="Q254" s="196" t="s">
        <v>426</v>
      </c>
      <c r="R254" s="196" t="s">
        <v>27</v>
      </c>
      <c r="S254" s="196" t="s">
        <v>28</v>
      </c>
      <c r="T254" s="196" t="s">
        <v>29</v>
      </c>
      <c r="U254" s="196" t="s">
        <v>30</v>
      </c>
      <c r="V254" s="254" t="s">
        <v>427</v>
      </c>
      <c r="W254" s="254" t="s">
        <v>428</v>
      </c>
      <c r="X254" s="254" t="s">
        <v>429</v>
      </c>
      <c r="Y254" s="254" t="s">
        <v>430</v>
      </c>
      <c r="Z254" s="254" t="s">
        <v>31</v>
      </c>
      <c r="AA254" s="254" t="s">
        <v>431</v>
      </c>
      <c r="AB254" s="254" t="s">
        <v>424</v>
      </c>
      <c r="AC254" s="254" t="s">
        <v>425</v>
      </c>
      <c r="AD254" s="196" t="s">
        <v>26</v>
      </c>
      <c r="AE254" s="196" t="s">
        <v>27</v>
      </c>
      <c r="AF254" s="196" t="s">
        <v>28</v>
      </c>
      <c r="AG254" s="196" t="s">
        <v>29</v>
      </c>
      <c r="AH254" s="196" t="s">
        <v>30</v>
      </c>
      <c r="AI254" s="254" t="s">
        <v>432</v>
      </c>
      <c r="AJ254" s="254" t="s">
        <v>433</v>
      </c>
      <c r="AK254" s="254" t="s">
        <v>434</v>
      </c>
      <c r="AL254" s="254" t="s">
        <v>435</v>
      </c>
      <c r="AM254" s="254" t="s">
        <v>32</v>
      </c>
      <c r="AN254" s="254" t="s">
        <v>431</v>
      </c>
      <c r="AO254" s="254" t="s">
        <v>424</v>
      </c>
      <c r="AP254" s="254" t="s">
        <v>425</v>
      </c>
      <c r="AQ254" s="196" t="s">
        <v>26</v>
      </c>
      <c r="AR254" s="196" t="s">
        <v>27</v>
      </c>
      <c r="AS254" s="196" t="s">
        <v>28</v>
      </c>
      <c r="AT254" s="196" t="s">
        <v>29</v>
      </c>
      <c r="AU254" s="196" t="s">
        <v>30</v>
      </c>
      <c r="AV254" s="196" t="s">
        <v>33</v>
      </c>
      <c r="AW254" s="196" t="s">
        <v>34</v>
      </c>
      <c r="AX254" s="196" t="s">
        <v>35</v>
      </c>
      <c r="AY254" s="196" t="s">
        <v>36</v>
      </c>
      <c r="AZ254" s="196" t="s">
        <v>436</v>
      </c>
      <c r="BA254" s="196" t="s">
        <v>1245</v>
      </c>
      <c r="BB254" s="196" t="s">
        <v>1246</v>
      </c>
      <c r="BC254" s="196" t="s">
        <v>437</v>
      </c>
      <c r="BD254" s="196" t="s">
        <v>1247</v>
      </c>
      <c r="BE254" s="196" t="s">
        <v>1248</v>
      </c>
      <c r="BF254" s="196" t="s">
        <v>1249</v>
      </c>
      <c r="BG254" s="196" t="s">
        <v>1250</v>
      </c>
      <c r="BH254" s="196" t="s">
        <v>1251</v>
      </c>
      <c r="BI254" s="196" t="s">
        <v>1252</v>
      </c>
      <c r="BJ254" s="196" t="s">
        <v>1253</v>
      </c>
      <c r="BK254" s="196" t="s">
        <v>1254</v>
      </c>
      <c r="BL254" s="196" t="s">
        <v>1255</v>
      </c>
      <c r="BM254" s="196" t="s">
        <v>1256</v>
      </c>
    </row>
    <row r="255" spans="1:74" ht="300" x14ac:dyDescent="0.25">
      <c r="A255" s="254" t="s">
        <v>1257</v>
      </c>
      <c r="B255" s="254" t="s">
        <v>1258</v>
      </c>
      <c r="C255" s="254" t="s">
        <v>1259</v>
      </c>
      <c r="D255" s="254" t="s">
        <v>207</v>
      </c>
      <c r="E255" s="254" t="s">
        <v>208</v>
      </c>
      <c r="F255" s="254" t="s">
        <v>41</v>
      </c>
      <c r="G255" s="254">
        <v>1</v>
      </c>
      <c r="H255" s="254" t="s">
        <v>42</v>
      </c>
      <c r="I255" s="254" t="s">
        <v>1260</v>
      </c>
      <c r="J255" s="260">
        <v>46156</v>
      </c>
      <c r="K255" s="254" t="s">
        <v>1261</v>
      </c>
      <c r="L255" s="254" t="s">
        <v>1258</v>
      </c>
      <c r="M255" s="254" t="s">
        <v>209</v>
      </c>
      <c r="N255" s="261">
        <v>92500</v>
      </c>
      <c r="O255" s="254" t="s">
        <v>1068</v>
      </c>
      <c r="P255" s="254" t="s">
        <v>1070</v>
      </c>
      <c r="Q255" s="262">
        <v>92500</v>
      </c>
      <c r="R255" s="262">
        <v>17575</v>
      </c>
      <c r="S255" s="262">
        <v>110075</v>
      </c>
      <c r="T255" s="262">
        <v>92500</v>
      </c>
      <c r="U255" s="262">
        <v>110075</v>
      </c>
      <c r="V255" s="254" t="s">
        <v>1260</v>
      </c>
      <c r="W255" s="260">
        <v>46156</v>
      </c>
      <c r="X255" s="254" t="s">
        <v>1262</v>
      </c>
      <c r="Y255" s="254" t="s">
        <v>1258</v>
      </c>
      <c r="Z255" s="254" t="s">
        <v>1263</v>
      </c>
      <c r="AA255" s="261">
        <v>93000</v>
      </c>
      <c r="AB255" s="254" t="s">
        <v>1068</v>
      </c>
      <c r="AC255" s="254" t="s">
        <v>1070</v>
      </c>
      <c r="AD255" s="262">
        <v>93000</v>
      </c>
      <c r="AE255" s="262">
        <v>17670</v>
      </c>
      <c r="AF255" s="262">
        <v>110670</v>
      </c>
      <c r="AG255" s="262">
        <v>93000</v>
      </c>
      <c r="AH255" s="262">
        <v>110670</v>
      </c>
      <c r="AI255" s="254" t="s">
        <v>1264</v>
      </c>
      <c r="AJ255" s="260">
        <v>46157</v>
      </c>
      <c r="AK255" s="254" t="s">
        <v>1265</v>
      </c>
      <c r="AL255" s="254" t="s">
        <v>1258</v>
      </c>
      <c r="AM255" s="254" t="s">
        <v>1266</v>
      </c>
      <c r="AN255" s="261">
        <v>117600</v>
      </c>
      <c r="AO255" s="254" t="s">
        <v>1068</v>
      </c>
      <c r="AP255" s="254" t="s">
        <v>1070</v>
      </c>
      <c r="AQ255" s="263">
        <v>117600</v>
      </c>
      <c r="AR255" s="262">
        <v>22344</v>
      </c>
      <c r="AS255" s="262">
        <v>139944</v>
      </c>
      <c r="AT255" s="262">
        <v>117600</v>
      </c>
      <c r="AU255" s="262">
        <v>139944</v>
      </c>
      <c r="AV255" s="263">
        <v>120229.67</v>
      </c>
      <c r="AW255" s="263">
        <v>120229.67</v>
      </c>
      <c r="AX255" s="263">
        <v>17075.71</v>
      </c>
      <c r="AY255" s="264">
        <v>0.14199999999999999</v>
      </c>
      <c r="BA255" s="196" t="s">
        <v>1267</v>
      </c>
      <c r="BB255" s="196" t="s">
        <v>1268</v>
      </c>
      <c r="BC255" s="196">
        <v>3</v>
      </c>
      <c r="BD255" s="196" t="s">
        <v>1269</v>
      </c>
      <c r="BE255" s="196" t="s">
        <v>1270</v>
      </c>
      <c r="BM255" s="196" t="s">
        <v>1271</v>
      </c>
    </row>
    <row r="256" spans="1:74" ht="315" x14ac:dyDescent="0.25">
      <c r="A256" s="254" t="s">
        <v>1257</v>
      </c>
      <c r="B256" s="254" t="s">
        <v>1258</v>
      </c>
      <c r="C256" s="254" t="s">
        <v>1259</v>
      </c>
      <c r="D256" s="254" t="s">
        <v>111</v>
      </c>
      <c r="E256" s="254" t="s">
        <v>112</v>
      </c>
      <c r="F256" s="254" t="s">
        <v>41</v>
      </c>
      <c r="G256" s="254">
        <v>1</v>
      </c>
      <c r="H256" s="254" t="s">
        <v>42</v>
      </c>
      <c r="I256" s="254" t="s">
        <v>1272</v>
      </c>
      <c r="J256" s="260">
        <v>46156</v>
      </c>
      <c r="K256" s="254" t="s">
        <v>1265</v>
      </c>
      <c r="L256" s="254" t="s">
        <v>1258</v>
      </c>
      <c r="M256" s="254" t="s">
        <v>1266</v>
      </c>
      <c r="N256" s="261">
        <v>5750</v>
      </c>
      <c r="O256" s="254" t="s">
        <v>1068</v>
      </c>
      <c r="P256" s="254" t="s">
        <v>1070</v>
      </c>
      <c r="Q256" s="262">
        <v>5750</v>
      </c>
      <c r="R256" s="262">
        <v>1093</v>
      </c>
      <c r="S256" s="262">
        <v>6843</v>
      </c>
      <c r="T256" s="262">
        <v>5750</v>
      </c>
      <c r="U256" s="262">
        <v>6843</v>
      </c>
      <c r="V256" s="254" t="s">
        <v>1272</v>
      </c>
      <c r="W256" s="260">
        <v>46156</v>
      </c>
      <c r="X256" s="254" t="s">
        <v>1262</v>
      </c>
      <c r="Y256" s="254" t="s">
        <v>1258</v>
      </c>
      <c r="Z256" s="254" t="s">
        <v>1263</v>
      </c>
      <c r="AA256" s="261">
        <v>7500</v>
      </c>
      <c r="AB256" s="254" t="s">
        <v>1068</v>
      </c>
      <c r="AC256" s="254" t="s">
        <v>1070</v>
      </c>
      <c r="AD256" s="263">
        <v>7500</v>
      </c>
      <c r="AE256" s="262">
        <v>1425</v>
      </c>
      <c r="AF256" s="262">
        <v>8925</v>
      </c>
      <c r="AG256" s="262">
        <v>7500</v>
      </c>
      <c r="AH256" s="262">
        <v>8925</v>
      </c>
      <c r="AI256" s="254" t="s">
        <v>1272</v>
      </c>
      <c r="AJ256" s="260">
        <v>46156</v>
      </c>
      <c r="AK256" s="254" t="s">
        <v>1261</v>
      </c>
      <c r="AL256" s="254" t="s">
        <v>1258</v>
      </c>
      <c r="AM256" s="254" t="s">
        <v>209</v>
      </c>
      <c r="AN256" s="261">
        <v>7000</v>
      </c>
      <c r="AO256" s="254" t="s">
        <v>1068</v>
      </c>
      <c r="AP256" s="254" t="s">
        <v>1070</v>
      </c>
      <c r="AQ256" s="263">
        <v>7000</v>
      </c>
      <c r="AR256" s="262">
        <v>1330</v>
      </c>
      <c r="AS256" s="262">
        <v>8330</v>
      </c>
      <c r="AT256" s="262">
        <v>7000</v>
      </c>
      <c r="AU256" s="262">
        <v>8330</v>
      </c>
      <c r="AV256" s="263">
        <v>8032.5</v>
      </c>
      <c r="AW256" s="263">
        <v>8032.5</v>
      </c>
      <c r="AX256" s="263">
        <v>1072.6500000000001</v>
      </c>
      <c r="AY256" s="264">
        <v>0.13350000000000001</v>
      </c>
      <c r="BB256" s="196" t="s">
        <v>1268</v>
      </c>
      <c r="BC256" s="196">
        <v>3</v>
      </c>
      <c r="BD256" s="196" t="s">
        <v>1269</v>
      </c>
      <c r="BE256" s="196" t="s">
        <v>1270</v>
      </c>
      <c r="BM256" s="196" t="s">
        <v>1271</v>
      </c>
    </row>
    <row r="257" spans="1:65" ht="300" x14ac:dyDescent="0.25">
      <c r="A257" s="254" t="s">
        <v>1257</v>
      </c>
      <c r="B257" s="254" t="s">
        <v>1258</v>
      </c>
      <c r="C257" s="254" t="s">
        <v>1259</v>
      </c>
      <c r="D257" s="254" t="s">
        <v>154</v>
      </c>
      <c r="E257" s="254" t="s">
        <v>155</v>
      </c>
      <c r="F257" s="254" t="s">
        <v>41</v>
      </c>
      <c r="G257" s="254">
        <v>1</v>
      </c>
      <c r="H257" s="254" t="s">
        <v>42</v>
      </c>
      <c r="I257" s="254" t="s">
        <v>1260</v>
      </c>
      <c r="J257" s="260">
        <v>46156</v>
      </c>
      <c r="K257" s="254" t="s">
        <v>1261</v>
      </c>
      <c r="L257" s="254" t="s">
        <v>1258</v>
      </c>
      <c r="M257" s="254" t="s">
        <v>209</v>
      </c>
      <c r="N257" s="261">
        <v>31000</v>
      </c>
      <c r="O257" s="254" t="s">
        <v>1068</v>
      </c>
      <c r="P257" s="254" t="s">
        <v>1070</v>
      </c>
      <c r="Q257" s="263">
        <v>31000</v>
      </c>
      <c r="R257" s="262">
        <v>5890</v>
      </c>
      <c r="S257" s="262">
        <v>36890</v>
      </c>
      <c r="T257" s="262">
        <v>31000</v>
      </c>
      <c r="U257" s="262">
        <v>36890</v>
      </c>
      <c r="V257" s="254" t="s">
        <v>1272</v>
      </c>
      <c r="W257" s="260">
        <v>46156</v>
      </c>
      <c r="X257" s="254" t="s">
        <v>1262</v>
      </c>
      <c r="Y257" s="254" t="s">
        <v>1258</v>
      </c>
      <c r="Z257" s="254" t="s">
        <v>1263</v>
      </c>
      <c r="AA257" s="261">
        <v>32820</v>
      </c>
      <c r="AB257" s="254" t="s">
        <v>1068</v>
      </c>
      <c r="AC257" s="254" t="s">
        <v>1070</v>
      </c>
      <c r="AD257" s="263">
        <v>32820</v>
      </c>
      <c r="AE257" s="262">
        <v>6236</v>
      </c>
      <c r="AF257" s="262">
        <v>39056</v>
      </c>
      <c r="AG257" s="262">
        <v>32820</v>
      </c>
      <c r="AH257" s="262">
        <v>39056</v>
      </c>
      <c r="AI257" s="254" t="s">
        <v>1264</v>
      </c>
      <c r="AJ257" s="260">
        <v>46157</v>
      </c>
      <c r="AK257" s="254" t="s">
        <v>1265</v>
      </c>
      <c r="AL257" s="254" t="s">
        <v>1258</v>
      </c>
      <c r="AM257" s="254" t="s">
        <v>1266</v>
      </c>
      <c r="AN257" s="261">
        <v>34200</v>
      </c>
      <c r="AO257" s="254" t="s">
        <v>1068</v>
      </c>
      <c r="AP257" s="254" t="s">
        <v>1070</v>
      </c>
      <c r="AQ257" s="263">
        <v>34200</v>
      </c>
      <c r="AR257" s="262">
        <v>6498</v>
      </c>
      <c r="AS257" s="262">
        <v>40698</v>
      </c>
      <c r="AT257" s="262">
        <v>34200</v>
      </c>
      <c r="AU257" s="262">
        <v>40698</v>
      </c>
      <c r="AV257" s="263">
        <v>38881.269999999997</v>
      </c>
      <c r="AW257" s="263">
        <v>38881.269999999997</v>
      </c>
      <c r="AX257" s="263">
        <v>1909.99</v>
      </c>
      <c r="AY257" s="264">
        <v>4.9099999999999998E-2</v>
      </c>
      <c r="BA257" s="196" t="s">
        <v>1273</v>
      </c>
      <c r="BB257" s="196" t="s">
        <v>1268</v>
      </c>
      <c r="BC257" s="196">
        <v>3</v>
      </c>
      <c r="BD257" s="196" t="s">
        <v>1269</v>
      </c>
      <c r="BE257" s="196" t="s">
        <v>1270</v>
      </c>
      <c r="BM257" s="196" t="s">
        <v>1271</v>
      </c>
    </row>
    <row r="258" spans="1:65" ht="165" x14ac:dyDescent="0.25">
      <c r="A258" s="254" t="s">
        <v>1257</v>
      </c>
      <c r="B258" s="254" t="s">
        <v>1258</v>
      </c>
      <c r="C258" s="254" t="s">
        <v>1259</v>
      </c>
      <c r="D258" s="254" t="s">
        <v>213</v>
      </c>
      <c r="E258" s="254" t="s">
        <v>214</v>
      </c>
      <c r="F258" s="254" t="s">
        <v>41</v>
      </c>
      <c r="G258" s="254">
        <v>1</v>
      </c>
      <c r="H258" s="254" t="s">
        <v>42</v>
      </c>
      <c r="I258" s="254" t="s">
        <v>1260</v>
      </c>
      <c r="J258" s="260">
        <v>46156</v>
      </c>
      <c r="K258" s="254" t="s">
        <v>1261</v>
      </c>
      <c r="L258" s="254" t="s">
        <v>1258</v>
      </c>
      <c r="M258" s="254" t="s">
        <v>209</v>
      </c>
      <c r="N258" s="261">
        <v>48000</v>
      </c>
      <c r="O258" s="254" t="s">
        <v>1068</v>
      </c>
      <c r="P258" s="254" t="s">
        <v>1070</v>
      </c>
      <c r="Q258" s="263">
        <v>48000</v>
      </c>
      <c r="R258" s="262">
        <v>9120</v>
      </c>
      <c r="S258" s="262">
        <v>57120</v>
      </c>
      <c r="T258" s="262">
        <v>48000</v>
      </c>
      <c r="U258" s="262">
        <v>57120</v>
      </c>
      <c r="V258" s="254" t="s">
        <v>1260</v>
      </c>
      <c r="W258" s="260">
        <v>46156</v>
      </c>
      <c r="X258" s="254" t="s">
        <v>1274</v>
      </c>
      <c r="Y258" s="254" t="s">
        <v>1258</v>
      </c>
      <c r="Z258" s="254" t="s">
        <v>1275</v>
      </c>
      <c r="AA258" s="261">
        <v>32000</v>
      </c>
      <c r="AB258" s="254" t="s">
        <v>1068</v>
      </c>
      <c r="AC258" s="254" t="s">
        <v>1070</v>
      </c>
      <c r="AD258" s="263">
        <v>32000</v>
      </c>
      <c r="AE258" s="262">
        <v>6080</v>
      </c>
      <c r="AF258" s="262">
        <v>38080</v>
      </c>
      <c r="AG258" s="262">
        <v>32000</v>
      </c>
      <c r="AH258" s="262">
        <v>38080</v>
      </c>
      <c r="AI258" s="254" t="s">
        <v>1260</v>
      </c>
      <c r="AJ258" s="260">
        <v>46156</v>
      </c>
      <c r="AK258" s="254" t="s">
        <v>1262</v>
      </c>
      <c r="AL258" s="254" t="s">
        <v>1258</v>
      </c>
      <c r="AM258" s="254" t="s">
        <v>1263</v>
      </c>
      <c r="AN258" s="261">
        <v>49070</v>
      </c>
      <c r="AO258" s="254" t="s">
        <v>1068</v>
      </c>
      <c r="AP258" s="254" t="s">
        <v>1070</v>
      </c>
      <c r="AQ258" s="263">
        <v>49070</v>
      </c>
      <c r="AR258" s="262">
        <v>9323</v>
      </c>
      <c r="AS258" s="262">
        <v>58393</v>
      </c>
      <c r="AT258" s="262">
        <v>49070</v>
      </c>
      <c r="AU258" s="262">
        <v>58393</v>
      </c>
      <c r="AV258" s="263">
        <v>51197.77</v>
      </c>
      <c r="AW258" s="263">
        <v>51197.77</v>
      </c>
      <c r="AX258" s="263">
        <v>11378.14</v>
      </c>
      <c r="AY258" s="264">
        <v>0.22220000000000001</v>
      </c>
      <c r="BB258" s="196" t="s">
        <v>1268</v>
      </c>
      <c r="BC258" s="196">
        <v>3</v>
      </c>
      <c r="BD258" s="196" t="s">
        <v>1269</v>
      </c>
      <c r="BE258" s="196" t="s">
        <v>1276</v>
      </c>
      <c r="BM258" s="196" t="s">
        <v>1271</v>
      </c>
    </row>
    <row r="259" spans="1:65" ht="75" x14ac:dyDescent="0.25">
      <c r="A259" s="254" t="s">
        <v>1257</v>
      </c>
      <c r="B259" s="254" t="s">
        <v>1258</v>
      </c>
      <c r="C259" s="254" t="s">
        <v>1259</v>
      </c>
      <c r="D259" s="254" t="s">
        <v>215</v>
      </c>
      <c r="E259" s="254" t="s">
        <v>216</v>
      </c>
      <c r="F259" s="254" t="s">
        <v>217</v>
      </c>
      <c r="G259" s="254">
        <v>1</v>
      </c>
      <c r="H259" s="254" t="s">
        <v>42</v>
      </c>
      <c r="I259" s="254" t="s">
        <v>1272</v>
      </c>
      <c r="J259" s="260">
        <v>46156</v>
      </c>
      <c r="K259" s="254" t="s">
        <v>1261</v>
      </c>
      <c r="L259" s="254" t="s">
        <v>1258</v>
      </c>
      <c r="M259" s="254" t="s">
        <v>209</v>
      </c>
      <c r="N259" s="261">
        <v>705600</v>
      </c>
      <c r="O259" s="254" t="s">
        <v>1068</v>
      </c>
      <c r="P259" s="254" t="s">
        <v>1070</v>
      </c>
      <c r="Q259" s="263">
        <v>705600</v>
      </c>
      <c r="R259" s="262">
        <v>134064</v>
      </c>
      <c r="S259" s="262">
        <v>839664</v>
      </c>
      <c r="T259" s="262">
        <v>705600</v>
      </c>
      <c r="U259" s="262">
        <v>839664</v>
      </c>
      <c r="V259" s="254" t="s">
        <v>1272</v>
      </c>
      <c r="W259" s="260">
        <v>46156</v>
      </c>
      <c r="X259" s="254" t="s">
        <v>1274</v>
      </c>
      <c r="Y259" s="254" t="s">
        <v>1258</v>
      </c>
      <c r="Z259" s="254" t="s">
        <v>1275</v>
      </c>
      <c r="AA259" s="261">
        <v>563026</v>
      </c>
      <c r="AB259" s="254" t="s">
        <v>1068</v>
      </c>
      <c r="AC259" s="254" t="s">
        <v>1070</v>
      </c>
      <c r="AD259" s="263">
        <v>563026</v>
      </c>
      <c r="AE259" s="262">
        <v>106975</v>
      </c>
      <c r="AF259" s="262">
        <v>670001</v>
      </c>
      <c r="AG259" s="262">
        <v>563026</v>
      </c>
      <c r="AH259" s="262">
        <v>670001</v>
      </c>
      <c r="AI259" s="254" t="s">
        <v>1272</v>
      </c>
      <c r="AJ259" s="260">
        <v>46156</v>
      </c>
      <c r="AK259" s="254" t="s">
        <v>1262</v>
      </c>
      <c r="AL259" s="254" t="s">
        <v>1258</v>
      </c>
      <c r="AM259" s="254" t="s">
        <v>1277</v>
      </c>
      <c r="AN259" s="261">
        <v>706500</v>
      </c>
      <c r="AO259" s="254" t="s">
        <v>1068</v>
      </c>
      <c r="AP259" s="254" t="s">
        <v>1070</v>
      </c>
      <c r="AQ259" s="263">
        <v>706500</v>
      </c>
      <c r="AR259" s="262">
        <v>134235</v>
      </c>
      <c r="AS259" s="262">
        <v>840735</v>
      </c>
      <c r="AT259" s="262">
        <v>706500</v>
      </c>
      <c r="AU259" s="262">
        <v>840735</v>
      </c>
      <c r="AV259" s="263">
        <v>783466.65</v>
      </c>
      <c r="AW259" s="263">
        <v>783466.65</v>
      </c>
      <c r="AX259" s="263">
        <v>98265.64</v>
      </c>
      <c r="AY259" s="264">
        <v>0.12540000000000001</v>
      </c>
      <c r="BD259" s="196" t="s">
        <v>1269</v>
      </c>
    </row>
    <row r="260" spans="1:65" ht="315" x14ac:dyDescent="0.25">
      <c r="A260" s="254" t="s">
        <v>1257</v>
      </c>
      <c r="B260" s="254" t="s">
        <v>1258</v>
      </c>
      <c r="C260" s="254" t="s">
        <v>1259</v>
      </c>
      <c r="D260" s="254" t="s">
        <v>146</v>
      </c>
      <c r="E260" s="254" t="s">
        <v>147</v>
      </c>
      <c r="F260" s="254" t="s">
        <v>148</v>
      </c>
      <c r="G260" s="254">
        <v>1</v>
      </c>
      <c r="H260" s="254" t="s">
        <v>42</v>
      </c>
      <c r="I260" s="254" t="s">
        <v>1260</v>
      </c>
      <c r="J260" s="260">
        <v>46156</v>
      </c>
      <c r="K260" s="254" t="s">
        <v>55</v>
      </c>
      <c r="L260" s="254" t="s">
        <v>1258</v>
      </c>
      <c r="M260" s="254" t="s">
        <v>1266</v>
      </c>
      <c r="N260" s="261">
        <v>40250</v>
      </c>
      <c r="O260" s="254" t="s">
        <v>1068</v>
      </c>
      <c r="P260" s="254" t="s">
        <v>1070</v>
      </c>
      <c r="Q260" s="263">
        <v>40250</v>
      </c>
      <c r="R260" s="262">
        <v>7648</v>
      </c>
      <c r="S260" s="262">
        <v>47898</v>
      </c>
      <c r="T260" s="262">
        <v>40250</v>
      </c>
      <c r="U260" s="262">
        <v>47898</v>
      </c>
      <c r="V260" s="254" t="s">
        <v>1260</v>
      </c>
      <c r="W260" s="260">
        <v>46156</v>
      </c>
      <c r="X260" s="254" t="s">
        <v>1278</v>
      </c>
      <c r="Y260" s="254" t="s">
        <v>1258</v>
      </c>
      <c r="Z260" s="254" t="s">
        <v>1275</v>
      </c>
      <c r="AA260" s="261">
        <v>38950</v>
      </c>
      <c r="AB260" s="254" t="s">
        <v>1068</v>
      </c>
      <c r="AC260" s="254" t="s">
        <v>1070</v>
      </c>
      <c r="AD260" s="263">
        <v>38950</v>
      </c>
      <c r="AE260" s="262">
        <v>7401</v>
      </c>
      <c r="AF260" s="262">
        <v>46351</v>
      </c>
      <c r="AG260" s="262">
        <v>38950</v>
      </c>
      <c r="AH260" s="262">
        <v>46351</v>
      </c>
      <c r="AI260" s="254" t="s">
        <v>1260</v>
      </c>
      <c r="AJ260" s="260">
        <v>46156</v>
      </c>
      <c r="AK260" s="254" t="s">
        <v>1261</v>
      </c>
      <c r="AL260" s="254" t="s">
        <v>1258</v>
      </c>
      <c r="AM260" s="254" t="s">
        <v>209</v>
      </c>
      <c r="AN260" s="261">
        <v>41000</v>
      </c>
      <c r="AO260" s="254" t="s">
        <v>1068</v>
      </c>
      <c r="AP260" s="254" t="s">
        <v>1070</v>
      </c>
      <c r="AQ260" s="263">
        <v>41000</v>
      </c>
      <c r="AR260" s="262">
        <v>7790</v>
      </c>
      <c r="AS260" s="262">
        <v>48790</v>
      </c>
      <c r="AT260" s="262">
        <v>41000</v>
      </c>
      <c r="AU260" s="262">
        <v>48790</v>
      </c>
      <c r="AV260" s="263">
        <v>47679.33</v>
      </c>
      <c r="AW260" s="263">
        <v>47679.33</v>
      </c>
      <c r="AX260" s="263">
        <v>1234.3</v>
      </c>
      <c r="AY260" s="264">
        <v>2.5899999999999999E-2</v>
      </c>
      <c r="BD260" s="196" t="s">
        <v>1269</v>
      </c>
    </row>
    <row r="261" spans="1:65" ht="75" x14ac:dyDescent="0.25">
      <c r="A261" s="254" t="s">
        <v>1257</v>
      </c>
      <c r="B261" s="254" t="s">
        <v>1258</v>
      </c>
      <c r="C261" s="254" t="s">
        <v>1259</v>
      </c>
      <c r="D261" s="254" t="s">
        <v>51</v>
      </c>
      <c r="E261" s="254" t="s">
        <v>52</v>
      </c>
      <c r="F261" s="254" t="s">
        <v>41</v>
      </c>
      <c r="G261" s="254">
        <v>1</v>
      </c>
      <c r="H261" s="254" t="s">
        <v>42</v>
      </c>
      <c r="I261" s="254" t="s">
        <v>1272</v>
      </c>
      <c r="J261" s="260">
        <v>46156</v>
      </c>
      <c r="K261" s="254" t="s">
        <v>1261</v>
      </c>
      <c r="L261" s="254" t="s">
        <v>1258</v>
      </c>
      <c r="M261" s="254" t="s">
        <v>209</v>
      </c>
      <c r="N261" s="261">
        <v>27500</v>
      </c>
      <c r="O261" s="254" t="s">
        <v>1068</v>
      </c>
      <c r="P261" s="254" t="s">
        <v>1070</v>
      </c>
      <c r="Q261" s="263">
        <v>27500</v>
      </c>
      <c r="R261" s="262">
        <v>5225</v>
      </c>
      <c r="S261" s="262">
        <v>32725</v>
      </c>
      <c r="T261" s="262">
        <v>27500</v>
      </c>
      <c r="U261" s="262">
        <v>32725</v>
      </c>
      <c r="V261" s="254" t="s">
        <v>1272</v>
      </c>
      <c r="W261" s="260">
        <v>46156</v>
      </c>
      <c r="X261" s="254" t="s">
        <v>1279</v>
      </c>
      <c r="Y261" s="254" t="s">
        <v>1258</v>
      </c>
      <c r="Z261" s="254" t="s">
        <v>1280</v>
      </c>
      <c r="AA261" s="261">
        <v>25500</v>
      </c>
      <c r="AB261" s="254" t="s">
        <v>1068</v>
      </c>
      <c r="AC261" s="254" t="s">
        <v>1070</v>
      </c>
      <c r="AD261" s="263">
        <v>25500</v>
      </c>
      <c r="AE261" s="262">
        <v>4845</v>
      </c>
      <c r="AF261" s="262">
        <v>30345</v>
      </c>
      <c r="AG261" s="262">
        <v>25500</v>
      </c>
      <c r="AH261" s="262">
        <v>30345</v>
      </c>
      <c r="AI261" s="254" t="s">
        <v>1272</v>
      </c>
      <c r="AJ261" s="260">
        <v>46156</v>
      </c>
      <c r="AK261" s="254" t="s">
        <v>1265</v>
      </c>
      <c r="AL261" s="254" t="s">
        <v>1258</v>
      </c>
      <c r="AM261" s="254" t="s">
        <v>1266</v>
      </c>
      <c r="AN261" s="261">
        <v>28750</v>
      </c>
      <c r="AO261" s="254" t="s">
        <v>1068</v>
      </c>
      <c r="AP261" s="254" t="s">
        <v>1070</v>
      </c>
      <c r="AQ261" s="263">
        <v>28750</v>
      </c>
      <c r="AR261" s="262">
        <v>5463</v>
      </c>
      <c r="AS261" s="262">
        <v>34213</v>
      </c>
      <c r="AT261" s="262">
        <v>28750</v>
      </c>
      <c r="AU261" s="262">
        <v>34213</v>
      </c>
      <c r="AV261" s="263">
        <v>32427.5</v>
      </c>
      <c r="AW261" s="263">
        <v>32427.5</v>
      </c>
      <c r="AX261" s="263">
        <v>1950.84</v>
      </c>
      <c r="AY261" s="264">
        <v>6.0199999999999997E-2</v>
      </c>
      <c r="BB261" s="196" t="s">
        <v>350</v>
      </c>
      <c r="BD261" s="196" t="s">
        <v>1269</v>
      </c>
    </row>
    <row r="262" spans="1:65" ht="405" x14ac:dyDescent="0.25">
      <c r="A262" s="254" t="s">
        <v>1257</v>
      </c>
      <c r="B262" s="254" t="s">
        <v>1258</v>
      </c>
      <c r="C262" s="254" t="s">
        <v>1259</v>
      </c>
      <c r="D262" s="254" t="s">
        <v>158</v>
      </c>
      <c r="E262" s="254" t="s">
        <v>159</v>
      </c>
      <c r="F262" s="254" t="s">
        <v>41</v>
      </c>
      <c r="G262" s="254">
        <v>1</v>
      </c>
      <c r="H262" s="254" t="s">
        <v>42</v>
      </c>
      <c r="I262" s="254" t="s">
        <v>1272</v>
      </c>
      <c r="J262" s="260">
        <v>46156</v>
      </c>
      <c r="K262" s="254" t="s">
        <v>1262</v>
      </c>
      <c r="L262" s="254" t="s">
        <v>1258</v>
      </c>
      <c r="M262" s="254" t="s">
        <v>1263</v>
      </c>
      <c r="N262" s="261">
        <v>95400</v>
      </c>
      <c r="O262" s="254" t="s">
        <v>1068</v>
      </c>
      <c r="P262" s="254" t="s">
        <v>1070</v>
      </c>
      <c r="Q262" s="263">
        <v>95400</v>
      </c>
      <c r="R262" s="262">
        <v>18126</v>
      </c>
      <c r="S262" s="262">
        <v>113526</v>
      </c>
      <c r="T262" s="262">
        <v>95400</v>
      </c>
      <c r="U262" s="262">
        <v>113526</v>
      </c>
      <c r="V262" s="254" t="s">
        <v>1272</v>
      </c>
      <c r="W262" s="260">
        <v>46156</v>
      </c>
      <c r="X262" s="254" t="s">
        <v>1261</v>
      </c>
      <c r="Y262" s="254" t="s">
        <v>1258</v>
      </c>
      <c r="Z262" s="254" t="s">
        <v>209</v>
      </c>
      <c r="AA262" s="261">
        <v>94000</v>
      </c>
      <c r="AB262" s="254" t="s">
        <v>1068</v>
      </c>
      <c r="AC262" s="254" t="s">
        <v>1070</v>
      </c>
      <c r="AD262" s="263">
        <v>94000</v>
      </c>
      <c r="AE262" s="262">
        <v>17860</v>
      </c>
      <c r="AF262" s="262">
        <v>111860</v>
      </c>
      <c r="AG262" s="262">
        <v>94000</v>
      </c>
      <c r="AH262" s="262">
        <v>111860</v>
      </c>
      <c r="AI262" s="254" t="s">
        <v>1264</v>
      </c>
      <c r="AJ262" s="260">
        <v>46157</v>
      </c>
      <c r="AK262" s="254" t="s">
        <v>1265</v>
      </c>
      <c r="AL262" s="254" t="s">
        <v>441</v>
      </c>
      <c r="AM262" s="254" t="s">
        <v>1266</v>
      </c>
      <c r="AN262" s="261">
        <v>110400</v>
      </c>
      <c r="AO262" s="254" t="s">
        <v>1068</v>
      </c>
      <c r="AP262" s="254" t="s">
        <v>1070</v>
      </c>
      <c r="AQ262" s="263">
        <v>110400</v>
      </c>
      <c r="AR262" s="262">
        <v>20976</v>
      </c>
      <c r="AS262" s="262">
        <v>131376</v>
      </c>
      <c r="AT262" s="262">
        <v>110400</v>
      </c>
      <c r="AU262" s="262">
        <v>131376</v>
      </c>
      <c r="AV262" s="263">
        <v>118920.67</v>
      </c>
      <c r="AW262" s="263">
        <v>118920.67</v>
      </c>
      <c r="AX262" s="263">
        <v>10818.75</v>
      </c>
      <c r="AY262" s="264">
        <v>9.0999999999999998E-2</v>
      </c>
      <c r="BA262" s="196" t="s">
        <v>1281</v>
      </c>
      <c r="BB262" s="196" t="s">
        <v>1268</v>
      </c>
      <c r="BD262" s="196" t="s">
        <v>1269</v>
      </c>
    </row>
    <row r="263" spans="1:65" ht="165" x14ac:dyDescent="0.25">
      <c r="A263" s="254" t="s">
        <v>1257</v>
      </c>
      <c r="B263" s="254" t="s">
        <v>1258</v>
      </c>
      <c r="C263" s="254" t="s">
        <v>1259</v>
      </c>
      <c r="D263" s="254" t="s">
        <v>151</v>
      </c>
      <c r="E263" s="254" t="s">
        <v>152</v>
      </c>
      <c r="F263" s="254" t="s">
        <v>41</v>
      </c>
      <c r="G263" s="254">
        <v>1</v>
      </c>
      <c r="H263" s="254" t="s">
        <v>42</v>
      </c>
      <c r="I263" s="254" t="s">
        <v>1260</v>
      </c>
      <c r="J263" s="260">
        <v>46156</v>
      </c>
      <c r="K263" s="254" t="s">
        <v>1261</v>
      </c>
      <c r="L263" s="254" t="s">
        <v>1258</v>
      </c>
      <c r="M263" s="254" t="s">
        <v>209</v>
      </c>
      <c r="N263" s="261">
        <v>7600</v>
      </c>
      <c r="O263" s="254" t="s">
        <v>1068</v>
      </c>
      <c r="P263" s="254" t="s">
        <v>1070</v>
      </c>
      <c r="Q263" s="263">
        <v>7600</v>
      </c>
      <c r="R263" s="262">
        <v>1444</v>
      </c>
      <c r="S263" s="262">
        <v>9044</v>
      </c>
      <c r="T263" s="262">
        <v>7600</v>
      </c>
      <c r="U263" s="262">
        <v>9044</v>
      </c>
      <c r="V263" s="254" t="s">
        <v>1260</v>
      </c>
      <c r="W263" s="260">
        <v>46156</v>
      </c>
      <c r="X263" s="254" t="s">
        <v>1274</v>
      </c>
      <c r="Y263" s="254" t="s">
        <v>1258</v>
      </c>
      <c r="Z263" s="254" t="s">
        <v>1275</v>
      </c>
      <c r="AA263" s="261">
        <v>5860</v>
      </c>
      <c r="AB263" s="254" t="s">
        <v>1068</v>
      </c>
      <c r="AC263" s="254" t="s">
        <v>1070</v>
      </c>
      <c r="AD263" s="263">
        <v>5860</v>
      </c>
      <c r="AE263" s="262">
        <v>1113</v>
      </c>
      <c r="AF263" s="262">
        <v>6973</v>
      </c>
      <c r="AG263" s="262">
        <v>5860</v>
      </c>
      <c r="AH263" s="262">
        <v>6973</v>
      </c>
      <c r="AI263" s="254" t="s">
        <v>1272</v>
      </c>
      <c r="AJ263" s="260">
        <v>46156</v>
      </c>
      <c r="AK263" s="254" t="s">
        <v>1262</v>
      </c>
      <c r="AL263" s="254" t="s">
        <v>1258</v>
      </c>
      <c r="AM263" s="254" t="s">
        <v>1263</v>
      </c>
      <c r="AN263" s="261">
        <v>8040</v>
      </c>
      <c r="AO263" s="254" t="s">
        <v>1068</v>
      </c>
      <c r="AP263" s="254" t="s">
        <v>1070</v>
      </c>
      <c r="AQ263" s="263">
        <v>8040</v>
      </c>
      <c r="AR263" s="262">
        <v>1528</v>
      </c>
      <c r="AS263" s="262">
        <v>9568</v>
      </c>
      <c r="AT263" s="262">
        <v>8040</v>
      </c>
      <c r="AU263" s="262">
        <v>9568</v>
      </c>
      <c r="AV263" s="263">
        <v>8528.33</v>
      </c>
      <c r="AW263" s="263">
        <v>8528.33</v>
      </c>
      <c r="AX263" s="263">
        <v>1371.82</v>
      </c>
      <c r="AY263" s="264">
        <v>0.16089999999999999</v>
      </c>
      <c r="BD263" s="196" t="s">
        <v>1269</v>
      </c>
    </row>
    <row r="264" spans="1:65" ht="75" x14ac:dyDescent="0.25">
      <c r="A264" s="254" t="s">
        <v>1257</v>
      </c>
      <c r="B264" s="254" t="s">
        <v>1258</v>
      </c>
      <c r="C264" s="254" t="s">
        <v>1259</v>
      </c>
      <c r="D264" s="254" t="s">
        <v>200</v>
      </c>
      <c r="E264" s="254" t="s">
        <v>201</v>
      </c>
      <c r="F264" s="254" t="s">
        <v>176</v>
      </c>
      <c r="G264" s="254">
        <v>1</v>
      </c>
      <c r="H264" s="254" t="s">
        <v>88</v>
      </c>
      <c r="I264" s="254" t="s">
        <v>440</v>
      </c>
      <c r="J264" s="260">
        <v>46157</v>
      </c>
      <c r="K264" s="254" t="s">
        <v>1282</v>
      </c>
      <c r="L264" s="254" t="s">
        <v>1258</v>
      </c>
      <c r="M264" s="254" t="s">
        <v>1283</v>
      </c>
      <c r="N264" s="261">
        <v>280000</v>
      </c>
      <c r="O264" s="254" t="s">
        <v>1068</v>
      </c>
      <c r="P264" s="254" t="s">
        <v>1070</v>
      </c>
      <c r="Q264" s="263">
        <v>280000</v>
      </c>
      <c r="R264" s="262">
        <v>53200</v>
      </c>
      <c r="S264" s="262">
        <v>333200</v>
      </c>
      <c r="T264" s="262">
        <v>280000</v>
      </c>
      <c r="U264" s="262">
        <v>333200</v>
      </c>
      <c r="V264" s="254" t="s">
        <v>440</v>
      </c>
      <c r="W264" s="260">
        <v>46157</v>
      </c>
      <c r="X264" s="254" t="s">
        <v>1284</v>
      </c>
      <c r="Y264" s="254" t="s">
        <v>1258</v>
      </c>
      <c r="Z264" s="254" t="s">
        <v>1285</v>
      </c>
      <c r="AA264" s="261">
        <v>250000</v>
      </c>
      <c r="AB264" s="254" t="s">
        <v>1068</v>
      </c>
      <c r="AC264" s="254" t="s">
        <v>1070</v>
      </c>
      <c r="AD264" s="263">
        <v>250000</v>
      </c>
      <c r="AE264" s="262">
        <v>47500</v>
      </c>
      <c r="AF264" s="262">
        <v>297500</v>
      </c>
      <c r="AG264" s="262">
        <v>250000</v>
      </c>
      <c r="AH264" s="262">
        <v>297500</v>
      </c>
      <c r="AI264" s="254" t="s">
        <v>1264</v>
      </c>
      <c r="AJ264" s="260">
        <v>46157</v>
      </c>
      <c r="AK264" s="254" t="s">
        <v>1286</v>
      </c>
      <c r="AL264" s="254" t="s">
        <v>441</v>
      </c>
      <c r="AM264" s="254" t="s">
        <v>1287</v>
      </c>
      <c r="AN264" s="261">
        <v>290000</v>
      </c>
      <c r="AO264" s="254" t="s">
        <v>1068</v>
      </c>
      <c r="AP264" s="254" t="s">
        <v>1070</v>
      </c>
      <c r="AQ264" s="263">
        <v>290000</v>
      </c>
      <c r="AR264" s="262">
        <v>55100</v>
      </c>
      <c r="AS264" s="262">
        <v>345100</v>
      </c>
      <c r="AT264" s="262">
        <v>290000</v>
      </c>
      <c r="AU264" s="262">
        <v>345100</v>
      </c>
      <c r="AV264" s="263">
        <v>325266.67</v>
      </c>
      <c r="AW264" s="263">
        <v>325266.67</v>
      </c>
      <c r="AX264" s="263">
        <v>24771.83</v>
      </c>
      <c r="AY264" s="264">
        <v>7.6200000000000004E-2</v>
      </c>
      <c r="BD264" s="196" t="s">
        <v>1269</v>
      </c>
    </row>
    <row r="265" spans="1:65" ht="409.5" x14ac:dyDescent="0.25">
      <c r="A265" s="254" t="s">
        <v>1257</v>
      </c>
      <c r="B265" s="254" t="s">
        <v>1258</v>
      </c>
      <c r="C265" s="254" t="s">
        <v>1259</v>
      </c>
      <c r="D265" s="254" t="s">
        <v>144</v>
      </c>
      <c r="E265" s="254" t="s">
        <v>145</v>
      </c>
      <c r="F265" s="254" t="s">
        <v>41</v>
      </c>
      <c r="G265" s="254">
        <v>1</v>
      </c>
      <c r="H265" s="254" t="s">
        <v>42</v>
      </c>
      <c r="I265" s="254" t="s">
        <v>1260</v>
      </c>
      <c r="J265" s="260">
        <v>46156</v>
      </c>
      <c r="K265" s="254" t="s">
        <v>1265</v>
      </c>
      <c r="L265" s="254" t="s">
        <v>1258</v>
      </c>
      <c r="M265" s="254" t="s">
        <v>55</v>
      </c>
      <c r="N265" s="261">
        <v>40250</v>
      </c>
      <c r="O265" s="254" t="s">
        <v>1068</v>
      </c>
      <c r="P265" s="254" t="s">
        <v>1070</v>
      </c>
      <c r="Q265" s="263">
        <v>40250</v>
      </c>
      <c r="R265" s="262">
        <v>7648</v>
      </c>
      <c r="S265" s="262">
        <v>47898</v>
      </c>
      <c r="T265" s="262">
        <v>40250</v>
      </c>
      <c r="U265" s="262">
        <v>47898</v>
      </c>
      <c r="V265" s="254" t="s">
        <v>1260</v>
      </c>
      <c r="W265" s="260">
        <v>46156</v>
      </c>
      <c r="X265" s="254" t="s">
        <v>1261</v>
      </c>
      <c r="Y265" s="254" t="s">
        <v>1258</v>
      </c>
      <c r="Z265" s="254" t="s">
        <v>209</v>
      </c>
      <c r="AA265" s="261">
        <v>41000</v>
      </c>
      <c r="AB265" s="254" t="s">
        <v>1068</v>
      </c>
      <c r="AC265" s="254" t="s">
        <v>1070</v>
      </c>
      <c r="AD265" s="263">
        <v>41000</v>
      </c>
      <c r="AE265" s="262">
        <v>7790</v>
      </c>
      <c r="AF265" s="262">
        <v>48790</v>
      </c>
      <c r="AG265" s="262">
        <v>41000</v>
      </c>
      <c r="AH265" s="262">
        <v>48790</v>
      </c>
      <c r="AV265" s="263">
        <v>48343.75</v>
      </c>
      <c r="AW265" s="263">
        <v>48343.75</v>
      </c>
      <c r="AX265" s="263">
        <v>631.09</v>
      </c>
      <c r="AY265" s="264">
        <v>1.3100000000000001E-2</v>
      </c>
      <c r="BA265" s="196" t="s">
        <v>1288</v>
      </c>
      <c r="BB265" s="196" t="s">
        <v>1289</v>
      </c>
      <c r="BD265" s="196" t="s">
        <v>1290</v>
      </c>
    </row>
    <row r="266" spans="1:65" ht="105" x14ac:dyDescent="0.25">
      <c r="A266" s="254" t="s">
        <v>1257</v>
      </c>
      <c r="B266" s="254" t="s">
        <v>1258</v>
      </c>
      <c r="C266" s="254" t="s">
        <v>1259</v>
      </c>
      <c r="D266" s="254" t="s">
        <v>130</v>
      </c>
      <c r="E266" s="254" t="s">
        <v>1291</v>
      </c>
      <c r="F266" s="254" t="s">
        <v>41</v>
      </c>
      <c r="G266" s="254">
        <v>1</v>
      </c>
      <c r="H266" s="254" t="s">
        <v>42</v>
      </c>
      <c r="I266" s="254" t="s">
        <v>1272</v>
      </c>
      <c r="J266" s="260">
        <v>46156</v>
      </c>
      <c r="K266" s="254" t="s">
        <v>1292</v>
      </c>
      <c r="L266" s="254" t="s">
        <v>1293</v>
      </c>
      <c r="M266" s="254" t="s">
        <v>1294</v>
      </c>
      <c r="N266" s="261">
        <v>8500</v>
      </c>
      <c r="O266" s="254" t="s">
        <v>1295</v>
      </c>
      <c r="P266" s="254" t="s">
        <v>1070</v>
      </c>
      <c r="Q266" s="263">
        <v>7142.86</v>
      </c>
      <c r="R266" s="262">
        <v>1357</v>
      </c>
      <c r="S266" s="262">
        <v>8500</v>
      </c>
      <c r="T266" s="262">
        <v>7143</v>
      </c>
      <c r="U266" s="262">
        <v>8500</v>
      </c>
      <c r="V266" s="254" t="s">
        <v>1272</v>
      </c>
      <c r="W266" s="260">
        <v>46156</v>
      </c>
      <c r="X266" s="254" t="s">
        <v>1296</v>
      </c>
      <c r="Y266" s="254" t="s">
        <v>1293</v>
      </c>
      <c r="Z266" s="254" t="s">
        <v>1297</v>
      </c>
      <c r="AA266" s="261">
        <v>9900</v>
      </c>
      <c r="AB266" s="254" t="s">
        <v>1295</v>
      </c>
      <c r="AC266" s="254" t="s">
        <v>1070</v>
      </c>
      <c r="AD266" s="263">
        <v>8319.33</v>
      </c>
      <c r="AE266" s="262">
        <v>1581</v>
      </c>
      <c r="AF266" s="262">
        <v>9900</v>
      </c>
      <c r="AG266" s="262">
        <v>8319</v>
      </c>
      <c r="AH266" s="262">
        <v>9900</v>
      </c>
      <c r="AI266" s="254" t="s">
        <v>1272</v>
      </c>
      <c r="AJ266" s="260">
        <v>46156</v>
      </c>
      <c r="AK266" s="254" t="s">
        <v>1298</v>
      </c>
      <c r="AL266" s="254" t="s">
        <v>1293</v>
      </c>
      <c r="AM266" s="254" t="s">
        <v>1299</v>
      </c>
      <c r="AN266" s="261">
        <v>9900</v>
      </c>
      <c r="AO266" s="254" t="s">
        <v>1295</v>
      </c>
      <c r="AP266" s="254" t="s">
        <v>1070</v>
      </c>
      <c r="AQ266" s="263">
        <v>8319.33</v>
      </c>
      <c r="AR266" s="262">
        <v>1581</v>
      </c>
      <c r="AS266" s="262">
        <v>9900</v>
      </c>
      <c r="AT266" s="262">
        <v>8319</v>
      </c>
      <c r="AU266" s="262">
        <v>9900</v>
      </c>
      <c r="AV266" s="263">
        <v>9433.33</v>
      </c>
      <c r="AW266" s="263">
        <v>9433.33</v>
      </c>
      <c r="AX266" s="263">
        <v>808.29</v>
      </c>
      <c r="AY266" s="264">
        <v>8.5699999999999998E-2</v>
      </c>
      <c r="BB266" s="196" t="s">
        <v>1268</v>
      </c>
      <c r="BD266" s="196" t="s">
        <v>1300</v>
      </c>
    </row>
    <row r="267" spans="1:65" ht="90" x14ac:dyDescent="0.25">
      <c r="A267" s="254" t="s">
        <v>1257</v>
      </c>
      <c r="B267" s="254" t="s">
        <v>1258</v>
      </c>
      <c r="C267" s="254" t="s">
        <v>1259</v>
      </c>
      <c r="D267" s="254" t="s">
        <v>187</v>
      </c>
      <c r="E267" s="254" t="s">
        <v>188</v>
      </c>
      <c r="F267" s="254" t="s">
        <v>189</v>
      </c>
      <c r="G267" s="254">
        <v>1</v>
      </c>
      <c r="H267" s="254" t="s">
        <v>42</v>
      </c>
      <c r="I267" s="254" t="s">
        <v>1272</v>
      </c>
      <c r="J267" s="260">
        <v>46156</v>
      </c>
      <c r="K267" s="254" t="s">
        <v>1261</v>
      </c>
      <c r="L267" s="254" t="s">
        <v>1258</v>
      </c>
      <c r="M267" s="254" t="s">
        <v>209</v>
      </c>
      <c r="N267" s="261">
        <v>1050000</v>
      </c>
      <c r="O267" s="254" t="s">
        <v>1068</v>
      </c>
      <c r="P267" s="254" t="s">
        <v>1070</v>
      </c>
      <c r="Q267" s="263">
        <v>1050000</v>
      </c>
      <c r="R267" s="262">
        <v>199500</v>
      </c>
      <c r="S267" s="262">
        <v>1249500</v>
      </c>
      <c r="T267" s="262">
        <v>1050000</v>
      </c>
      <c r="U267" s="262">
        <v>1249500</v>
      </c>
      <c r="V267" s="254" t="s">
        <v>1272</v>
      </c>
      <c r="W267" s="260">
        <v>46156</v>
      </c>
      <c r="X267" s="254" t="s">
        <v>1274</v>
      </c>
      <c r="Y267" s="254" t="s">
        <v>1258</v>
      </c>
      <c r="Z267" s="254" t="s">
        <v>1275</v>
      </c>
      <c r="AA267" s="261">
        <v>1130500</v>
      </c>
      <c r="AB267" s="254" t="s">
        <v>1068</v>
      </c>
      <c r="AC267" s="254" t="s">
        <v>1070</v>
      </c>
      <c r="AD267" s="263">
        <v>1130500</v>
      </c>
      <c r="AE267" s="262">
        <v>214795</v>
      </c>
      <c r="AF267" s="262">
        <v>1345295</v>
      </c>
      <c r="AG267" s="262">
        <v>1130500</v>
      </c>
      <c r="AH267" s="262">
        <v>1345295</v>
      </c>
      <c r="AI267" s="254" t="s">
        <v>1272</v>
      </c>
      <c r="AJ267" s="260">
        <v>46156</v>
      </c>
      <c r="AK267" s="254" t="s">
        <v>1262</v>
      </c>
      <c r="AL267" s="254" t="s">
        <v>1258</v>
      </c>
      <c r="AM267" s="254" t="s">
        <v>1263</v>
      </c>
      <c r="AN267" s="261">
        <v>1000000</v>
      </c>
      <c r="AO267" s="254" t="s">
        <v>1068</v>
      </c>
      <c r="AP267" s="254" t="s">
        <v>1070</v>
      </c>
      <c r="AQ267" s="263">
        <v>1000000</v>
      </c>
      <c r="AR267" s="262">
        <v>190000</v>
      </c>
      <c r="AS267" s="262">
        <v>1190000</v>
      </c>
      <c r="AT267" s="262">
        <v>1000000</v>
      </c>
      <c r="AU267" s="262">
        <v>1190000</v>
      </c>
      <c r="AV267" s="263">
        <v>1261598.33</v>
      </c>
      <c r="AW267" s="263">
        <v>1261598.33</v>
      </c>
      <c r="AX267" s="263">
        <v>78351.210000000006</v>
      </c>
      <c r="AY267" s="264">
        <v>6.2100000000000002E-2</v>
      </c>
      <c r="BB267" s="196" t="s">
        <v>1268</v>
      </c>
      <c r="BD267" s="196" t="s">
        <v>1269</v>
      </c>
    </row>
    <row r="268" spans="1:65" ht="75" x14ac:dyDescent="0.25">
      <c r="A268" s="254" t="s">
        <v>1257</v>
      </c>
      <c r="B268" s="254" t="s">
        <v>1258</v>
      </c>
      <c r="C268" s="254" t="s">
        <v>1259</v>
      </c>
      <c r="D268" s="254" t="s">
        <v>211</v>
      </c>
      <c r="E268" s="254" t="s">
        <v>1301</v>
      </c>
      <c r="F268" s="254" t="s">
        <v>189</v>
      </c>
      <c r="G268" s="254">
        <v>1</v>
      </c>
      <c r="H268" s="254" t="s">
        <v>42</v>
      </c>
      <c r="I268" s="254" t="s">
        <v>1260</v>
      </c>
      <c r="J268" s="260">
        <v>46156</v>
      </c>
      <c r="K268" s="254" t="s">
        <v>1261</v>
      </c>
      <c r="L268" s="254" t="s">
        <v>1258</v>
      </c>
      <c r="M268" s="254" t="s">
        <v>209</v>
      </c>
      <c r="N268" s="261">
        <v>1008700</v>
      </c>
      <c r="O268" s="254" t="s">
        <v>1068</v>
      </c>
      <c r="P268" s="254" t="s">
        <v>1070</v>
      </c>
      <c r="Q268" s="263">
        <v>1008700</v>
      </c>
      <c r="R268" s="262">
        <v>191653</v>
      </c>
      <c r="S268" s="262">
        <v>1200353</v>
      </c>
      <c r="T268" s="262">
        <v>1008700</v>
      </c>
      <c r="U268" s="262">
        <v>1200353</v>
      </c>
      <c r="V268" s="254" t="s">
        <v>1260</v>
      </c>
      <c r="W268" s="260">
        <v>46156</v>
      </c>
      <c r="X268" s="254" t="s">
        <v>1274</v>
      </c>
      <c r="Y268" s="254" t="s">
        <v>1258</v>
      </c>
      <c r="Z268" s="254" t="s">
        <v>1275</v>
      </c>
      <c r="AA268" s="261">
        <v>1008403</v>
      </c>
      <c r="AB268" s="254" t="s">
        <v>1068</v>
      </c>
      <c r="AC268" s="254" t="s">
        <v>1070</v>
      </c>
      <c r="AD268" s="263">
        <v>1008403</v>
      </c>
      <c r="AE268" s="262">
        <v>191597</v>
      </c>
      <c r="AF268" s="262">
        <v>1200000</v>
      </c>
      <c r="AG268" s="262">
        <v>1008403</v>
      </c>
      <c r="AH268" s="262">
        <v>1200000</v>
      </c>
      <c r="AI268" s="254" t="s">
        <v>1260</v>
      </c>
      <c r="AJ268" s="260">
        <v>46156</v>
      </c>
      <c r="AK268" s="254" t="s">
        <v>1262</v>
      </c>
      <c r="AL268" s="254" t="s">
        <v>1258</v>
      </c>
      <c r="AM268" s="254" t="s">
        <v>1263</v>
      </c>
      <c r="AN268" s="261">
        <v>1120000</v>
      </c>
      <c r="AO268" s="254" t="s">
        <v>1068</v>
      </c>
      <c r="AP268" s="254" t="s">
        <v>1070</v>
      </c>
      <c r="AQ268" s="263">
        <v>1120000</v>
      </c>
      <c r="AR268" s="262">
        <v>212800</v>
      </c>
      <c r="AS268" s="262">
        <v>1332800</v>
      </c>
      <c r="AT268" s="262">
        <v>1120000</v>
      </c>
      <c r="AU268" s="262">
        <v>1332800</v>
      </c>
      <c r="AV268" s="263">
        <v>1244384.19</v>
      </c>
      <c r="AW268" s="263">
        <v>1244384.19</v>
      </c>
      <c r="AX268" s="263">
        <v>76570.539999999994</v>
      </c>
      <c r="AY268" s="264">
        <v>6.1499999999999999E-2</v>
      </c>
      <c r="BB268" s="196" t="s">
        <v>1268</v>
      </c>
      <c r="BD268" s="196" t="s">
        <v>1269</v>
      </c>
    </row>
    <row r="269" spans="1:65" ht="135" x14ac:dyDescent="0.25">
      <c r="A269" s="254" t="s">
        <v>1257</v>
      </c>
      <c r="B269" s="254" t="s">
        <v>1258</v>
      </c>
      <c r="C269" s="254" t="s">
        <v>1259</v>
      </c>
      <c r="D269" s="254" t="s">
        <v>161</v>
      </c>
      <c r="E269" s="254" t="s">
        <v>162</v>
      </c>
      <c r="F269" s="254" t="s">
        <v>41</v>
      </c>
      <c r="G269" s="254">
        <v>1</v>
      </c>
      <c r="H269" s="254" t="s">
        <v>42</v>
      </c>
      <c r="I269" s="254" t="s">
        <v>1260</v>
      </c>
      <c r="J269" s="260">
        <v>46156</v>
      </c>
      <c r="K269" s="254" t="s">
        <v>1261</v>
      </c>
      <c r="L269" s="254" t="s">
        <v>1258</v>
      </c>
      <c r="M269" s="254" t="s">
        <v>209</v>
      </c>
      <c r="N269" s="261">
        <v>14000</v>
      </c>
      <c r="O269" s="254" t="s">
        <v>1068</v>
      </c>
      <c r="P269" s="254" t="s">
        <v>1070</v>
      </c>
      <c r="Q269" s="263">
        <v>14000</v>
      </c>
      <c r="R269" s="262">
        <v>2660</v>
      </c>
      <c r="S269" s="262">
        <v>16660</v>
      </c>
      <c r="T269" s="262">
        <v>14000</v>
      </c>
      <c r="U269" s="262">
        <v>16660</v>
      </c>
      <c r="V269" s="254" t="s">
        <v>1260</v>
      </c>
      <c r="W269" s="260">
        <v>46156</v>
      </c>
      <c r="X269" s="254" t="s">
        <v>1274</v>
      </c>
      <c r="Y269" s="254" t="s">
        <v>1258</v>
      </c>
      <c r="Z269" s="254" t="s">
        <v>1275</v>
      </c>
      <c r="AA269" s="261">
        <v>11890</v>
      </c>
      <c r="AB269" s="254" t="s">
        <v>1068</v>
      </c>
      <c r="AC269" s="254" t="s">
        <v>1070</v>
      </c>
      <c r="AD269" s="263">
        <v>11890</v>
      </c>
      <c r="AE269" s="262">
        <v>2259</v>
      </c>
      <c r="AF269" s="262">
        <v>14149</v>
      </c>
      <c r="AG269" s="262">
        <v>11890</v>
      </c>
      <c r="AH269" s="262">
        <v>14149</v>
      </c>
      <c r="AI269" s="254" t="s">
        <v>1260</v>
      </c>
      <c r="AJ269" s="260">
        <v>46156</v>
      </c>
      <c r="AK269" s="254" t="s">
        <v>1262</v>
      </c>
      <c r="AL269" s="254" t="s">
        <v>1302</v>
      </c>
      <c r="AM269" s="254" t="s">
        <v>1263</v>
      </c>
      <c r="AN269" s="261">
        <v>15000</v>
      </c>
      <c r="AO269" s="254" t="s">
        <v>1068</v>
      </c>
      <c r="AP269" s="254" t="s">
        <v>1070</v>
      </c>
      <c r="AQ269" s="263">
        <v>15000</v>
      </c>
      <c r="AR269" s="262">
        <v>2850</v>
      </c>
      <c r="AS269" s="262">
        <v>17850</v>
      </c>
      <c r="AT269" s="262">
        <v>15000</v>
      </c>
      <c r="AU269" s="262">
        <v>17850</v>
      </c>
      <c r="AV269" s="263">
        <v>16219.7</v>
      </c>
      <c r="AW269" s="263">
        <v>16219.7</v>
      </c>
      <c r="AX269" s="263">
        <v>1889.33</v>
      </c>
      <c r="AY269" s="264">
        <v>0.11650000000000001</v>
      </c>
      <c r="BB269" s="196" t="s">
        <v>1268</v>
      </c>
      <c r="BD269" s="196" t="s">
        <v>1303</v>
      </c>
    </row>
    <row r="270" spans="1:65" ht="210" x14ac:dyDescent="0.25">
      <c r="A270" s="254" t="s">
        <v>1257</v>
      </c>
      <c r="B270" s="254" t="s">
        <v>1258</v>
      </c>
      <c r="C270" s="254" t="s">
        <v>1259</v>
      </c>
      <c r="D270" s="254" t="s">
        <v>108</v>
      </c>
      <c r="E270" s="254" t="s">
        <v>109</v>
      </c>
      <c r="F270" s="254" t="s">
        <v>41</v>
      </c>
      <c r="G270" s="254">
        <v>1</v>
      </c>
      <c r="H270" s="254" t="s">
        <v>42</v>
      </c>
      <c r="I270" s="254" t="s">
        <v>1260</v>
      </c>
      <c r="J270" s="260">
        <v>46156</v>
      </c>
      <c r="K270" s="254" t="s">
        <v>1261</v>
      </c>
      <c r="L270" s="254" t="s">
        <v>1258</v>
      </c>
      <c r="M270" s="254" t="s">
        <v>209</v>
      </c>
      <c r="N270" s="261">
        <v>11500</v>
      </c>
      <c r="O270" s="254" t="s">
        <v>1068</v>
      </c>
      <c r="P270" s="254" t="s">
        <v>1070</v>
      </c>
      <c r="Q270" s="263">
        <v>11500</v>
      </c>
      <c r="R270" s="262">
        <v>2185</v>
      </c>
      <c r="S270" s="262">
        <v>13685</v>
      </c>
      <c r="T270" s="262">
        <v>11500</v>
      </c>
      <c r="U270" s="262">
        <v>13685</v>
      </c>
      <c r="V270" s="254" t="s">
        <v>1260</v>
      </c>
      <c r="W270" s="260">
        <v>46156</v>
      </c>
      <c r="X270" s="254" t="s">
        <v>1265</v>
      </c>
      <c r="Y270" s="254" t="s">
        <v>1258</v>
      </c>
      <c r="Z270" s="254" t="s">
        <v>1266</v>
      </c>
      <c r="AA270" s="261">
        <v>9200</v>
      </c>
      <c r="AB270" s="254" t="s">
        <v>1068</v>
      </c>
      <c r="AC270" s="254" t="s">
        <v>1070</v>
      </c>
      <c r="AD270" s="263">
        <v>9200</v>
      </c>
      <c r="AE270" s="262">
        <v>1748</v>
      </c>
      <c r="AF270" s="262">
        <v>10948</v>
      </c>
      <c r="AG270" s="262">
        <v>9200</v>
      </c>
      <c r="AH270" s="262">
        <v>10948</v>
      </c>
      <c r="AI270" s="254" t="s">
        <v>1260</v>
      </c>
      <c r="AJ270" s="260">
        <v>46156</v>
      </c>
      <c r="AK270" s="254" t="s">
        <v>1262</v>
      </c>
      <c r="AL270" s="254" t="s">
        <v>1258</v>
      </c>
      <c r="AM270" s="254" t="s">
        <v>1263</v>
      </c>
      <c r="AN270" s="261">
        <v>12300</v>
      </c>
      <c r="AO270" s="254" t="s">
        <v>1068</v>
      </c>
      <c r="AP270" s="254" t="s">
        <v>1070</v>
      </c>
      <c r="AQ270" s="263">
        <v>12300</v>
      </c>
      <c r="AR270" s="262">
        <v>2337</v>
      </c>
      <c r="AS270" s="262">
        <v>14637</v>
      </c>
      <c r="AT270" s="262">
        <v>12300</v>
      </c>
      <c r="AU270" s="262">
        <v>14637</v>
      </c>
      <c r="AV270" s="263">
        <v>13090</v>
      </c>
      <c r="AW270" s="263">
        <v>13090</v>
      </c>
      <c r="AX270" s="263">
        <v>1915.12</v>
      </c>
      <c r="AY270" s="264">
        <v>0.14630000000000001</v>
      </c>
      <c r="BB270" s="196" t="s">
        <v>1268</v>
      </c>
      <c r="BD270" s="196" t="s">
        <v>1269</v>
      </c>
    </row>
    <row r="271" spans="1:65" ht="195" x14ac:dyDescent="0.25">
      <c r="A271" s="254" t="s">
        <v>1257</v>
      </c>
      <c r="B271" s="254" t="s">
        <v>1258</v>
      </c>
      <c r="C271" s="254" t="s">
        <v>1259</v>
      </c>
      <c r="D271" s="254" t="s">
        <v>113</v>
      </c>
      <c r="E271" s="254" t="s">
        <v>114</v>
      </c>
      <c r="F271" s="254" t="s">
        <v>41</v>
      </c>
      <c r="G271" s="254">
        <v>1</v>
      </c>
      <c r="H271" s="254" t="s">
        <v>42</v>
      </c>
      <c r="I271" s="254" t="s">
        <v>1272</v>
      </c>
      <c r="J271" s="260">
        <v>46156</v>
      </c>
      <c r="K271" s="254" t="s">
        <v>1304</v>
      </c>
      <c r="L271" s="254" t="s">
        <v>1258</v>
      </c>
      <c r="M271" s="254" t="s">
        <v>1305</v>
      </c>
      <c r="N271" s="261">
        <v>13400</v>
      </c>
      <c r="O271" s="254" t="s">
        <v>1295</v>
      </c>
      <c r="P271" s="254" t="s">
        <v>1070</v>
      </c>
      <c r="Q271" s="263">
        <v>11260.5</v>
      </c>
      <c r="R271" s="262">
        <v>2139</v>
      </c>
      <c r="S271" s="262">
        <v>13400</v>
      </c>
      <c r="T271" s="262">
        <v>11261</v>
      </c>
      <c r="U271" s="262">
        <v>13400</v>
      </c>
      <c r="V271" s="254" t="s">
        <v>1272</v>
      </c>
      <c r="W271" s="260">
        <v>46156</v>
      </c>
      <c r="X271" s="254" t="s">
        <v>1306</v>
      </c>
      <c r="Y271" s="254" t="s">
        <v>1258</v>
      </c>
      <c r="Z271" s="254" t="s">
        <v>1307</v>
      </c>
      <c r="AA271" s="261">
        <v>12000</v>
      </c>
      <c r="AB271" s="254" t="s">
        <v>1295</v>
      </c>
      <c r="AC271" s="254" t="s">
        <v>1070</v>
      </c>
      <c r="AD271" s="263">
        <v>10084.030000000001</v>
      </c>
      <c r="AE271" s="262">
        <v>1916</v>
      </c>
      <c r="AF271" s="262">
        <v>12000</v>
      </c>
      <c r="AG271" s="262">
        <v>10084</v>
      </c>
      <c r="AH271" s="262">
        <v>12000</v>
      </c>
      <c r="AI271" s="254" t="s">
        <v>1272</v>
      </c>
      <c r="AJ271" s="260">
        <v>46156</v>
      </c>
      <c r="AK271" s="254" t="s">
        <v>1308</v>
      </c>
      <c r="AL271" s="254" t="s">
        <v>1258</v>
      </c>
      <c r="AM271" s="254" t="s">
        <v>1309</v>
      </c>
      <c r="AN271" s="261">
        <v>9900</v>
      </c>
      <c r="AO271" s="254" t="s">
        <v>1295</v>
      </c>
      <c r="AP271" s="254" t="s">
        <v>1070</v>
      </c>
      <c r="AQ271" s="263">
        <v>8319.33</v>
      </c>
      <c r="AR271" s="262">
        <v>1581</v>
      </c>
      <c r="AS271" s="262">
        <v>9900</v>
      </c>
      <c r="AT271" s="262">
        <v>8319</v>
      </c>
      <c r="AU271" s="262">
        <v>9900</v>
      </c>
      <c r="AV271" s="263">
        <v>11766.67</v>
      </c>
      <c r="AW271" s="263">
        <v>11766.67</v>
      </c>
      <c r="AX271" s="263">
        <v>1761.63</v>
      </c>
      <c r="AY271" s="264">
        <v>0.1497</v>
      </c>
      <c r="BB271" s="196" t="s">
        <v>1268</v>
      </c>
      <c r="BD271" s="196" t="s">
        <v>1269</v>
      </c>
    </row>
    <row r="272" spans="1:65" ht="75" x14ac:dyDescent="0.25">
      <c r="A272" s="254" t="s">
        <v>1257</v>
      </c>
      <c r="B272" s="254" t="s">
        <v>1258</v>
      </c>
      <c r="C272" s="254" t="s">
        <v>1259</v>
      </c>
      <c r="D272" s="254" t="s">
        <v>135</v>
      </c>
      <c r="E272" s="254" t="s">
        <v>136</v>
      </c>
      <c r="F272" s="254" t="s">
        <v>41</v>
      </c>
      <c r="G272" s="254">
        <v>1</v>
      </c>
      <c r="H272" s="254" t="s">
        <v>42</v>
      </c>
      <c r="I272" s="254" t="s">
        <v>440</v>
      </c>
      <c r="J272" s="260">
        <v>46157</v>
      </c>
      <c r="K272" s="254" t="s">
        <v>1261</v>
      </c>
      <c r="L272" s="254" t="s">
        <v>1258</v>
      </c>
      <c r="M272" s="254" t="s">
        <v>209</v>
      </c>
      <c r="N272" s="261">
        <v>6500</v>
      </c>
      <c r="O272" s="254" t="s">
        <v>1068</v>
      </c>
      <c r="P272" s="254" t="s">
        <v>1070</v>
      </c>
      <c r="Q272" s="263">
        <v>6500</v>
      </c>
      <c r="R272" s="262">
        <v>1235</v>
      </c>
      <c r="S272" s="262">
        <v>7735</v>
      </c>
      <c r="T272" s="262">
        <v>6500</v>
      </c>
      <c r="U272" s="262">
        <v>7735</v>
      </c>
      <c r="V272" s="254" t="s">
        <v>1310</v>
      </c>
      <c r="W272" s="260">
        <v>46156</v>
      </c>
      <c r="X272" s="254" t="s">
        <v>1265</v>
      </c>
      <c r="Y272" s="254" t="s">
        <v>1258</v>
      </c>
      <c r="Z272" s="254" t="s">
        <v>1266</v>
      </c>
      <c r="AA272" s="261">
        <v>4600</v>
      </c>
      <c r="AB272" s="254" t="s">
        <v>1068</v>
      </c>
      <c r="AC272" s="254" t="s">
        <v>1070</v>
      </c>
      <c r="AD272" s="263">
        <v>4600</v>
      </c>
      <c r="AE272" s="262">
        <v>874</v>
      </c>
      <c r="AF272" s="262">
        <v>5474</v>
      </c>
      <c r="AG272" s="262">
        <v>4600</v>
      </c>
      <c r="AH272" s="262">
        <v>5474</v>
      </c>
      <c r="AI272" s="254" t="s">
        <v>1310</v>
      </c>
      <c r="AJ272" s="260">
        <v>46156</v>
      </c>
      <c r="AK272" s="254" t="s">
        <v>1262</v>
      </c>
      <c r="AL272" s="254" t="s">
        <v>1258</v>
      </c>
      <c r="AM272" s="254" t="s">
        <v>1263</v>
      </c>
      <c r="AN272" s="261">
        <v>6950</v>
      </c>
      <c r="AO272" s="254" t="s">
        <v>1068</v>
      </c>
      <c r="AP272" s="254" t="s">
        <v>1070</v>
      </c>
      <c r="AQ272" s="263">
        <v>6950</v>
      </c>
      <c r="AR272" s="262">
        <v>1321</v>
      </c>
      <c r="AS272" s="262">
        <v>8271</v>
      </c>
      <c r="AT272" s="262">
        <v>6950</v>
      </c>
      <c r="AU272" s="262">
        <v>8271</v>
      </c>
      <c r="AV272" s="263">
        <v>7159.83</v>
      </c>
      <c r="AW272" s="263">
        <v>7159.83</v>
      </c>
      <c r="AX272" s="263">
        <v>1484.32</v>
      </c>
      <c r="AY272" s="264">
        <v>0.20730000000000001</v>
      </c>
      <c r="BB272" s="196" t="s">
        <v>1268</v>
      </c>
      <c r="BD272" s="196" t="s">
        <v>1269</v>
      </c>
    </row>
    <row r="273" spans="1:56" ht="210" x14ac:dyDescent="0.25">
      <c r="A273" s="254" t="s">
        <v>1257</v>
      </c>
      <c r="B273" s="254" t="s">
        <v>1258</v>
      </c>
      <c r="C273" s="254" t="s">
        <v>1259</v>
      </c>
      <c r="D273" s="254" t="s">
        <v>190</v>
      </c>
      <c r="E273" s="254" t="s">
        <v>191</v>
      </c>
      <c r="F273" s="254" t="s">
        <v>176</v>
      </c>
      <c r="G273" s="254">
        <v>1</v>
      </c>
      <c r="H273" s="254" t="s">
        <v>42</v>
      </c>
      <c r="I273" s="254" t="s">
        <v>1310</v>
      </c>
      <c r="J273" s="260">
        <v>46156</v>
      </c>
      <c r="K273" s="254" t="s">
        <v>1261</v>
      </c>
      <c r="L273" s="254" t="s">
        <v>1258</v>
      </c>
      <c r="M273" s="254" t="s">
        <v>209</v>
      </c>
      <c r="N273" s="261">
        <v>4546000</v>
      </c>
      <c r="O273" s="254" t="s">
        <v>1068</v>
      </c>
      <c r="P273" s="254" t="s">
        <v>1070</v>
      </c>
      <c r="Q273" s="263">
        <v>4546000</v>
      </c>
      <c r="R273" s="262">
        <v>863740</v>
      </c>
      <c r="S273" s="262">
        <v>5409740</v>
      </c>
      <c r="T273" s="262">
        <v>4546000</v>
      </c>
      <c r="U273" s="262">
        <v>5409740</v>
      </c>
      <c r="V273" s="254" t="s">
        <v>1310</v>
      </c>
      <c r="W273" s="260">
        <v>46156</v>
      </c>
      <c r="X273" s="254" t="s">
        <v>1282</v>
      </c>
      <c r="Y273" s="254" t="s">
        <v>1258</v>
      </c>
      <c r="Z273" s="254" t="s">
        <v>1311</v>
      </c>
      <c r="AA273" s="261">
        <v>3850000</v>
      </c>
      <c r="AB273" s="254" t="s">
        <v>1068</v>
      </c>
      <c r="AC273" s="254" t="s">
        <v>1070</v>
      </c>
      <c r="AD273" s="263">
        <v>3850000</v>
      </c>
      <c r="AE273" s="262">
        <v>731500</v>
      </c>
      <c r="AF273" s="262">
        <v>4581500</v>
      </c>
      <c r="AG273" s="262">
        <v>3850000</v>
      </c>
      <c r="AH273" s="262">
        <v>4581500</v>
      </c>
      <c r="AI273" s="254" t="s">
        <v>1310</v>
      </c>
      <c r="AJ273" s="260">
        <v>46156</v>
      </c>
      <c r="AK273" s="254" t="s">
        <v>1284</v>
      </c>
      <c r="AL273" s="254" t="s">
        <v>1312</v>
      </c>
      <c r="AM273" s="254" t="s">
        <v>1313</v>
      </c>
      <c r="AN273" s="261">
        <v>4100000</v>
      </c>
      <c r="AO273" s="254" t="s">
        <v>1068</v>
      </c>
      <c r="AP273" s="254" t="s">
        <v>1070</v>
      </c>
      <c r="AQ273" s="263">
        <v>4100000</v>
      </c>
      <c r="AR273" s="262">
        <v>779000</v>
      </c>
      <c r="AS273" s="262">
        <v>4879000</v>
      </c>
      <c r="AT273" s="262">
        <v>4100000</v>
      </c>
      <c r="AU273" s="262">
        <v>4879000</v>
      </c>
      <c r="AV273" s="263">
        <v>4956746.67</v>
      </c>
      <c r="AW273" s="263">
        <v>4956746.67</v>
      </c>
      <c r="AX273" s="263">
        <v>419557.84</v>
      </c>
      <c r="AY273" s="264">
        <v>8.4599999999999995E-2</v>
      </c>
      <c r="BB273" s="196" t="s">
        <v>1268</v>
      </c>
      <c r="BD273" s="196" t="s">
        <v>1314</v>
      </c>
    </row>
    <row r="274" spans="1:56" ht="75" x14ac:dyDescent="0.25">
      <c r="A274" s="254" t="s">
        <v>1257</v>
      </c>
      <c r="B274" s="254" t="s">
        <v>1258</v>
      </c>
      <c r="C274" s="254" t="s">
        <v>1259</v>
      </c>
      <c r="D274" s="254" t="s">
        <v>193</v>
      </c>
      <c r="E274" s="254" t="s">
        <v>194</v>
      </c>
      <c r="F274" s="254" t="s">
        <v>176</v>
      </c>
      <c r="G274" s="254">
        <v>1</v>
      </c>
      <c r="H274" s="254" t="s">
        <v>195</v>
      </c>
      <c r="I274" s="254" t="s">
        <v>1310</v>
      </c>
      <c r="J274" s="260">
        <v>46156</v>
      </c>
      <c r="K274" s="254" t="s">
        <v>1261</v>
      </c>
      <c r="L274" s="254" t="s">
        <v>1258</v>
      </c>
      <c r="M274" s="254" t="s">
        <v>209</v>
      </c>
      <c r="N274" s="261">
        <v>1503500</v>
      </c>
      <c r="O274" s="254" t="s">
        <v>1068</v>
      </c>
      <c r="P274" s="254" t="s">
        <v>1070</v>
      </c>
      <c r="Q274" s="263">
        <v>1503500</v>
      </c>
      <c r="R274" s="262">
        <v>285665</v>
      </c>
      <c r="S274" s="262">
        <v>1789165</v>
      </c>
      <c r="T274" s="262">
        <v>1503500</v>
      </c>
      <c r="U274" s="262">
        <v>1789165</v>
      </c>
      <c r="V274" s="254" t="s">
        <v>1310</v>
      </c>
      <c r="W274" s="260">
        <v>46156</v>
      </c>
      <c r="X274" s="254" t="s">
        <v>1284</v>
      </c>
      <c r="Y274" s="254" t="s">
        <v>1258</v>
      </c>
      <c r="Z274" s="254" t="s">
        <v>1315</v>
      </c>
      <c r="AA274" s="261">
        <v>1150000</v>
      </c>
      <c r="AB274" s="254" t="s">
        <v>1068</v>
      </c>
      <c r="AC274" s="254" t="s">
        <v>1070</v>
      </c>
      <c r="AD274" s="263">
        <v>1150000</v>
      </c>
      <c r="AE274" s="262">
        <v>218500</v>
      </c>
      <c r="AF274" s="262">
        <v>1368500</v>
      </c>
      <c r="AG274" s="262">
        <v>1150000</v>
      </c>
      <c r="AH274" s="262">
        <v>1368500</v>
      </c>
      <c r="AI274" s="254" t="s">
        <v>1310</v>
      </c>
      <c r="AJ274" s="260">
        <v>46156</v>
      </c>
      <c r="AK274" s="254" t="s">
        <v>1286</v>
      </c>
      <c r="AL274" s="254" t="s">
        <v>1258</v>
      </c>
      <c r="AM274" s="254" t="s">
        <v>1316</v>
      </c>
      <c r="AN274" s="261">
        <v>1500000</v>
      </c>
      <c r="AO274" s="254" t="s">
        <v>1068</v>
      </c>
      <c r="AP274" s="254" t="s">
        <v>1070</v>
      </c>
      <c r="AQ274" s="263">
        <v>1500000</v>
      </c>
      <c r="AR274" s="262">
        <v>285000</v>
      </c>
      <c r="AS274" s="262">
        <v>1785000</v>
      </c>
      <c r="AT274" s="262">
        <v>1500000</v>
      </c>
      <c r="AU274" s="262">
        <v>1785000</v>
      </c>
      <c r="AV274" s="263">
        <v>1647555</v>
      </c>
      <c r="AW274" s="263">
        <v>1647555</v>
      </c>
      <c r="AX274" s="263">
        <v>241677.69</v>
      </c>
      <c r="AY274" s="264">
        <v>0.1467</v>
      </c>
      <c r="BB274" s="196" t="s">
        <v>1268</v>
      </c>
      <c r="BD274" s="196" t="s">
        <v>1269</v>
      </c>
    </row>
    <row r="275" spans="1:56" ht="90" x14ac:dyDescent="0.25">
      <c r="A275" s="254" t="s">
        <v>1257</v>
      </c>
      <c r="B275" s="254" t="s">
        <v>1258</v>
      </c>
      <c r="C275" s="254" t="s">
        <v>1259</v>
      </c>
      <c r="D275" s="254" t="s">
        <v>103</v>
      </c>
      <c r="E275" s="254" t="s">
        <v>104</v>
      </c>
      <c r="F275" s="254" t="s">
        <v>41</v>
      </c>
      <c r="G275" s="254">
        <v>1</v>
      </c>
      <c r="H275" s="254" t="s">
        <v>42</v>
      </c>
      <c r="I275" s="254" t="s">
        <v>1264</v>
      </c>
      <c r="J275" s="260">
        <v>46157</v>
      </c>
      <c r="K275" s="254" t="s">
        <v>1317</v>
      </c>
      <c r="L275" s="254" t="s">
        <v>1318</v>
      </c>
      <c r="M275" s="254" t="s">
        <v>1319</v>
      </c>
      <c r="N275" s="261">
        <v>6000</v>
      </c>
      <c r="O275" s="254" t="s">
        <v>1295</v>
      </c>
      <c r="P275" s="254" t="s">
        <v>1070</v>
      </c>
      <c r="Q275" s="263">
        <v>5042.0200000000004</v>
      </c>
      <c r="R275" s="262">
        <v>958</v>
      </c>
      <c r="S275" s="262">
        <v>6000</v>
      </c>
      <c r="T275" s="262">
        <v>5042</v>
      </c>
      <c r="U275" s="262">
        <v>6000</v>
      </c>
      <c r="V275" s="254" t="s">
        <v>1264</v>
      </c>
      <c r="W275" s="260">
        <v>46157</v>
      </c>
      <c r="X275" s="254" t="s">
        <v>1320</v>
      </c>
      <c r="Y275" s="254" t="s">
        <v>1318</v>
      </c>
      <c r="Z275" s="254" t="s">
        <v>1321</v>
      </c>
      <c r="AA275" s="261">
        <v>4200</v>
      </c>
      <c r="AB275" s="254" t="s">
        <v>1295</v>
      </c>
      <c r="AC275" s="254" t="s">
        <v>1070</v>
      </c>
      <c r="AD275" s="263">
        <v>3529.41</v>
      </c>
      <c r="AE275" s="262">
        <v>671</v>
      </c>
      <c r="AF275" s="262">
        <v>4200</v>
      </c>
      <c r="AG275" s="262">
        <v>3529</v>
      </c>
      <c r="AH275" s="262">
        <v>4200</v>
      </c>
      <c r="AI275" s="254" t="s">
        <v>1264</v>
      </c>
      <c r="AJ275" s="260">
        <v>46157</v>
      </c>
      <c r="AK275" s="254" t="s">
        <v>1322</v>
      </c>
      <c r="AL275" s="254" t="s">
        <v>1318</v>
      </c>
      <c r="AM275" s="254" t="s">
        <v>1323</v>
      </c>
      <c r="AN275" s="261">
        <v>5000</v>
      </c>
      <c r="AO275" s="254" t="s">
        <v>1295</v>
      </c>
      <c r="AP275" s="254" t="s">
        <v>1070</v>
      </c>
      <c r="AQ275" s="263">
        <v>4201.68</v>
      </c>
      <c r="AR275" s="262">
        <v>798</v>
      </c>
      <c r="AS275" s="262">
        <v>5000</v>
      </c>
      <c r="AT275" s="262">
        <v>4202</v>
      </c>
      <c r="AU275" s="262">
        <v>5000</v>
      </c>
      <c r="AV275" s="263">
        <v>5066.67</v>
      </c>
      <c r="AW275" s="263">
        <v>5066.67</v>
      </c>
      <c r="AX275" s="263">
        <v>901.85</v>
      </c>
      <c r="AY275" s="264">
        <v>0.17799999999999999</v>
      </c>
      <c r="BA275" s="196" t="s">
        <v>1324</v>
      </c>
      <c r="BB275" s="196" t="s">
        <v>350</v>
      </c>
      <c r="BD275" s="196" t="s">
        <v>1325</v>
      </c>
    </row>
    <row r="276" spans="1:56" ht="390" x14ac:dyDescent="0.25">
      <c r="A276" s="254" t="s">
        <v>1257</v>
      </c>
      <c r="B276" s="254" t="s">
        <v>1258</v>
      </c>
      <c r="C276" s="254" t="s">
        <v>1259</v>
      </c>
      <c r="D276" s="254" t="s">
        <v>76</v>
      </c>
      <c r="E276" s="254" t="s">
        <v>77</v>
      </c>
      <c r="F276" s="254" t="s">
        <v>41</v>
      </c>
      <c r="G276" s="254">
        <v>1</v>
      </c>
      <c r="H276" s="254" t="s">
        <v>42</v>
      </c>
      <c r="I276" s="254" t="s">
        <v>1264</v>
      </c>
      <c r="J276" s="260">
        <v>46157</v>
      </c>
      <c r="K276" s="254" t="s">
        <v>1265</v>
      </c>
      <c r="L276" s="254" t="s">
        <v>1318</v>
      </c>
      <c r="M276" s="254" t="s">
        <v>55</v>
      </c>
      <c r="N276" s="261">
        <v>51750</v>
      </c>
      <c r="O276" s="254" t="s">
        <v>1068</v>
      </c>
      <c r="P276" s="254" t="s">
        <v>1070</v>
      </c>
      <c r="Q276" s="263">
        <v>51750</v>
      </c>
      <c r="R276" s="262">
        <v>9833</v>
      </c>
      <c r="S276" s="262">
        <v>61583</v>
      </c>
      <c r="T276" s="262">
        <v>51750</v>
      </c>
      <c r="U276" s="262">
        <v>61583</v>
      </c>
      <c r="V276" s="254" t="s">
        <v>1264</v>
      </c>
      <c r="W276" s="260">
        <v>46157</v>
      </c>
      <c r="X276" s="254" t="s">
        <v>1261</v>
      </c>
      <c r="Y276" s="254" t="s">
        <v>1318</v>
      </c>
      <c r="Z276" s="254" t="s">
        <v>1326</v>
      </c>
      <c r="AA276" s="261">
        <v>53000</v>
      </c>
      <c r="AB276" s="254" t="s">
        <v>1068</v>
      </c>
      <c r="AC276" s="254" t="s">
        <v>1070</v>
      </c>
      <c r="AD276" s="263">
        <v>53000</v>
      </c>
      <c r="AE276" s="262">
        <v>10070</v>
      </c>
      <c r="AF276" s="262">
        <v>63070</v>
      </c>
      <c r="AG276" s="262">
        <v>53000</v>
      </c>
      <c r="AH276" s="262">
        <v>63070</v>
      </c>
      <c r="AI276" s="254" t="s">
        <v>1264</v>
      </c>
      <c r="AJ276" s="260">
        <v>46157</v>
      </c>
      <c r="AK276" s="254" t="s">
        <v>1265</v>
      </c>
      <c r="AL276" s="254" t="s">
        <v>441</v>
      </c>
      <c r="AM276" s="254" t="s">
        <v>55</v>
      </c>
      <c r="AN276" s="261">
        <v>38800</v>
      </c>
      <c r="AO276" s="254" t="s">
        <v>1068</v>
      </c>
      <c r="AP276" s="254" t="s">
        <v>1070</v>
      </c>
      <c r="AQ276" s="263">
        <v>38800</v>
      </c>
      <c r="AR276" s="262">
        <v>7372</v>
      </c>
      <c r="AS276" s="262">
        <v>46172</v>
      </c>
      <c r="AT276" s="262">
        <v>38800</v>
      </c>
      <c r="AU276" s="262">
        <v>46172</v>
      </c>
      <c r="AV276" s="263">
        <v>56941.5</v>
      </c>
      <c r="AW276" s="263">
        <v>56941.5</v>
      </c>
      <c r="AX276" s="263">
        <v>9356.27</v>
      </c>
      <c r="AY276" s="264">
        <v>0.1643</v>
      </c>
      <c r="BA276" s="196" t="s">
        <v>1327</v>
      </c>
      <c r="BB276" s="196" t="s">
        <v>1268</v>
      </c>
      <c r="BD276" s="196" t="s">
        <v>1328</v>
      </c>
    </row>
    <row r="277" spans="1:56" x14ac:dyDescent="0.25"/>
    <row r="278" spans="1:56" x14ac:dyDescent="0.25"/>
    <row r="279" spans="1:56" x14ac:dyDescent="0.25"/>
    <row r="280" spans="1:56" x14ac:dyDescent="0.25"/>
    <row r="281" spans="1:56" x14ac:dyDescent="0.25"/>
    <row r="282" spans="1:56" x14ac:dyDescent="0.25"/>
    <row r="283" spans="1:56" x14ac:dyDescent="0.25"/>
    <row r="284" spans="1:56" x14ac:dyDescent="0.25"/>
    <row r="285" spans="1:56" x14ac:dyDescent="0.25"/>
    <row r="286" spans="1:56" x14ac:dyDescent="0.25"/>
    <row r="287" spans="1:56" x14ac:dyDescent="0.25"/>
    <row r="288" spans="1:56" x14ac:dyDescent="0.25"/>
    <row r="289" x14ac:dyDescent="0.25"/>
    <row r="290" x14ac:dyDescent="0.25"/>
    <row r="291" x14ac:dyDescent="0.25"/>
    <row r="292" x14ac:dyDescent="0.25"/>
    <row r="293" x14ac:dyDescent="0.25"/>
    <row r="294" x14ac:dyDescent="0.25"/>
    <row r="295" x14ac:dyDescent="0.25"/>
    <row r="296" x14ac:dyDescent="0.25"/>
    <row r="297" x14ac:dyDescent="0.25"/>
    <row r="298" x14ac:dyDescent="0.25"/>
    <row r="299" x14ac:dyDescent="0.25"/>
    <row r="300" x14ac:dyDescent="0.25"/>
    <row r="301" x14ac:dyDescent="0.25"/>
    <row r="302" x14ac:dyDescent="0.25"/>
    <row r="303" x14ac:dyDescent="0.25"/>
    <row r="304" x14ac:dyDescent="0.25"/>
    <row r="305" x14ac:dyDescent="0.25"/>
    <row r="306" x14ac:dyDescent="0.25"/>
    <row r="307" x14ac:dyDescent="0.25"/>
    <row r="308" x14ac:dyDescent="0.25"/>
    <row r="309" x14ac:dyDescent="0.25"/>
    <row r="310" x14ac:dyDescent="0.25"/>
    <row r="311" x14ac:dyDescent="0.25"/>
    <row r="312" x14ac:dyDescent="0.25"/>
    <row r="313" x14ac:dyDescent="0.25"/>
    <row r="314" x14ac:dyDescent="0.25"/>
    <row r="315" x14ac:dyDescent="0.25"/>
    <row r="316" x14ac:dyDescent="0.25"/>
    <row r="317" x14ac:dyDescent="0.25"/>
    <row r="318" x14ac:dyDescent="0.25"/>
    <row r="319" x14ac:dyDescent="0.25"/>
    <row r="320" x14ac:dyDescent="0.25"/>
    <row r="321" x14ac:dyDescent="0.25"/>
    <row r="322" x14ac:dyDescent="0.25"/>
    <row r="323" x14ac:dyDescent="0.25"/>
    <row r="324" x14ac:dyDescent="0.25"/>
    <row r="325" x14ac:dyDescent="0.25"/>
    <row r="326" x14ac:dyDescent="0.25"/>
    <row r="327" x14ac:dyDescent="0.25"/>
    <row r="328" x14ac:dyDescent="0.25"/>
    <row r="329" x14ac:dyDescent="0.25"/>
    <row r="330" x14ac:dyDescent="0.25"/>
    <row r="331" x14ac:dyDescent="0.25"/>
    <row r="332" x14ac:dyDescent="0.25"/>
    <row r="333" x14ac:dyDescent="0.25"/>
    <row r="334" x14ac:dyDescent="0.25"/>
    <row r="335" x14ac:dyDescent="0.25"/>
    <row r="336" x14ac:dyDescent="0.25"/>
    <row r="337" x14ac:dyDescent="0.25"/>
    <row r="338" x14ac:dyDescent="0.25"/>
    <row r="339" x14ac:dyDescent="0.25"/>
    <row r="340" x14ac:dyDescent="0.25"/>
    <row r="341" x14ac:dyDescent="0.25"/>
    <row r="342" x14ac:dyDescent="0.25"/>
    <row r="343" x14ac:dyDescent="0.25"/>
    <row r="344" x14ac:dyDescent="0.25"/>
    <row r="345" x14ac:dyDescent="0.25"/>
    <row r="346" x14ac:dyDescent="0.25"/>
    <row r="347" x14ac:dyDescent="0.25"/>
    <row r="348" x14ac:dyDescent="0.25"/>
    <row r="349" x14ac:dyDescent="0.25"/>
    <row r="350" x14ac:dyDescent="0.25"/>
    <row r="351" x14ac:dyDescent="0.25"/>
    <row r="352" x14ac:dyDescent="0.25"/>
    <row r="353" x14ac:dyDescent="0.25"/>
    <row r="354" x14ac:dyDescent="0.25"/>
    <row r="355" x14ac:dyDescent="0.25"/>
    <row r="356" x14ac:dyDescent="0.25"/>
    <row r="357" x14ac:dyDescent="0.25"/>
    <row r="358" x14ac:dyDescent="0.25"/>
    <row r="359" x14ac:dyDescent="0.25"/>
    <row r="360" x14ac:dyDescent="0.25"/>
    <row r="361" x14ac:dyDescent="0.25"/>
    <row r="362" x14ac:dyDescent="0.25"/>
    <row r="363" x14ac:dyDescent="0.25"/>
    <row r="364" x14ac:dyDescent="0.25"/>
    <row r="365" x14ac:dyDescent="0.25"/>
    <row r="366" x14ac:dyDescent="0.25"/>
    <row r="367" x14ac:dyDescent="0.25"/>
    <row r="368" x14ac:dyDescent="0.25"/>
    <row r="369" x14ac:dyDescent="0.25"/>
    <row r="370" x14ac:dyDescent="0.25"/>
    <row r="371" x14ac:dyDescent="0.25"/>
    <row r="372" x14ac:dyDescent="0.25"/>
    <row r="373" x14ac:dyDescent="0.25"/>
    <row r="374" x14ac:dyDescent="0.25"/>
    <row r="375" x14ac:dyDescent="0.25"/>
    <row r="376" x14ac:dyDescent="0.25"/>
    <row r="377" x14ac:dyDescent="0.25"/>
    <row r="378" x14ac:dyDescent="0.25"/>
    <row r="379" x14ac:dyDescent="0.25"/>
    <row r="380" x14ac:dyDescent="0.25"/>
    <row r="381" x14ac:dyDescent="0.25"/>
    <row r="382" x14ac:dyDescent="0.25"/>
    <row r="383" x14ac:dyDescent="0.25"/>
    <row r="384" x14ac:dyDescent="0.25"/>
    <row r="385" x14ac:dyDescent="0.25"/>
    <row r="386" x14ac:dyDescent="0.25"/>
    <row r="387" x14ac:dyDescent="0.25"/>
    <row r="388" x14ac:dyDescent="0.25"/>
    <row r="389" x14ac:dyDescent="0.25"/>
    <row r="390" x14ac:dyDescent="0.25"/>
    <row r="391" x14ac:dyDescent="0.25"/>
    <row r="392" x14ac:dyDescent="0.25"/>
    <row r="393" x14ac:dyDescent="0.25"/>
    <row r="394" x14ac:dyDescent="0.25"/>
    <row r="395" x14ac:dyDescent="0.25"/>
    <row r="396" x14ac:dyDescent="0.25"/>
    <row r="397" x14ac:dyDescent="0.25"/>
    <row r="398" x14ac:dyDescent="0.25"/>
    <row r="399" x14ac:dyDescent="0.25"/>
    <row r="400" x14ac:dyDescent="0.25"/>
    <row r="401" x14ac:dyDescent="0.25"/>
    <row r="402" x14ac:dyDescent="0.25"/>
    <row r="403" x14ac:dyDescent="0.25"/>
    <row r="404" x14ac:dyDescent="0.25"/>
    <row r="405" x14ac:dyDescent="0.25"/>
    <row r="406" x14ac:dyDescent="0.25"/>
    <row r="407" x14ac:dyDescent="0.25"/>
    <row r="408" x14ac:dyDescent="0.25"/>
    <row r="409" x14ac:dyDescent="0.25"/>
    <row r="410" x14ac:dyDescent="0.25"/>
    <row r="411" x14ac:dyDescent="0.25"/>
    <row r="412" x14ac:dyDescent="0.25"/>
    <row r="413" x14ac:dyDescent="0.25"/>
    <row r="414" x14ac:dyDescent="0.25"/>
    <row r="415" x14ac:dyDescent="0.25"/>
    <row r="416" x14ac:dyDescent="0.25"/>
    <row r="417" x14ac:dyDescent="0.25"/>
    <row r="418" x14ac:dyDescent="0.25"/>
    <row r="419" x14ac:dyDescent="0.25"/>
    <row r="420" x14ac:dyDescent="0.25"/>
    <row r="421" x14ac:dyDescent="0.25"/>
    <row r="422" x14ac:dyDescent="0.25"/>
    <row r="423" x14ac:dyDescent="0.25"/>
    <row r="424" x14ac:dyDescent="0.25"/>
    <row r="425" x14ac:dyDescent="0.25"/>
    <row r="426" x14ac:dyDescent="0.25"/>
    <row r="427" x14ac:dyDescent="0.25"/>
    <row r="428" x14ac:dyDescent="0.25"/>
    <row r="429" x14ac:dyDescent="0.25"/>
    <row r="430" x14ac:dyDescent="0.25"/>
    <row r="431" x14ac:dyDescent="0.25"/>
    <row r="432" x14ac:dyDescent="0.25"/>
    <row r="433" x14ac:dyDescent="0.25"/>
    <row r="434" x14ac:dyDescent="0.25"/>
    <row r="435" x14ac:dyDescent="0.25"/>
    <row r="436" x14ac:dyDescent="0.25"/>
    <row r="437" x14ac:dyDescent="0.25"/>
    <row r="438" x14ac:dyDescent="0.25"/>
    <row r="439" x14ac:dyDescent="0.25"/>
    <row r="440" x14ac:dyDescent="0.25"/>
    <row r="441" x14ac:dyDescent="0.25"/>
    <row r="442" x14ac:dyDescent="0.25"/>
    <row r="443" x14ac:dyDescent="0.25"/>
    <row r="444" x14ac:dyDescent="0.25"/>
    <row r="445" x14ac:dyDescent="0.25"/>
    <row r="446" x14ac:dyDescent="0.25"/>
    <row r="447" x14ac:dyDescent="0.25"/>
    <row r="448" x14ac:dyDescent="0.25"/>
    <row r="449" x14ac:dyDescent="0.25"/>
    <row r="450" x14ac:dyDescent="0.25"/>
    <row r="451" x14ac:dyDescent="0.25"/>
    <row r="452" x14ac:dyDescent="0.25"/>
    <row r="453" x14ac:dyDescent="0.25"/>
    <row r="454" x14ac:dyDescent="0.25"/>
    <row r="455" x14ac:dyDescent="0.25"/>
    <row r="456" x14ac:dyDescent="0.25"/>
    <row r="457" x14ac:dyDescent="0.25"/>
    <row r="458" x14ac:dyDescent="0.25"/>
    <row r="459" x14ac:dyDescent="0.25"/>
    <row r="460" x14ac:dyDescent="0.25"/>
    <row r="461" x14ac:dyDescent="0.25"/>
    <row r="462" x14ac:dyDescent="0.25"/>
    <row r="463" x14ac:dyDescent="0.25"/>
    <row r="464" x14ac:dyDescent="0.25"/>
    <row r="465" x14ac:dyDescent="0.25"/>
    <row r="466" x14ac:dyDescent="0.25"/>
    <row r="467" x14ac:dyDescent="0.25"/>
    <row r="468" x14ac:dyDescent="0.25"/>
    <row r="469" x14ac:dyDescent="0.25"/>
    <row r="470" x14ac:dyDescent="0.25"/>
    <row r="471" x14ac:dyDescent="0.25"/>
    <row r="472" x14ac:dyDescent="0.25"/>
    <row r="473" x14ac:dyDescent="0.25"/>
    <row r="474" x14ac:dyDescent="0.25"/>
    <row r="475" x14ac:dyDescent="0.25"/>
    <row r="476" x14ac:dyDescent="0.25"/>
    <row r="477" x14ac:dyDescent="0.25"/>
    <row r="478" x14ac:dyDescent="0.25"/>
    <row r="479" x14ac:dyDescent="0.25"/>
    <row r="480" x14ac:dyDescent="0.25"/>
    <row r="481" x14ac:dyDescent="0.25"/>
    <row r="482" x14ac:dyDescent="0.25"/>
    <row r="483" x14ac:dyDescent="0.25"/>
    <row r="484" x14ac:dyDescent="0.25"/>
    <row r="485" x14ac:dyDescent="0.25"/>
    <row r="486" x14ac:dyDescent="0.25"/>
    <row r="487" x14ac:dyDescent="0.25"/>
    <row r="488" x14ac:dyDescent="0.25"/>
    <row r="489" x14ac:dyDescent="0.25"/>
    <row r="490" x14ac:dyDescent="0.25"/>
    <row r="491" x14ac:dyDescent="0.25"/>
    <row r="492" x14ac:dyDescent="0.25"/>
    <row r="493" x14ac:dyDescent="0.25"/>
    <row r="494" x14ac:dyDescent="0.25"/>
    <row r="495" x14ac:dyDescent="0.25"/>
    <row r="496" x14ac:dyDescent="0.25"/>
    <row r="497" x14ac:dyDescent="0.25"/>
    <row r="498" x14ac:dyDescent="0.25"/>
    <row r="499" x14ac:dyDescent="0.25"/>
    <row r="500" x14ac:dyDescent="0.25"/>
    <row r="501" x14ac:dyDescent="0.25"/>
    <row r="502" x14ac:dyDescent="0.25"/>
    <row r="503" x14ac:dyDescent="0.25"/>
    <row r="504" x14ac:dyDescent="0.25"/>
    <row r="505" x14ac:dyDescent="0.25"/>
    <row r="506" x14ac:dyDescent="0.25"/>
    <row r="507" x14ac:dyDescent="0.25"/>
    <row r="508" x14ac:dyDescent="0.25"/>
    <row r="509" x14ac:dyDescent="0.25"/>
    <row r="510" x14ac:dyDescent="0.25"/>
    <row r="511" x14ac:dyDescent="0.25"/>
    <row r="512" x14ac:dyDescent="0.25"/>
    <row r="513" x14ac:dyDescent="0.25"/>
    <row r="514" x14ac:dyDescent="0.25"/>
    <row r="515" x14ac:dyDescent="0.25"/>
    <row r="516" x14ac:dyDescent="0.25"/>
    <row r="517" x14ac:dyDescent="0.25"/>
    <row r="518" x14ac:dyDescent="0.25"/>
    <row r="519" x14ac:dyDescent="0.25"/>
    <row r="520" x14ac:dyDescent="0.25"/>
    <row r="521" x14ac:dyDescent="0.25"/>
    <row r="522" x14ac:dyDescent="0.25"/>
    <row r="523" x14ac:dyDescent="0.25"/>
    <row r="524" x14ac:dyDescent="0.25"/>
    <row r="525" x14ac:dyDescent="0.25"/>
    <row r="526" x14ac:dyDescent="0.25"/>
    <row r="527" x14ac:dyDescent="0.25"/>
    <row r="528" x14ac:dyDescent="0.25"/>
    <row r="529" x14ac:dyDescent="0.25"/>
    <row r="530" x14ac:dyDescent="0.25"/>
    <row r="531" x14ac:dyDescent="0.25"/>
    <row r="532" x14ac:dyDescent="0.25"/>
    <row r="533" x14ac:dyDescent="0.25"/>
    <row r="534" x14ac:dyDescent="0.25"/>
    <row r="535" x14ac:dyDescent="0.25"/>
    <row r="536" x14ac:dyDescent="0.25"/>
    <row r="537" x14ac:dyDescent="0.25"/>
    <row r="538" x14ac:dyDescent="0.25"/>
    <row r="539" x14ac:dyDescent="0.25"/>
    <row r="540" x14ac:dyDescent="0.25"/>
    <row r="541" x14ac:dyDescent="0.25"/>
    <row r="542" x14ac:dyDescent="0.25"/>
    <row r="543" x14ac:dyDescent="0.25"/>
    <row r="544" x14ac:dyDescent="0.25"/>
    <row r="545" x14ac:dyDescent="0.25"/>
    <row r="546" x14ac:dyDescent="0.25"/>
    <row r="547" x14ac:dyDescent="0.25"/>
    <row r="548" x14ac:dyDescent="0.25"/>
    <row r="549" x14ac:dyDescent="0.25"/>
    <row r="550" x14ac:dyDescent="0.25"/>
    <row r="551" x14ac:dyDescent="0.25"/>
    <row r="552" x14ac:dyDescent="0.25"/>
    <row r="553" x14ac:dyDescent="0.25"/>
    <row r="554" x14ac:dyDescent="0.25"/>
    <row r="555" x14ac:dyDescent="0.25"/>
    <row r="556" x14ac:dyDescent="0.25"/>
    <row r="557" x14ac:dyDescent="0.25"/>
    <row r="558" x14ac:dyDescent="0.25"/>
    <row r="559" x14ac:dyDescent="0.25"/>
    <row r="560" x14ac:dyDescent="0.25"/>
    <row r="561" x14ac:dyDescent="0.25"/>
    <row r="562" x14ac:dyDescent="0.25"/>
    <row r="563" x14ac:dyDescent="0.25"/>
    <row r="564" x14ac:dyDescent="0.25"/>
    <row r="565" x14ac:dyDescent="0.25"/>
    <row r="566" x14ac:dyDescent="0.25"/>
    <row r="567" x14ac:dyDescent="0.25"/>
    <row r="568" x14ac:dyDescent="0.25"/>
    <row r="569" x14ac:dyDescent="0.25"/>
    <row r="570" x14ac:dyDescent="0.25"/>
    <row r="571" x14ac:dyDescent="0.25"/>
    <row r="572" x14ac:dyDescent="0.25"/>
    <row r="573" x14ac:dyDescent="0.25"/>
    <row r="574" x14ac:dyDescent="0.25"/>
    <row r="575" x14ac:dyDescent="0.25"/>
    <row r="576" x14ac:dyDescent="0.25"/>
    <row r="577" x14ac:dyDescent="0.25"/>
    <row r="578" x14ac:dyDescent="0.25"/>
    <row r="579" x14ac:dyDescent="0.25"/>
    <row r="580" x14ac:dyDescent="0.25"/>
    <row r="581" x14ac:dyDescent="0.25"/>
    <row r="582" x14ac:dyDescent="0.25"/>
    <row r="583" x14ac:dyDescent="0.25"/>
    <row r="584" x14ac:dyDescent="0.25"/>
    <row r="585" x14ac:dyDescent="0.25"/>
    <row r="586" x14ac:dyDescent="0.25"/>
    <row r="587" x14ac:dyDescent="0.25"/>
    <row r="588" x14ac:dyDescent="0.25"/>
    <row r="589" x14ac:dyDescent="0.25"/>
    <row r="590" x14ac:dyDescent="0.25"/>
    <row r="591" x14ac:dyDescent="0.25"/>
    <row r="592" x14ac:dyDescent="0.25"/>
    <row r="593" x14ac:dyDescent="0.25"/>
    <row r="594" x14ac:dyDescent="0.25"/>
    <row r="595" x14ac:dyDescent="0.25"/>
    <row r="596" x14ac:dyDescent="0.25"/>
    <row r="597" x14ac:dyDescent="0.25"/>
    <row r="598" x14ac:dyDescent="0.25"/>
    <row r="599" x14ac:dyDescent="0.25"/>
    <row r="600" x14ac:dyDescent="0.25"/>
    <row r="601" x14ac:dyDescent="0.25"/>
    <row r="602" x14ac:dyDescent="0.25"/>
    <row r="603" x14ac:dyDescent="0.25"/>
    <row r="604" x14ac:dyDescent="0.25"/>
    <row r="605" x14ac:dyDescent="0.25"/>
    <row r="606" x14ac:dyDescent="0.25"/>
    <row r="607" x14ac:dyDescent="0.25"/>
    <row r="608" x14ac:dyDescent="0.25"/>
    <row r="609" x14ac:dyDescent="0.25"/>
    <row r="610" x14ac:dyDescent="0.25"/>
    <row r="611" x14ac:dyDescent="0.25"/>
    <row r="612" x14ac:dyDescent="0.25"/>
    <row r="613" x14ac:dyDescent="0.25"/>
    <row r="614" x14ac:dyDescent="0.25"/>
    <row r="615" x14ac:dyDescent="0.25"/>
    <row r="616" x14ac:dyDescent="0.25"/>
    <row r="617" x14ac:dyDescent="0.25"/>
    <row r="618" x14ac:dyDescent="0.25"/>
    <row r="619" x14ac:dyDescent="0.25"/>
    <row r="620" x14ac:dyDescent="0.25"/>
    <row r="621" x14ac:dyDescent="0.25"/>
    <row r="622" x14ac:dyDescent="0.25"/>
    <row r="623" x14ac:dyDescent="0.25"/>
    <row r="624" x14ac:dyDescent="0.25"/>
    <row r="625" x14ac:dyDescent="0.25"/>
    <row r="626" x14ac:dyDescent="0.25"/>
    <row r="627" x14ac:dyDescent="0.25"/>
    <row r="628" x14ac:dyDescent="0.25"/>
    <row r="629" x14ac:dyDescent="0.25"/>
    <row r="630" x14ac:dyDescent="0.25"/>
    <row r="631" x14ac:dyDescent="0.25"/>
    <row r="632" x14ac:dyDescent="0.25"/>
    <row r="633" x14ac:dyDescent="0.25"/>
    <row r="634" x14ac:dyDescent="0.25"/>
    <row r="635" x14ac:dyDescent="0.25"/>
    <row r="636" x14ac:dyDescent="0.25"/>
    <row r="637" x14ac:dyDescent="0.25"/>
    <row r="638" x14ac:dyDescent="0.25"/>
    <row r="639" x14ac:dyDescent="0.25"/>
    <row r="640" x14ac:dyDescent="0.25"/>
    <row r="641" x14ac:dyDescent="0.25"/>
    <row r="642" x14ac:dyDescent="0.25"/>
    <row r="643" x14ac:dyDescent="0.25"/>
    <row r="644" x14ac:dyDescent="0.25"/>
    <row r="645" x14ac:dyDescent="0.25"/>
    <row r="646" x14ac:dyDescent="0.25"/>
    <row r="647" x14ac:dyDescent="0.25"/>
    <row r="648" x14ac:dyDescent="0.25"/>
    <row r="649" x14ac:dyDescent="0.25"/>
    <row r="650" x14ac:dyDescent="0.25"/>
    <row r="651" x14ac:dyDescent="0.25"/>
    <row r="652" x14ac:dyDescent="0.25"/>
    <row r="653" x14ac:dyDescent="0.25"/>
    <row r="654" x14ac:dyDescent="0.25"/>
    <row r="655" x14ac:dyDescent="0.25"/>
    <row r="656" x14ac:dyDescent="0.25"/>
    <row r="657" x14ac:dyDescent="0.25"/>
    <row r="658" x14ac:dyDescent="0.25"/>
    <row r="659" x14ac:dyDescent="0.25"/>
    <row r="660" x14ac:dyDescent="0.25"/>
    <row r="661" x14ac:dyDescent="0.25"/>
    <row r="662" x14ac:dyDescent="0.25"/>
    <row r="663" x14ac:dyDescent="0.25"/>
    <row r="664" x14ac:dyDescent="0.25"/>
    <row r="665" x14ac:dyDescent="0.25"/>
    <row r="666" x14ac:dyDescent="0.25"/>
    <row r="667" x14ac:dyDescent="0.25"/>
    <row r="668" x14ac:dyDescent="0.25"/>
    <row r="669" x14ac:dyDescent="0.25"/>
    <row r="670" x14ac:dyDescent="0.25"/>
    <row r="671" x14ac:dyDescent="0.25"/>
    <row r="672" x14ac:dyDescent="0.25"/>
    <row r="673" x14ac:dyDescent="0.25"/>
    <row r="674" x14ac:dyDescent="0.25"/>
    <row r="675" x14ac:dyDescent="0.25"/>
    <row r="676" x14ac:dyDescent="0.25"/>
    <row r="677" x14ac:dyDescent="0.25"/>
    <row r="678" x14ac:dyDescent="0.25"/>
    <row r="679" x14ac:dyDescent="0.25"/>
    <row r="680" x14ac:dyDescent="0.25"/>
    <row r="681" x14ac:dyDescent="0.25"/>
    <row r="682" x14ac:dyDescent="0.25"/>
    <row r="683" x14ac:dyDescent="0.25"/>
    <row r="684" x14ac:dyDescent="0.25"/>
    <row r="685" x14ac:dyDescent="0.25"/>
    <row r="686" x14ac:dyDescent="0.25"/>
    <row r="687" x14ac:dyDescent="0.25"/>
    <row r="688" x14ac:dyDescent="0.25"/>
    <row r="689" x14ac:dyDescent="0.25"/>
    <row r="690" x14ac:dyDescent="0.25"/>
    <row r="691" x14ac:dyDescent="0.25"/>
    <row r="692" x14ac:dyDescent="0.25"/>
    <row r="693" x14ac:dyDescent="0.25"/>
    <row r="694" x14ac:dyDescent="0.25"/>
    <row r="695" x14ac:dyDescent="0.25"/>
    <row r="696" x14ac:dyDescent="0.25"/>
    <row r="697" x14ac:dyDescent="0.25"/>
    <row r="698" x14ac:dyDescent="0.25"/>
    <row r="699" x14ac:dyDescent="0.25"/>
    <row r="700" x14ac:dyDescent="0.25"/>
    <row r="701" x14ac:dyDescent="0.25"/>
    <row r="702" x14ac:dyDescent="0.25"/>
    <row r="703" x14ac:dyDescent="0.25"/>
    <row r="704" x14ac:dyDescent="0.25"/>
    <row r="705" x14ac:dyDescent="0.25"/>
    <row r="706" x14ac:dyDescent="0.25"/>
    <row r="707" x14ac:dyDescent="0.25"/>
    <row r="708" x14ac:dyDescent="0.25"/>
    <row r="709" x14ac:dyDescent="0.25"/>
    <row r="710" x14ac:dyDescent="0.25"/>
    <row r="711" x14ac:dyDescent="0.25"/>
    <row r="712" x14ac:dyDescent="0.25"/>
    <row r="713" x14ac:dyDescent="0.25"/>
    <row r="714" x14ac:dyDescent="0.25"/>
    <row r="715" x14ac:dyDescent="0.25"/>
    <row r="716" x14ac:dyDescent="0.25"/>
    <row r="717" x14ac:dyDescent="0.25"/>
    <row r="718" x14ac:dyDescent="0.25"/>
    <row r="719" x14ac:dyDescent="0.25"/>
    <row r="720" x14ac:dyDescent="0.25"/>
    <row r="721" x14ac:dyDescent="0.25"/>
    <row r="722" x14ac:dyDescent="0.25"/>
    <row r="723" x14ac:dyDescent="0.25"/>
    <row r="724" x14ac:dyDescent="0.25"/>
    <row r="725" x14ac:dyDescent="0.25"/>
    <row r="726" x14ac:dyDescent="0.25"/>
    <row r="727" x14ac:dyDescent="0.25"/>
    <row r="728" x14ac:dyDescent="0.25"/>
    <row r="729" x14ac:dyDescent="0.25"/>
    <row r="730" x14ac:dyDescent="0.25"/>
    <row r="731" x14ac:dyDescent="0.25"/>
    <row r="732" x14ac:dyDescent="0.25"/>
    <row r="733" x14ac:dyDescent="0.25"/>
    <row r="734" x14ac:dyDescent="0.25"/>
    <row r="735" x14ac:dyDescent="0.25"/>
    <row r="736" x14ac:dyDescent="0.25"/>
    <row r="737" x14ac:dyDescent="0.25"/>
    <row r="738" x14ac:dyDescent="0.25"/>
    <row r="739" x14ac:dyDescent="0.25"/>
    <row r="740" x14ac:dyDescent="0.25"/>
    <row r="741" x14ac:dyDescent="0.25"/>
    <row r="742" x14ac:dyDescent="0.25"/>
    <row r="743" x14ac:dyDescent="0.25"/>
    <row r="744" x14ac:dyDescent="0.25"/>
    <row r="745" x14ac:dyDescent="0.25"/>
    <row r="746" x14ac:dyDescent="0.25"/>
    <row r="747" x14ac:dyDescent="0.25"/>
    <row r="748" x14ac:dyDescent="0.25"/>
    <row r="749" x14ac:dyDescent="0.25"/>
    <row r="750" x14ac:dyDescent="0.25"/>
    <row r="751" x14ac:dyDescent="0.25"/>
    <row r="752" x14ac:dyDescent="0.25"/>
    <row r="753" x14ac:dyDescent="0.25"/>
    <row r="754" x14ac:dyDescent="0.25"/>
    <row r="755" x14ac:dyDescent="0.25"/>
    <row r="756" x14ac:dyDescent="0.25"/>
    <row r="757" x14ac:dyDescent="0.25"/>
    <row r="758" x14ac:dyDescent="0.25"/>
    <row r="759" x14ac:dyDescent="0.25"/>
    <row r="760" x14ac:dyDescent="0.25"/>
    <row r="761" x14ac:dyDescent="0.25"/>
    <row r="762" x14ac:dyDescent="0.25"/>
    <row r="763" x14ac:dyDescent="0.25"/>
    <row r="764" x14ac:dyDescent="0.25"/>
    <row r="765" x14ac:dyDescent="0.25"/>
    <row r="766" x14ac:dyDescent="0.25"/>
    <row r="767" x14ac:dyDescent="0.25"/>
    <row r="768" x14ac:dyDescent="0.25"/>
    <row r="769" x14ac:dyDescent="0.25"/>
    <row r="770" x14ac:dyDescent="0.25"/>
    <row r="771" x14ac:dyDescent="0.25"/>
    <row r="772" x14ac:dyDescent="0.25"/>
    <row r="773" x14ac:dyDescent="0.25"/>
    <row r="774" x14ac:dyDescent="0.25"/>
    <row r="775" x14ac:dyDescent="0.25"/>
    <row r="776" x14ac:dyDescent="0.25"/>
    <row r="777" x14ac:dyDescent="0.25"/>
    <row r="778" x14ac:dyDescent="0.25"/>
    <row r="779" x14ac:dyDescent="0.25"/>
    <row r="780" x14ac:dyDescent="0.25"/>
    <row r="781" x14ac:dyDescent="0.25"/>
    <row r="782" x14ac:dyDescent="0.25"/>
    <row r="783" x14ac:dyDescent="0.25"/>
    <row r="784" x14ac:dyDescent="0.25"/>
    <row r="785" x14ac:dyDescent="0.25"/>
    <row r="786" x14ac:dyDescent="0.25"/>
    <row r="787" x14ac:dyDescent="0.25"/>
    <row r="788" x14ac:dyDescent="0.25"/>
    <row r="789" x14ac:dyDescent="0.25"/>
    <row r="790" x14ac:dyDescent="0.25"/>
    <row r="791" x14ac:dyDescent="0.25"/>
    <row r="792" x14ac:dyDescent="0.25"/>
    <row r="793" x14ac:dyDescent="0.25"/>
    <row r="794" x14ac:dyDescent="0.25"/>
    <row r="795" x14ac:dyDescent="0.25"/>
    <row r="796" x14ac:dyDescent="0.25"/>
    <row r="797" x14ac:dyDescent="0.25"/>
    <row r="798" x14ac:dyDescent="0.25"/>
    <row r="799" x14ac:dyDescent="0.25"/>
    <row r="800" x14ac:dyDescent="0.25"/>
    <row r="801" x14ac:dyDescent="0.25"/>
    <row r="802" x14ac:dyDescent="0.25"/>
    <row r="803" x14ac:dyDescent="0.25"/>
    <row r="804" x14ac:dyDescent="0.25"/>
    <row r="805" x14ac:dyDescent="0.25"/>
    <row r="806" x14ac:dyDescent="0.25"/>
    <row r="807" x14ac:dyDescent="0.25"/>
    <row r="808" x14ac:dyDescent="0.25"/>
    <row r="809" x14ac:dyDescent="0.25"/>
    <row r="810" x14ac:dyDescent="0.25"/>
    <row r="811" x14ac:dyDescent="0.25"/>
    <row r="812" x14ac:dyDescent="0.25"/>
    <row r="813" x14ac:dyDescent="0.25"/>
    <row r="814" x14ac:dyDescent="0.25"/>
    <row r="815" x14ac:dyDescent="0.25"/>
    <row r="816" x14ac:dyDescent="0.25"/>
    <row r="817" x14ac:dyDescent="0.25"/>
    <row r="818" x14ac:dyDescent="0.25"/>
    <row r="819" x14ac:dyDescent="0.25"/>
    <row r="820" x14ac:dyDescent="0.25"/>
    <row r="821" x14ac:dyDescent="0.25"/>
    <row r="822" x14ac:dyDescent="0.25"/>
    <row r="823" x14ac:dyDescent="0.25"/>
    <row r="824" x14ac:dyDescent="0.25"/>
    <row r="825" x14ac:dyDescent="0.25"/>
    <row r="826" x14ac:dyDescent="0.25"/>
    <row r="827" x14ac:dyDescent="0.25"/>
    <row r="828" x14ac:dyDescent="0.25"/>
    <row r="829" x14ac:dyDescent="0.25"/>
    <row r="830" x14ac:dyDescent="0.25"/>
    <row r="831" x14ac:dyDescent="0.25"/>
    <row r="832" x14ac:dyDescent="0.25"/>
    <row r="833" x14ac:dyDescent="0.25"/>
    <row r="834" x14ac:dyDescent="0.25"/>
    <row r="835" x14ac:dyDescent="0.25"/>
    <row r="836" x14ac:dyDescent="0.25"/>
    <row r="837" x14ac:dyDescent="0.25"/>
    <row r="838" x14ac:dyDescent="0.25"/>
    <row r="839" x14ac:dyDescent="0.25"/>
    <row r="840" x14ac:dyDescent="0.25"/>
    <row r="841" x14ac:dyDescent="0.25"/>
    <row r="842" x14ac:dyDescent="0.25"/>
    <row r="843" x14ac:dyDescent="0.25"/>
    <row r="844" x14ac:dyDescent="0.25"/>
    <row r="845" x14ac:dyDescent="0.25"/>
    <row r="846" x14ac:dyDescent="0.25"/>
    <row r="847" x14ac:dyDescent="0.25"/>
    <row r="848" x14ac:dyDescent="0.25"/>
    <row r="849" x14ac:dyDescent="0.25"/>
    <row r="850" x14ac:dyDescent="0.25"/>
    <row r="851" x14ac:dyDescent="0.25"/>
    <row r="852" x14ac:dyDescent="0.25"/>
    <row r="853" x14ac:dyDescent="0.25"/>
    <row r="854" x14ac:dyDescent="0.25"/>
    <row r="855" x14ac:dyDescent="0.25"/>
    <row r="856" x14ac:dyDescent="0.25"/>
    <row r="857" x14ac:dyDescent="0.25"/>
    <row r="858" x14ac:dyDescent="0.25"/>
    <row r="859" x14ac:dyDescent="0.25"/>
    <row r="860" x14ac:dyDescent="0.25"/>
    <row r="861" x14ac:dyDescent="0.25"/>
    <row r="862" x14ac:dyDescent="0.25"/>
    <row r="863" x14ac:dyDescent="0.25"/>
    <row r="864" x14ac:dyDescent="0.25"/>
  </sheetData>
  <sheetProtection algorithmName="SHA-512" hashValue="9o/Mul1S3prj3J+M8xFRSriL74irFKhYBoUQp/Cs78Mh8bkcC/Ec+Cs/FlSidSHxj7cP42BL7Fbu+ycyQN/bwQ==" saltValue="j7ihnt8uK0C0EpPw04NA1Q==" spinCount="100000" sheet="1" insertRows="0" autoFilter="0"/>
  <protectedRanges>
    <protectedRange sqref="J193:P193 W193:AC193 AJ193:AP193" name="DatosProveedor"/>
  </protectedRanges>
  <autoFilter ref="A2:BX247" xr:uid="{2602E71A-D40F-42B8-9BDF-EEF27B4F603E}">
    <filterColumn colId="3">
      <filters>
        <filter val="Alquiler baño portatil tipo 1"/>
        <filter val="Alquiler baño portatil tipo 2"/>
      </filters>
    </filterColumn>
  </autoFilter>
  <mergeCells count="1">
    <mergeCell ref="A1:H1"/>
  </mergeCells>
  <conditionalFormatting sqref="AY194:AY247 AY3:AY192">
    <cfRule type="cellIs" dxfId="5" priority="4" stopIfTrue="1" operator="greaterThan">
      <formula>0.2</formula>
    </cfRule>
  </conditionalFormatting>
  <conditionalFormatting sqref="D194:D247 D3:D192">
    <cfRule type="duplicateValues" dxfId="4" priority="5"/>
  </conditionalFormatting>
  <conditionalFormatting sqref="AY193">
    <cfRule type="cellIs" dxfId="3" priority="1" stopIfTrue="1" operator="greaterThan">
      <formula>0.2</formula>
    </cfRule>
  </conditionalFormatting>
  <conditionalFormatting sqref="D193">
    <cfRule type="duplicateValues" dxfId="2" priority="3"/>
  </conditionalFormatting>
  <dataValidations count="8">
    <dataValidation type="list" allowBlank="1" showInputMessage="1" showErrorMessage="1" sqref="BJ193" xr:uid="{6587BDB4-9D6A-4F4E-87A7-39E0176E26DC}">
      <formula1>"Incompleto,Corregir,Corregido,Listo para Bolsa,Para Bolsa Excepción 2 ítems"</formula1>
    </dataValidation>
    <dataValidation type="list" allowBlank="1" showInputMessage="1" showErrorMessage="1" sqref="H193 H3:H134" xr:uid="{59D996F5-B349-4D7A-8500-B605600E02A2}">
      <formula1>"Compra,Alquiler,PrestaciónServicio"</formula1>
    </dataValidation>
    <dataValidation type="list" allowBlank="1" showInputMessage="1" showErrorMessage="1" sqref="P107 AP37:AP42 O132:P134 P44:P69 AP9 AP13 AP107:AP110 AP44:AP69 AC8 AC44:AC69 AP101:AP105 AO122:AO124 AO126:AO127 AC101:AC114 AP6 P9:P10 AC10 O12:P13 AP15 AB12 P17:P26 AP4 AO83:AO114 P15 AO131:AO134 AP17:AP21 AB44:AB62 AB119 AO117:AO120 O119 AB132:AC134 O3:O10 AB3:AB10 AO3:AO10 AC3:AC6 P3:P6 AP23:AP35 AB13:AC42 O14:O27 AO12:AO42 O28:P42 AO44:AO81 O44:O117 AB65:AB117" xr:uid="{CC2AFF48-4294-4496-803F-9C905277CC47}">
      <formula1>"IVA incluido,Precio sin Iva"</formula1>
    </dataValidation>
    <dataValidation type="list" allowBlank="1" showInputMessage="1" showErrorMessage="1" sqref="AP16 P101:P106 P94:P97 P108:P131 AP36 AP8 AC11:AC12 AP106 AP111:AP134 AP10:AP12 AP5 AP85:AP91 AP94:AP97 AP81:AP82 AC85:AC91 P84:P91 P81:P82 AC81:AC82 AP22 P79 AC79 P43 AC43 AP43 P11 AP14 P27 AC94:AC97 P16 AC115:AC131 AP3 P193 AC193 AP193" xr:uid="{6AD36D32-97E8-43FB-8980-57FC6F9DCCD2}">
      <formula1>"Si tiene IVA,No tiene IVA,Si tiene IPOCONSUMO,No tiene IPOCONSUMO"</formula1>
    </dataValidation>
    <dataValidation type="list" allowBlank="1" showInputMessage="1" showErrorMessage="1" sqref="P107 AP98:AP105 AP37:AP42 P80 AP6:AP7 AP9 AP13 AP107:AP110 AP23:AP26 AP17:AP21 AC80 AP80 P98:P100 P92:P93 AC92:AC93 AP92:AP93 AC83:AC84 AP83:AP84 P83 AP4 AP15 AC98:AC114 AO27:AP27 P132:P134 P12:P15 P17:P26 AC132:AC134 AC3:AC10 P3:P10 AC13:AC42 P28:P42 AP28:AP35 AC44:AC76 P44:P76 AP44:AP76" xr:uid="{6A6D6816-711A-4682-98CD-9892A231912D}">
      <formula1>"Si tiene IVA,No tiene IVA"</formula1>
    </dataValidation>
    <dataValidation type="list" allowBlank="1" showInputMessage="1" showErrorMessage="1" sqref="AO82 O118 AO11 AO121 AB118 AO125 AO128:AO130 AB120:AB131 O120:O131 O43 AB43 AO43 O11 AB11 AO115:AO116 AB63:AB64 AO193 AB193 O193" xr:uid="{AE5E5621-1AA4-4AC8-A96B-56EA469CB32F}">
      <formula1>"IVA incluido,Precio sin Iva,Ipoconsumo Incluido,Precio sin Ipoconsumo"</formula1>
    </dataValidation>
    <dataValidation type="list" allowBlank="1" showInputMessage="1" showErrorMessage="1" sqref="Y129:Y130 Y121:Y122 Y124:Y126 AL126:AL128 AL131:AL134 L123:L134 Y132:Y134 Y193 L193 Y3:Y119 L3:L121 AL3:AL124" xr:uid="{5A51B64A-5200-4665-8BA1-19B56E54041D}">
      <formula1>"Transcripción,Gestión,Validación"</formula1>
    </dataValidation>
    <dataValidation type="list" allowBlank="1" showInputMessage="1" sqref="I63 I132:I134 I108:I110 I124 I90 AI90:AI91 AI81:AI82 I102:I105 V110 AI110 V108 AI108 AI102:AI105 V102:V105 I94:I96 V94:V96 I85:I88 V85:V88 AI94:AI96 V90:V91 AI85:AI88 V81:V82 I81:I82 I12 I3:I10 V71:V79 I71:I79 AI71:AI79" xr:uid="{3DE18DF6-8211-4AC0-8167-8710DCAA7B16}">
      <formula1>#REF!</formula1>
    </dataValidation>
  </dataValidations>
  <hyperlinks>
    <hyperlink ref="K149" r:id="rId1" xr:uid="{E5CC5D89-002F-421C-A212-585262C85100}"/>
    <hyperlink ref="X149" r:id="rId2" xr:uid="{E1C065B3-16BF-42A8-B437-1A53DCA27444}"/>
    <hyperlink ref="AK149" r:id="rId3" xr:uid="{E255C855-1AC7-47D0-9FED-C6AA9553C3B1}"/>
    <hyperlink ref="K150" r:id="rId4" xr:uid="{5CBBCAB3-F6B6-4253-B96B-1423FABF580A}"/>
    <hyperlink ref="X150" r:id="rId5" xr:uid="{26BB210C-F356-4C13-8580-D8CB33399C3A}"/>
    <hyperlink ref="AK150" r:id="rId6" xr:uid="{2DB44F5B-EDEA-492D-AB2D-65C354BE267E}"/>
    <hyperlink ref="K92" r:id="rId7" xr:uid="{4553E832-4724-459D-A416-A2FA1AA67C9D}"/>
    <hyperlink ref="X92" r:id="rId8" xr:uid="{1B724232-D0D2-4174-9002-F1C77DB804CE}"/>
    <hyperlink ref="X94" r:id="rId9" xr:uid="{302B0762-45A4-4F4A-B8F3-1D409909580A}"/>
    <hyperlink ref="AK232" r:id="rId10" xr:uid="{818E9167-B407-4439-AE84-DAC83FA1DDD6}"/>
    <hyperlink ref="K14" r:id="rId11" xr:uid="{70A2060E-ED6F-4A86-98A0-72B5C13B73AE}"/>
    <hyperlink ref="AK14" r:id="rId12" xr:uid="{225911BC-58D3-4394-BEFF-92635762C3E6}"/>
    <hyperlink ref="AK82" r:id="rId13" xr:uid="{7443BB45-B4B8-46B8-9A31-6C4958328436}"/>
    <hyperlink ref="X90" r:id="rId14" xr:uid="{BF88C81E-D458-459D-AA7D-0FEA9A8A421C}"/>
    <hyperlink ref="AK90" r:id="rId15" xr:uid="{5821230E-7EAE-4817-BCED-88827756BD25}"/>
    <hyperlink ref="K91" r:id="rId16" xr:uid="{2999D2FC-FA80-4C52-A773-0864AB5046FC}"/>
    <hyperlink ref="X91" r:id="rId17" xr:uid="{F0C0D526-A476-4D14-98CA-06C9CB5F0C5C}"/>
    <hyperlink ref="AK91" r:id="rId18" xr:uid="{D38B44E1-CC58-4671-AE3C-7CA2DA4D68CD}"/>
    <hyperlink ref="X93" r:id="rId19" xr:uid="{AB937380-A978-48BB-877C-32C34CC5BBE5}"/>
    <hyperlink ref="AK93" r:id="rId20" xr:uid="{6D46C11C-FC85-4741-9A68-B85793D47A8B}"/>
    <hyperlink ref="X95" r:id="rId21" xr:uid="{8DDA2CCD-2499-4D05-B862-68C516A2358A}"/>
    <hyperlink ref="K96" r:id="rId22" xr:uid="{2F9D9E20-8BC2-4B6E-8E88-6B86E6E736FD}"/>
    <hyperlink ref="X96" r:id="rId23" xr:uid="{6DF822BC-3DFE-4773-8613-B0993AB25078}"/>
    <hyperlink ref="K97" r:id="rId24" xr:uid="{A86C1EBC-97CD-48E6-A3CA-80EBDD69D4BC}"/>
    <hyperlink ref="X97" r:id="rId25" xr:uid="{F272BE1A-0CCB-4A1C-8E2C-47D841C1F430}"/>
    <hyperlink ref="AK97" r:id="rId26" xr:uid="{1FBEEEAB-280A-4EFF-B133-D9F9913AAC0A}"/>
    <hyperlink ref="X98" r:id="rId27" xr:uid="{2CCDAB0E-DAFE-40A3-98C2-19E394ABA229}"/>
    <hyperlink ref="AK99" r:id="rId28" xr:uid="{3B2F499C-D001-4AFB-BE90-168C62BF1829}"/>
    <hyperlink ref="K100" r:id="rId29" xr:uid="{F48FF96E-F7DA-4CAF-93F6-7AC88B9C8942}"/>
    <hyperlink ref="X100" r:id="rId30" xr:uid="{5722B942-8616-4654-883A-5243E5A84108}"/>
    <hyperlink ref="K110" r:id="rId31" xr:uid="{24CE312C-AC69-4B0C-8948-54CFA2A51438}"/>
    <hyperlink ref="X110" r:id="rId32" xr:uid="{0919BA28-C443-493F-8CFD-2952B075B6FF}"/>
    <hyperlink ref="AK110" r:id="rId33" xr:uid="{202897F1-C9D1-4F17-92EA-7837F92D6885}"/>
    <hyperlink ref="X111" r:id="rId34" xr:uid="{B4106FA8-E600-4CE3-B14E-3AB5A06DA0DC}"/>
    <hyperlink ref="M11" r:id="rId35" xr:uid="{17E150B8-76B0-4431-881F-C21229FB2B19}"/>
    <hyperlink ref="K104" r:id="rId36" xr:uid="{E7693197-BC01-499D-ABD6-3B8D597E9095}"/>
    <hyperlink ref="X112" r:id="rId37" xr:uid="{A79132AB-3E62-402A-9BFD-80848E44CAD8}"/>
    <hyperlink ref="X182" r:id="rId38" xr:uid="{017E2016-2431-41AC-9FEE-E6EC3A5D31ED}"/>
    <hyperlink ref="AK112" r:id="rId39" xr:uid="{03400D4A-E1E0-4CF4-9335-36AC31AF10C3}"/>
    <hyperlink ref="X104" r:id="rId40" xr:uid="{008E4C89-D745-4596-BE8D-1FCED084DEA7}"/>
    <hyperlink ref="X246" r:id="rId41" xr:uid="{C6476CFA-F50F-4055-B180-0B555940F6EA}"/>
    <hyperlink ref="K113" r:id="rId42" xr:uid="{1FBF6CE7-0EA3-4DFA-9294-204EA2224001}"/>
    <hyperlink ref="X113" r:id="rId43" xr:uid="{822F60C4-28E6-4319-A95C-EA19259837A3}"/>
    <hyperlink ref="X114" r:id="rId44" xr:uid="{4CFEA62E-F75D-4A8F-A6C2-EB3B131C3D36}"/>
    <hyperlink ref="AK114" r:id="rId45" xr:uid="{DF8D3237-3816-4C91-B6F6-0657B14C78D2}"/>
    <hyperlink ref="K115" r:id="rId46" xr:uid="{0BF7FF5C-A838-40B3-A59B-BC0641F8867F}"/>
    <hyperlink ref="X115" r:id="rId47" xr:uid="{5268C5AB-B79D-4675-9C3A-56828D4CB069}"/>
    <hyperlink ref="AK115" r:id="rId48" xr:uid="{E8807B71-6B82-466F-88BA-A3CB18D50274}"/>
    <hyperlink ref="K116" r:id="rId49" xr:uid="{77D0619D-153F-4114-B25C-240EA50DAD0A}"/>
    <hyperlink ref="X116" r:id="rId50" xr:uid="{E27AB623-C114-4961-B149-C93451116C57}"/>
    <hyperlink ref="AK116" r:id="rId51" xr:uid="{FC36AEFA-23FE-471D-A9CC-62F90BED0143}"/>
    <hyperlink ref="K51" r:id="rId52" xr:uid="{ADB2F5D5-2949-43C7-B27D-B91584A1BFBC}"/>
    <hyperlink ref="AK51" r:id="rId53" xr:uid="{8537B488-1C85-46DF-B107-072173B31583}"/>
    <hyperlink ref="X118" r:id="rId54" xr:uid="{1C380169-1AC9-4971-BA05-D5FE7D732A15}"/>
    <hyperlink ref="K118" r:id="rId55" xr:uid="{6F4A5833-CA93-41B3-B2D2-DA780C0834F9}"/>
    <hyperlink ref="X119" r:id="rId56" xr:uid="{2270145D-82E7-4003-AF2B-C537AF074758}"/>
    <hyperlink ref="K122" r:id="rId57" xr:uid="{B0355A13-ADFE-42E6-85DD-DF6328B9C1B3}"/>
    <hyperlink ref="X122" r:id="rId58" xr:uid="{486EF41A-F178-4A4C-AAB7-F34E35EBD88B}"/>
    <hyperlink ref="AK122" r:id="rId59" xr:uid="{0932FC2E-5FA8-4EB7-9410-618C4B6A516D}"/>
    <hyperlink ref="K123" r:id="rId60" xr:uid="{6CDDF7FC-D9B8-4DFB-A35B-F973F29FB5C7}"/>
    <hyperlink ref="AK123" r:id="rId61" xr:uid="{5120D41D-98C7-4618-B28B-13997F571080}"/>
    <hyperlink ref="X126" r:id="rId62" xr:uid="{3A93379C-EAB4-4997-83AA-C3EA7F410AD6}"/>
    <hyperlink ref="AK126" r:id="rId63" xr:uid="{FD2091C7-1BAF-4FF2-8EFF-896942F02AF4}"/>
    <hyperlink ref="K65" r:id="rId64" xr:uid="{0B729E95-A756-46DB-8CEF-F7B569358E5C}"/>
    <hyperlink ref="X65" r:id="rId65" xr:uid="{CB2B6147-FE3B-44A4-9B3B-91616B12F7B1}"/>
    <hyperlink ref="AK65" r:id="rId66" xr:uid="{66CA0F02-6A15-4C59-8205-1A8CACC305F6}"/>
    <hyperlink ref="K19" r:id="rId67" xr:uid="{A918A732-D45F-4639-AC5C-20DEEFCEE078}"/>
    <hyperlink ref="X19" r:id="rId68" xr:uid="{07D4992E-1C53-4FC2-B525-8ED3C53A7DE1}"/>
    <hyperlink ref="AK19" r:id="rId69" xr:uid="{6F52F3B5-477F-4AAA-A056-0437BC9C172D}"/>
    <hyperlink ref="K72" r:id="rId70" xr:uid="{5B58DE44-C51F-4EB2-8198-7E98BB8B52BA}"/>
    <hyperlink ref="AK72" r:id="rId71" xr:uid="{BB659BB0-FAC1-4339-B1B4-282B9E250C30}"/>
    <hyperlink ref="K127" r:id="rId72" xr:uid="{49B6D470-7223-4A95-B52D-0DC96B1C602E}"/>
    <hyperlink ref="X127" r:id="rId73" xr:uid="{0DB324DD-8845-4BCD-8A8E-0302344966A0}"/>
    <hyperlink ref="AK127" r:id="rId74" xr:uid="{ED9D609B-199B-49BB-B727-7BB39A7A64D4}"/>
    <hyperlink ref="K128" r:id="rId75" xr:uid="{679ACDFF-3F74-41B4-A419-881BA1E9BD43}"/>
    <hyperlink ref="X128" r:id="rId76" xr:uid="{8ADF4515-8EF8-4C6D-8684-3D62E1E88C53}"/>
    <hyperlink ref="AK128" r:id="rId77" xr:uid="{768E9163-3DD0-41A8-A6BA-6E8D3E95136C}"/>
    <hyperlink ref="X136" r:id="rId78" xr:uid="{D6C581BD-4AE7-47BA-8DEB-7BB97D90518C}"/>
    <hyperlink ref="K140" r:id="rId79" xr:uid="{0E137425-C38D-4386-A0EB-86BCF93A319A}"/>
    <hyperlink ref="X140" r:id="rId80" xr:uid="{9B8B9110-02D7-4B2C-929B-3BEB8532A5DB}"/>
    <hyperlink ref="K144" r:id="rId81" xr:uid="{7D165C5C-F6E5-4906-8126-82A229919E8A}"/>
    <hyperlink ref="K145" r:id="rId82" xr:uid="{B38F5805-D8FC-41CA-AF80-BD385146AF89}"/>
    <hyperlink ref="X145" r:id="rId83" xr:uid="{EFBE81F2-7735-4F84-9C3E-E8F0488AE9F1}"/>
    <hyperlink ref="AK145" r:id="rId84" xr:uid="{EB3F4096-09F1-4323-B392-55A8972DF140}"/>
    <hyperlink ref="X146" r:id="rId85" xr:uid="{3D10D35B-62FE-4F3C-A939-0D3D2897DA7A}"/>
    <hyperlink ref="AK146" r:id="rId86" xr:uid="{2176F2E9-9E15-41F6-AF20-057064653EE3}"/>
    <hyperlink ref="K147" r:id="rId87" xr:uid="{E3DBE2DD-557D-4EDD-B250-B1D348490C74}"/>
    <hyperlink ref="X147" r:id="rId88" xr:uid="{A74EB317-D7AC-4F82-80CF-0781E159F03A}"/>
    <hyperlink ref="K148" r:id="rId89" xr:uid="{68D3A7E5-8663-4597-97F1-C9E740C43F1D}"/>
    <hyperlink ref="X148" r:id="rId90" xr:uid="{B35DBF37-B379-4329-B589-AEA261ADFEBF}"/>
    <hyperlink ref="AK108" r:id="rId91" xr:uid="{54C482CA-0FC0-4047-BAC2-2A9963836E4A}"/>
    <hyperlink ref="AK183" r:id="rId92" xr:uid="{079CEC0A-3C0C-4927-A200-C82C2640F8B6}"/>
    <hyperlink ref="K10" r:id="rId93" xr:uid="{5E67C104-E813-4D55-8A61-78C7F08C972F}"/>
    <hyperlink ref="K142" r:id="rId94" xr:uid="{84D6EBE2-B9CC-49B4-9B30-4BD720D494DD}"/>
    <hyperlink ref="AK10" r:id="rId95" xr:uid="{A35F24FF-256A-47EF-AB46-5DBC35BE87B1}"/>
    <hyperlink ref="X10" r:id="rId96" xr:uid="{44DC6AFD-9B0E-40E2-B4EC-D86B650812EF}"/>
    <hyperlink ref="X108" r:id="rId97" xr:uid="{E9CF9AF7-C53B-4C68-956B-BFFA12326CE0}"/>
    <hyperlink ref="AK11" r:id="rId98" xr:uid="{96103E5C-9224-45BA-BEA6-6191CF7A110E}"/>
    <hyperlink ref="AK107" r:id="rId99" xr:uid="{A6539382-86D5-4754-AF32-13BB62DE9E98}"/>
    <hyperlink ref="AK31:AK32" r:id="rId100" display="ANGIE PACHÓN _VARIOS 19-02-2026.pdf" xr:uid="{C39E7CA2-982B-47EC-8265-2524A72940CC}"/>
    <hyperlink ref="X186" r:id="rId101" xr:uid="{1B6A1C13-A496-48EB-A058-BAFA96FE328E}"/>
    <hyperlink ref="X187" r:id="rId102" xr:uid="{35E6125A-6102-44B9-9485-C31228AEECBA}"/>
    <hyperlink ref="Z187" r:id="rId103" xr:uid="{84172E0A-2BB9-426D-806A-B2DA8AFE6927}"/>
    <hyperlink ref="X188" r:id="rId104" xr:uid="{A05C14A9-F83F-4AA1-A119-7CD82ED9DCB4}"/>
    <hyperlink ref="Z188" r:id="rId105" xr:uid="{ADDAA756-8A56-4866-B9FF-0BE352FF1DD4}"/>
    <hyperlink ref="X85" r:id="rId106" xr:uid="{81151D36-B17E-4006-A40B-F627E4515909}"/>
    <hyperlink ref="K151" r:id="rId107" xr:uid="{B975D8C2-1933-4C45-A76E-CFAA5E5106FA}"/>
    <hyperlink ref="X151" r:id="rId108" xr:uid="{E1CE6218-5419-4646-B69D-B9BDBAECECCA}"/>
    <hyperlink ref="AK151" r:id="rId109" xr:uid="{3028F708-B421-40B7-BEED-A69BF5F9A789}"/>
    <hyperlink ref="X152" r:id="rId110" xr:uid="{209CB68F-B9F2-47D9-B5B2-456636691D27}"/>
    <hyperlink ref="AK152" r:id="rId111" xr:uid="{C1E5CFC9-E8AD-4A0F-80F6-992FBF850D91}"/>
    <hyperlink ref="X155" r:id="rId112" xr:uid="{4C88D885-7F1C-4CE8-8D72-5C3001DBB3C3}"/>
    <hyperlink ref="AK155" r:id="rId113" xr:uid="{11594DB5-194D-4F53-B64E-F0DD7423A91A}"/>
    <hyperlink ref="X156" r:id="rId114" xr:uid="{1C6F9EE1-2FB8-4D01-836D-52B5DDB9C427}"/>
    <hyperlink ref="AK156" r:id="rId115" xr:uid="{A11B0457-AAF2-43E8-944C-41C7E927400C}"/>
    <hyperlink ref="K155" r:id="rId116" xr:uid="{93D58D10-3293-4D68-A52D-89636D382D4F}"/>
    <hyperlink ref="K157" r:id="rId117" xr:uid="{CF398A45-C1CC-4564-B240-6595B244AFFD}"/>
    <hyperlink ref="X157" r:id="rId118" xr:uid="{70BD8090-A192-4938-90C6-2B6A48F857FA}"/>
    <hyperlink ref="X159" r:id="rId119" xr:uid="{5E1ADAF5-D630-40D5-B037-16A425EF3490}"/>
    <hyperlink ref="AK159" r:id="rId120" xr:uid="{14522D4F-B748-4228-B2D5-00AD892AA50B}"/>
    <hyperlink ref="K160" r:id="rId121" xr:uid="{3AFE7F47-627B-467D-BCE4-BE6853BA89FF}"/>
    <hyperlink ref="X160" r:id="rId122" xr:uid="{CAD5B1C8-AEB8-4EEE-B771-99BC8778F479}"/>
    <hyperlink ref="X101" r:id="rId123" xr:uid="{A31723F3-1326-494C-97C8-F79DACD35C55}"/>
    <hyperlink ref="AK101" r:id="rId124" xr:uid="{10D19114-8F38-4750-BF68-0DC50D62558D}"/>
    <hyperlink ref="K241" r:id="rId125" xr:uid="{01408A4A-98E7-480C-86C2-591ECB42AC6E}"/>
    <hyperlink ref="X241" r:id="rId126" xr:uid="{935FCB51-7EF2-4AD7-A431-4191D36FF227}"/>
    <hyperlink ref="AK241" r:id="rId127" xr:uid="{EAE9D531-932A-4D1D-A7BE-9ECF62EABFAA}"/>
    <hyperlink ref="K243" r:id="rId128" xr:uid="{D4E0F30F-E9FB-47FF-BE5D-B83AAFC3A380}"/>
    <hyperlink ref="X243" r:id="rId129" xr:uid="{1DEC82B5-FACD-4685-B80C-F94E0B82EB34}"/>
    <hyperlink ref="AK243" r:id="rId130" xr:uid="{7C214479-19BD-42CB-84B0-D14B9FA64408}"/>
    <hyperlink ref="AK165" r:id="rId131" xr:uid="{73CBF1EB-5E9C-4E3F-87CB-6E2CDE8C7752}"/>
    <hyperlink ref="X165" r:id="rId132" xr:uid="{063069EA-9593-479A-B76E-151A35165020}"/>
    <hyperlink ref="K165" r:id="rId133" xr:uid="{7D985626-82E4-4A33-8331-1C4CEDE9AEAE}"/>
    <hyperlink ref="K166" r:id="rId134" xr:uid="{D4C20D03-1079-4C66-AC6A-B045C97DFE41}"/>
    <hyperlink ref="AK166" r:id="rId135" xr:uid="{B5EB0E5B-FE6C-4F66-A436-1B996333BA2F}"/>
    <hyperlink ref="X166" r:id="rId136" xr:uid="{B33FA353-E83E-4800-8608-A0E9EB38E716}"/>
    <hyperlink ref="K167" r:id="rId137" xr:uid="{BC56821C-447C-4AFC-A3F8-6F7DBB32BA0C}"/>
    <hyperlink ref="X167" r:id="rId138" xr:uid="{D96C9BA0-AC1A-457F-ACBD-6FA62B8904C2}"/>
    <hyperlink ref="K169" r:id="rId139" xr:uid="{8F5BC903-A297-4442-9412-9657A4CEEF86}"/>
    <hyperlink ref="X169" r:id="rId140" xr:uid="{E999EEF7-1412-4B40-A797-D5DD5D785ED0}"/>
    <hyperlink ref="AK169" r:id="rId141" xr:uid="{1EA794D5-FB33-4BAE-A515-D9263926C520}"/>
    <hyperlink ref="X170" r:id="rId142" xr:uid="{C56B4537-39B2-4878-94BC-516CB22490A5}"/>
    <hyperlink ref="K170" r:id="rId143" xr:uid="{FAFAB1D1-9B51-4243-BBF5-D25CD969C0D1}"/>
    <hyperlink ref="AK170" r:id="rId144" xr:uid="{7EBE2282-7C49-4A9B-90D4-4CB34EABAB9B}"/>
    <hyperlink ref="K171" r:id="rId145" xr:uid="{A590A477-91F9-4B1F-B847-9F18A66BB246}"/>
    <hyperlink ref="X171" r:id="rId146" xr:uid="{02CAC771-8C98-4253-AEA5-445807182C1D}"/>
    <hyperlink ref="AK171" r:id="rId147" xr:uid="{36BAE470-CC6B-420D-AFFC-6A2FC210C33D}"/>
    <hyperlink ref="K172" r:id="rId148" xr:uid="{76B56992-7AD9-4E1C-B358-D88099EDD54B}"/>
    <hyperlink ref="X172" r:id="rId149" xr:uid="{BDBA4490-D7FA-48CC-B8D7-3EA50BFCB5C0}"/>
    <hyperlink ref="AK172" r:id="rId150" xr:uid="{81FDD188-56CE-4D11-A99F-ADC5C1881B14}"/>
    <hyperlink ref="K173" r:id="rId151" xr:uid="{56C6A6E8-D737-4236-8FB0-22753ECAAFE1}"/>
    <hyperlink ref="X173" r:id="rId152" xr:uid="{2FEEF59A-9369-4ECE-A827-1FCE8D56D300}"/>
    <hyperlink ref="AK173" r:id="rId153" xr:uid="{0DC9CBDD-9763-4091-BE04-E1EF92ADAA6E}"/>
    <hyperlink ref="AK174" r:id="rId154" xr:uid="{4339E133-34D0-45F9-9475-B8C5900A8314}"/>
    <hyperlink ref="K174" r:id="rId155" xr:uid="{E12ECFEB-3FB4-4410-8BCD-6E0F757F8F9C}"/>
    <hyperlink ref="K175" r:id="rId156" xr:uid="{5479B136-6DDA-481F-9785-933D0D7C00F0}"/>
    <hyperlink ref="X175" r:id="rId157" xr:uid="{998C98CF-79EA-4C75-BE4C-7BE415721C4D}"/>
    <hyperlink ref="AK175" r:id="rId158" xr:uid="{5D7668AB-9C4A-4D40-ACED-D36B37A22731}"/>
    <hyperlink ref="K176" r:id="rId159" xr:uid="{8F678190-2B14-4730-BD55-2C54ED83B839}"/>
    <hyperlink ref="X176" r:id="rId160" xr:uid="{F10F10E5-253A-49EB-BA4C-F5CCC9C84EA8}"/>
    <hyperlink ref="AK176" r:id="rId161" xr:uid="{FD8C90BF-673B-4B74-8607-8CAD64B831D6}"/>
    <hyperlink ref="K177" r:id="rId162" xr:uid="{11D1AF8C-17A0-4B4F-8146-2CCAD86CB15B}"/>
    <hyperlink ref="X177" r:id="rId163" xr:uid="{BC8312AE-477F-4F0E-BFBF-82FA70691487}"/>
    <hyperlink ref="AK177" r:id="rId164" xr:uid="{4F784EC2-E829-438D-BB02-95310ED62E17}"/>
    <hyperlink ref="K178" r:id="rId165" xr:uid="{58D3A068-6759-441A-9473-7DF4C537E7F4}"/>
    <hyperlink ref="X178" r:id="rId166" xr:uid="{94054FD7-CA67-4340-A806-90DF3FBC36A3}"/>
    <hyperlink ref="AK178" r:id="rId167" xr:uid="{FB0A6D9F-4999-40B3-8EA2-D863762FEE59}"/>
    <hyperlink ref="K179" r:id="rId168" xr:uid="{CFFA47EE-8E90-4962-AFF2-C4E796744DD4}"/>
    <hyperlink ref="AK179" r:id="rId169" xr:uid="{F925C7F4-1925-4D50-9E68-1CC9C3DC92BA}"/>
    <hyperlink ref="X179" r:id="rId170" xr:uid="{71B4CEF2-67A2-4ACC-9255-FB7066EA18C5}"/>
    <hyperlink ref="K180" r:id="rId171" xr:uid="{93F28031-0807-4B25-A845-F67367DF38FC}"/>
    <hyperlink ref="X180" r:id="rId172" xr:uid="{9F137117-E140-4396-BFB0-3FEE89FB976F}"/>
    <hyperlink ref="AK180" r:id="rId173" xr:uid="{2E052A0E-2B14-45E5-859D-81ECBF8BA506}"/>
    <hyperlink ref="X181" r:id="rId174" xr:uid="{A6E1BEE0-FE36-43C8-BEE7-F38A267A2DA8}"/>
    <hyperlink ref="AK181" r:id="rId175" xr:uid="{2071D1C4-5307-4298-AC89-AD889BF4FC54}"/>
    <hyperlink ref="K190" r:id="rId176" xr:uid="{047ABB78-D47F-4D4E-A45A-DE3FE8DC5ECB}"/>
    <hyperlink ref="AK190" r:id="rId177" xr:uid="{4618F6ED-5229-4EE8-8EEF-F17C7C521A13}"/>
    <hyperlink ref="K194" r:id="rId178" xr:uid="{476E80B6-6066-4C80-81BC-A8E5B4258824}"/>
    <hyperlink ref="X194" r:id="rId179" xr:uid="{23A0205D-204E-473E-B65A-4452B0E72158}"/>
    <hyperlink ref="AK194" r:id="rId180" xr:uid="{05A4012F-4023-46B7-8AAC-5AC6E6609813}"/>
    <hyperlink ref="X195" r:id="rId181" xr:uid="{9A6CC1DD-45E9-42D1-B8CB-24C9AB1FD2E1}"/>
    <hyperlink ref="AK195" r:id="rId182" xr:uid="{D505CAF3-80F3-402D-B39F-24DE43D14248}"/>
    <hyperlink ref="K195" r:id="rId183" xr:uid="{18C47D10-A9EE-45E6-96F6-0A869212283B}"/>
    <hyperlink ref="K201" r:id="rId184" xr:uid="{FC73690A-A423-4B1F-BF3D-A99D2DE64154}"/>
    <hyperlink ref="X201" r:id="rId185" xr:uid="{29724559-9318-44B7-A0C5-F9A844BB7BB1}"/>
    <hyperlink ref="AK201" r:id="rId186" xr:uid="{5BAB66E9-DAE6-419C-BB81-48FC0BA54E36}"/>
    <hyperlink ref="K202" r:id="rId187" xr:uid="{BBA54570-1366-4FC4-B75C-BDC44BE06CC0}"/>
    <hyperlink ref="X202" r:id="rId188" xr:uid="{C4901945-BE9A-404C-A924-B9A64F75BA67}"/>
    <hyperlink ref="AK202" r:id="rId189" xr:uid="{37FFD41D-19F6-4E22-9037-F20609812396}"/>
    <hyperlink ref="K203" r:id="rId190" xr:uid="{8B48BC99-97E7-4C6B-B693-4681CB7DD542}"/>
    <hyperlink ref="X203" r:id="rId191" xr:uid="{C4A6645A-86CC-4AD2-BB1A-0919CA467A05}"/>
    <hyperlink ref="AK203" r:id="rId192" xr:uid="{2A68D260-250F-4FA1-B888-70AE20088784}"/>
    <hyperlink ref="K229" r:id="rId193" xr:uid="{11AB4DD4-0843-4FF2-8B01-40D4AF109AC0}"/>
    <hyperlink ref="AK229" r:id="rId194" xr:uid="{7C5B32F1-7A02-47BB-97F3-7C6FCDB762D4}"/>
    <hyperlink ref="K230" r:id="rId195" xr:uid="{0B8671D5-A6FA-4E10-BF7E-595FA32FD807}"/>
    <hyperlink ref="AK230" r:id="rId196" xr:uid="{1D4768B9-4E5F-4120-AAC5-E3557BB81E59}"/>
    <hyperlink ref="K236" r:id="rId197" xr:uid="{773896B9-C818-4C47-ABA2-B732B9B21BE5}"/>
    <hyperlink ref="X229" r:id="rId198" xr:uid="{35E16297-C495-40E1-8640-8CF0DEE1C4C3}"/>
    <hyperlink ref="X230" r:id="rId199" xr:uid="{148602A8-A192-4486-9D1A-EDA30D1BDD3F}"/>
    <hyperlink ref="X236" r:id="rId200" xr:uid="{9F089998-05D0-4E2F-95E5-EB13DDD21838}"/>
    <hyperlink ref="AK236" r:id="rId201" xr:uid="{907863BC-DCA8-42F8-90DB-402C61EA68CE}"/>
    <hyperlink ref="K237" r:id="rId202" xr:uid="{E418D8D1-3833-489E-B2C0-36114C0C7E49}"/>
    <hyperlink ref="X237" r:id="rId203" xr:uid="{6D89C4C2-6ABB-4816-9B66-BA106E4F2BD4}"/>
    <hyperlink ref="AK237" r:id="rId204" xr:uid="{6B3FC39E-ECD5-4915-87A2-56B4D4BC36E6}"/>
    <hyperlink ref="K239" r:id="rId205" xr:uid="{9AA00431-E3C6-4B02-86E9-5F7B37021BA4}"/>
    <hyperlink ref="AK239" r:id="rId206" xr:uid="{DB9E3546-06BF-49AA-925F-3F22B19D970C}"/>
    <hyperlink ref="K242" r:id="rId207" xr:uid="{BE2C112B-DBA8-4B03-ADE6-90F04718AF7B}"/>
    <hyperlink ref="X242" r:id="rId208" xr:uid="{90770135-7C32-4373-9292-1863A5F6C265}"/>
    <hyperlink ref="AK242" r:id="rId209" xr:uid="{FA0E96DD-6124-41BE-BC69-BCD609D9B124}"/>
    <hyperlink ref="K244" r:id="rId210" xr:uid="{531D535A-E576-4B78-B12C-5FF182E19DC3}"/>
    <hyperlink ref="X244" r:id="rId211" xr:uid="{94F85B08-B18B-47EC-84A8-68BF0937917B}"/>
    <hyperlink ref="AK244" r:id="rId212" xr:uid="{FFB9680E-1896-4F1D-9F50-EE48621A53DE}"/>
    <hyperlink ref="K189" r:id="rId213" xr:uid="{8EDF2F56-B97A-4A3E-AB0D-AB7C36A703C1}"/>
    <hyperlink ref="K181" r:id="rId214" xr:uid="{BE5841AD-BEFE-4149-995E-E302F25F4857}"/>
    <hyperlink ref="X189" r:id="rId215" xr:uid="{467F353B-7C73-46DB-922B-D8551209B8C7}"/>
    <hyperlink ref="AK189" r:id="rId216" xr:uid="{21263E49-3EC8-499D-9921-0F801D031F56}"/>
    <hyperlink ref="AK88" r:id="rId217" xr:uid="{5290A8E5-947D-4A2B-8009-2D466BACAD30}"/>
    <hyperlink ref="Z88" r:id="rId218" xr:uid="{8C01236F-BD4B-42D2-B925-CC4697F6694C}"/>
    <hyperlink ref="M88" r:id="rId219" xr:uid="{FB755863-D64F-40F2-9559-1E591C5B0686}"/>
    <hyperlink ref="K88" r:id="rId220" xr:uid="{1BBAB17A-1168-4571-BB54-64F209C56545}"/>
    <hyperlink ref="X88" r:id="rId221" xr:uid="{84910EFF-1D6D-4A0E-A584-9FE4BA1A1910}"/>
    <hyperlink ref="X82" r:id="rId222" xr:uid="{FBB9C275-B87B-4DFF-80CB-6432A5D3B43C}"/>
    <hyperlink ref="X89" r:id="rId223" xr:uid="{7DBB5B2D-1164-4777-9E88-4E7BF4844FD5}"/>
    <hyperlink ref="K114" r:id="rId224" xr:uid="{9E510EFC-B64B-4385-937D-534E44955EB3}"/>
    <hyperlink ref="X174" r:id="rId225" xr:uid="{DB01827E-1C89-48F5-AF49-21690DA3275A}"/>
    <hyperlink ref="X239" r:id="rId226" xr:uid="{53FA7AF1-942A-4005-A8E8-92920F7444EA}"/>
    <hyperlink ref="AK89" r:id="rId227" xr:uid="{F799DC78-6213-4114-B38C-67C046FAF716}"/>
    <hyperlink ref="AK94" r:id="rId228" xr:uid="{9578634D-D025-4D4B-B381-D7C724CF4F43}"/>
    <hyperlink ref="AK96" r:id="rId229" xr:uid="{C0DE8E9A-3933-42F6-A06F-AB34D727076B}"/>
    <hyperlink ref="AK98" r:id="rId230" xr:uid="{D2E74964-AC22-4FE2-BEE5-B99A28E4A163}"/>
    <hyperlink ref="AK111" r:id="rId231" xr:uid="{AAC2F41A-4185-4344-BECA-7B0DC0FFA7AC}"/>
    <hyperlink ref="AK113" r:id="rId232" xr:uid="{927A2C7E-A970-4759-91BC-5CBE20735E18}"/>
    <hyperlink ref="AK148" r:id="rId233" xr:uid="{0556307D-5941-473E-AB53-493F677B3A26}"/>
    <hyperlink ref="K238" r:id="rId234" xr:uid="{D84AD2A2-79BA-4D6F-81CA-50B087DF32B9}"/>
    <hyperlink ref="X238" r:id="rId235" xr:uid="{A2B1E7CD-7E28-4E4F-8170-C92055792F93}"/>
    <hyperlink ref="AK238" r:id="rId236" xr:uid="{7920EA53-569A-46A0-9817-48D3065FD72C}"/>
    <hyperlink ref="K89" r:id="rId237" xr:uid="{6D3E72D6-F7CC-45CD-B6EA-670E6D005451}"/>
    <hyperlink ref="K93" r:id="rId238" xr:uid="{C99C3EF1-C141-4B1F-9811-467BB444C7EC}"/>
    <hyperlink ref="K94" r:id="rId239" xr:uid="{FD300D94-EC5A-4DE6-9FEE-0D25D0A2B8E9}"/>
    <hyperlink ref="K95" r:id="rId240" xr:uid="{8AE5E1F9-B450-4776-B437-E2F067BC3A13}"/>
    <hyperlink ref="K98" r:id="rId241" xr:uid="{CAFD9D14-1CD8-4198-B07F-49B78146F59D}"/>
    <hyperlink ref="K111" r:id="rId242" xr:uid="{2BB32C86-1EBE-4FF2-AE5E-690BB9BA48D4}"/>
    <hyperlink ref="K119" r:id="rId243" xr:uid="{73CC6528-321F-45C0-A580-9C917128F069}"/>
    <hyperlink ref="K159" r:id="rId244" xr:uid="{D167CFB6-9BB9-4501-BAF5-DA37362C5D2C}"/>
    <hyperlink ref="K191" r:id="rId245" xr:uid="{83C89A41-0F04-48C6-B951-1722452B075C}"/>
    <hyperlink ref="X191" r:id="rId246" xr:uid="{2844C375-F8FE-412D-99BB-45038FF0C290}"/>
    <hyperlink ref="AK191" r:id="rId247" xr:uid="{72422459-61AC-4657-8624-C34E06ABED31}"/>
    <hyperlink ref="K240" r:id="rId248" xr:uid="{2E7C905C-6CE3-4966-A88D-C3BBA2F3D1FB}"/>
    <hyperlink ref="X240" r:id="rId249" xr:uid="{9F22C59E-63D2-4B20-9C11-DA495A0CE03D}"/>
    <hyperlink ref="AK119" r:id="rId250" xr:uid="{A43B5514-D9FE-4079-B558-D3378C055AF5}"/>
    <hyperlink ref="AK100" r:id="rId251" xr:uid="{EEF90D7C-FDA5-4D31-84EF-ACCCF1DAEC2F}"/>
    <hyperlink ref="AK95" r:id="rId252" xr:uid="{DF7634DB-161D-48A0-8401-B8A46292A913}"/>
    <hyperlink ref="K112" r:id="rId253" xr:uid="{69848AE4-F9B0-45C1-89E0-802B8CD11E14}"/>
    <hyperlink ref="X99" r:id="rId254" xr:uid="{F76E7DBB-1689-4C1D-A111-8E9559C7D4AE}"/>
    <hyperlink ref="K82" r:id="rId255" xr:uid="{EE145BF6-4097-428D-82D3-91C341C67A5D}"/>
    <hyperlink ref="K90" r:id="rId256" xr:uid="{44C5002C-695C-42A1-BD4B-D1BE5EBE6DC7}"/>
    <hyperlink ref="K99" r:id="rId257" xr:uid="{9E4D9EAF-F34B-401A-B7F3-D2EFCC1C6F03}"/>
    <hyperlink ref="K126" r:id="rId258" xr:uid="{44BB4E38-C817-4906-97DA-36C667ED6A5D}"/>
    <hyperlink ref="X14" r:id="rId259" xr:uid="{9EAC9B4C-CED5-4980-AFE1-595799B64BED}"/>
    <hyperlink ref="AK102" r:id="rId260" xr:uid="{D4C67B93-0B77-41D8-A9D0-205D0BA91BE0}"/>
    <hyperlink ref="X102" r:id="rId261" xr:uid="{FAAFBCA3-A346-433A-9952-6B528AE30843}"/>
    <hyperlink ref="K108" r:id="rId262" xr:uid="{A1FA141E-F934-4AA0-ACF2-D751727A8BF4}"/>
    <hyperlink ref="AK167" r:id="rId263" xr:uid="{0400F550-7AE6-47FB-BB3A-ADAAEBD12EE9}"/>
    <hyperlink ref="AK140" r:id="rId264" xr:uid="{9E943C79-5C0C-4FA1-AF57-4EC6C2846E6A}"/>
    <hyperlink ref="AK118" r:id="rId265" xr:uid="{86BCF3F8-19F5-4A95-BCBB-26389E3283F5}"/>
    <hyperlink ref="AK92" r:id="rId266" xr:uid="{32366D5D-FD4B-4469-9F7C-F95F7987EC4E}"/>
    <hyperlink ref="K101" r:id="rId267" xr:uid="{CD1B8346-E936-47ED-A826-3E505FA7D555}"/>
    <hyperlink ref="K12" r:id="rId268" xr:uid="{C27D56C2-3BE4-495B-A1DB-BF7CE2778D93}"/>
    <hyperlink ref="K69" r:id="rId269" xr:uid="{5A9B4278-5503-43E4-BE1A-AF468D142FDC}"/>
    <hyperlink ref="X69" r:id="rId270" xr:uid="{3AEC8969-A18B-439D-B0DF-72306D4946DC}"/>
    <hyperlink ref="AK69" r:id="rId271" xr:uid="{829B430A-A505-48C9-823C-5033168166FD}"/>
    <hyperlink ref="K58" r:id="rId272" xr:uid="{E5463411-9531-4723-A53C-B6D57F73931A}"/>
    <hyperlink ref="X58" r:id="rId273" xr:uid="{133639B6-F7EB-433D-B3C7-1A80BBE12559}"/>
    <hyperlink ref="AK58" r:id="rId274" xr:uid="{F31ED687-2799-4316-9225-F42566A36DF5}"/>
    <hyperlink ref="X227" r:id="rId275" xr:uid="{CC5C0BF9-B8EE-4042-AB8B-6C068CDB354A}"/>
    <hyperlink ref="K208" r:id="rId276" xr:uid="{9179B39C-739A-4542-B8A9-8B24FC06DBB5}"/>
    <hyperlink ref="AK227" r:id="rId277" xr:uid="{AE18180F-9445-4A83-948E-2A65EC5F9C30}"/>
    <hyperlink ref="K15" r:id="rId278" xr:uid="{2558A1DD-E2F6-434A-8794-E100B076D0AF}"/>
    <hyperlink ref="X15" r:id="rId279" xr:uid="{EA1E1D71-DD0E-4E10-8AD4-B0E0282472D1}"/>
    <hyperlink ref="AK15" r:id="rId280" xr:uid="{65AA31FA-7113-4904-B045-2F74DB16105D}"/>
    <hyperlink ref="K16" r:id="rId281" xr:uid="{CEF06ECC-8591-47E4-9869-901AB819C347}"/>
    <hyperlink ref="X16" r:id="rId282" xr:uid="{E521C3A6-D795-4A9F-A544-425DBB9D3B83}"/>
    <hyperlink ref="K18" r:id="rId283" xr:uid="{26EFB32D-7452-4B1A-AD88-FA037764DA24}"/>
    <hyperlink ref="X18" r:id="rId284" xr:uid="{9D3DA14E-E461-4BFC-854B-06176FA21A83}"/>
    <hyperlink ref="K20" r:id="rId285" xr:uid="{0C7E3A9A-8989-4FD4-A9A7-ED1701621AA0}"/>
    <hyperlink ref="X20" r:id="rId286" xr:uid="{C8763E92-4CDC-4A5C-A5C0-5E21C4C6817D}"/>
    <hyperlink ref="K46" r:id="rId287" xr:uid="{EF771F89-C48E-4AB0-BEC3-7805AAF4970B}"/>
    <hyperlink ref="X46" r:id="rId288" xr:uid="{F32D6891-875C-40BF-9904-5A2BC960685F}"/>
    <hyperlink ref="X139" r:id="rId289" xr:uid="{24F8946C-2945-4B4A-9635-F1B4E768E388}"/>
    <hyperlink ref="K199" r:id="rId290" xr:uid="{829E9EA3-B42D-4CF9-B759-8DD984002BD8}"/>
    <hyperlink ref="X199" r:id="rId291" xr:uid="{9055138A-5232-4CCE-AB6C-7A497C9E48E9}"/>
    <hyperlink ref="K56" r:id="rId292" xr:uid="{F544D86B-B358-4E8C-8AC4-0BE3E8FBCFF3}"/>
    <hyperlink ref="X56" r:id="rId293" xr:uid="{8910CFDA-9A7D-4A57-A2D6-DFFEB4F1430C}"/>
    <hyperlink ref="X27" r:id="rId294" xr:uid="{C0AE70AE-93A5-48A3-96C3-8785D153E875}"/>
    <hyperlink ref="AK27" r:id="rId295" xr:uid="{64F3D162-643C-4A89-B0AB-08491656EDBB}"/>
    <hyperlink ref="K205" r:id="rId296" xr:uid="{C643813E-08A0-47F4-9ABC-327C23D89644}"/>
    <hyperlink ref="K55" r:id="rId297" xr:uid="{07725A1C-AE99-4B6C-8CBA-BF6CAD50FF11}"/>
    <hyperlink ref="X55" r:id="rId298" xr:uid="{BCCC6793-06F3-4633-8A1D-1613C5933643}"/>
    <hyperlink ref="AK55" r:id="rId299" xr:uid="{1FEBE8D9-D65D-4B23-99F9-3ABFBAC93F03}"/>
    <hyperlink ref="X72" r:id="rId300" xr:uid="{B5D5AEF5-BE43-4DD9-A34C-08F533CA1449}"/>
    <hyperlink ref="AK46" r:id="rId301" xr:uid="{B87C0829-BA6D-4EFC-A967-F4D2E2D0A5BE}"/>
    <hyperlink ref="X198" r:id="rId302" xr:uid="{BDCD418E-9225-45AD-A6DD-17415211D235}"/>
    <hyperlink ref="AK198" r:id="rId303" xr:uid="{0149C17F-FCD3-4E29-8629-59629E66C179}"/>
    <hyperlink ref="AK199" r:id="rId304" xr:uid="{0BC1ACA1-753B-4344-AA09-F4D7A16665D0}"/>
    <hyperlink ref="K136" r:id="rId305" xr:uid="{FFDCD0ED-469D-43FB-83BE-651E9FE00C8D}"/>
    <hyperlink ref="AK136" r:id="rId306" xr:uid="{C51DD552-767C-4058-BA3C-C09E711350A6}"/>
    <hyperlink ref="K124" r:id="rId307" xr:uid="{78FE8C63-7EBC-4615-9801-A061C989F8B1}"/>
    <hyperlink ref="X124" r:id="rId308" xr:uid="{30E21820-9F06-4EB9-8083-7F787B127521}"/>
    <hyperlink ref="X51" r:id="rId309" xr:uid="{7AF741D4-2A6A-469F-9F54-FD132921C812}"/>
    <hyperlink ref="AK18" r:id="rId310" xr:uid="{2DA11C43-AFB7-4BF7-A2A0-F5208351BD88}"/>
    <hyperlink ref="K87" r:id="rId311" xr:uid="{7E8E3A75-1A3D-43F4-93C9-D174B5DA49E0}"/>
    <hyperlink ref="X87" r:id="rId312" xr:uid="{F58A41A8-E623-47C3-96CC-8AACC7581176}"/>
    <hyperlink ref="K217" r:id="rId313" xr:uid="{E55F3230-AFE2-4A0D-AC66-F2D35FD65DCF}"/>
    <hyperlink ref="X217" r:id="rId314" xr:uid="{1EE3F3FE-ED48-4F2E-8A5A-8BE201E3D495}"/>
    <hyperlink ref="AK217" r:id="rId315" xr:uid="{A3A8C8CC-BDD4-48E8-8E7E-370F5C2E505E}"/>
    <hyperlink ref="K223" r:id="rId316" xr:uid="{93BAB745-7EBD-4EE1-BCDB-F39783B5F784}"/>
    <hyperlink ref="X223" r:id="rId317" xr:uid="{F3AFC81B-C324-4866-861B-92A006179F48}"/>
    <hyperlink ref="AK87" r:id="rId318" xr:uid="{C825F2E9-2892-4BE4-A6EA-03CEA6586B08}"/>
    <hyperlink ref="K224" r:id="rId319" xr:uid="{4ED32467-B17D-4CDB-8422-BEFAE88F98F0}"/>
    <hyperlink ref="X224" r:id="rId320" xr:uid="{E9444DE5-A517-40C5-AA75-BCCA80310A44}"/>
    <hyperlink ref="K218" r:id="rId321" xr:uid="{CC04B84B-FBCF-477F-AB16-EB5ED67AFE6A}"/>
    <hyperlink ref="X218" r:id="rId322" xr:uid="{D40A223A-C720-4842-90AE-DBF62C8BE300}"/>
    <hyperlink ref="K138" r:id="rId323" xr:uid="{17B1F260-B51E-45A5-8A5F-A487F8FB136F}"/>
    <hyperlink ref="X138" r:id="rId324" xr:uid="{A6082488-30B2-4430-A10C-D7A24B6620B5}"/>
    <hyperlink ref="K221" r:id="rId325" xr:uid="{125789BA-5B21-4B6B-B4AF-3EF83BAECFF0}"/>
    <hyperlink ref="X221" r:id="rId326" xr:uid="{DAE6B8ED-4099-4E16-8E54-6DD745443E0B}"/>
    <hyperlink ref="K222" r:id="rId327" xr:uid="{8F03CE62-7330-4B9F-A923-17C03C816B74}"/>
    <hyperlink ref="X222" r:id="rId328" xr:uid="{C1C3C26E-E9E7-41F5-BA5C-8B77E894E5F9}"/>
    <hyperlink ref="K226" r:id="rId329" xr:uid="{AFA138F8-BEC7-40A8-AA4E-A65CFF6BFE7A}"/>
    <hyperlink ref="X226" r:id="rId330" xr:uid="{C831D378-7A48-4BF9-BE45-BD521C815BAC}"/>
    <hyperlink ref="AK226" r:id="rId331" xr:uid="{C10BBD21-55D8-4A46-993A-9F96125B306A}"/>
    <hyperlink ref="K219" r:id="rId332" xr:uid="{3DEF3E84-1036-4C42-9BAF-2CB495941D90}"/>
    <hyperlink ref="X219" r:id="rId333" xr:uid="{23832242-DE94-412F-AF44-9FAF21F932C7}"/>
    <hyperlink ref="X123" r:id="rId334" xr:uid="{009EBF87-3213-42CF-B7A2-7AD889001820}"/>
    <hyperlink ref="X144" r:id="rId335" xr:uid="{1A51FF58-31E9-4B8C-9EB2-A1CEF7B76B8A}"/>
    <hyperlink ref="AK144" r:id="rId336" xr:uid="{3504B77E-9610-450D-A2CE-A72B017AEEB1}"/>
    <hyperlink ref="K146" r:id="rId337" xr:uid="{4FA774D7-F147-41D1-B08E-B60A563E92D5}"/>
    <hyperlink ref="AK147" r:id="rId338" xr:uid="{0CEB96B3-B31E-4F12-872F-94D1C44E1129}"/>
    <hyperlink ref="X220" r:id="rId339" xr:uid="{6848259E-26A6-4900-AC89-DE8CFC2568D4}"/>
    <hyperlink ref="K220" r:id="rId340" xr:uid="{E18B8671-BAD4-4651-BA5E-2E415879BC7D}"/>
    <hyperlink ref="K225" r:id="rId341" xr:uid="{D2ABA4D7-245C-485F-9D4D-E3FB18E84B2D}"/>
    <hyperlink ref="X225" r:id="rId342" xr:uid="{CEFF92EC-738C-4B8F-B42C-4074D15F617F}"/>
    <hyperlink ref="AK225" r:id="rId343" xr:uid="{0DAC9BD7-4343-4C80-8071-138AB9E48298}"/>
    <hyperlink ref="K75" r:id="rId344" xr:uid="{B835401F-0A80-4F36-9FCA-C5F7A7319A58}"/>
    <hyperlink ref="K152" r:id="rId345" xr:uid="{59C66F56-51BF-4564-9CAC-771B97F162FC}"/>
    <hyperlink ref="X74" r:id="rId346" xr:uid="{CE8E1CFE-C362-4981-A815-0A49EB7EBC28}"/>
    <hyperlink ref="K73" r:id="rId347" xr:uid="{642AB832-AB76-43B8-946B-DAD9BC4F3DCD}"/>
    <hyperlink ref="K156" r:id="rId348" xr:uid="{EE0A26FE-B91D-4ECC-982D-E323D7E433DE}"/>
    <hyperlink ref="K67" r:id="rId349" xr:uid="{97A8BCFA-87BC-4788-8F7E-8E00BEC6C422}"/>
    <hyperlink ref="X67" r:id="rId350" xr:uid="{EF3A49AF-8D13-44A2-806D-7DFECB780D87}"/>
    <hyperlink ref="K60" r:id="rId351" xr:uid="{02E488D2-D326-413B-BE15-95286E5DA961}"/>
    <hyperlink ref="X60" r:id="rId352" xr:uid="{667675E7-AFF5-4400-9DCD-64264F397FA1}"/>
    <hyperlink ref="AK60" r:id="rId353" xr:uid="{67337F47-B685-4681-8883-B6FDF1D55DBB}"/>
    <hyperlink ref="AK157" r:id="rId354" xr:uid="{5531A0CB-F591-4E87-AFF1-8866329C119F}"/>
    <hyperlink ref="K59" r:id="rId355" xr:uid="{939FCBC0-EB91-42B5-8318-E79FEA73116A}"/>
    <hyperlink ref="X59" r:id="rId356" xr:uid="{C18CD7E8-B72E-485F-B018-A6FA42ADA2A3}"/>
    <hyperlink ref="AK59" r:id="rId357" xr:uid="{883C46F6-C161-41D3-AF72-673A9AEBD265}"/>
    <hyperlink ref="K54" r:id="rId358" xr:uid="{3BEEC37E-D7AA-4D5B-B1AF-918A3DD26E7F}"/>
    <hyperlink ref="X54" r:id="rId359" xr:uid="{D7BA0830-E2E5-4BD6-80BB-51B6BDFBE431}"/>
    <hyperlink ref="AK54" r:id="rId360" xr:uid="{6EDA7F27-4A1F-4DA7-96C3-7EE945477C64}"/>
    <hyperlink ref="K232" r:id="rId361" xr:uid="{1F429104-168C-4BC9-AA24-41B3E24F8FBE}"/>
    <hyperlink ref="X232" r:id="rId362" xr:uid="{939E677A-1E5B-411B-8321-81B561E3BE9E}"/>
    <hyperlink ref="AK160" r:id="rId363" xr:uid="{1ACDAA49-CB87-41AC-AA57-A7485E7BB28B}"/>
    <hyperlink ref="X190" r:id="rId364" xr:uid="{D3051112-4DA1-4DA7-8B0B-79F977F0A1AD}"/>
    <hyperlink ref="K162" r:id="rId365" xr:uid="{79873E2C-B391-41B6-8D76-78E9A73C96E5}"/>
    <hyperlink ref="X162" r:id="rId366" xr:uid="{1E412B78-04C3-4090-B83C-EF064EDFC2DB}"/>
    <hyperlink ref="AK85" r:id="rId367" xr:uid="{3952F142-74FC-4150-9150-E811182BB5CF}"/>
    <hyperlink ref="X206" r:id="rId368" xr:uid="{7AF5900F-6699-4EF0-8393-874D271C2A87}"/>
    <hyperlink ref="K207" r:id="rId369" xr:uid="{B04E4023-8651-4DC6-BB4E-EC2940B40106}"/>
    <hyperlink ref="K209" r:id="rId370" xr:uid="{1720B3A1-013A-4760-9450-45EE98A76597}"/>
    <hyperlink ref="X210" r:id="rId371" xr:uid="{8B185190-9254-4648-AE62-D85D4520E553}"/>
    <hyperlink ref="X107" r:id="rId372" xr:uid="{1462AF4F-D11D-4343-9656-6B90816BE239}"/>
    <hyperlink ref="X183" r:id="rId373" xr:uid="{36ABB0D4-C12F-4ABB-8673-EAF69E9A96AE}"/>
    <hyperlink ref="X184" r:id="rId374" xr:uid="{FFA638BD-F4BD-444B-89A0-B95CE107083D}"/>
    <hyperlink ref="X245" r:id="rId375" xr:uid="{39792D19-1CEB-4C97-AEE2-E1AFF9352BB3}"/>
    <hyperlink ref="AK124" r:id="rId376" xr:uid="{BCAAABAA-193A-4EDC-9E8B-EF61A6B9BD93}"/>
    <hyperlink ref="K117" r:id="rId377" xr:uid="{855BACFA-998E-481F-BFB1-289287C431A0}"/>
    <hyperlink ref="X117" r:id="rId378" xr:uid="{531C83C2-89F6-42D7-8274-6151F42F659C}"/>
    <hyperlink ref="AK117" r:id="rId379" xr:uid="{9548C383-8B61-47FC-8C7F-C0331BE53073}"/>
    <hyperlink ref="AK182" r:id="rId380" xr:uid="{BF840422-7435-4AF7-80AB-A2AA55A39DED}"/>
    <hyperlink ref="AK186" r:id="rId381" xr:uid="{C37A0244-354F-4E3A-A081-1AFD59CB74F9}"/>
    <hyperlink ref="AK64:AK65" r:id="rId382" display="SGD_ VARIOS 19-02-2026 SAS" xr:uid="{36DCD635-D75F-4B61-BC87-FB0A4D4E581F}"/>
    <hyperlink ref="AK104" r:id="rId383" xr:uid="{F27FE92D-B5E2-4CBE-BF89-55C022964F7B}"/>
    <hyperlink ref="AK246" r:id="rId384" xr:uid="{0E5001B0-838B-4892-BEA4-9675518D1099}"/>
    <hyperlink ref="K245" r:id="rId385" xr:uid="{D80FBB63-91F9-4453-AE82-CA914DFB8349}"/>
    <hyperlink ref="K11" r:id="rId386" xr:uid="{0C833094-9476-4302-B45A-AB5E42259996}"/>
    <hyperlink ref="K107" r:id="rId387" xr:uid="{831C1D93-E1B9-49F6-99B2-4D37957ED5C2}"/>
    <hyperlink ref="K141" r:id="rId388" xr:uid="{D0D37FC6-C2E0-4049-9E46-4659CE0AD4FE}"/>
    <hyperlink ref="K182" r:id="rId389" xr:uid="{FE9B924D-F2FF-4913-A9CF-CD142782602A}"/>
    <hyperlink ref="K246" r:id="rId390" xr:uid="{F9E94E79-FECF-41EF-96E4-6D5C5912F3E6}"/>
    <hyperlink ref="K143" r:id="rId391" xr:uid="{81B5908B-4501-4AEC-87EF-0A8B16CB8A11}"/>
    <hyperlink ref="X143" r:id="rId392" xr:uid="{47CB5859-439A-4724-A4B7-475E7AA51554}"/>
    <hyperlink ref="AK143" r:id="rId393" xr:uid="{35F7B812-E14F-4904-9AFE-879EC3FB4A8B}"/>
    <hyperlink ref="X247" r:id="rId394" xr:uid="{D4D37D56-E6AA-43A5-B967-A2290841CD1F}"/>
    <hyperlink ref="AK247" r:id="rId395" xr:uid="{3D41F80A-64F1-4E81-8AC0-75F2E72FF031}"/>
    <hyperlink ref="K17" r:id="rId396" xr:uid="{9FD9006E-0347-4EE1-9A85-0675B60EC0C5}"/>
    <hyperlink ref="X17" r:id="rId397" xr:uid="{720B9516-BBC3-4EC1-A7E2-F048F7F2D07A}"/>
    <hyperlink ref="AK17" r:id="rId398" xr:uid="{AD7B35F4-24FC-4E7A-B67C-81ACCD5FD374}"/>
    <hyperlink ref="K66" r:id="rId399" xr:uid="{22411403-1A7C-4614-8FF3-449214E68D04}"/>
    <hyperlink ref="X66" r:id="rId400" xr:uid="{CA6E5930-07B5-4615-A992-4D16AB95CA50}"/>
    <hyperlink ref="X73" r:id="rId401" xr:uid="{E29610D4-0480-467C-B55E-EB27ECA8DACF}"/>
    <hyperlink ref="K74" r:id="rId402" xr:uid="{EAF36651-EB7B-4EE4-B4C5-B4EB3D9FFAE6}"/>
    <hyperlink ref="K85" r:id="rId403" xr:uid="{7C806B75-C4CF-44E2-8D39-862977618DF4}"/>
    <hyperlink ref="X75" r:id="rId404" xr:uid="{3109B237-DE8C-4424-91ED-FF55B9AC34B6}"/>
    <hyperlink ref="AK218" r:id="rId405" xr:uid="{D449E18C-138E-488A-88B4-79AE0821CD67}"/>
    <hyperlink ref="K228" r:id="rId406" xr:uid="{A78F1BDD-C760-481C-BAF0-C63C7314B4DE}"/>
    <hyperlink ref="X228" r:id="rId407" xr:uid="{3F42DC9B-1C21-4197-AF38-8F2E1D1734C9}"/>
    <hyperlink ref="K204" r:id="rId408" xr:uid="{F6B64194-FCDD-4888-8AC6-0778E3FEE652}"/>
    <hyperlink ref="K210" r:id="rId409" xr:uid="{4061C2DA-5C8C-4C00-877C-077D065642CE}"/>
    <hyperlink ref="X204" r:id="rId410" xr:uid="{AFEC48A0-A3EB-4D2A-B2E1-DD8EB3F630E9}"/>
    <hyperlink ref="X11" r:id="rId411" xr:uid="{456923B8-86FB-4FE0-ACD2-544E3D5EC55A}"/>
    <hyperlink ref="X205" r:id="rId412" xr:uid="{B60273E2-CB01-4325-84B4-1178ED7CF6C0}"/>
    <hyperlink ref="X207" r:id="rId413" xr:uid="{0D0F18E0-CBE4-4B13-8844-EFA2DF3A7FB7}"/>
    <hyperlink ref="X208" r:id="rId414" xr:uid="{BD0AD491-CF1B-48A9-8565-0EDF631A4900}"/>
    <hyperlink ref="X209" r:id="rId415" xr:uid="{3EC3003E-103C-41AC-BBA9-7A5231E89988}"/>
    <hyperlink ref="K206" r:id="rId416" xr:uid="{33AD4FF1-CA7E-4121-95CF-801F458E2243}"/>
    <hyperlink ref="X211" r:id="rId417" xr:uid="{CDAF7D5D-6111-439D-A2B0-6E24520D5587}"/>
    <hyperlink ref="K211" r:id="rId418" xr:uid="{BFB5511B-703D-45D0-92D0-BC62B85C30CB}"/>
    <hyperlink ref="AK222" r:id="rId419" xr:uid="{2440E034-45BC-4229-BBC9-E6DCA93131F2}"/>
    <hyperlink ref="K139" r:id="rId420" xr:uid="{0C3CF326-C8AC-4017-9027-5ADDA0BA9F92}"/>
    <hyperlink ref="X12" r:id="rId421" xr:uid="{821209BE-EAAA-4B88-9513-AF78B5F93CC0}"/>
    <hyperlink ref="AK12" r:id="rId422" xr:uid="{8BC96A3C-4EB8-491D-B59C-CCDCD235A71C}"/>
    <hyperlink ref="AK20" r:id="rId423" xr:uid="{7BC05E5C-5FBF-4EBB-8BA9-3365F60CDAC6}"/>
    <hyperlink ref="K102" r:id="rId424" xr:uid="{D9086C06-4E54-4C16-89F1-E059E2B8263A}"/>
    <hyperlink ref="X103" r:id="rId425" xr:uid="{1FDCAA31-6451-4A9A-86EA-3D6A805923CD}"/>
    <hyperlink ref="K103" r:id="rId426" xr:uid="{04E3ACFB-DE75-4949-9858-42AE94515630}"/>
    <hyperlink ref="K27" r:id="rId427" xr:uid="{4A015BBF-BF88-459C-AEA7-BD86313C6F22}"/>
    <hyperlink ref="K125" r:id="rId428" xr:uid="{AF868085-1ED3-451B-B782-B432D1F8B12A}"/>
    <hyperlink ref="X125" r:id="rId429" xr:uid="{AF9BA7D6-A140-4703-B402-D856D2FCA90D}"/>
    <hyperlink ref="AK125" r:id="rId430" xr:uid="{C8143976-4715-4EF1-9F0A-EB09C18DD11B}"/>
    <hyperlink ref="K198" r:id="rId431" xr:uid="{E747C756-21A0-4606-BFAE-977F019EA013}"/>
    <hyperlink ref="K247" r:id="rId432" xr:uid="{FE32574F-4C51-4348-BF63-4E872CFAF513}"/>
    <hyperlink ref="AK135" r:id="rId433" xr:uid="{4CBF04C8-C488-4E2B-967B-F5E9336C36B1}"/>
    <hyperlink ref="K135" r:id="rId434" xr:uid="{1880D02E-EE2A-402A-9474-0CA89EB60411}"/>
    <hyperlink ref="K134" r:id="rId435" xr:uid="{244AAEB8-0893-49B0-ACA4-6A3AB8F57CAD}"/>
    <hyperlink ref="AK134" r:id="rId436" xr:uid="{0083D5A5-D9C8-4108-BEDD-23A191938EB0}"/>
    <hyperlink ref="K133" r:id="rId437" xr:uid="{E7B70CAC-B514-40A1-846C-3B29F232F9A2}"/>
    <hyperlink ref="X134" r:id="rId438" xr:uid="{DD199534-CE92-4AA1-88DA-F0D30F72C2CE}"/>
    <hyperlink ref="X135" r:id="rId439" xr:uid="{5494BD65-20E8-4B08-82E3-481D07374687}"/>
    <hyperlink ref="X133" r:id="rId440" xr:uid="{5D59E934-9AA5-49CF-8489-CB1C2508BA0D}"/>
    <hyperlink ref="AK133" r:id="rId441" xr:uid="{04627792-6D7C-4B66-98E9-6C551E39F69E}"/>
    <hyperlink ref="K200" r:id="rId442" xr:uid="{C2DF7080-F804-4CF9-931F-44FE591542B9}"/>
    <hyperlink ref="X200" r:id="rId443" xr:uid="{287DCB37-2712-437D-91E0-5A11C05D595B}"/>
    <hyperlink ref="X4" r:id="rId444" xr:uid="{9B8B8EF9-92FD-4444-B6C5-F09168DF02A6}"/>
    <hyperlink ref="K3" r:id="rId445" xr:uid="{CA2C38EF-31CC-4329-BAB1-B67AFA356CFF}"/>
    <hyperlink ref="AK3" r:id="rId446" xr:uid="{D42CC413-6A12-435C-9E17-AF34168337F4}"/>
    <hyperlink ref="X8" r:id="rId447" xr:uid="{C8B0464F-3946-45BB-9127-48468D3EBA3B}"/>
    <hyperlink ref="AK4" r:id="rId448" xr:uid="{C01F2843-64BB-445C-B912-01732586871C}"/>
    <hyperlink ref="K4" r:id="rId449" xr:uid="{45FA3F02-9A69-4BB5-9177-8A44B96AE7C8}"/>
    <hyperlink ref="X9" r:id="rId450" xr:uid="{28345FEB-3340-4158-9CC8-00E422C9113D}"/>
    <hyperlink ref="K9" r:id="rId451" xr:uid="{EB087625-3765-4AA8-88BA-09E25D99FCE5}"/>
    <hyperlink ref="AK9" r:id="rId452" xr:uid="{C3313815-7913-4C78-8D70-42DDEAD52F1B}"/>
    <hyperlink ref="K8" r:id="rId453" xr:uid="{7D7413E7-1A6C-4157-BE66-7879C92C2695}"/>
    <hyperlink ref="K6" r:id="rId454" xr:uid="{B4878D66-CB27-4C68-8AB6-36EF3AA4930E}"/>
    <hyperlink ref="AK6" r:id="rId455" xr:uid="{0ED8D4BE-9514-4782-8302-943882542AD3}"/>
    <hyperlink ref="X6" r:id="rId456" xr:uid="{11B0EADC-1152-42DE-9311-37C8566BB784}"/>
    <hyperlink ref="AK8" r:id="rId457" xr:uid="{C2176620-5774-4B37-BAD9-4E3C3E8DE739}"/>
    <hyperlink ref="X3" r:id="rId458" xr:uid="{1D015B7D-394D-4865-BE69-9036CD5A2B8C}"/>
    <hyperlink ref="X7" r:id="rId459" xr:uid="{6FC22D82-A4A5-4ABC-8664-54BD782302C2}"/>
    <hyperlink ref="AK5" r:id="rId460" xr:uid="{4FA84669-2211-435D-9D04-83427F2E613F}"/>
    <hyperlink ref="X5" r:id="rId461" xr:uid="{97AFFDB9-514C-4C8E-A90B-A596744804D0}"/>
    <hyperlink ref="AK7" r:id="rId462" xr:uid="{CDE6365B-B90E-4EEB-8BD0-80FBE25ABB77}"/>
    <hyperlink ref="K7" r:id="rId463" xr:uid="{DEA0955C-7293-4444-B3CA-92950715EEA8}"/>
    <hyperlink ref="K5" r:id="rId464" xr:uid="{9047319D-6839-4882-BF05-FFAB1177322B}"/>
    <hyperlink ref="K227" r:id="rId465" xr:uid="{7D3BA64F-B566-49D9-B232-B4B6CC6734E5}"/>
  </hyperlinks>
  <pageMargins left="0.25" right="0.25" top="0.75" bottom="0.75" header="0.3" footer="0.3"/>
  <pageSetup paperSize="3" scale="10" orientation="landscape" r:id="rId466"/>
  <colBreaks count="1" manualBreakCount="1">
    <brk id="25" max="1048575" man="1"/>
  </colBreaks>
  <drawing r:id="rId467"/>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951355-B2F1-46CE-9EBD-277C9A3D747D}">
  <dimension ref="A6:M162"/>
  <sheetViews>
    <sheetView tabSelected="1" topLeftCell="C17" zoomScale="74" zoomScaleNormal="50" workbookViewId="0">
      <selection activeCell="G17" sqref="G17"/>
    </sheetView>
  </sheetViews>
  <sheetFormatPr baseColWidth="10" defaultColWidth="9.28515625" defaultRowHeight="15" x14ac:dyDescent="0.25"/>
  <cols>
    <col min="1" max="1" width="9.28515625" style="566" bestFit="1" customWidth="1"/>
    <col min="2" max="2" width="58.7109375" style="566" customWidth="1"/>
    <col min="3" max="3" width="72" style="566" customWidth="1"/>
    <col min="4" max="4" width="15.140625" style="566" customWidth="1"/>
    <col min="5" max="5" width="18.7109375" style="566" customWidth="1"/>
    <col min="6" max="6" width="25.28515625" style="566" customWidth="1"/>
    <col min="7" max="7" width="21.28515625" style="566" bestFit="1" customWidth="1"/>
    <col min="8" max="8" width="34.28515625" style="566" customWidth="1"/>
    <col min="9" max="10" width="17.28515625" style="566" hidden="1" customWidth="1"/>
    <col min="11" max="11" width="17.7109375" style="566" hidden="1" customWidth="1"/>
    <col min="12" max="12" width="19.28515625" style="566" hidden="1" customWidth="1"/>
    <col min="13" max="13" width="27.42578125" style="566" customWidth="1"/>
    <col min="14" max="16384" width="9.28515625" style="566"/>
  </cols>
  <sheetData>
    <row r="6" spans="1:12" s="562" customFormat="1" ht="36" x14ac:dyDescent="0.25">
      <c r="A6" s="536"/>
      <c r="B6" s="536"/>
      <c r="C6" s="537" t="s">
        <v>1329</v>
      </c>
      <c r="D6" s="538"/>
      <c r="E6" s="538"/>
      <c r="F6" s="538"/>
      <c r="G6" s="538"/>
      <c r="H6" s="539"/>
    </row>
    <row r="7" spans="1:12" s="563" customFormat="1" ht="79.5" customHeight="1" x14ac:dyDescent="0.25">
      <c r="A7" s="536"/>
      <c r="B7" s="536"/>
      <c r="C7" s="540" t="s">
        <v>11</v>
      </c>
      <c r="D7" s="541" t="s">
        <v>1463</v>
      </c>
      <c r="E7" s="541"/>
      <c r="F7" s="541"/>
      <c r="G7" s="541"/>
      <c r="H7" s="541"/>
    </row>
    <row r="8" spans="1:12" s="564" customFormat="1" ht="23.25" x14ac:dyDescent="0.25">
      <c r="A8" s="542" t="s">
        <v>1330</v>
      </c>
      <c r="B8" s="542"/>
      <c r="C8" s="542"/>
      <c r="D8" s="542"/>
      <c r="E8" s="543" t="s">
        <v>1331</v>
      </c>
      <c r="F8" s="544">
        <f>SUM(F11:F111)+SUM(F115:F151)</f>
        <v>1517580877.7180338</v>
      </c>
      <c r="G8" s="543" t="s">
        <v>1332</v>
      </c>
      <c r="H8" s="544">
        <f>SUM(H11:H111)+SUM(H115:H151)</f>
        <v>199351487</v>
      </c>
    </row>
    <row r="9" spans="1:12" ht="18.75" x14ac:dyDescent="0.25">
      <c r="A9" s="545" t="s">
        <v>1333</v>
      </c>
      <c r="B9" s="545" t="s">
        <v>1334</v>
      </c>
      <c r="C9" s="545" t="s">
        <v>1335</v>
      </c>
      <c r="D9" s="545" t="s">
        <v>1336</v>
      </c>
      <c r="E9" s="546" t="s">
        <v>1337</v>
      </c>
      <c r="F9" s="546"/>
      <c r="G9" s="547" t="s">
        <v>1338</v>
      </c>
      <c r="H9" s="547"/>
      <c r="I9" s="565"/>
      <c r="J9" s="565"/>
      <c r="K9" s="565"/>
      <c r="L9" s="565"/>
    </row>
    <row r="10" spans="1:12" ht="93.75" x14ac:dyDescent="0.25">
      <c r="A10" s="545"/>
      <c r="B10" s="545"/>
      <c r="C10" s="545"/>
      <c r="D10" s="545"/>
      <c r="E10" s="548" t="s">
        <v>1339</v>
      </c>
      <c r="F10" s="548" t="s">
        <v>1340</v>
      </c>
      <c r="G10" s="549" t="s">
        <v>1339</v>
      </c>
      <c r="H10" s="549" t="s">
        <v>1341</v>
      </c>
      <c r="I10" s="567" t="s">
        <v>1339</v>
      </c>
      <c r="J10" s="567" t="s">
        <v>1342</v>
      </c>
      <c r="K10" s="567" t="s">
        <v>1341</v>
      </c>
      <c r="L10" s="567" t="s">
        <v>1343</v>
      </c>
    </row>
    <row r="11" spans="1:12" ht="30" x14ac:dyDescent="0.25">
      <c r="A11" s="550">
        <v>1</v>
      </c>
      <c r="B11" s="568" t="str">
        <f>IF(VF_EstudioEntregado!C11="","",VF_EstudioEntregado!C11)</f>
        <v>Cuaderno 100 hojas</v>
      </c>
      <c r="C11" s="569" t="str">
        <f>IF(VF_EstudioEntregado!D11="","",VF_EstudioEntregado!D11)</f>
        <v>Cuaderno argollado de 100 hojas cuadriculadas, gramaje de 60g a 75g. Carátula en cartón rígido plastificado, espiral metálico sencillo o doble</v>
      </c>
      <c r="D11" s="550">
        <f>IF(VF_EstudioEntregado!F11="","",VF_EstudioEntregado!F11)</f>
        <v>60</v>
      </c>
      <c r="E11" s="551">
        <f>IF(VF_EstudioEntregado!Z11="","",VF_EstudioEntregado!Z11)</f>
        <v>5829.9964333333337</v>
      </c>
      <c r="F11" s="551">
        <f>IF(VF_EstudioEntregado!AA11="","",(E11*D11))</f>
        <v>349799.78600000002</v>
      </c>
      <c r="G11" s="561"/>
      <c r="H11" s="570">
        <f>G11*D11</f>
        <v>0</v>
      </c>
      <c r="I11" s="571" t="str">
        <f>IF(G11&lt;&gt;0,IF(AND(E11&gt;=G11,G11&lt;&gt;0),"Cumple","No cumple"),"Valor vacío")</f>
        <v>Valor vacío</v>
      </c>
      <c r="J11" s="572">
        <f t="shared" ref="J11:J42" si="0">E11-G11</f>
        <v>5829.9964333333337</v>
      </c>
      <c r="K11" s="571" t="str">
        <f t="shared" ref="K11:K42" si="1">IF(F11&gt;=H11,"Cumple","No cumple")</f>
        <v>Cumple</v>
      </c>
      <c r="L11" s="572">
        <f t="shared" ref="L11:L42" si="2">F11-H11</f>
        <v>349799.78600000002</v>
      </c>
    </row>
    <row r="12" spans="1:12" ht="45" x14ac:dyDescent="0.25">
      <c r="A12" s="550">
        <v>2</v>
      </c>
      <c r="B12" s="568" t="str">
        <f>IF(VF_EstudioEntregado!C12="","",VF_EstudioEntregado!C12)</f>
        <v xml:space="preserve">Esfero cualquier color caja x 10 </v>
      </c>
      <c r="C12" s="569" t="str">
        <f>IF(VF_EstudioEntregado!D12="","",VF_EstudioEntregado!D12)</f>
        <v>Caja de 10 bolígrafos con tinta suave de baja viscosidad en colores variados. Cuerpo ergonómico transparente para control de tinta, punta de tungsteno para trazos precisos y tapa de seguridad ventilada.</v>
      </c>
      <c r="D12" s="550">
        <f>IF(VF_EstudioEntregado!F12="","",VF_EstudioEntregado!F12)</f>
        <v>6</v>
      </c>
      <c r="E12" s="551">
        <f>IF(VF_EstudioEntregado!Z12="","",VF_EstudioEntregado!Z12)</f>
        <v>5951.9991999999993</v>
      </c>
      <c r="F12" s="551">
        <f>IF(VF_EstudioEntregado!AA12="","",(E12*D12))</f>
        <v>35711.995199999998</v>
      </c>
      <c r="G12" s="561"/>
      <c r="H12" s="570">
        <f t="shared" ref="H12:H75" si="3">G12*D12</f>
        <v>0</v>
      </c>
      <c r="I12" s="571" t="str">
        <f t="shared" ref="I12:I75" si="4">IF(G12&lt;&gt;0,IF(AND(E12&gt;=G12,G12&lt;&gt;0),"Cumple","No cumple"),"Valor vacío")</f>
        <v>Valor vacío</v>
      </c>
      <c r="J12" s="572">
        <f t="shared" si="0"/>
        <v>5951.9991999999993</v>
      </c>
      <c r="K12" s="571" t="str">
        <f t="shared" si="1"/>
        <v>Cumple</v>
      </c>
      <c r="L12" s="572">
        <f t="shared" si="2"/>
        <v>35711.995199999998</v>
      </c>
    </row>
    <row r="13" spans="1:12" ht="30" x14ac:dyDescent="0.25">
      <c r="A13" s="550">
        <v>3</v>
      </c>
      <c r="B13" s="568" t="str">
        <f>IF(VF_EstudioEntregado!C13="","",VF_EstudioEntregado!C13)</f>
        <v>Kit Básico de Pintura</v>
      </c>
      <c r="C13" s="569" t="str">
        <f>IF(VF_EstudioEntregado!D13="","",VF_EstudioEntregado!D13)</f>
        <v>Set compuesto por 2 pinceles (plano y redondo), paleta plástica pequeña y lápiz de boceto, empaque individual</v>
      </c>
      <c r="D13" s="550">
        <f>IF(VF_EstudioEntregado!F13="","",VF_EstudioEntregado!F13)</f>
        <v>60</v>
      </c>
      <c r="E13" s="551">
        <f>IF(VF_EstudioEntregado!Z13="","",VF_EstudioEntregado!Z13)</f>
        <v>32427.5</v>
      </c>
      <c r="F13" s="551">
        <f>IF(VF_EstudioEntregado!AA13="","",(E13*D13))</f>
        <v>1945650</v>
      </c>
      <c r="G13" s="561"/>
      <c r="H13" s="570">
        <f t="shared" si="3"/>
        <v>0</v>
      </c>
      <c r="I13" s="571" t="str">
        <f t="shared" si="4"/>
        <v>Valor vacío</v>
      </c>
      <c r="J13" s="572">
        <f t="shared" si="0"/>
        <v>32427.5</v>
      </c>
      <c r="K13" s="571" t="str">
        <f t="shared" si="1"/>
        <v>Cumple</v>
      </c>
      <c r="L13" s="572">
        <f t="shared" si="2"/>
        <v>1945650</v>
      </c>
    </row>
    <row r="14" spans="1:12" ht="30" x14ac:dyDescent="0.25">
      <c r="A14" s="550">
        <v>4</v>
      </c>
      <c r="B14" s="568" t="str">
        <f>IF(VF_EstudioEntregado!C14="","",VF_EstudioEntregado!C14)</f>
        <v>Pintura acrílica  de colores variados por  1.000 ml</v>
      </c>
      <c r="C14" s="569" t="str">
        <f>IF(VF_EstudioEntregado!D14="","",VF_EstudioEntregado!D14)</f>
        <v>Pintura acrílica 1.000 ml: Presentación en frasco mediano con tapa de rosca, consistencia espesa y alta concentración de pigmento, colores variados</v>
      </c>
      <c r="D14" s="550">
        <f>IF(VF_EstudioEntregado!F14="","",VF_EstudioEntregado!F14)</f>
        <v>60</v>
      </c>
      <c r="E14" s="551">
        <f>IF(VF_EstudioEntregado!Z14="","",VF_EstudioEntregado!Z14)</f>
        <v>44466.666533333337</v>
      </c>
      <c r="F14" s="551">
        <f>IF(VF_EstudioEntregado!AA14="","",(E14*D14))</f>
        <v>2667999.9920000001</v>
      </c>
      <c r="G14" s="561"/>
      <c r="H14" s="570">
        <f t="shared" si="3"/>
        <v>0</v>
      </c>
      <c r="I14" s="571" t="str">
        <f t="shared" si="4"/>
        <v>Valor vacío</v>
      </c>
      <c r="J14" s="572">
        <f t="shared" si="0"/>
        <v>44466.666533333337</v>
      </c>
      <c r="K14" s="571" t="str">
        <f t="shared" si="1"/>
        <v>Cumple</v>
      </c>
      <c r="L14" s="572">
        <f t="shared" si="2"/>
        <v>2667999.9920000001</v>
      </c>
    </row>
    <row r="15" spans="1:12" ht="45" x14ac:dyDescent="0.25">
      <c r="A15" s="550">
        <v>5</v>
      </c>
      <c r="B15" s="568" t="str">
        <f>IF(VF_EstudioEntregado!C15="","",VF_EstudioEntregado!C15)</f>
        <v xml:space="preserve">Papel kraft  rollo </v>
      </c>
      <c r="C15" s="569" t="str">
        <f>IF(VF_EstudioEntregado!D15="","",VF_EstudioEntregado!D15)</f>
        <v xml:space="preserve">Rollo de papel kraft con un ancho de 24 pulgadas (aprox. 61 cm) y una longitud de 150 metros. Con un gramaje de 60 g/m²
</v>
      </c>
      <c r="D15" s="550">
        <f>IF(VF_EstudioEntregado!F15="","",VF_EstudioEntregado!F15)</f>
        <v>3</v>
      </c>
      <c r="E15" s="551">
        <f>IF(VF_EstudioEntregado!Z15="","",VF_EstudioEntregado!Z15)</f>
        <v>494.0007333333333</v>
      </c>
      <c r="F15" s="551">
        <f>IF(VF_EstudioEntregado!AA15="","",(E15*D15))</f>
        <v>1482.0021999999999</v>
      </c>
      <c r="G15" s="561"/>
      <c r="H15" s="570">
        <f t="shared" si="3"/>
        <v>0</v>
      </c>
      <c r="I15" s="571" t="str">
        <f t="shared" si="4"/>
        <v>Valor vacío</v>
      </c>
      <c r="J15" s="572">
        <f t="shared" si="0"/>
        <v>494.0007333333333</v>
      </c>
      <c r="K15" s="571" t="str">
        <f t="shared" si="1"/>
        <v>Cumple</v>
      </c>
      <c r="L15" s="572">
        <f t="shared" si="2"/>
        <v>1482.0021999999999</v>
      </c>
    </row>
    <row r="16" spans="1:12" ht="45" x14ac:dyDescent="0.25">
      <c r="A16" s="550">
        <v>6</v>
      </c>
      <c r="B16" s="568" t="str">
        <f>IF(VF_EstudioEntregado!C16="","",VF_EstudioEntregado!C16)</f>
        <v>Botella Aluminio 750 ml</v>
      </c>
      <c r="C16" s="569" t="str">
        <f>IF(VF_EstudioEntregado!D16="","",VF_EstudioEntregado!D16)</f>
        <v>Botella en Aluminio Action 750ml / 25 Oz Tapa rosca con pitillo, libre de BPA, No retiene ni transmite sabores. Pintura exterior atóxica. • MATERIAL: Aluminio con tapa PP. • MEDIDAS: 24 x 7 cm. de diámetro</v>
      </c>
      <c r="D16" s="550">
        <f>IF(VF_EstudioEntregado!F16="","",VF_EstudioEntregado!F16)</f>
        <v>60</v>
      </c>
      <c r="E16" s="551">
        <f>IF(VF_EstudioEntregado!Z16="","",VF_EstudioEntregado!Z16)</f>
        <v>24603.93623333333</v>
      </c>
      <c r="F16" s="551">
        <f>IF(VF_EstudioEntregado!AA16="","",(E16*D16))</f>
        <v>1476236.1739999999</v>
      </c>
      <c r="G16" s="561"/>
      <c r="H16" s="570">
        <f t="shared" si="3"/>
        <v>0</v>
      </c>
      <c r="I16" s="571" t="str">
        <f t="shared" si="4"/>
        <v>Valor vacío</v>
      </c>
      <c r="J16" s="572">
        <f t="shared" si="0"/>
        <v>24603.93623333333</v>
      </c>
      <c r="K16" s="571" t="str">
        <f t="shared" si="1"/>
        <v>Cumple</v>
      </c>
      <c r="L16" s="572">
        <f t="shared" si="2"/>
        <v>1476236.1739999999</v>
      </c>
    </row>
    <row r="17" spans="1:12" ht="150" x14ac:dyDescent="0.25">
      <c r="A17" s="550">
        <v>7</v>
      </c>
      <c r="B17" s="568" t="str">
        <f>IF(VF_EstudioEntregado!C17="","",VF_EstudioEntregado!C17)</f>
        <v>Camiseta</v>
      </c>
      <c r="C17" s="569" t="str">
        <f>IF(VF_EstudioEntregado!D17="","",VF_EstudioEntregado!D17)</f>
        <v>Merchandising/     Camiseta T-Shirt Adulto
Camiseta T-Shirt 100% algodón de 180 gr., cuello redondo.
Marca: 28 cm x 21 cm / Screen A 4 tntas /delante y atras
Talla: XS, S, M, L, XL, XXL, XXXL
Diseño, logos y colores aprobados por la Oficinade Comunicaciones Alcaldia Local de Suba</v>
      </c>
      <c r="D17" s="550">
        <f>IF(VF_EstudioEntregado!F17="","",VF_EstudioEntregado!F17)</f>
        <v>60</v>
      </c>
      <c r="E17" s="551">
        <f>IF(VF_EstudioEntregado!Z17="","",VF_EstudioEntregado!Z17)</f>
        <v>42813.333333333336</v>
      </c>
      <c r="F17" s="551">
        <f>IF(VF_EstudioEntregado!AA17="","",(E17*D17))</f>
        <v>2568800</v>
      </c>
      <c r="G17" s="561"/>
      <c r="H17" s="570">
        <f t="shared" si="3"/>
        <v>0</v>
      </c>
      <c r="I17" s="571" t="str">
        <f t="shared" si="4"/>
        <v>Valor vacío</v>
      </c>
      <c r="J17" s="572">
        <f t="shared" si="0"/>
        <v>42813.333333333336</v>
      </c>
      <c r="K17" s="571" t="str">
        <f t="shared" si="1"/>
        <v>Cumple</v>
      </c>
      <c r="L17" s="572">
        <f t="shared" si="2"/>
        <v>2568800</v>
      </c>
    </row>
    <row r="18" spans="1:12" ht="270" x14ac:dyDescent="0.25">
      <c r="A18" s="550">
        <v>8</v>
      </c>
      <c r="B18" s="568" t="str">
        <f>IF(VF_EstudioEntregado!C18="","",VF_EstudioEntregado!C18)</f>
        <v>Tapete o colchoneta individual</v>
      </c>
      <c r="C18" s="569" t="str">
        <f>IF(VF_EstudioEntregado!D18="","",VF_EstudioEntregado!D18)</f>
        <v xml:space="preserve">Tipo de producto: Tapete individual para actividad física y corporal
Material: Espuma de alta densidad, PVC, EVA o material sintético equivalente
Espesor: Entre 6 mm y 10 mm
Dimensiones: Largo entre 170 cm y 185 cm; ancho entre 55 cm y 65 cm
Superficie:  Antideslizante en ambas caras
Textura: Acolchada y flexible para mayor comodidad y protección
Peso: Liviano, fácil de transportar
Absorción de impacto: Nivel medio de amortiguación para ejercicios en suelo
Resistencia: Alta resistencia al uso continuo, presión corporal y deformación
Impermeabilidad; Material resistente a humedad y sudor
Sistema de enrollado:, Flexible, enrollable para almacenamiento práctico
Transporte: Incluye banda elástica o correa de sujeción (opcional), aprobado en comité técnico por el supervisor y/o apoyo a la supervisión.
Color, Colores sólidos o institucionales según disponibilidad, aprobados en comité técnico (supervisor y/o apoyo a la supervisión).
Olor:, Material con bajo nivel de olor químico
Bordes:, Bordes sellados o reforzados para evitar desgaste prematuro, empaque individual . </v>
      </c>
      <c r="D18" s="550">
        <f>IF(VF_EstudioEntregado!F18="","",VF_EstudioEntregado!F18)</f>
        <v>60</v>
      </c>
      <c r="E18" s="551">
        <f>IF(VF_EstudioEntregado!Z18="","",VF_EstudioEntregado!Z18)</f>
        <v>56941.5</v>
      </c>
      <c r="F18" s="551">
        <f>IF(VF_EstudioEntregado!AA18="","",(E18*D18))</f>
        <v>3416490</v>
      </c>
      <c r="G18" s="561"/>
      <c r="H18" s="570">
        <f t="shared" si="3"/>
        <v>0</v>
      </c>
      <c r="I18" s="571" t="str">
        <f t="shared" si="4"/>
        <v>Valor vacío</v>
      </c>
      <c r="J18" s="572">
        <f t="shared" si="0"/>
        <v>56941.5</v>
      </c>
      <c r="K18" s="571" t="str">
        <f t="shared" si="1"/>
        <v>Cumple</v>
      </c>
      <c r="L18" s="572">
        <f t="shared" si="2"/>
        <v>3416490</v>
      </c>
    </row>
    <row r="19" spans="1:12" ht="210" x14ac:dyDescent="0.25">
      <c r="A19" s="550">
        <v>9</v>
      </c>
      <c r="B19" s="568" t="str">
        <f>IF(VF_EstudioEntregado!C19="","",VF_EstudioEntregado!C19)</f>
        <v>Tula Deportiva con logos</v>
      </c>
      <c r="C19" s="569" t="str">
        <f>IF(VF_EstudioEntregado!D19="","",VF_EstudioEntregado!D19)</f>
        <v>Color: unisex, Poliester 210d, con cordón para ajustar y cargar, con bolsillo delantero y cremallera, con refuerzo en las esquinas
Características:
Alto: 45 cm
Ancho: 35 cm
Profundidad: 20 garantía: 12 Meses
Con logos aprobados por la oficina de prensa del FDLS</v>
      </c>
      <c r="D19" s="550">
        <f>IF(VF_EstudioEntregado!F19="","",VF_EstudioEntregado!F19)</f>
        <v>60</v>
      </c>
      <c r="E19" s="551">
        <f>IF(VF_EstudioEntregado!Z19="","",VF_EstudioEntregado!Z19)</f>
        <v>14640</v>
      </c>
      <c r="F19" s="551">
        <f>IF(VF_EstudioEntregado!AA19="","",(E19*D19))</f>
        <v>878400</v>
      </c>
      <c r="G19" s="561"/>
      <c r="H19" s="570">
        <f t="shared" si="3"/>
        <v>0</v>
      </c>
      <c r="I19" s="571" t="str">
        <f t="shared" si="4"/>
        <v>Valor vacío</v>
      </c>
      <c r="J19" s="572">
        <f t="shared" si="0"/>
        <v>14640</v>
      </c>
      <c r="K19" s="571" t="str">
        <f t="shared" si="1"/>
        <v>Cumple</v>
      </c>
      <c r="L19" s="572">
        <f t="shared" si="2"/>
        <v>878400</v>
      </c>
    </row>
    <row r="20" spans="1:12" ht="60" x14ac:dyDescent="0.25">
      <c r="A20" s="550">
        <v>10</v>
      </c>
      <c r="B20" s="568" t="str">
        <f>IF(VF_EstudioEntregado!C20="","",VF_EstudioEntregado!C20)</f>
        <v>Certificado de participación</v>
      </c>
      <c r="C20" s="569" t="str">
        <f>IF(VF_EstudioEntregado!D20="","",VF_EstudioEntregado!D20)</f>
        <v>Impresión a media carta 4 tintas en papel
propalcote o kimberly 200 gr, tamaño 22x28 cm con nombres individuales o espacio para el mismo, refilados.</v>
      </c>
      <c r="D20" s="550">
        <f>IF(VF_EstudioEntregado!F20="","",VF_EstudioEntregado!F20)</f>
        <v>60</v>
      </c>
      <c r="E20" s="551">
        <f>IF(VF_EstudioEntregado!Z20="","",VF_EstudioEntregado!Z20)</f>
        <v>3206.001733333333</v>
      </c>
      <c r="F20" s="551">
        <f>IF(VF_EstudioEntregado!AA20="","",(E20*D20))</f>
        <v>192360.10399999999</v>
      </c>
      <c r="G20" s="561"/>
      <c r="H20" s="570">
        <f t="shared" si="3"/>
        <v>0</v>
      </c>
      <c r="I20" s="571" t="str">
        <f t="shared" si="4"/>
        <v>Valor vacío</v>
      </c>
      <c r="J20" s="572">
        <f t="shared" si="0"/>
        <v>3206.001733333333</v>
      </c>
      <c r="K20" s="571" t="str">
        <f t="shared" si="1"/>
        <v>Cumple</v>
      </c>
      <c r="L20" s="572">
        <f t="shared" si="2"/>
        <v>192360.10399999999</v>
      </c>
    </row>
    <row r="21" spans="1:12" ht="90" x14ac:dyDescent="0.25">
      <c r="A21" s="550">
        <v>11</v>
      </c>
      <c r="B21" s="568" t="str">
        <f>IF(VF_EstudioEntregado!C21="","",VF_EstudioEntregado!C21)</f>
        <v>Salón - Espacio Apto para 50 personas  (media jornada más equipos audiovisuales)</v>
      </c>
      <c r="C21" s="569" t="str">
        <f>IF(VF_EstudioEntregado!D21="","",VF_EstudioEntregado!D21)</f>
        <v>Espacio físico para 50 personas con baño, sillas y mesas, ubicado en la localidad de Suba, con disponibilidad de espacio exterior para desarrollo de actividades
Dotado con equipo de computo, video beam y sonido
Jornada de 4 horas</v>
      </c>
      <c r="D21" s="550">
        <f>IF(VF_EstudioEntregado!F21="","",VF_EstudioEntregado!F21)</f>
        <v>108</v>
      </c>
      <c r="E21" s="551">
        <f>IF(VF_EstudioEntregado!Z21="","",VF_EstudioEntregado!Z21)</f>
        <v>330000.685</v>
      </c>
      <c r="F21" s="551">
        <f>IF(VF_EstudioEntregado!AA21="","",(E21*D21))</f>
        <v>35640073.979999997</v>
      </c>
      <c r="G21" s="561"/>
      <c r="H21" s="570">
        <f t="shared" si="3"/>
        <v>0</v>
      </c>
      <c r="I21" s="571" t="str">
        <f t="shared" si="4"/>
        <v>Valor vacío</v>
      </c>
      <c r="J21" s="572">
        <f t="shared" si="0"/>
        <v>330000.685</v>
      </c>
      <c r="K21" s="571" t="str">
        <f t="shared" si="1"/>
        <v>Cumple</v>
      </c>
      <c r="L21" s="572">
        <f t="shared" si="2"/>
        <v>35640073.979999997</v>
      </c>
    </row>
    <row r="22" spans="1:12" ht="90" x14ac:dyDescent="0.25">
      <c r="A22" s="550">
        <v>12</v>
      </c>
      <c r="B22" s="568" t="str">
        <f>IF(VF_EstudioEntregado!C22="","",VF_EstudioEntregado!C22)</f>
        <v>Salón - Espacio Apto para 100 personas  (media jornada más equipos audiovisuales)</v>
      </c>
      <c r="C22" s="569" t="str">
        <f>IF(VF_EstudioEntregado!D22="","",VF_EstudioEntregado!D22)</f>
        <v>Espacio físico para 100 personas con baño, sillas y mesas, ubicado en la localidad de Suba, con disponibilidad de espacio exterior para desarrollo de actividades
Dotado con equipo de computo, video beam y sonido
Jornada de 4 horas</v>
      </c>
      <c r="D22" s="550">
        <f>IF(VF_EstudioEntregado!F22="","",VF_EstudioEntregado!F22)</f>
        <v>5</v>
      </c>
      <c r="E22" s="551">
        <f>IF(VF_EstudioEntregado!Z22="","",VF_EstudioEntregado!Z22)</f>
        <v>330000.685</v>
      </c>
      <c r="F22" s="551">
        <f>IF(VF_EstudioEntregado!AA22="","",(E22*D22))</f>
        <v>1650003.425</v>
      </c>
      <c r="G22" s="561"/>
      <c r="H22" s="570">
        <f t="shared" si="3"/>
        <v>0</v>
      </c>
      <c r="I22" s="571" t="str">
        <f t="shared" si="4"/>
        <v>Valor vacío</v>
      </c>
      <c r="J22" s="572">
        <f t="shared" si="0"/>
        <v>330000.685</v>
      </c>
      <c r="K22" s="571" t="str">
        <f t="shared" si="1"/>
        <v>Cumple</v>
      </c>
      <c r="L22" s="572">
        <f t="shared" si="2"/>
        <v>1650003.425</v>
      </c>
    </row>
    <row r="23" spans="1:12" ht="270" x14ac:dyDescent="0.25">
      <c r="A23" s="550">
        <v>13</v>
      </c>
      <c r="B23" s="568" t="str">
        <f>IF(VF_EstudioEntregado!C23="","",VF_EstudioEntregado!C23)</f>
        <v>Refrigerio Tipo 1</v>
      </c>
      <c r="C23" s="569" t="str">
        <f>IF(VF_EstudioEntregado!D23="","",VF_EstudioEntregado!D23)</f>
        <v>Compuesto por: 
1. Bebida: Deberá contener al menos 200 mililitros. Jugo de frutas y/o yogurt y/o kumis y/o avena, naturales no procesados, no se permitirá el suministro de bebidas empacadas en bolsa plástica, la Alcaldía Local de Suba requiere que las mismas sean entregadas a los asistentes en empaque tetra pack. 
2. Un producto cereal   o producto de panadería tipo: Deberán tener un peso mínimo de 100 gramos. Podrá ser  Pastel de pollo o carne, ponqué, arepa, empanada, mantecada,  arepa con queso, pastel gloria, croissant de jamón y queso, brownie, buñuelo o similares. Los gramajes corresponden a los productos ya elaborados.   
3. Una fruta de temporada: Porción de fruta no menor de 100 gramos. Mandarina, naranja,  manzana, pera, durazno o similares. 
4. Dulce: Deberá tener mínimo entre 12 y 15 gramos. Chocolatina, Arequipe,  bocadillo o similares.</v>
      </c>
      <c r="D23" s="550">
        <f>IF(VF_EstudioEntregado!F23="","",VF_EstudioEntregado!F23)</f>
        <v>540</v>
      </c>
      <c r="E23" s="551">
        <f>IF(VF_EstudioEntregado!Z23="","",VF_EstudioEntregado!Z23)</f>
        <v>11920.866666666667</v>
      </c>
      <c r="F23" s="551">
        <f>IF(VF_EstudioEntregado!AA23="","",(E23*D23))</f>
        <v>6437268</v>
      </c>
      <c r="G23" s="561"/>
      <c r="H23" s="570">
        <f t="shared" si="3"/>
        <v>0</v>
      </c>
      <c r="I23" s="571" t="str">
        <f t="shared" si="4"/>
        <v>Valor vacío</v>
      </c>
      <c r="J23" s="572">
        <f t="shared" si="0"/>
        <v>11920.866666666667</v>
      </c>
      <c r="K23" s="571" t="str">
        <f t="shared" si="1"/>
        <v>Cumple</v>
      </c>
      <c r="L23" s="572">
        <f t="shared" si="2"/>
        <v>6437268</v>
      </c>
    </row>
    <row r="24" spans="1:12" ht="210" x14ac:dyDescent="0.25">
      <c r="A24" s="550">
        <v>14</v>
      </c>
      <c r="B24" s="568" t="str">
        <f>IF(VF_EstudioEntregado!C24="","",VF_EstudioEntregado!C24)</f>
        <v>Refrigerio Especial</v>
      </c>
      <c r="C24" s="569" t="str">
        <f>IF(VF_EstudioEntregado!D24="","",VF_EstudioEntregado!D24)</f>
        <v>"BEBIDA: Jugo natural  de fruta en agua o  néctares,  o refrescos de fruta,  con opción sin azúcar, o bajo en azúcar, o gaseosas ligth o normal; contenido mínimo 200 ml, en empaque comercial  duro ( no en bolsa, no de icopor o plástico), o servido en vaso de vidrio
ALIMENTO PRINCIPAL: Sánduche de jamón y/o queso o atún o pollo o espinaca y queso en pan común o integral  para sánduche,  ponqués o galletas o palito de queso o arepas  con queso o pasteles gloria, de pollo, de carne,  de queso, de harina  integral o comunes; porción entre  60 a 100 gr.
ACOMPAÑAMIENTO: Papas fritas de pollo o natural, o fruta deshidratada, paq de 30gr.
FRUTA: De temporada 150 gr.
EMPAQUE:  En bolsa plástica bio-degradable (si se requiere), preferiblemente que los productos se encuentren en empaques reciclables y/o biodegradables.
OPCIONAL: servicio de entrega al usuario final."</v>
      </c>
      <c r="D24" s="550">
        <f>IF(VF_EstudioEntregado!F24="","",VF_EstudioEntregado!F24)</f>
        <v>65</v>
      </c>
      <c r="E24" s="551">
        <f>IF(VF_EstudioEntregado!Z24="","",VF_EstudioEntregado!Z24)</f>
        <v>26432.639999999999</v>
      </c>
      <c r="F24" s="551">
        <f>IF(VF_EstudioEntregado!AA24="","",(E24*D24))</f>
        <v>1718121.5999999999</v>
      </c>
      <c r="G24" s="561"/>
      <c r="H24" s="570">
        <f t="shared" si="3"/>
        <v>0</v>
      </c>
      <c r="I24" s="571" t="str">
        <f t="shared" si="4"/>
        <v>Valor vacío</v>
      </c>
      <c r="J24" s="572">
        <f t="shared" si="0"/>
        <v>26432.639999999999</v>
      </c>
      <c r="K24" s="571" t="str">
        <f t="shared" si="1"/>
        <v>Cumple</v>
      </c>
      <c r="L24" s="572">
        <f t="shared" si="2"/>
        <v>1718121.5999999999</v>
      </c>
    </row>
    <row r="25" spans="1:12" ht="30" x14ac:dyDescent="0.25">
      <c r="A25" s="550">
        <v>15</v>
      </c>
      <c r="B25" s="568" t="str">
        <f>IF(VF_EstudioEntregado!C25="","",VF_EstudioEntregado!C25)</f>
        <v>Cuaderno 100 hojas</v>
      </c>
      <c r="C25" s="569" t="str">
        <f>IF(VF_EstudioEntregado!D25="","",VF_EstudioEntregado!D25)</f>
        <v>Cuaderno argollado de 100 hojas cuadriculadas, gramaje de 60g a 75g. Carátula en cartón rígido plastificado, espiral metálico sencillo o doble</v>
      </c>
      <c r="D25" s="550">
        <f>IF(VF_EstudioEntregado!F25="","",VF_EstudioEntregado!F25)</f>
        <v>60</v>
      </c>
      <c r="E25" s="551">
        <f>IF(VF_EstudioEntregado!Z25="","",VF_EstudioEntregado!Z25)</f>
        <v>5829.9964333333337</v>
      </c>
      <c r="F25" s="551">
        <f>IF(VF_EstudioEntregado!AA25="","",(E25*D25))</f>
        <v>349799.78600000002</v>
      </c>
      <c r="G25" s="561"/>
      <c r="H25" s="570">
        <f t="shared" si="3"/>
        <v>0</v>
      </c>
      <c r="I25" s="571" t="str">
        <f t="shared" si="4"/>
        <v>Valor vacío</v>
      </c>
      <c r="J25" s="572">
        <f t="shared" si="0"/>
        <v>5829.9964333333337</v>
      </c>
      <c r="K25" s="571" t="str">
        <f t="shared" si="1"/>
        <v>Cumple</v>
      </c>
      <c r="L25" s="572">
        <f t="shared" si="2"/>
        <v>349799.78600000002</v>
      </c>
    </row>
    <row r="26" spans="1:12" ht="45" x14ac:dyDescent="0.25">
      <c r="A26" s="550">
        <v>16</v>
      </c>
      <c r="B26" s="568" t="str">
        <f>IF(VF_EstudioEntregado!C26="","",VF_EstudioEntregado!C26)</f>
        <v xml:space="preserve">Esfero cualquier color caja x 10 </v>
      </c>
      <c r="C26" s="569" t="str">
        <f>IF(VF_EstudioEntregado!D26="","",VF_EstudioEntregado!D26)</f>
        <v>Caja de 10 bolígrafos con tinta suave de baja viscosidad en colores variados. Cuerpo ergonómico transparente para control de tinta, punta de tungsteno para trazos precisos y tapa de seguridad ventilada.</v>
      </c>
      <c r="D26" s="550">
        <f>IF(VF_EstudioEntregado!F26="","",VF_EstudioEntregado!F26)</f>
        <v>6</v>
      </c>
      <c r="E26" s="551">
        <f>IF(VF_EstudioEntregado!Z26="","",VF_EstudioEntregado!Z26)</f>
        <v>5951.9991999999993</v>
      </c>
      <c r="F26" s="551">
        <f>IF(VF_EstudioEntregado!AA26="","",(E26*D26))</f>
        <v>35711.995199999998</v>
      </c>
      <c r="G26" s="561"/>
      <c r="H26" s="570">
        <f t="shared" si="3"/>
        <v>0</v>
      </c>
      <c r="I26" s="571" t="str">
        <f t="shared" si="4"/>
        <v>Valor vacío</v>
      </c>
      <c r="J26" s="572">
        <f t="shared" si="0"/>
        <v>5951.9991999999993</v>
      </c>
      <c r="K26" s="571" t="str">
        <f t="shared" si="1"/>
        <v>Cumple</v>
      </c>
      <c r="L26" s="572">
        <f t="shared" si="2"/>
        <v>35711.995199999998</v>
      </c>
    </row>
    <row r="27" spans="1:12" ht="45" x14ac:dyDescent="0.25">
      <c r="A27" s="550">
        <v>17</v>
      </c>
      <c r="B27" s="568" t="str">
        <f>IF(VF_EstudioEntregado!C27="","",VF_EstudioEntregado!C27)</f>
        <v>Sobre de semillas para flores variadas</v>
      </c>
      <c r="C27" s="569" t="str">
        <f>IF(VF_EstudioEntregado!D27="","",VF_EstudioEntregado!D27)</f>
        <v>"Sobre de semillas flores.
Las plántulas, las semillas y las materas serán entregadas a les beneficaries al inicio de las sesiones con el fin de iniciar y realizar el seguimiento a la huerta emocional "</v>
      </c>
      <c r="D27" s="550">
        <f>IF(VF_EstudioEntregado!F27="","",VF_EstudioEntregado!F27)</f>
        <v>60</v>
      </c>
      <c r="E27" s="551">
        <f>IF(VF_EstudioEntregado!Z27="","",VF_EstudioEntregado!Z27)</f>
        <v>5066.6669666666667</v>
      </c>
      <c r="F27" s="551">
        <f>IF(VF_EstudioEntregado!AA27="","",(E27*D27))</f>
        <v>304000.01799999998</v>
      </c>
      <c r="G27" s="561"/>
      <c r="H27" s="570">
        <f t="shared" si="3"/>
        <v>0</v>
      </c>
      <c r="I27" s="571" t="str">
        <f t="shared" si="4"/>
        <v>Valor vacío</v>
      </c>
      <c r="J27" s="572">
        <f t="shared" si="0"/>
        <v>5066.6669666666667</v>
      </c>
      <c r="K27" s="571" t="str">
        <f t="shared" si="1"/>
        <v>Cumple</v>
      </c>
      <c r="L27" s="572">
        <f t="shared" si="2"/>
        <v>304000.01799999998</v>
      </c>
    </row>
    <row r="28" spans="1:12" ht="195" x14ac:dyDescent="0.25">
      <c r="A28" s="550">
        <v>18</v>
      </c>
      <c r="B28" s="568" t="str">
        <f>IF(VF_EstudioEntregado!C28="","",VF_EstudioEntregado!C28)</f>
        <v>Plantillas cartografía corporal</v>
      </c>
      <c r="C28" s="569" t="str">
        <f>IF(VF_EstudioEntregado!D28="","",VF_EstudioEntregado!D28)</f>
        <v>Tipo de material, Formato impreso pedagógico
Tamaño, Carta (21,59 x 27,94 cm) o tabloide según disponibilidad
Papel, Bond o propalcote mate
Gramaje, Entre 75 g/m² y 120 g/m²
Impresión, Blanco y negro o escala de grises (optimización de costos)
Diseño gráfico, Silueta corporal neutra (sin diferenciación de género)
Orientación, Vertical
Contenido visual, Figura humana frontal y posterior para registro emocional
Espacios de registro, Áreas destinadas a escritura, símbolos o coloración
Compatibilidad, Apta para lápiz, esfero, colores o marcadores
Presentación, Entrega individual por participante
Seguridad, Diseño inclusivo y respetuoso del enfoque diferencial aprobado en el comité técnico de apoyo a la supervisión.</v>
      </c>
      <c r="D28" s="550">
        <f>IF(VF_EstudioEntregado!F28="","",VF_EstudioEntregado!F28)</f>
        <v>60</v>
      </c>
      <c r="E28" s="551">
        <f>IF(VF_EstudioEntregado!Z28="","",VF_EstudioEntregado!Z28)</f>
        <v>13090</v>
      </c>
      <c r="F28" s="551">
        <f>IF(VF_EstudioEntregado!AA28="","",(E28*D28))</f>
        <v>785400</v>
      </c>
      <c r="G28" s="561"/>
      <c r="H28" s="570">
        <f t="shared" si="3"/>
        <v>0</v>
      </c>
      <c r="I28" s="571" t="str">
        <f t="shared" si="4"/>
        <v>Valor vacío</v>
      </c>
      <c r="J28" s="572">
        <f t="shared" si="0"/>
        <v>13090</v>
      </c>
      <c r="K28" s="571" t="str">
        <f t="shared" si="1"/>
        <v>Cumple</v>
      </c>
      <c r="L28" s="572">
        <f t="shared" si="2"/>
        <v>785400</v>
      </c>
    </row>
    <row r="29" spans="1:12" ht="315" x14ac:dyDescent="0.25">
      <c r="A29" s="550">
        <v>19</v>
      </c>
      <c r="B29" s="568" t="str">
        <f>IF(VF_EstudioEntregado!C29="","",VF_EstudioEntregado!C29)</f>
        <v>Folletos rutas institucionales</v>
      </c>
      <c r="C29" s="569" t="str">
        <f>IF(VF_EstudioEntregado!D29="","",VF_EstudioEntregado!D29)</f>
        <v xml:space="preserve">Tipo de material, Folleto informativo plegable
Formato, Díptico o tríptico
Tamaño abierto, Carta (21,59 x 27,94 cm)
Tamaño plegado, Aproximadamente 10 x 21 cm
Papel, Bond, propalcote mate o papel ecológico
Gramaje, Entre 90 g/m² y 150 g/m²
Impresión, Tinta negra o full color según disponibilidad presupuestal
Acabado, Mate, fácil lectura y manipulación
Diseño gráfico, Diagramación clara con iconografía accesible
Lenguaje, Claro, inclusivo y no estigmatizante
Tipografía, Legible, tamaño mínimo 10 pt
Presentación, Entrega individual
El folleto deberá incluir como mínimo:
Información básica sobre salud mental y búsqueda de ayuda.
Rutas institucionales de atención psicosocial.
Líneas telefónicas de emergencia y orientación.
Servicios locales de atención en salud mental.
Entidades de apoyo a población LGBTI.
Recomendaciones básicas ante crisis emocional.
Mensaje preventivo de cuidado y acompañamiento.
Este será aprobado por el supervisor y/o apoyos a la supervisión. </v>
      </c>
      <c r="D29" s="550">
        <f>IF(VF_EstudioEntregado!F29="","",VF_EstudioEntregado!F29)</f>
        <v>60</v>
      </c>
      <c r="E29" s="551">
        <f>IF(VF_EstudioEntregado!Z29="","",VF_EstudioEntregado!Z29)</f>
        <v>8032.5</v>
      </c>
      <c r="F29" s="551">
        <f>IF(VF_EstudioEntregado!AA29="","",(E29*D29))</f>
        <v>481950</v>
      </c>
      <c r="G29" s="561"/>
      <c r="H29" s="570">
        <f t="shared" si="3"/>
        <v>0</v>
      </c>
      <c r="I29" s="571" t="str">
        <f t="shared" si="4"/>
        <v>Valor vacío</v>
      </c>
      <c r="J29" s="572">
        <f t="shared" si="0"/>
        <v>8032.5</v>
      </c>
      <c r="K29" s="571" t="str">
        <f t="shared" si="1"/>
        <v>Cumple</v>
      </c>
      <c r="L29" s="572">
        <f t="shared" si="2"/>
        <v>481950</v>
      </c>
    </row>
    <row r="30" spans="1:12" ht="165" x14ac:dyDescent="0.25">
      <c r="A30" s="550">
        <v>20</v>
      </c>
      <c r="B30" s="568" t="str">
        <f>IF(VF_EstudioEntregado!C30="","",VF_EstudioEntregado!C30)</f>
        <v>Plántulas vivas</v>
      </c>
      <c r="C30" s="569" t="str">
        <f>IF(VF_EstudioEntregado!D30="","",VF_EstudioEntregado!D30)</f>
        <v>"Plántulas vivas, y/o plantas vivas, Variedad de especies: Plantas aromáticas, medicinales, ornamentales y hortalizas (ej.: hierbabuena, albahaca blanca, limonaria, ruda, menta, cidrón, albahaca morada, lechuga, espinaca, caléndula, manzanilla dulce, siempre viva, u otras especies adaptadas al clima local).
Condición fitosanitaria: Libre de plagas y enfermedades visibles, aptas para trasplante.
Estado de desarrollo: Altura aproximada entre 8 y 20 cm, con sistema radicular formado y adecuado para trasplante.
Presentación: Plántulas en bolsas biodegradables o contenedores reutilizables.
Origen: Viveros certificados o proveedores locales que garanticen calidad vegetal y adaptación climática en la localidad. "</v>
      </c>
      <c r="D30" s="550">
        <f>IF(VF_EstudioEntregado!F30="","",VF_EstudioEntregado!F30)</f>
        <v>60</v>
      </c>
      <c r="E30" s="551">
        <f>IF(VF_EstudioEntregado!Z30="","",VF_EstudioEntregado!Z30)</f>
        <v>11766.666666666666</v>
      </c>
      <c r="F30" s="551">
        <f>IF(VF_EstudioEntregado!AA30="","",(E30*D30))</f>
        <v>706000</v>
      </c>
      <c r="G30" s="561"/>
      <c r="H30" s="570">
        <f t="shared" si="3"/>
        <v>0</v>
      </c>
      <c r="I30" s="571" t="str">
        <f t="shared" si="4"/>
        <v>Valor vacío</v>
      </c>
      <c r="J30" s="572">
        <f t="shared" si="0"/>
        <v>11766.666666666666</v>
      </c>
      <c r="K30" s="571" t="str">
        <f t="shared" si="1"/>
        <v>Cumple</v>
      </c>
      <c r="L30" s="572">
        <f t="shared" si="2"/>
        <v>706000</v>
      </c>
    </row>
    <row r="31" spans="1:12" x14ac:dyDescent="0.25">
      <c r="A31" s="550">
        <v>21</v>
      </c>
      <c r="B31" s="568" t="str">
        <f>IF(VF_EstudioEntregado!C31="","",VF_EstudioEntregado!C31)</f>
        <v>Cajas Arómaticas</v>
      </c>
      <c r="C31" s="569" t="str">
        <f>IF(VF_EstudioEntregado!D31="","",VF_EstudioEntregado!D31)</f>
        <v>Cajas aromáticas de 60 paquetes cualquier sabor</v>
      </c>
      <c r="D31" s="550">
        <f>IF(VF_EstudioEntregado!F31="","",VF_EstudioEntregado!F31)</f>
        <v>60</v>
      </c>
      <c r="E31" s="551">
        <f>IF(VF_EstudioEntregado!Z31="","",VF_EstudioEntregado!Z31)</f>
        <v>28643.331733333336</v>
      </c>
      <c r="F31" s="551">
        <f>IF(VF_EstudioEntregado!AA31="","",(E31*D31))</f>
        <v>1718599.9040000001</v>
      </c>
      <c r="G31" s="561"/>
      <c r="H31" s="570">
        <f t="shared" si="3"/>
        <v>0</v>
      </c>
      <c r="I31" s="571" t="str">
        <f t="shared" si="4"/>
        <v>Valor vacío</v>
      </c>
      <c r="J31" s="572">
        <f t="shared" si="0"/>
        <v>28643.331733333336</v>
      </c>
      <c r="K31" s="571" t="str">
        <f t="shared" si="1"/>
        <v>Cumple</v>
      </c>
      <c r="L31" s="572">
        <f t="shared" si="2"/>
        <v>1718599.9040000001</v>
      </c>
    </row>
    <row r="32" spans="1:12" ht="30" x14ac:dyDescent="0.25">
      <c r="A32" s="550">
        <v>22</v>
      </c>
      <c r="B32" s="568" t="str">
        <f>IF(VF_EstudioEntregado!C32="","",VF_EstudioEntregado!C32)</f>
        <v>Cartulina por octavos paquete 50 láminas</v>
      </c>
      <c r="C32" s="569" t="str">
        <f>IF(VF_EstudioEntregado!D32="","",VF_EstudioEntregado!D32)</f>
        <v>Paquete de 50 láminas de cartulina de 25 x 35 cm (1/8 de pliego), gramaje de 180g, colores surtidos o color único según requerimiento.</v>
      </c>
      <c r="D32" s="550">
        <f>IF(VF_EstudioEntregado!F32="","",VF_EstudioEntregado!F32)</f>
        <v>60</v>
      </c>
      <c r="E32" s="551">
        <f>IF(VF_EstudioEntregado!Z32="","",VF_EstudioEntregado!Z32)</f>
        <v>15537.056500000001</v>
      </c>
      <c r="F32" s="551">
        <f>IF(VF_EstudioEntregado!AA32="","",(E32*D32))</f>
        <v>932223.39</v>
      </c>
      <c r="G32" s="561"/>
      <c r="H32" s="570">
        <f t="shared" si="3"/>
        <v>0</v>
      </c>
      <c r="I32" s="571" t="str">
        <f t="shared" si="4"/>
        <v>Valor vacío</v>
      </c>
      <c r="J32" s="572">
        <f t="shared" si="0"/>
        <v>15537.056500000001</v>
      </c>
      <c r="K32" s="571" t="str">
        <f t="shared" si="1"/>
        <v>Cumple</v>
      </c>
      <c r="L32" s="572">
        <f t="shared" si="2"/>
        <v>932223.39</v>
      </c>
    </row>
    <row r="33" spans="1:12" ht="150" x14ac:dyDescent="0.25">
      <c r="A33" s="550">
        <v>23</v>
      </c>
      <c r="B33" s="568" t="str">
        <f>IF(VF_EstudioEntregado!C33="","",VF_EstudioEntregado!C33)</f>
        <v>Tula Deportiva</v>
      </c>
      <c r="C33" s="569" t="str">
        <f>IF(VF_EstudioEntregado!D33="","",VF_EstudioEntregado!D33)</f>
        <v xml:space="preserve">Color: unisex, Poliester 210d, con cordón para ajustar y cargar, con bolsillo delantero y cremallera, con refuerzo en las esquinas
Características:
Alto: 45 cm
Ancho: 35 cm
Profundidad: 20 garantía: 12 Meses </v>
      </c>
      <c r="D33" s="550">
        <f>IF(VF_EstudioEntregado!F33="","",VF_EstudioEntregado!F33)</f>
        <v>60</v>
      </c>
      <c r="E33" s="551">
        <f>IF(VF_EstudioEntregado!Z33="","",VF_EstudioEntregado!Z33)</f>
        <v>20875</v>
      </c>
      <c r="F33" s="551">
        <f>IF(VF_EstudioEntregado!AA33="","",(E33*D33))</f>
        <v>1252500</v>
      </c>
      <c r="G33" s="561"/>
      <c r="H33" s="570">
        <f t="shared" si="3"/>
        <v>0</v>
      </c>
      <c r="I33" s="571" t="str">
        <f t="shared" si="4"/>
        <v>Valor vacío</v>
      </c>
      <c r="J33" s="572">
        <f t="shared" si="0"/>
        <v>20875</v>
      </c>
      <c r="K33" s="571" t="str">
        <f t="shared" si="1"/>
        <v>Cumple</v>
      </c>
      <c r="L33" s="572">
        <f t="shared" si="2"/>
        <v>1252500</v>
      </c>
    </row>
    <row r="34" spans="1:12" ht="45" x14ac:dyDescent="0.25">
      <c r="A34" s="550">
        <v>24</v>
      </c>
      <c r="B34" s="568" t="str">
        <f>IF(VF_EstudioEntregado!C34="","",VF_EstudioEntregado!C34)</f>
        <v xml:space="preserve">Papel kraft  rollo </v>
      </c>
      <c r="C34" s="569" t="str">
        <f>IF(VF_EstudioEntregado!D34="","",VF_EstudioEntregado!D34)</f>
        <v xml:space="preserve">Rollo de papel kraft con un ancho de 24 pulgadas (aprox. 61 cm) y una longitud de 150 metros. Con un gramaje de 60 g/m²
</v>
      </c>
      <c r="D34" s="550">
        <f>IF(VF_EstudioEntregado!F34="","",VF_EstudioEntregado!F34)</f>
        <v>3</v>
      </c>
      <c r="E34" s="551">
        <f>IF(VF_EstudioEntregado!Z34="","",VF_EstudioEntregado!Z34)</f>
        <v>494.0007333333333</v>
      </c>
      <c r="F34" s="551">
        <f>IF(VF_EstudioEntregado!AA34="","",(E34*D34))</f>
        <v>1482.0021999999999</v>
      </c>
      <c r="G34" s="561"/>
      <c r="H34" s="570">
        <f t="shared" si="3"/>
        <v>0</v>
      </c>
      <c r="I34" s="571" t="str">
        <f t="shared" si="4"/>
        <v>Valor vacío</v>
      </c>
      <c r="J34" s="572">
        <f t="shared" si="0"/>
        <v>494.0007333333333</v>
      </c>
      <c r="K34" s="571" t="str">
        <f t="shared" si="1"/>
        <v>Cumple</v>
      </c>
      <c r="L34" s="572">
        <f t="shared" si="2"/>
        <v>1482.0021999999999</v>
      </c>
    </row>
    <row r="35" spans="1:12" ht="75" x14ac:dyDescent="0.25">
      <c r="A35" s="550">
        <v>25</v>
      </c>
      <c r="B35" s="568" t="str">
        <f>IF(VF_EstudioEntregado!C35="","",VF_EstudioEntregado!C35)</f>
        <v>Materas</v>
      </c>
      <c r="C35" s="569" t="str">
        <f>IF(VF_EstudioEntregado!D35="","",VF_EstudioEntregado!D35)</f>
        <v>"""Matera plástica, Entre alto 5.5 pulgadas, ancho 6,5 pulgadas, y/o  12 alto y ancho, color negro o variados. Maceta de resina de estilo cónico. Resistente y ligera. Orificios de drenaje. Pigmentos de color de alta calidad y aditivos UV.
Las plántulas, las semillas y las materas serán entregadas a los beneficaries al inicio de las sesiones con el fin de iniciar y realizar el seguimiento a la huerta emocional. """</v>
      </c>
      <c r="D35" s="550">
        <f>IF(VF_EstudioEntregado!F35="","",VF_EstudioEntregado!F35)</f>
        <v>240</v>
      </c>
      <c r="E35" s="551">
        <f>IF(VF_EstudioEntregado!Z35="","",VF_EstudioEntregado!Z35)</f>
        <v>11225.666666666666</v>
      </c>
      <c r="F35" s="551">
        <f>IF(VF_EstudioEntregado!AA35="","",(E35*D35))</f>
        <v>2694160</v>
      </c>
      <c r="G35" s="561"/>
      <c r="H35" s="570">
        <f t="shared" si="3"/>
        <v>0</v>
      </c>
      <c r="I35" s="571" t="str">
        <f t="shared" si="4"/>
        <v>Valor vacío</v>
      </c>
      <c r="J35" s="572">
        <f t="shared" si="0"/>
        <v>11225.666666666666</v>
      </c>
      <c r="K35" s="571" t="str">
        <f t="shared" si="1"/>
        <v>Cumple</v>
      </c>
      <c r="L35" s="572">
        <f t="shared" si="2"/>
        <v>2694160</v>
      </c>
    </row>
    <row r="36" spans="1:12" ht="75" x14ac:dyDescent="0.25">
      <c r="A36" s="550">
        <v>26</v>
      </c>
      <c r="B36" s="568" t="str">
        <f>IF(VF_EstudioEntregado!C36="","",VF_EstudioEntregado!C36)</f>
        <v>Pulsera simbólica de la diversidad</v>
      </c>
      <c r="C36" s="569" t="str">
        <f>IF(VF_EstudioEntregado!D36="","",VF_EstudioEntregado!D36)</f>
        <v>Pulsera elaborada en material resistente e hipoalergénico (silicona o textil), con diseño alusivo a la bandera LGBTI  con su nombre, se sugiere mostacilla checha. Tamaño estándar ajustable, resistente al uso continuo y actividades comunitarias, el diseño y el material serán aprobados en el comité técnico por el supervisor y/o apoyos a la supervisión.</v>
      </c>
      <c r="D36" s="550">
        <f>IF(VF_EstudioEntregado!F36="","",VF_EstudioEntregado!F36)</f>
        <v>60</v>
      </c>
      <c r="E36" s="551">
        <f>IF(VF_EstudioEntregado!Z36="","",VF_EstudioEntregado!Z36)</f>
        <v>7159.833333333333</v>
      </c>
      <c r="F36" s="551">
        <f>IF(VF_EstudioEntregado!AA36="","",(E36*D36))</f>
        <v>429590</v>
      </c>
      <c r="G36" s="561"/>
      <c r="H36" s="570">
        <f t="shared" si="3"/>
        <v>0</v>
      </c>
      <c r="I36" s="571" t="str">
        <f t="shared" si="4"/>
        <v>Valor vacío</v>
      </c>
      <c r="J36" s="572">
        <f t="shared" si="0"/>
        <v>7159.833333333333</v>
      </c>
      <c r="K36" s="571" t="str">
        <f t="shared" si="1"/>
        <v>Cumple</v>
      </c>
      <c r="L36" s="572">
        <f t="shared" si="2"/>
        <v>429590</v>
      </c>
    </row>
    <row r="37" spans="1:12" ht="210" x14ac:dyDescent="0.25">
      <c r="A37" s="550">
        <v>27</v>
      </c>
      <c r="B37" s="568" t="str">
        <f>IF(VF_EstudioEntregado!C37="","",VF_EstudioEntregado!C37)</f>
        <v>Tula Deportiva con logos</v>
      </c>
      <c r="C37" s="569" t="str">
        <f>IF(VF_EstudioEntregado!D37="","",VF_EstudioEntregado!D37)</f>
        <v>Color: unisex, Poliester 210d, con cordón para ajustar y cargar, con bolsillo delantero y cremallera, con refuerzo en las esquinas
Características:
Alto: 45 cm
Ancho: 35 cm
Profundidad: 20 garantía: 12 Meses
Con logos aprobados por la oficina de prensa del FDLS</v>
      </c>
      <c r="D37" s="550">
        <f>IF(VF_EstudioEntregado!F37="","",VF_EstudioEntregado!F37)</f>
        <v>60</v>
      </c>
      <c r="E37" s="551">
        <f>IF(VF_EstudioEntregado!Z37="","",VF_EstudioEntregado!Z37)</f>
        <v>14640</v>
      </c>
      <c r="F37" s="551">
        <f>IF(VF_EstudioEntregado!AA37="","",(E37*D37))</f>
        <v>878400</v>
      </c>
      <c r="G37" s="561"/>
      <c r="H37" s="570">
        <f t="shared" si="3"/>
        <v>0</v>
      </c>
      <c r="I37" s="571" t="str">
        <f t="shared" si="4"/>
        <v>Valor vacío</v>
      </c>
      <c r="J37" s="572">
        <f t="shared" si="0"/>
        <v>14640</v>
      </c>
      <c r="K37" s="571" t="str">
        <f t="shared" si="1"/>
        <v>Cumple</v>
      </c>
      <c r="L37" s="572">
        <f t="shared" si="2"/>
        <v>878400</v>
      </c>
    </row>
    <row r="38" spans="1:12" ht="60" x14ac:dyDescent="0.25">
      <c r="A38" s="550">
        <v>28</v>
      </c>
      <c r="B38" s="568" t="str">
        <f>IF(VF_EstudioEntregado!C38="","",VF_EstudioEntregado!C38)</f>
        <v>Certificado de participación</v>
      </c>
      <c r="C38" s="569" t="str">
        <f>IF(VF_EstudioEntregado!D38="","",VF_EstudioEntregado!D38)</f>
        <v>Impresión a media carta 4 tintas en papel
propalcote o kimberly 200 gr, tamaño 22x28 cm con nombres individuales o espacio para el mismo, refilados.</v>
      </c>
      <c r="D38" s="550">
        <f>IF(VF_EstudioEntregado!F38="","",VF_EstudioEntregado!F38)</f>
        <v>60</v>
      </c>
      <c r="E38" s="551">
        <f>IF(VF_EstudioEntregado!Z38="","",VF_EstudioEntregado!Z38)</f>
        <v>3206.001733333333</v>
      </c>
      <c r="F38" s="551">
        <f>IF(VF_EstudioEntregado!AA38="","",(E38*D38))</f>
        <v>192360.10399999999</v>
      </c>
      <c r="G38" s="561"/>
      <c r="H38" s="570">
        <f t="shared" si="3"/>
        <v>0</v>
      </c>
      <c r="I38" s="571" t="str">
        <f t="shared" si="4"/>
        <v>Valor vacío</v>
      </c>
      <c r="J38" s="572">
        <f t="shared" si="0"/>
        <v>3206.001733333333</v>
      </c>
      <c r="K38" s="571" t="str">
        <f t="shared" si="1"/>
        <v>Cumple</v>
      </c>
      <c r="L38" s="572">
        <f t="shared" si="2"/>
        <v>192360.10399999999</v>
      </c>
    </row>
    <row r="39" spans="1:12" ht="90" x14ac:dyDescent="0.25">
      <c r="A39" s="550">
        <v>29</v>
      </c>
      <c r="B39" s="568" t="str">
        <f>IF(VF_EstudioEntregado!C39="","",VF_EstudioEntregado!C39)</f>
        <v>Salón - Espacio Apto para 50 personas  (media jornada más equipos audiovisuales)</v>
      </c>
      <c r="C39" s="569" t="str">
        <f>IF(VF_EstudioEntregado!D39="","",VF_EstudioEntregado!D39)</f>
        <v>Espacio físico para 50 personas con baño, sillas y mesas, ubicado en la localidad de Suba, con disponibilidad de espacio exterior para desarrollo de actividades
Dotado con equipo de computo, video beam y sonido
Jornada de 4 horas</v>
      </c>
      <c r="D39" s="550">
        <f>IF(VF_EstudioEntregado!F39="","",VF_EstudioEntregado!F39)</f>
        <v>108</v>
      </c>
      <c r="E39" s="551">
        <f>IF(VF_EstudioEntregado!Z39="","",VF_EstudioEntregado!Z39)</f>
        <v>330000.685</v>
      </c>
      <c r="F39" s="551">
        <f>IF(VF_EstudioEntregado!AA39="","",(E39*D39))</f>
        <v>35640073.979999997</v>
      </c>
      <c r="G39" s="561"/>
      <c r="H39" s="570">
        <f t="shared" si="3"/>
        <v>0</v>
      </c>
      <c r="I39" s="571" t="str">
        <f t="shared" si="4"/>
        <v>Valor vacío</v>
      </c>
      <c r="J39" s="572">
        <f t="shared" si="0"/>
        <v>330000.685</v>
      </c>
      <c r="K39" s="571" t="str">
        <f t="shared" si="1"/>
        <v>Cumple</v>
      </c>
      <c r="L39" s="572">
        <f t="shared" si="2"/>
        <v>35640073.979999997</v>
      </c>
    </row>
    <row r="40" spans="1:12" ht="60" x14ac:dyDescent="0.25">
      <c r="A40" s="550">
        <v>30</v>
      </c>
      <c r="B40" s="568" t="str">
        <f>IF(VF_EstudioEntregado!C40="","",VF_EstudioEntregado!C40)</f>
        <v>Salón - Espacio Apto para 100 personas  (media jornada más equipos audiovisuales)</v>
      </c>
      <c r="C40" s="569" t="str">
        <f>IF(VF_EstudioEntregado!D40="","",VF_EstudioEntregado!D40)</f>
        <v>Espacio físico para 100 personas con baño, sillas y mesas, ubicado en la localidad de Suba, con disponibilidad de espacio exterior para desarrollo de actividades_x000D_
Dotado con equipo de computo, video beam y sonido_x000D_
Jornada de 4 horas</v>
      </c>
      <c r="D40" s="550">
        <f>IF(VF_EstudioEntregado!F40="","",VF_EstudioEntregado!F40)</f>
        <v>5</v>
      </c>
      <c r="E40" s="551">
        <f>IF(VF_EstudioEntregado!Z40="","",VF_EstudioEntregado!Z40)</f>
        <v>330000.685</v>
      </c>
      <c r="F40" s="551">
        <f>IF(VF_EstudioEntregado!AA40="","",(E40*D40))</f>
        <v>1650003.425</v>
      </c>
      <c r="G40" s="561"/>
      <c r="H40" s="570">
        <f t="shared" si="3"/>
        <v>0</v>
      </c>
      <c r="I40" s="571" t="str">
        <f t="shared" si="4"/>
        <v>Valor vacío</v>
      </c>
      <c r="J40" s="572">
        <f t="shared" si="0"/>
        <v>330000.685</v>
      </c>
      <c r="K40" s="571" t="str">
        <f t="shared" si="1"/>
        <v>Cumple</v>
      </c>
      <c r="L40" s="572">
        <f t="shared" si="2"/>
        <v>1650003.425</v>
      </c>
    </row>
    <row r="41" spans="1:12" ht="270" x14ac:dyDescent="0.25">
      <c r="A41" s="550">
        <v>31</v>
      </c>
      <c r="B41" s="568" t="str">
        <f>IF(VF_EstudioEntregado!C41="","",VF_EstudioEntregado!C41)</f>
        <v>Refrigerio Tipo 1</v>
      </c>
      <c r="C41" s="569" t="str">
        <f>IF(VF_EstudioEntregado!D41="","",VF_EstudioEntregado!D41)</f>
        <v>Compuesto por: 
1. Bebida: Deberá contener al menos 200 mililitros. Jugo de frutas y/o yogurt y/o kumis y/o avena, naturales no procesados, no se permitirá el suministro de bebidas empacadas en bolsa plástica, la Alcaldía Local de Suba requiere que las mismas sean entregadas a los asistentes en empaque tetra pack. 
2. Un producto cereal   o producto de panadería tipo: Deberán tener un peso mínimo de 100 gramos. Podrá ser  Pastel de pollo o carne, ponqué, arepa, empanada, mantecada,  arepa con queso, pastel gloria, croissant de jamón y queso, brownie, buñuelo o similares. Los gramajes corresponden a los productos ya elaborados.   
3. Una fruta de temporada: Porción de fruta no menor de 100 gramos. Mandarina, naranja,  manzana, pera, durazno o similares. 
4. Dulce: Deberá tener mínimo entre 12 y 15 gramos. Chocolatina, Arequipe,  bocadillo o similares.</v>
      </c>
      <c r="D41" s="550">
        <f>IF(VF_EstudioEntregado!F41="","",VF_EstudioEntregado!F41)</f>
        <v>540</v>
      </c>
      <c r="E41" s="551">
        <f>IF(VF_EstudioEntregado!Z41="","",VF_EstudioEntregado!Z41)</f>
        <v>11920.866666666667</v>
      </c>
      <c r="F41" s="551">
        <f>IF(VF_EstudioEntregado!AA41="","",(E41*D41))</f>
        <v>6437268</v>
      </c>
      <c r="G41" s="561"/>
      <c r="H41" s="570">
        <f t="shared" si="3"/>
        <v>0</v>
      </c>
      <c r="I41" s="571" t="str">
        <f t="shared" si="4"/>
        <v>Valor vacío</v>
      </c>
      <c r="J41" s="572">
        <f t="shared" si="0"/>
        <v>11920.866666666667</v>
      </c>
      <c r="K41" s="571" t="str">
        <f t="shared" si="1"/>
        <v>Cumple</v>
      </c>
      <c r="L41" s="572">
        <f t="shared" si="2"/>
        <v>6437268</v>
      </c>
    </row>
    <row r="42" spans="1:12" ht="210" x14ac:dyDescent="0.25">
      <c r="A42" s="550">
        <v>32</v>
      </c>
      <c r="B42" s="568" t="str">
        <f>IF(VF_EstudioEntregado!C42="","",VF_EstudioEntregado!C42)</f>
        <v>Refrigerio Especial</v>
      </c>
      <c r="C42" s="569" t="str">
        <f>IF(VF_EstudioEntregado!D42="","",VF_EstudioEntregado!D42)</f>
        <v>"BEBIDA: Jugo natural  de fruta en agua o  néctares,  o refrescos de fruta,  con opción sin azúcar, o bajo en azúcar, o gaseosas ligth o normal; contenido mínimo 200 ml, en empaque comercial  duro ( no en bolsa, no de icopor o plástico), o servido en vaso de vidrio
ALIMENTO PRINCIPAL: Sánduche de jamón y/o queso o atún o pollo o espinaca y queso en pan común o integral  para sánduche,  ponqués o galletas o palito de queso o arepas  con queso o pasteles gloria, de pollo, de carne,  de queso, de harina  integral o comunes; porción entre  60 a 100 gr.
ACOMPAÑAMIENTO: Papas fritas de pollo o natural, o fruta deshidratada, paq de 30gr.
FRUTA: De temporada 150 gr.
EMPAQUE:  En bolsa plástica bio-degradable (si se requiere), preferiblemente que los productos se encuentren en empaques reciclables y/o biodegradables.
OPCIONAL: servicio de entrega al usuario final."</v>
      </c>
      <c r="D42" s="550">
        <f>IF(VF_EstudioEntregado!F42="","",VF_EstudioEntregado!F42)</f>
        <v>65</v>
      </c>
      <c r="E42" s="551">
        <f>IF(VF_EstudioEntregado!Z42="","",VF_EstudioEntregado!Z42)</f>
        <v>26432.639999999999</v>
      </c>
      <c r="F42" s="551">
        <f>IF(VF_EstudioEntregado!AA42="","",(E42*D42))</f>
        <v>1718121.5999999999</v>
      </c>
      <c r="G42" s="561"/>
      <c r="H42" s="570">
        <f t="shared" si="3"/>
        <v>0</v>
      </c>
      <c r="I42" s="571" t="str">
        <f t="shared" si="4"/>
        <v>Valor vacío</v>
      </c>
      <c r="J42" s="572">
        <f t="shared" si="0"/>
        <v>26432.639999999999</v>
      </c>
      <c r="K42" s="571" t="str">
        <f t="shared" si="1"/>
        <v>Cumple</v>
      </c>
      <c r="L42" s="572">
        <f t="shared" si="2"/>
        <v>1718121.5999999999</v>
      </c>
    </row>
    <row r="43" spans="1:12" ht="270" x14ac:dyDescent="0.25">
      <c r="A43" s="550">
        <v>33</v>
      </c>
      <c r="B43" s="568" t="str">
        <f>IF(VF_EstudioEntregado!C43="","",VF_EstudioEntregado!C43)</f>
        <v>Refrigerio Tipo 1</v>
      </c>
      <c r="C43" s="569" t="str">
        <f>IF(VF_EstudioEntregado!D43="","",VF_EstudioEntregado!D43)</f>
        <v>Compuesto por: 
1. Bebida: Deberá contener al menos 200 mililitros. Jugo de frutas y/o yogurt y/o kumis y/o avena, naturales no procesados, no se permitirá el suministro de bebidas empacadas en bolsa plástica, la Alcaldía Local de Suba requiere que las mismas sean entregadas a los asistentes en empaque tetra pack. 
2. Un producto cereal   o producto de panadería tipo: Deberán tener un peso mínimo de 100 gramos. Podrá ser  Pastel de pollo o carne, ponqué, arepa, empanada, mantecada,  arepa con queso, pastel gloria, croissant de jamón y queso, brownie, buñuelo o similares. Los gramajes corresponden a los productos ya elaborados.   
3. Una fruta de temporada: Porción de fruta no menor de 100 gramos. Mandarina, naranja,  manzana, pera, durazno o similares. 
4. Dulce: Deberá tener mínimo entre 12 y 15 gramos. Chocolatina, Arequipe,  bocadillo o similares.</v>
      </c>
      <c r="D43" s="550">
        <f>IF(VF_EstudioEntregado!F43="","",VF_EstudioEntregado!F43)</f>
        <v>550</v>
      </c>
      <c r="E43" s="551">
        <f>IF(VF_EstudioEntregado!Z43="","",VF_EstudioEntregado!Z43)</f>
        <v>11920.866666666667</v>
      </c>
      <c r="F43" s="551">
        <f>IF(VF_EstudioEntregado!AA43="","",(E43*D43))</f>
        <v>6556476.666666667</v>
      </c>
      <c r="G43" s="561"/>
      <c r="H43" s="570">
        <f t="shared" si="3"/>
        <v>0</v>
      </c>
      <c r="I43" s="571" t="str">
        <f t="shared" si="4"/>
        <v>Valor vacío</v>
      </c>
      <c r="J43" s="572">
        <f t="shared" ref="J43:J74" si="5">E43-G43</f>
        <v>11920.866666666667</v>
      </c>
      <c r="K43" s="571" t="str">
        <f t="shared" ref="K43:K74" si="6">IF(F43&gt;=H43,"Cumple","No cumple")</f>
        <v>Cumple</v>
      </c>
      <c r="L43" s="572">
        <f t="shared" ref="L43:L74" si="7">F43-H43</f>
        <v>6556476.666666667</v>
      </c>
    </row>
    <row r="44" spans="1:12" ht="90" x14ac:dyDescent="0.25">
      <c r="A44" s="550">
        <v>34</v>
      </c>
      <c r="B44" s="568" t="str">
        <f>IF(VF_EstudioEntregado!C44="","",VF_EstudioEntregado!C44)</f>
        <v>Salón - Espacio Apto para 50 personas  (media jornada más equipos audiovisuales)</v>
      </c>
      <c r="C44" s="569" t="str">
        <f>IF(VF_EstudioEntregado!D44="","",VF_EstudioEntregado!D44)</f>
        <v>Espacio físico para 50 personas con baño, sillas y mesas, ubicado en la localidad de Suba, con disponibilidad de espacio exterior para desarrollo de actividades
Dotado con equipo de computo, video beam y sonido
Jornada de 4 horas</v>
      </c>
      <c r="D44" s="550">
        <f>IF(VF_EstudioEntregado!F44="","",VF_EstudioEntregado!F44)</f>
        <v>108</v>
      </c>
      <c r="E44" s="551">
        <f>IF(VF_EstudioEntregado!Z44="","",VF_EstudioEntregado!Z44)</f>
        <v>330000.685</v>
      </c>
      <c r="F44" s="551">
        <f>IF(VF_EstudioEntregado!AA44="","",(E44*D44))</f>
        <v>35640073.979999997</v>
      </c>
      <c r="G44" s="561"/>
      <c r="H44" s="570">
        <f t="shared" si="3"/>
        <v>0</v>
      </c>
      <c r="I44" s="571" t="str">
        <f t="shared" si="4"/>
        <v>Valor vacío</v>
      </c>
      <c r="J44" s="572">
        <f t="shared" si="5"/>
        <v>330000.685</v>
      </c>
      <c r="K44" s="571" t="str">
        <f t="shared" si="6"/>
        <v>Cumple</v>
      </c>
      <c r="L44" s="572">
        <f t="shared" si="7"/>
        <v>35640073.979999997</v>
      </c>
    </row>
    <row r="45" spans="1:12" ht="60" x14ac:dyDescent="0.25">
      <c r="A45" s="550">
        <v>35</v>
      </c>
      <c r="B45" s="568" t="str">
        <f>IF(VF_EstudioEntregado!C45="","",VF_EstudioEntregado!C45)</f>
        <v>Salón - Espacio Apto para 100 personas  (media jornada más equipos audiovisuales)</v>
      </c>
      <c r="C45" s="569" t="str">
        <f>IF(VF_EstudioEntregado!D45="","",VF_EstudioEntregado!D45)</f>
        <v>Espacio físico para 100 personas con baño, sillas y mesas, ubicado en la localidad de Suba, con disponibilidad de espacio exterior para desarrollo de actividades_x000D_
Dotado con equipo de computo, video beam y sonido_x000D_
Jornada de 4 horas</v>
      </c>
      <c r="D45" s="550">
        <f>IF(VF_EstudioEntregado!F45="","",VF_EstudioEntregado!F45)</f>
        <v>5</v>
      </c>
      <c r="E45" s="551">
        <f>IF(VF_EstudioEntregado!Z45="","",VF_EstudioEntregado!Z45)</f>
        <v>330000.685</v>
      </c>
      <c r="F45" s="551">
        <f>IF(VF_EstudioEntregado!AA45="","",(E45*D45))</f>
        <v>1650003.425</v>
      </c>
      <c r="G45" s="561"/>
      <c r="H45" s="570">
        <f t="shared" si="3"/>
        <v>0</v>
      </c>
      <c r="I45" s="571" t="str">
        <f t="shared" si="4"/>
        <v>Valor vacío</v>
      </c>
      <c r="J45" s="572">
        <f t="shared" si="5"/>
        <v>330000.685</v>
      </c>
      <c r="K45" s="571" t="str">
        <f t="shared" si="6"/>
        <v>Cumple</v>
      </c>
      <c r="L45" s="572">
        <f t="shared" si="7"/>
        <v>1650003.425</v>
      </c>
    </row>
    <row r="46" spans="1:12" ht="210" x14ac:dyDescent="0.25">
      <c r="A46" s="550">
        <v>36</v>
      </c>
      <c r="B46" s="568" t="str">
        <f>IF(VF_EstudioEntregado!C46="","",VF_EstudioEntregado!C46)</f>
        <v>Refrigerio Especial</v>
      </c>
      <c r="C46" s="569" t="str">
        <f>IF(VF_EstudioEntregado!D46="","",VF_EstudioEntregado!D46)</f>
        <v>"BEBIDA: Jugo natural  de fruta en agua o  néctares,  o refrescos de fruta,  con opción sin azúcar, o bajo en azúcar, o gaseosas ligth o normal; contenido mínimo 200 ml, en empaque comercial  duro ( no en bolsa, no de icopor o plástico), o servido en vaso de vidrio
ALIMENTO PRINCIPAL: Sánduche de jamón y/o queso o atún o pollo o espinaca y queso en pan común o integral  para sánduche,  ponqués o galletas o palito de queso o arepas  con queso o pasteles gloria, de pollo, de carne,  de queso, de harina  integral o comunes; porción entre  60 a 100 gr.
ACOMPAÑAMIENTO: Papas fritas de pollo o natural, o fruta deshidratada, paq de 30gr.
FRUTA: De temporada 150 gr.
EMPAQUE:  En bolsa plástica bio-degradable (si se requiere), preferiblemente que los productos se encuentren en empaques reciclables y/o biodegradables.
OPCIONAL: servicio de entrega al usuario final."</v>
      </c>
      <c r="D46" s="550">
        <f>IF(VF_EstudioEntregado!F46="","",VF_EstudioEntregado!F46)</f>
        <v>65</v>
      </c>
      <c r="E46" s="551">
        <f>IF(VF_EstudioEntregado!Z46="","",VF_EstudioEntregado!Z46)</f>
        <v>26432.639999999999</v>
      </c>
      <c r="F46" s="551">
        <f>IF(VF_EstudioEntregado!AA46="","",(E46*D46))</f>
        <v>1718121.5999999999</v>
      </c>
      <c r="G46" s="561"/>
      <c r="H46" s="570">
        <f t="shared" si="3"/>
        <v>0</v>
      </c>
      <c r="I46" s="571" t="str">
        <f t="shared" si="4"/>
        <v>Valor vacío</v>
      </c>
      <c r="J46" s="572">
        <f t="shared" si="5"/>
        <v>26432.639999999999</v>
      </c>
      <c r="K46" s="571" t="str">
        <f t="shared" si="6"/>
        <v>Cumple</v>
      </c>
      <c r="L46" s="572">
        <f t="shared" si="7"/>
        <v>1718121.5999999999</v>
      </c>
    </row>
    <row r="47" spans="1:12" x14ac:dyDescent="0.25">
      <c r="A47" s="550">
        <v>37</v>
      </c>
      <c r="B47" s="568" t="str">
        <f>IF(VF_EstudioEntregado!C47="","",VF_EstudioEntregado!C47)</f>
        <v>Agua en botella x 24 unidades 300 ml</v>
      </c>
      <c r="C47" s="569" t="str">
        <f>IF(VF_EstudioEntregado!D47="","",VF_EstudioEntregado!D47)</f>
        <v>Bandeja X 24 unidades de agua en botella por 300 ML.</v>
      </c>
      <c r="D47" s="550">
        <f>IF(VF_EstudioEntregado!F47="","",VF_EstudioEntregado!F47)</f>
        <v>25</v>
      </c>
      <c r="E47" s="551">
        <f>IF(VF_EstudioEntregado!Z47="","",VF_EstudioEntregado!Z47)</f>
        <v>17560.000966666663</v>
      </c>
      <c r="F47" s="551">
        <f>IF(VF_EstudioEntregado!AA47="","",(E47*D47))</f>
        <v>439000.02416666655</v>
      </c>
      <c r="G47" s="561"/>
      <c r="H47" s="570">
        <f t="shared" si="3"/>
        <v>0</v>
      </c>
      <c r="I47" s="571" t="str">
        <f t="shared" si="4"/>
        <v>Valor vacío</v>
      </c>
      <c r="J47" s="572">
        <f t="shared" si="5"/>
        <v>17560.000966666663</v>
      </c>
      <c r="K47" s="571" t="str">
        <f t="shared" si="6"/>
        <v>Cumple</v>
      </c>
      <c r="L47" s="572">
        <f t="shared" si="7"/>
        <v>439000.02416666655</v>
      </c>
    </row>
    <row r="48" spans="1:12" ht="90" x14ac:dyDescent="0.25">
      <c r="A48" s="550">
        <v>38</v>
      </c>
      <c r="B48" s="568" t="str">
        <f>IF(VF_EstudioEntregado!C48="","",VF_EstudioEntregado!C48)</f>
        <v xml:space="preserve">MAT PARA YOGA </v>
      </c>
      <c r="C48" s="569" t="str">
        <f>IF(VF_EstudioEntregado!D48="","",VF_EstudioEntregado!D48)</f>
        <v xml:space="preserve">Tapete para realizar ejercicios de pilates, yoga, aeróbicos, estiramiento, etc. en PVC antideslizante estable para el momento del ejercicio. medidas 175cm x 56vm x 10mm. Deberán ser adquiridos en comercios reconocidos, pertenecer a marcas tradicionales o de amplia trayectoria, contar con garantía mínima de un (1) año y cumplir estándares de calidad y durabilidad, asegurando respaldo y soporte posventa. </v>
      </c>
      <c r="D48" s="550">
        <f>IF(VF_EstudioEntregado!F48="","",VF_EstudioEntregado!F48)</f>
        <v>60</v>
      </c>
      <c r="E48" s="551">
        <f>IF(VF_EstudioEntregado!Z48="","",VF_EstudioEntregado!Z48)</f>
        <v>48343.75</v>
      </c>
      <c r="F48" s="551">
        <f>IF(VF_EstudioEntregado!AA48="","",(E48*D48))</f>
        <v>2900625</v>
      </c>
      <c r="G48" s="561"/>
      <c r="H48" s="570">
        <f t="shared" si="3"/>
        <v>0</v>
      </c>
      <c r="I48" s="571" t="str">
        <f t="shared" si="4"/>
        <v>Valor vacío</v>
      </c>
      <c r="J48" s="572">
        <f t="shared" si="5"/>
        <v>48343.75</v>
      </c>
      <c r="K48" s="571" t="str">
        <f t="shared" si="6"/>
        <v>Cumple</v>
      </c>
      <c r="L48" s="572">
        <f t="shared" si="7"/>
        <v>2900625</v>
      </c>
    </row>
    <row r="49" spans="1:12" ht="30" x14ac:dyDescent="0.25">
      <c r="A49" s="550">
        <v>39</v>
      </c>
      <c r="B49" s="568" t="str">
        <f>IF(VF_EstudioEntregado!C49="","",VF_EstudioEntregado!C49)</f>
        <v>Cuaderno 100 hojas</v>
      </c>
      <c r="C49" s="569" t="str">
        <f>IF(VF_EstudioEntregado!D49="","",VF_EstudioEntregado!D49)</f>
        <v>Cuaderno argollado de 100 hojas cuadriculadas, gramaje de 60g a 75g. Carátula en cartón rígido plastificado, espiral metálico sencillo o doble</v>
      </c>
      <c r="D49" s="550">
        <f>IF(VF_EstudioEntregado!F49="","",VF_EstudioEntregado!F49)</f>
        <v>60</v>
      </c>
      <c r="E49" s="551">
        <f>IF(VF_EstudioEntregado!Z49="","",VF_EstudioEntregado!Z49)</f>
        <v>5829.9964333333337</v>
      </c>
      <c r="F49" s="551">
        <f>IF(VF_EstudioEntregado!AA49="","",(E49*D49))</f>
        <v>349799.78600000002</v>
      </c>
      <c r="G49" s="561"/>
      <c r="H49" s="570">
        <f t="shared" si="3"/>
        <v>0</v>
      </c>
      <c r="I49" s="571" t="str">
        <f t="shared" si="4"/>
        <v>Valor vacío</v>
      </c>
      <c r="J49" s="572">
        <f t="shared" si="5"/>
        <v>5829.9964333333337</v>
      </c>
      <c r="K49" s="571" t="str">
        <f t="shared" si="6"/>
        <v>Cumple</v>
      </c>
      <c r="L49" s="572">
        <f t="shared" si="7"/>
        <v>349799.78600000002</v>
      </c>
    </row>
    <row r="50" spans="1:12" ht="45" x14ac:dyDescent="0.25">
      <c r="A50" s="550">
        <v>40</v>
      </c>
      <c r="B50" s="568" t="str">
        <f>IF(VF_EstudioEntregado!C50="","",VF_EstudioEntregado!C50)</f>
        <v xml:space="preserve">Esfero cualquier color caja x 10 </v>
      </c>
      <c r="C50" s="569" t="str">
        <f>IF(VF_EstudioEntregado!D50="","",VF_EstudioEntregado!D50)</f>
        <v>Caja de 10 bolígrafos con tinta suave de baja viscosidad en colores variados. Cuerpo ergonómico transparente para control de tinta, punta de tungsteno para trazos precisos y tapa de seguridad ventilada.</v>
      </c>
      <c r="D50" s="550">
        <f>IF(VF_EstudioEntregado!F50="","",VF_EstudioEntregado!F50)</f>
        <v>6</v>
      </c>
      <c r="E50" s="551">
        <f>IF(VF_EstudioEntregado!Z50="","",VF_EstudioEntregado!Z50)</f>
        <v>5951.9991999999993</v>
      </c>
      <c r="F50" s="551">
        <f>IF(VF_EstudioEntregado!AA50="","",(E50*D50))</f>
        <v>35711.995199999998</v>
      </c>
      <c r="G50" s="561"/>
      <c r="H50" s="570">
        <f t="shared" si="3"/>
        <v>0</v>
      </c>
      <c r="I50" s="571" t="str">
        <f t="shared" si="4"/>
        <v>Valor vacío</v>
      </c>
      <c r="J50" s="572">
        <f t="shared" si="5"/>
        <v>5951.9991999999993</v>
      </c>
      <c r="K50" s="571" t="str">
        <f t="shared" si="6"/>
        <v>Cumple</v>
      </c>
      <c r="L50" s="572">
        <f t="shared" si="7"/>
        <v>35711.995199999998</v>
      </c>
    </row>
    <row r="51" spans="1:12" ht="270" x14ac:dyDescent="0.25">
      <c r="A51" s="550">
        <v>41</v>
      </c>
      <c r="B51" s="568" t="str">
        <f>IF(VF_EstudioEntregado!C51="","",VF_EstudioEntregado!C51)</f>
        <v>JUEGO DE CARTILLAS PEDAGÓGICAS – MÉTODO SUBA REGULA</v>
      </c>
      <c r="C51" s="569" t="str">
        <f>IF(VF_EstudioEntregado!D51="","",VF_EstudioEntregado!D51)</f>
        <v>Material pedagógico de diseño propio del componente, no disponible como bien estandarizado en el mercado. Juego pedagógico compuesto por mínimo doce (12) láminas pedagógicas impresas a color en papel propalcote de alto gramaje (mínimo 240 gramos), tamaño aproximado media carta (A5) o superior, plastificadas en acabado mate o brillante para garantizar durabilidad y resistencia al uso continuo. El contenido conceptual y pedagógico será diseñado por el profesional en ciencias sociales del equipo del proyecto con formación certificada en Terapia Dialéctico Conductual (DBT) o metodologías de entrenamiento en habilidades socioemocionales, garantizando coherencia metodológica con el componente Núcleos de Entrenamiento en Regulación y con el enfoque del Método Suba Regula. Cada juego deberá incluir seis habilidades pedagógicas desarrolladas mediante dos láminas por habilidad (una lámina explicativa y una lámina práctica de aplicación): identificación emocional, regulación emocional, respiración consciente, comunicación asertiva, afrontamiento de situaciones difíciles y relajación corporal. El proceso incluye diseño pedagógico, diagramación, impresión, plastificado, corte y entrega final a los participantes. Las cartillas serán entregadas de manera individual a cada beneficiario como herramienta pedagógica permanente para la práctica y consulta posterior de las habilidades aprendidas.</v>
      </c>
      <c r="D51" s="550">
        <f>IF(VF_EstudioEntregado!F51="","",VF_EstudioEntregado!F51)</f>
        <v>60</v>
      </c>
      <c r="E51" s="551">
        <f>IF(VF_EstudioEntregado!Z51="","",VF_EstudioEntregado!Z51)</f>
        <v>47679.333333333336</v>
      </c>
      <c r="F51" s="551">
        <f>IF(VF_EstudioEntregado!AA51="","",(E51*D51))</f>
        <v>2860760</v>
      </c>
      <c r="G51" s="561"/>
      <c r="H51" s="570">
        <f t="shared" si="3"/>
        <v>0</v>
      </c>
      <c r="I51" s="571" t="str">
        <f t="shared" si="4"/>
        <v>Valor vacío</v>
      </c>
      <c r="J51" s="572">
        <f t="shared" si="5"/>
        <v>47679.333333333336</v>
      </c>
      <c r="K51" s="571" t="str">
        <f t="shared" si="6"/>
        <v>Cumple</v>
      </c>
      <c r="L51" s="572">
        <f t="shared" si="7"/>
        <v>2860760</v>
      </c>
    </row>
    <row r="52" spans="1:12" ht="60" x14ac:dyDescent="0.25">
      <c r="A52" s="550">
        <v>42</v>
      </c>
      <c r="B52" s="568" t="str">
        <f>IF(VF_EstudioEntregado!C52="","",VF_EstudioEntregado!C52)</f>
        <v>Certificado de participación</v>
      </c>
      <c r="C52" s="569" t="str">
        <f>IF(VF_EstudioEntregado!D52="","",VF_EstudioEntregado!D52)</f>
        <v>Impresión a media carta 4 tintas en papel
propalcote o kimberly 200 gr, tamaño 22x28 cm con nombres individuales o espacio para el mismo, refilados.</v>
      </c>
      <c r="D52" s="550">
        <f>IF(VF_EstudioEntregado!F52="","",VF_EstudioEntregado!F52)</f>
        <v>60</v>
      </c>
      <c r="E52" s="551">
        <f>IF(VF_EstudioEntregado!Z52="","",VF_EstudioEntregado!Z52)</f>
        <v>3206.001733333333</v>
      </c>
      <c r="F52" s="551">
        <f>IF(VF_EstudioEntregado!AA52="","",(E52*D52))</f>
        <v>192360.10399999999</v>
      </c>
      <c r="G52" s="561"/>
      <c r="H52" s="570">
        <f t="shared" si="3"/>
        <v>0</v>
      </c>
      <c r="I52" s="571" t="str">
        <f t="shared" si="4"/>
        <v>Valor vacío</v>
      </c>
      <c r="J52" s="572">
        <f t="shared" si="5"/>
        <v>3206.001733333333</v>
      </c>
      <c r="K52" s="571" t="str">
        <f t="shared" si="6"/>
        <v>Cumple</v>
      </c>
      <c r="L52" s="572">
        <f t="shared" si="7"/>
        <v>192360.10399999999</v>
      </c>
    </row>
    <row r="53" spans="1:12" ht="30" x14ac:dyDescent="0.25">
      <c r="A53" s="550">
        <v>43</v>
      </c>
      <c r="B53" s="568" t="str">
        <f>IF(VF_EstudioEntregado!C53="","",VF_EstudioEntregado!C53)</f>
        <v>Cuaderno 100 hojas</v>
      </c>
      <c r="C53" s="569" t="str">
        <f>IF(VF_EstudioEntregado!D53="","",VF_EstudioEntregado!D53)</f>
        <v>Cuaderno argollado de 100 hojas cuadriculadas, gramaje de 60g a 75g. Carátula en cartón rígido plastificado, espiral metálico sencillo o doble</v>
      </c>
      <c r="D53" s="550">
        <f>IF(VF_EstudioEntregado!F53="","",VF_EstudioEntregado!F53)</f>
        <v>100</v>
      </c>
      <c r="E53" s="551">
        <f>IF(VF_EstudioEntregado!Z53="","",VF_EstudioEntregado!Z53)</f>
        <v>5829.9964333333337</v>
      </c>
      <c r="F53" s="551">
        <f>IF(VF_EstudioEntregado!AA53="","",(E53*D53))</f>
        <v>582999.64333333331</v>
      </c>
      <c r="G53" s="561"/>
      <c r="H53" s="570">
        <f t="shared" si="3"/>
        <v>0</v>
      </c>
      <c r="I53" s="571" t="str">
        <f t="shared" si="4"/>
        <v>Valor vacío</v>
      </c>
      <c r="J53" s="572">
        <f t="shared" si="5"/>
        <v>5829.9964333333337</v>
      </c>
      <c r="K53" s="571" t="str">
        <f t="shared" si="6"/>
        <v>Cumple</v>
      </c>
      <c r="L53" s="572">
        <f t="shared" si="7"/>
        <v>582999.64333333331</v>
      </c>
    </row>
    <row r="54" spans="1:12" ht="45" x14ac:dyDescent="0.25">
      <c r="A54" s="550">
        <v>44</v>
      </c>
      <c r="B54" s="568" t="str">
        <f>IF(VF_EstudioEntregado!C54="","",VF_EstudioEntregado!C54)</f>
        <v xml:space="preserve">Esfero cualquier color caja x 10 </v>
      </c>
      <c r="C54" s="569" t="str">
        <f>IF(VF_EstudioEntregado!D54="","",VF_EstudioEntregado!D54)</f>
        <v>Caja de 10 bolígrafos con tinta suave de baja viscosidad en colores variados. Cuerpo ergonómico transparente para control de tinta, punta de tungsteno para trazos precisos y tapa de seguridad ventilada.</v>
      </c>
      <c r="D54" s="550">
        <f>IF(VF_EstudioEntregado!F54="","",VF_EstudioEntregado!F54)</f>
        <v>10</v>
      </c>
      <c r="E54" s="551">
        <f>IF(VF_EstudioEntregado!Z54="","",VF_EstudioEntregado!Z54)</f>
        <v>5951.9991999999993</v>
      </c>
      <c r="F54" s="551">
        <f>IF(VF_EstudioEntregado!AA54="","",(E54*D54))</f>
        <v>59519.991999999991</v>
      </c>
      <c r="G54" s="561"/>
      <c r="H54" s="570">
        <f t="shared" si="3"/>
        <v>0</v>
      </c>
      <c r="I54" s="571" t="str">
        <f t="shared" si="4"/>
        <v>Valor vacío</v>
      </c>
      <c r="J54" s="572">
        <f t="shared" si="5"/>
        <v>5951.9991999999993</v>
      </c>
      <c r="K54" s="571" t="str">
        <f t="shared" si="6"/>
        <v>Cumple</v>
      </c>
      <c r="L54" s="572">
        <f t="shared" si="7"/>
        <v>59519.991999999991</v>
      </c>
    </row>
    <row r="55" spans="1:12" ht="150" x14ac:dyDescent="0.25">
      <c r="A55" s="550">
        <v>45</v>
      </c>
      <c r="B55" s="568" t="str">
        <f>IF(VF_EstudioEntregado!C55="","",VF_EstudioEntregado!C55)</f>
        <v>Llaveros Simbólicos RED AQUI ESTOY</v>
      </c>
      <c r="C55" s="569" t="str">
        <f>IF(VF_EstudioEntregado!D55="","",VF_EstudioEntregado!D55)</f>
        <v>Elemento institucional de carácter simbólico elaborado en material resistente (acrílico, madera MDF sellada o PVC rígido), diseñado para representar la pertenencia a la Red AQUÍ ESTOY – Lazos Activos de Integración, Diálogo y Observación Solidaria. Presenta forma estándar (circular o rectangular), con dimensiones aproximadas entre 5 y 7 cm, impresión o grabado a una cara con el nombre de la red, imagen institucional y mensaje alusivo al acompañamiento comunitario. Incluye argolla metálica inoxidable de alta resistencia para su uso cotidiano en llaves u objetos personales. La aprobación del llavero estará dispuesta al comité técnico por parte del supervisor del contrato y/o apoyos a la supervisión. , Empaque individual</v>
      </c>
      <c r="D55" s="550">
        <f>IF(VF_EstudioEntregado!F55="","",VF_EstudioEntregado!F55)</f>
        <v>100</v>
      </c>
      <c r="E55" s="551">
        <f>IF(VF_EstudioEntregado!Z55="","",VF_EstudioEntregado!Z55)</f>
        <v>8528.3333333333339</v>
      </c>
      <c r="F55" s="551">
        <f>IF(VF_EstudioEntregado!AA55="","",(E55*D55))</f>
        <v>852833.33333333337</v>
      </c>
      <c r="G55" s="561"/>
      <c r="H55" s="570">
        <f t="shared" si="3"/>
        <v>0</v>
      </c>
      <c r="I55" s="571" t="str">
        <f t="shared" si="4"/>
        <v>Valor vacío</v>
      </c>
      <c r="J55" s="572">
        <f t="shared" si="5"/>
        <v>8528.3333333333339</v>
      </c>
      <c r="K55" s="571" t="str">
        <f t="shared" si="6"/>
        <v>Cumple</v>
      </c>
      <c r="L55" s="572">
        <f t="shared" si="7"/>
        <v>852833.33333333337</v>
      </c>
    </row>
    <row r="56" spans="1:12" ht="60" x14ac:dyDescent="0.25">
      <c r="A56" s="550">
        <v>46</v>
      </c>
      <c r="B56" s="568" t="str">
        <f>IF(VF_EstudioEntregado!C56="","",VF_EstudioEntregado!C56)</f>
        <v>Certificado de participación</v>
      </c>
      <c r="C56" s="569" t="str">
        <f>IF(VF_EstudioEntregado!D56="","",VF_EstudioEntregado!D56)</f>
        <v>Impresión a media carta 4 tintas en papel
propalcote o kimberly 200 gr, tamaño 22x28 cm con nombres individuales o espacio para el mismo, refilados.</v>
      </c>
      <c r="D56" s="550">
        <f>IF(VF_EstudioEntregado!F56="","",VF_EstudioEntregado!F56)</f>
        <v>100</v>
      </c>
      <c r="E56" s="551">
        <f>IF(VF_EstudioEntregado!Z56="","",VF_EstudioEntregado!Z56)</f>
        <v>3206.001733333333</v>
      </c>
      <c r="F56" s="551">
        <f>IF(VF_EstudioEntregado!AA56="","",(E56*D56))</f>
        <v>320600.17333333328</v>
      </c>
      <c r="G56" s="561"/>
      <c r="H56" s="570">
        <f t="shared" si="3"/>
        <v>0</v>
      </c>
      <c r="I56" s="571" t="str">
        <f t="shared" si="4"/>
        <v>Valor vacío</v>
      </c>
      <c r="J56" s="572">
        <f t="shared" si="5"/>
        <v>3206.001733333333</v>
      </c>
      <c r="K56" s="571" t="str">
        <f t="shared" si="6"/>
        <v>Cumple</v>
      </c>
      <c r="L56" s="572">
        <f t="shared" si="7"/>
        <v>320600.17333333328</v>
      </c>
    </row>
    <row r="57" spans="1:12" ht="90" x14ac:dyDescent="0.25">
      <c r="A57" s="550">
        <v>47</v>
      </c>
      <c r="B57" s="568" t="str">
        <f>IF(VF_EstudioEntregado!C57="","",VF_EstudioEntregado!C57)</f>
        <v>Salón - Espacio Apto para 50 personas  (media jornada más equipos audiovisuales)</v>
      </c>
      <c r="C57" s="569" t="str">
        <f>IF(VF_EstudioEntregado!D57="","",VF_EstudioEntregado!D57)</f>
        <v>Espacio físico para 50 personas con baño, sillas y mesas, ubicado en la localidad de Suba, con disponibilidad de espacio exterior para desarrollo de actividades
Dotado con equipo de computo, video beam y sonido
Jornada de 4 horas</v>
      </c>
      <c r="D57" s="550">
        <f>IF(VF_EstudioEntregado!F57="","",VF_EstudioEntregado!F57)</f>
        <v>144</v>
      </c>
      <c r="E57" s="551">
        <f>IF(VF_EstudioEntregado!Z57="","",VF_EstudioEntregado!Z57)</f>
        <v>330000.685</v>
      </c>
      <c r="F57" s="551">
        <f>IF(VF_EstudioEntregado!AA57="","",(E57*D57))</f>
        <v>47520098.640000001</v>
      </c>
      <c r="G57" s="561"/>
      <c r="H57" s="570">
        <f t="shared" si="3"/>
        <v>0</v>
      </c>
      <c r="I57" s="571" t="str">
        <f t="shared" si="4"/>
        <v>Valor vacío</v>
      </c>
      <c r="J57" s="572">
        <f t="shared" si="5"/>
        <v>330000.685</v>
      </c>
      <c r="K57" s="571" t="str">
        <f t="shared" si="6"/>
        <v>Cumple</v>
      </c>
      <c r="L57" s="572">
        <f t="shared" si="7"/>
        <v>47520098.640000001</v>
      </c>
    </row>
    <row r="58" spans="1:12" ht="60" x14ac:dyDescent="0.25">
      <c r="A58" s="550">
        <v>48</v>
      </c>
      <c r="B58" s="568" t="str">
        <f>IF(VF_EstudioEntregado!C58="","",VF_EstudioEntregado!C58)</f>
        <v>Salón - Espacio Apto para 100 personas  (media jornada más equipos audiovisuales)</v>
      </c>
      <c r="C58" s="569" t="str">
        <f>IF(VF_EstudioEntregado!D58="","",VF_EstudioEntregado!D58)</f>
        <v>Espacio físico para 100 personas con baño, sillas y mesas, ubicado en la localidad de Suba, con disponibilidad de espacio exterior para desarrollo de actividades_x000D_
Dotado con equipo de computo, video beam y sonido_x000D_
Jornada de 4 horas</v>
      </c>
      <c r="D58" s="550">
        <f>IF(VF_EstudioEntregado!F58="","",VF_EstudioEntregado!F58)</f>
        <v>5</v>
      </c>
      <c r="E58" s="551">
        <f>IF(VF_EstudioEntregado!Z58="","",VF_EstudioEntregado!Z58)</f>
        <v>330000.685</v>
      </c>
      <c r="F58" s="551">
        <f>IF(VF_EstudioEntregado!AA58="","",(E58*D58))</f>
        <v>1650003.425</v>
      </c>
      <c r="G58" s="561"/>
      <c r="H58" s="570">
        <f t="shared" si="3"/>
        <v>0</v>
      </c>
      <c r="I58" s="571" t="str">
        <f t="shared" si="4"/>
        <v>Valor vacío</v>
      </c>
      <c r="J58" s="572">
        <f t="shared" si="5"/>
        <v>330000.685</v>
      </c>
      <c r="K58" s="571" t="str">
        <f t="shared" si="6"/>
        <v>Cumple</v>
      </c>
      <c r="L58" s="572">
        <f t="shared" si="7"/>
        <v>1650003.425</v>
      </c>
    </row>
    <row r="59" spans="1:12" ht="270" x14ac:dyDescent="0.25">
      <c r="A59" s="550">
        <v>49</v>
      </c>
      <c r="B59" s="568" t="str">
        <f>IF(VF_EstudioEntregado!C59="","",VF_EstudioEntregado!C59)</f>
        <v>Refrigerio Tipo 1</v>
      </c>
      <c r="C59" s="569" t="str">
        <f>IF(VF_EstudioEntregado!D59="","",VF_EstudioEntregado!D59)</f>
        <v>Compuesto por: 
1. Bebida: Deberá contener al menos 200 mililitros. Jugo de frutas y/o yogurt y/o kumis y/o avena, naturales no procesados, no se permitirá el suministro de bebidas empacadas en bolsa plástica, la Alcaldía Local de Suba requiere que las mismas sean entregadas a los asistentes en empaque tetra pack. 
2. Un producto cereal   o producto de panadería tipo: Deberán tener un peso mínimo de 100 gramos. Podrá ser  Pastel de pollo o carne, ponqué, arepa, empanada, mantecada,  arepa con queso, pastel gloria, croissant de jamón y queso, brownie, buñuelo o similares. Los gramajes corresponden a los productos ya elaborados.   
3. Una fruta de temporada: Porción de fruta no menor de 100 gramos. Mandarina, naranja,  manzana, pera, durazno o similares. 
4. Dulce: Deberá tener mínimo entre 12 y 15 gramos. Chocolatina, Arequipe,  bocadillo o similares.</v>
      </c>
      <c r="D59" s="550">
        <f>IF(VF_EstudioEntregado!F59="","",VF_EstudioEntregado!F59)</f>
        <v>900</v>
      </c>
      <c r="E59" s="551">
        <f>IF(VF_EstudioEntregado!Z59="","",VF_EstudioEntregado!Z59)</f>
        <v>11920.866666666667</v>
      </c>
      <c r="F59" s="551">
        <f>IF(VF_EstudioEntregado!AA59="","",(E59*D59))</f>
        <v>10728780</v>
      </c>
      <c r="G59" s="561"/>
      <c r="H59" s="570">
        <f t="shared" si="3"/>
        <v>0</v>
      </c>
      <c r="I59" s="571" t="str">
        <f t="shared" si="4"/>
        <v>Valor vacío</v>
      </c>
      <c r="J59" s="572">
        <f t="shared" si="5"/>
        <v>11920.866666666667</v>
      </c>
      <c r="K59" s="571" t="str">
        <f t="shared" si="6"/>
        <v>Cumple</v>
      </c>
      <c r="L59" s="572">
        <f t="shared" si="7"/>
        <v>10728780</v>
      </c>
    </row>
    <row r="60" spans="1:12" ht="210" x14ac:dyDescent="0.25">
      <c r="A60" s="550">
        <v>50</v>
      </c>
      <c r="B60" s="568" t="str">
        <f>IF(VF_EstudioEntregado!C60="","",VF_EstudioEntregado!C60)</f>
        <v>Refrigerio Especial</v>
      </c>
      <c r="C60" s="569" t="str">
        <f>IF(VF_EstudioEntregado!D60="","",VF_EstudioEntregado!D60)</f>
        <v>"BEBIDA: Jugo natural  de fruta en agua o  néctares,  o refrescos de fruta,  con opción sin azúcar, o bajo en azúcar, o gaseosas ligth o normal; contenido mínimo 200 ml, en empaque comercial  duro ( no en bolsa, no de icopor o plástico), o servido en vaso de vidrio
ALIMENTO PRINCIPAL: Sánduche de jamón y/o queso o atún o pollo o espinaca y queso en pan común o integral  para sánduche,  ponqués o galletas o palito de queso o arepas  con queso o pasteles gloria, de pollo, de carne,  de queso, de harina  integral o comunes; porción entre  60 a 100 gr.
ACOMPAÑAMIENTO: Papas fritas de pollo o natural, o fruta deshidratada, paq de 30gr.
FRUTA: De temporada 150 gr.
EMPAQUE:  En bolsa plástica bio-degradable (si se requiere), preferiblemente que los productos se encuentren en empaques reciclables y/o biodegradables.
OPCIONAL: servicio de entrega al usuario final."</v>
      </c>
      <c r="D60" s="550">
        <f>IF(VF_EstudioEntregado!F60="","",VF_EstudioEntregado!F60)</f>
        <v>105</v>
      </c>
      <c r="E60" s="551">
        <f>IF(VF_EstudioEntregado!Z60="","",VF_EstudioEntregado!Z60)</f>
        <v>26432.639999999999</v>
      </c>
      <c r="F60" s="551">
        <f>IF(VF_EstudioEntregado!AA60="","",(E60*D60))</f>
        <v>2775427.1999999997</v>
      </c>
      <c r="G60" s="561"/>
      <c r="H60" s="570">
        <f t="shared" si="3"/>
        <v>0</v>
      </c>
      <c r="I60" s="571" t="str">
        <f t="shared" si="4"/>
        <v>Valor vacío</v>
      </c>
      <c r="J60" s="572">
        <f t="shared" si="5"/>
        <v>26432.639999999999</v>
      </c>
      <c r="K60" s="571" t="str">
        <f t="shared" si="6"/>
        <v>Cumple</v>
      </c>
      <c r="L60" s="572">
        <f t="shared" si="7"/>
        <v>2775427.1999999997</v>
      </c>
    </row>
    <row r="61" spans="1:12" ht="30" x14ac:dyDescent="0.25">
      <c r="A61" s="550">
        <v>51</v>
      </c>
      <c r="B61" s="568" t="str">
        <f>IF(VF_EstudioEntregado!C61="","",VF_EstudioEntregado!C61)</f>
        <v>Cuaderno 100 hojas</v>
      </c>
      <c r="C61" s="569" t="str">
        <f>IF(VF_EstudioEntregado!D61="","",VF_EstudioEntregado!D61)</f>
        <v>Cuaderno argollado de 100 hojas cuadriculadas, gramaje de 60g a 75g. Carátula en cartón rígido plastificado, espiral metálico sencillo o doble</v>
      </c>
      <c r="D61" s="550">
        <f>IF(VF_EstudioEntregado!F61="","",VF_EstudioEntregado!F61)</f>
        <v>60</v>
      </c>
      <c r="E61" s="551">
        <f>IF(VF_EstudioEntregado!Z61="","",VF_EstudioEntregado!Z61)</f>
        <v>5829.9964333333337</v>
      </c>
      <c r="F61" s="551">
        <f>IF(VF_EstudioEntregado!AA61="","",(E61*D61))</f>
        <v>349799.78600000002</v>
      </c>
      <c r="G61" s="561"/>
      <c r="H61" s="570">
        <f t="shared" si="3"/>
        <v>0</v>
      </c>
      <c r="I61" s="571" t="str">
        <f t="shared" si="4"/>
        <v>Valor vacío</v>
      </c>
      <c r="J61" s="572">
        <f t="shared" si="5"/>
        <v>5829.9964333333337</v>
      </c>
      <c r="K61" s="571" t="str">
        <f t="shared" si="6"/>
        <v>Cumple</v>
      </c>
      <c r="L61" s="572">
        <f t="shared" si="7"/>
        <v>349799.78600000002</v>
      </c>
    </row>
    <row r="62" spans="1:12" ht="45" x14ac:dyDescent="0.25">
      <c r="A62" s="550">
        <v>52</v>
      </c>
      <c r="B62" s="568" t="str">
        <f>IF(VF_EstudioEntregado!C62="","",VF_EstudioEntregado!C62)</f>
        <v xml:space="preserve">Esfero cualquier color caja x 10 </v>
      </c>
      <c r="C62" s="569" t="str">
        <f>IF(VF_EstudioEntregado!D62="","",VF_EstudioEntregado!D62)</f>
        <v>Caja de 10 bolígrafos con tinta suave de baja viscosidad en colores variados. Cuerpo ergonómico transparente para control de tinta, punta de tungsteno para trazos precisos y tapa de seguridad ventilada.</v>
      </c>
      <c r="D62" s="550">
        <f>IF(VF_EstudioEntregado!F62="","",VF_EstudioEntregado!F62)</f>
        <v>6</v>
      </c>
      <c r="E62" s="551">
        <f>IF(VF_EstudioEntregado!Z62="","",VF_EstudioEntregado!Z62)</f>
        <v>5951.9991999999993</v>
      </c>
      <c r="F62" s="551">
        <f>IF(VF_EstudioEntregado!AA62="","",(E62*D62))</f>
        <v>35711.995199999998</v>
      </c>
      <c r="G62" s="561"/>
      <c r="H62" s="570">
        <f t="shared" si="3"/>
        <v>0</v>
      </c>
      <c r="I62" s="571" t="str">
        <f t="shared" si="4"/>
        <v>Valor vacío</v>
      </c>
      <c r="J62" s="572">
        <f t="shared" si="5"/>
        <v>5951.9991999999993</v>
      </c>
      <c r="K62" s="571" t="str">
        <f t="shared" si="6"/>
        <v>Cumple</v>
      </c>
      <c r="L62" s="572">
        <f t="shared" si="7"/>
        <v>35711.995199999998</v>
      </c>
    </row>
    <row r="63" spans="1:12" ht="255" x14ac:dyDescent="0.25">
      <c r="A63" s="550">
        <v>53</v>
      </c>
      <c r="B63" s="568" t="str">
        <f>IF(VF_EstudioEntregado!C63="","",VF_EstudioEntregado!C63)</f>
        <v>Guía de Bolsillo primeros auxilios psicológicos</v>
      </c>
      <c r="C63" s="569" t="str">
        <f>IF(VF_EstudioEntregado!D63="","",VF_EstudioEntregado!D63)</f>
        <v>Impresión fotográfica, Tipo de material:
Guía impresa pedagógica tipo folleto de bolsillo, Formato:
Díptico, tríptico o cuadernillo plegado (según diseño aprobado).
Dimensiones:
Cerrado: entre 9 x 14 cm y 11 x 16 cm
Abierto: proporcional al tipo de plegado
Número de páginas:
Entre 6 y 12 caras (según contenido aprobado).
Papel: Propalcote mate o bond de alta calidad
Gramaje entre 90 g/m² y 150 g/m²
Impresión: Tinta negra o policromía (según disponibilidad presupuestal)
Alta legibilidad
Acabados: Mate (evita reflejo y facilita lectura)
Doblado preciso
Opcional: laminado mate para mayor durabilidad
Encuadernación: Plegado simple o grapado (si es tipo cuadernillo), diseño aprobado en comité técnico de supervisión y/o apoyos a la supervisión</v>
      </c>
      <c r="D63" s="550">
        <f>IF(VF_EstudioEntregado!F63="","",VF_EstudioEntregado!F63)</f>
        <v>60</v>
      </c>
      <c r="E63" s="551">
        <f>IF(VF_EstudioEntregado!Z63="","",VF_EstudioEntregado!Z63)</f>
        <v>38881.26666666667</v>
      </c>
      <c r="F63" s="551">
        <f>IF(VF_EstudioEntregado!AA63="","",(E63*D63))</f>
        <v>2332876</v>
      </c>
      <c r="G63" s="561"/>
      <c r="H63" s="570">
        <f t="shared" si="3"/>
        <v>0</v>
      </c>
      <c r="I63" s="571" t="str">
        <f t="shared" si="4"/>
        <v>Valor vacío</v>
      </c>
      <c r="J63" s="572">
        <f t="shared" si="5"/>
        <v>38881.26666666667</v>
      </c>
      <c r="K63" s="571" t="str">
        <f t="shared" si="6"/>
        <v>Cumple</v>
      </c>
      <c r="L63" s="572">
        <f t="shared" si="7"/>
        <v>2332876</v>
      </c>
    </row>
    <row r="64" spans="1:12" ht="60" x14ac:dyDescent="0.25">
      <c r="A64" s="550">
        <v>54</v>
      </c>
      <c r="B64" s="568" t="str">
        <f>IF(VF_EstudioEntregado!C64="","",VF_EstudioEntregado!C64)</f>
        <v>Certificado de participación</v>
      </c>
      <c r="C64" s="569" t="str">
        <f>IF(VF_EstudioEntregado!D64="","",VF_EstudioEntregado!D64)</f>
        <v>Impresión a media carta 4 tintas en papel
propalcote o kimberly 200 gr, tamaño 22x28 cm con nombres individuales o espacio para el mismo, refilados.</v>
      </c>
      <c r="D64" s="550">
        <f>IF(VF_EstudioEntregado!F64="","",VF_EstudioEntregado!F64)</f>
        <v>60</v>
      </c>
      <c r="E64" s="551">
        <f>IF(VF_EstudioEntregado!Z64="","",VF_EstudioEntregado!Z64)</f>
        <v>3206.001733333333</v>
      </c>
      <c r="F64" s="551">
        <f>IF(VF_EstudioEntregado!AA64="","",(E64*D64))</f>
        <v>192360.10399999999</v>
      </c>
      <c r="G64" s="561"/>
      <c r="H64" s="570">
        <f t="shared" si="3"/>
        <v>0</v>
      </c>
      <c r="I64" s="571" t="str">
        <f t="shared" si="4"/>
        <v>Valor vacío</v>
      </c>
      <c r="J64" s="572">
        <f t="shared" si="5"/>
        <v>3206.001733333333</v>
      </c>
      <c r="K64" s="571" t="str">
        <f t="shared" si="6"/>
        <v>Cumple</v>
      </c>
      <c r="L64" s="572">
        <f t="shared" si="7"/>
        <v>192360.10399999999</v>
      </c>
    </row>
    <row r="65" spans="1:12" ht="90" x14ac:dyDescent="0.25">
      <c r="A65" s="550">
        <v>55</v>
      </c>
      <c r="B65" s="568" t="str">
        <f>IF(VF_EstudioEntregado!C65="","",VF_EstudioEntregado!C65)</f>
        <v>Salón - Espacio Apto para 50 personas  (media jornada más equipos audiovisuales)</v>
      </c>
      <c r="C65" s="569" t="str">
        <f>IF(VF_EstudioEntregado!D65="","",VF_EstudioEntregado!D65)</f>
        <v>Espacio físico para 50 personas con baño, sillas y mesas, ubicado en la localidad de Suba, con disponibilidad de espacio exterior para desarrollo de actividades
Dotado con equipo de computo, video beam y sonido
Jornada de 4 horas</v>
      </c>
      <c r="D65" s="550">
        <f>IF(VF_EstudioEntregado!F65="","",VF_EstudioEntregado!F65)</f>
        <v>108</v>
      </c>
      <c r="E65" s="551">
        <f>IF(VF_EstudioEntregado!Z65="","",VF_EstudioEntregado!Z65)</f>
        <v>330000.685</v>
      </c>
      <c r="F65" s="551">
        <f>IF(VF_EstudioEntregado!AA65="","",(E65*D65))</f>
        <v>35640073.979999997</v>
      </c>
      <c r="G65" s="561"/>
      <c r="H65" s="570">
        <f t="shared" si="3"/>
        <v>0</v>
      </c>
      <c r="I65" s="571" t="str">
        <f t="shared" si="4"/>
        <v>Valor vacío</v>
      </c>
      <c r="J65" s="572">
        <f t="shared" si="5"/>
        <v>330000.685</v>
      </c>
      <c r="K65" s="571" t="str">
        <f t="shared" si="6"/>
        <v>Cumple</v>
      </c>
      <c r="L65" s="572">
        <f t="shared" si="7"/>
        <v>35640073.979999997</v>
      </c>
    </row>
    <row r="66" spans="1:12" ht="60" x14ac:dyDescent="0.25">
      <c r="A66" s="550">
        <v>56</v>
      </c>
      <c r="B66" s="568" t="str">
        <f>IF(VF_EstudioEntregado!C66="","",VF_EstudioEntregado!C66)</f>
        <v>Salón - Espacio Apto para 100 personas  (media jornada más equipos audiovisuales)</v>
      </c>
      <c r="C66" s="569" t="str">
        <f>IF(VF_EstudioEntregado!D66="","",VF_EstudioEntregado!D66)</f>
        <v>Espacio físico para 100 personas con baño, sillas y mesas, ubicado en la localidad de Suba, con disponibilidad de espacio exterior para desarrollo de actividades_x000D_
Dotado con equipo de computo, video beam y sonido_x000D_
Jornada de 4 horas</v>
      </c>
      <c r="D66" s="550">
        <f>IF(VF_EstudioEntregado!F66="","",VF_EstudioEntregado!F66)</f>
        <v>5</v>
      </c>
      <c r="E66" s="551">
        <f>IF(VF_EstudioEntregado!Z66="","",VF_EstudioEntregado!Z66)</f>
        <v>330000.685</v>
      </c>
      <c r="F66" s="551">
        <f>IF(VF_EstudioEntregado!AA66="","",(E66*D66))</f>
        <v>1650003.425</v>
      </c>
      <c r="G66" s="561"/>
      <c r="H66" s="570">
        <f t="shared" si="3"/>
        <v>0</v>
      </c>
      <c r="I66" s="571" t="str">
        <f t="shared" si="4"/>
        <v>Valor vacío</v>
      </c>
      <c r="J66" s="572">
        <f t="shared" si="5"/>
        <v>330000.685</v>
      </c>
      <c r="K66" s="571" t="str">
        <f t="shared" si="6"/>
        <v>Cumple</v>
      </c>
      <c r="L66" s="572">
        <f t="shared" si="7"/>
        <v>1650003.425</v>
      </c>
    </row>
    <row r="67" spans="1:12" ht="270" x14ac:dyDescent="0.25">
      <c r="A67" s="550">
        <v>57</v>
      </c>
      <c r="B67" s="568" t="str">
        <f>IF(VF_EstudioEntregado!C67="","",VF_EstudioEntregado!C67)</f>
        <v>Refrigerio Tipo 1</v>
      </c>
      <c r="C67" s="569" t="str">
        <f>IF(VF_EstudioEntregado!D67="","",VF_EstudioEntregado!D67)</f>
        <v>Compuesto por: 
1. Bebida: Deberá contener al menos 200 mililitros. Jugo de frutas y/o yogurt y/o kumis y/o avena, naturales no procesados, no se permitirá el suministro de bebidas empacadas en bolsa plástica, la Alcaldía Local de Suba requiere que las mismas sean entregadas a los asistentes en empaque tetra pack. 
2. Un producto cereal   o producto de panadería tipo: Deberán tener un peso mínimo de 100 gramos. Podrá ser  Pastel de pollo o carne, ponqué, arepa, empanada, mantecada,  arepa con queso, pastel gloria, croissant de jamón y queso, brownie, buñuelo o similares. Los gramajes corresponden a los productos ya elaborados.   
3. Una fruta de temporada: Porción de fruta no menor de 100 gramos. Mandarina, naranja,  manzana, pera, durazno o similares. 
4. Dulce: Deberá tener mínimo entre 12 y 15 gramos. Chocolatina, Arequipe,  bocadillo o similares.</v>
      </c>
      <c r="D67" s="550">
        <f>IF(VF_EstudioEntregado!F67="","",VF_EstudioEntregado!F67)</f>
        <v>540</v>
      </c>
      <c r="E67" s="551">
        <f>IF(VF_EstudioEntregado!Z67="","",VF_EstudioEntregado!Z67)</f>
        <v>11920.866666666667</v>
      </c>
      <c r="F67" s="551">
        <f>IF(VF_EstudioEntregado!AA67="","",(E67*D67))</f>
        <v>6437268</v>
      </c>
      <c r="G67" s="561"/>
      <c r="H67" s="570">
        <f t="shared" si="3"/>
        <v>0</v>
      </c>
      <c r="I67" s="571" t="str">
        <f t="shared" si="4"/>
        <v>Valor vacío</v>
      </c>
      <c r="J67" s="572">
        <f t="shared" si="5"/>
        <v>11920.866666666667</v>
      </c>
      <c r="K67" s="571" t="str">
        <f t="shared" si="6"/>
        <v>Cumple</v>
      </c>
      <c r="L67" s="572">
        <f t="shared" si="7"/>
        <v>6437268</v>
      </c>
    </row>
    <row r="68" spans="1:12" ht="210" x14ac:dyDescent="0.25">
      <c r="A68" s="550">
        <v>58</v>
      </c>
      <c r="B68" s="568" t="str">
        <f>IF(VF_EstudioEntregado!C68="","",VF_EstudioEntregado!C68)</f>
        <v>Refrigerio Especial</v>
      </c>
      <c r="C68" s="569" t="str">
        <f>IF(VF_EstudioEntregado!D68="","",VF_EstudioEntregado!D68)</f>
        <v>"BEBIDA: Jugo natural  de fruta en agua o  néctares,  o refrescos de fruta,  con opción sin azúcar, o bajo en azúcar, o gaseosas ligth o normal; contenido mínimo 200 ml, en empaque comercial  duro ( no en bolsa, no de icopor o plástico), o servido en vaso de vidrio
ALIMENTO PRINCIPAL: Sánduche de jamón y/o queso o atún o pollo o espinaca y queso en pan común o integral  para sánduche,  ponqués o galletas o palito de queso o arepas  con queso o pasteles gloria, de pollo, de carne,  de queso, de harina  integral o comunes; porción entre  60 a 100 gr.
ACOMPAÑAMIENTO: Papas fritas de pollo o natural, o fruta deshidratada, paq de 30gr.
FRUTA: De temporada 150 gr.
EMPAQUE:  En bolsa plástica bio-degradable (si se requiere), preferiblemente que los productos se encuentren en empaques reciclables y/o biodegradables.
OPCIONAL: servicio de entrega al usuario final."</v>
      </c>
      <c r="D68" s="550">
        <f>IF(VF_EstudioEntregado!F68="","",VF_EstudioEntregado!F68)</f>
        <v>65</v>
      </c>
      <c r="E68" s="551">
        <f>IF(VF_EstudioEntregado!Z68="","",VF_EstudioEntregado!Z68)</f>
        <v>26432.639999999999</v>
      </c>
      <c r="F68" s="551">
        <f>IF(VF_EstudioEntregado!AA68="","",(E68*D68))</f>
        <v>1718121.5999999999</v>
      </c>
      <c r="G68" s="561"/>
      <c r="H68" s="570">
        <f t="shared" si="3"/>
        <v>0</v>
      </c>
      <c r="I68" s="571" t="str">
        <f t="shared" si="4"/>
        <v>Valor vacío</v>
      </c>
      <c r="J68" s="572">
        <f t="shared" si="5"/>
        <v>26432.639999999999</v>
      </c>
      <c r="K68" s="571" t="str">
        <f t="shared" si="6"/>
        <v>Cumple</v>
      </c>
      <c r="L68" s="572">
        <f t="shared" si="7"/>
        <v>1718121.5999999999</v>
      </c>
    </row>
    <row r="69" spans="1:12" ht="90" x14ac:dyDescent="0.25">
      <c r="A69" s="550">
        <v>59</v>
      </c>
      <c r="B69" s="568" t="str">
        <f>IF(VF_EstudioEntregado!C69="","",VF_EstudioEntregado!C69)</f>
        <v>Camiseta</v>
      </c>
      <c r="C69" s="569" t="str">
        <f>IF(VF_EstudioEntregado!D69="","",VF_EstudioEntregado!D69)</f>
        <v>Merchandising/     Camiseta T-Shirt Adulto_x000D_
Camiseta T-Shirt 100% algodón de 180 gr., cuello redondo. _x000D_
Marca: 28 cm x 21 cm / Screen A 4 tntas /delante y atras_x000D_
Talla: XS, S, M, L, XL, XXL, XXXL _x000D_
Diseño, logos y colores aprobados por la Oficinade Comunicaciones Alcaldia Local de Suba</v>
      </c>
      <c r="D69" s="550">
        <f>IF(VF_EstudioEntregado!F69="","",VF_EstudioEntregado!F69)</f>
        <v>410</v>
      </c>
      <c r="E69" s="551">
        <f>IF(VF_EstudioEntregado!Z69="","",VF_EstudioEntregado!Z69)</f>
        <v>42813.333333333336</v>
      </c>
      <c r="F69" s="551">
        <f>IF(VF_EstudioEntregado!AA69="","",(E69*D69))</f>
        <v>17553466.666666668</v>
      </c>
      <c r="G69" s="561"/>
      <c r="H69" s="570">
        <f t="shared" si="3"/>
        <v>0</v>
      </c>
      <c r="I69" s="571" t="str">
        <f t="shared" si="4"/>
        <v>Valor vacío</v>
      </c>
      <c r="J69" s="572">
        <f t="shared" si="5"/>
        <v>42813.333333333336</v>
      </c>
      <c r="K69" s="571" t="str">
        <f t="shared" si="6"/>
        <v>Cumple</v>
      </c>
      <c r="L69" s="572">
        <f t="shared" si="7"/>
        <v>17553466.666666668</v>
      </c>
    </row>
    <row r="70" spans="1:12" ht="45" x14ac:dyDescent="0.25">
      <c r="A70" s="550">
        <v>60</v>
      </c>
      <c r="B70" s="568" t="str">
        <f>IF(VF_EstudioEntregado!C70="","",VF_EstudioEntregado!C70)</f>
        <v>Dorsal Deportivo de Competencia</v>
      </c>
      <c r="C70" s="569" t="str">
        <f>IF(VF_EstudioEntregado!D70="","",VF_EstudioEntregado!D70)</f>
        <v xml:space="preserve">Material: Papel Sintético Tyvek® de alta densidad (peso sugerido: 75 g/m² o 105 g/m²).  tamaño 21 cm de ancho × 15 cm de alto Diseño e Impresión: Impresión digital a todo color (Full Color) </v>
      </c>
      <c r="D70" s="550">
        <f>IF(VF_EstudioEntregado!F70="","",VF_EstudioEntregado!F70)</f>
        <v>410</v>
      </c>
      <c r="E70" s="551">
        <f>IF(VF_EstudioEntregado!Z70="","",VF_EstudioEntregado!Z70)</f>
        <v>2975</v>
      </c>
      <c r="F70" s="551">
        <f>IF(VF_EstudioEntregado!AA70="","",(E70*D70))</f>
        <v>1219750</v>
      </c>
      <c r="G70" s="561"/>
      <c r="H70" s="570">
        <f t="shared" si="3"/>
        <v>0</v>
      </c>
      <c r="I70" s="571" t="str">
        <f t="shared" si="4"/>
        <v>Valor vacío</v>
      </c>
      <c r="J70" s="572">
        <f t="shared" si="5"/>
        <v>2975</v>
      </c>
      <c r="K70" s="571" t="str">
        <f t="shared" si="6"/>
        <v>Cumple</v>
      </c>
      <c r="L70" s="572">
        <f t="shared" si="7"/>
        <v>1219750</v>
      </c>
    </row>
    <row r="71" spans="1:12" ht="120" x14ac:dyDescent="0.25">
      <c r="A71" s="550">
        <v>61</v>
      </c>
      <c r="B71" s="568" t="str">
        <f>IF(VF_EstudioEntregado!C71="","",VF_EstudioEntregado!C71)</f>
        <v>Tula Deportiva con logos</v>
      </c>
      <c r="C71" s="569" t="str">
        <f>IF(VF_EstudioEntregado!D71="","",VF_EstudioEntregado!D71)</f>
        <v>Color: unisex, Poliester 210d, con cordón para ajustar y cargar, con bolsillo delantero y cremallera, con refuerzo en las esquinas
Características:
Alto: 45 cm 
Ancho: 35 cm
Profundidad: 20 garantía: 12 Meses 
Con logos aprobados por la oficina de prensa del FDLS</v>
      </c>
      <c r="D71" s="550">
        <f>IF(VF_EstudioEntregado!F71="","",VF_EstudioEntregado!F71)</f>
        <v>410</v>
      </c>
      <c r="E71" s="551">
        <f>IF(VF_EstudioEntregado!Z71="","",VF_EstudioEntregado!Z71)</f>
        <v>14640</v>
      </c>
      <c r="F71" s="551">
        <f>IF(VF_EstudioEntregado!AA71="","",(E71*D71))</f>
        <v>6002400</v>
      </c>
      <c r="G71" s="561"/>
      <c r="H71" s="570">
        <f t="shared" si="3"/>
        <v>0</v>
      </c>
      <c r="I71" s="571" t="str">
        <f t="shared" si="4"/>
        <v>Valor vacío</v>
      </c>
      <c r="J71" s="572">
        <f t="shared" si="5"/>
        <v>14640</v>
      </c>
      <c r="K71" s="571" t="str">
        <f t="shared" si="6"/>
        <v>Cumple</v>
      </c>
      <c r="L71" s="572">
        <f t="shared" si="7"/>
        <v>6002400</v>
      </c>
    </row>
    <row r="72" spans="1:12" ht="135" x14ac:dyDescent="0.25">
      <c r="A72" s="550">
        <v>62</v>
      </c>
      <c r="B72" s="568" t="str">
        <f>IF(VF_EstudioEntregado!C72="","",VF_EstudioEntregado!C72)</f>
        <v>Medallas de reconocimiento</v>
      </c>
      <c r="C72" s="569" t="str">
        <f>IF(VF_EstudioEntregado!D72="","",VF_EstudioEntregado!D72)</f>
        <v>"Medallas destinadas al reconocimiento de la participación en actividades comunitarias de bienestar y salud mental, en el marco de la realización de carrera recreativa 3K/5K de carácter no competitivo. Material: Metal, aleación metálica o acrílico de alta resistencia
Acabado: Grabado, estampado o impresión con diseño alusivo al evento
Personalización: Nombre del evento, año y/o identidad gráfica institucional
Cinta: Incluye cinta tipo cuello en material textil resistente, con colores acordes al evento
Bordes y terminaciones: Seguros, sin filos ni irregularidades"</v>
      </c>
      <c r="D72" s="550">
        <f>IF(VF_EstudioEntregado!F72="","",VF_EstudioEntregado!F72)</f>
        <v>410</v>
      </c>
      <c r="E72" s="551">
        <f>IF(VF_EstudioEntregado!Z72="","",VF_EstudioEntregado!Z72)</f>
        <v>16219.699999999999</v>
      </c>
      <c r="F72" s="551">
        <f>IF(VF_EstudioEntregado!AA72="","",(E72*D72))</f>
        <v>6650077</v>
      </c>
      <c r="G72" s="561"/>
      <c r="H72" s="570">
        <f t="shared" si="3"/>
        <v>0</v>
      </c>
      <c r="I72" s="571" t="str">
        <f t="shared" si="4"/>
        <v>Valor vacío</v>
      </c>
      <c r="J72" s="572">
        <f t="shared" si="5"/>
        <v>16219.699999999999</v>
      </c>
      <c r="K72" s="571" t="str">
        <f t="shared" si="6"/>
        <v>Cumple</v>
      </c>
      <c r="L72" s="572">
        <f t="shared" si="7"/>
        <v>6650077</v>
      </c>
    </row>
    <row r="73" spans="1:12" ht="135" x14ac:dyDescent="0.25">
      <c r="A73" s="550">
        <v>63</v>
      </c>
      <c r="B73" s="568" t="str">
        <f>IF(VF_EstudioEntregado!C73="","",VF_EstudioEntregado!C73)</f>
        <v>Medallas de reconocimiento</v>
      </c>
      <c r="C73" s="569" t="str">
        <f>IF(VF_EstudioEntregado!D73="","",VF_EstudioEntregado!D73)</f>
        <v>"Medallas destinadas al reconocimiento de la participación en actividades comunitarias de bienestar y salud mental, en el marco de la realización de carrera recreativa 3K/5K de carácter no competitivo. Material: Metal, aleación metálica o acrílico de alta resistencia
Acabado: Grabado, estampado o impresión con diseño alusivo al evento
Personalización: Nombre del evento, año y/o identidad gráfica institucional
Cinta: Incluye cinta tipo cuello en material textil resistente, con colores acordes al evento
Bordes y terminaciones: Seguros, sin filos ni irregularidades"</v>
      </c>
      <c r="D73" s="550">
        <f>IF(VF_EstudioEntregado!F73="","",VF_EstudioEntregado!F73)</f>
        <v>50</v>
      </c>
      <c r="E73" s="551">
        <f>IF(VF_EstudioEntregado!Z73="","",VF_EstudioEntregado!Z73)</f>
        <v>16219.699999999999</v>
      </c>
      <c r="F73" s="551">
        <f>IF(VF_EstudioEntregado!AA73="","",(E73*D73))</f>
        <v>810985</v>
      </c>
      <c r="G73" s="561"/>
      <c r="H73" s="570">
        <f t="shared" si="3"/>
        <v>0</v>
      </c>
      <c r="I73" s="571" t="str">
        <f t="shared" si="4"/>
        <v>Valor vacío</v>
      </c>
      <c r="J73" s="572">
        <f t="shared" si="5"/>
        <v>16219.699999999999</v>
      </c>
      <c r="K73" s="571" t="str">
        <f t="shared" si="6"/>
        <v>Cumple</v>
      </c>
      <c r="L73" s="572">
        <f t="shared" si="7"/>
        <v>810985</v>
      </c>
    </row>
    <row r="74" spans="1:12" ht="30" x14ac:dyDescent="0.25">
      <c r="A74" s="550">
        <v>64</v>
      </c>
      <c r="B74" s="568" t="str">
        <f>IF(VF_EstudioEntregado!C74="","",VF_EstudioEntregado!C74)</f>
        <v>Alquiler Carpa 3 x 3</v>
      </c>
      <c r="C74" s="569" t="str">
        <f>IF(VF_EstudioEntregado!D74="","",VF_EstudioEntregado!D74)</f>
        <v>Alquiler Carpa 3X3 con laterales. Incluye transporte, instalación y entrega en el lugar requerido, montaje y desmontaje, alquiler por día.</v>
      </c>
      <c r="D74" s="550">
        <f>IF(VF_EstudioEntregado!F74="","",VF_EstudioEntregado!F74)</f>
        <v>10</v>
      </c>
      <c r="E74" s="551">
        <f>IF(VF_EstudioEntregado!Z74="","",VF_EstudioEntregado!Z74)</f>
        <v>455792.96</v>
      </c>
      <c r="F74" s="551">
        <f>IF(VF_EstudioEntregado!AA74="","",(E74*D74))</f>
        <v>4557929.6000000006</v>
      </c>
      <c r="G74" s="561"/>
      <c r="H74" s="570">
        <f t="shared" si="3"/>
        <v>0</v>
      </c>
      <c r="I74" s="571" t="str">
        <f t="shared" si="4"/>
        <v>Valor vacío</v>
      </c>
      <c r="J74" s="572">
        <f t="shared" si="5"/>
        <v>455792.96</v>
      </c>
      <c r="K74" s="571" t="str">
        <f t="shared" si="6"/>
        <v>Cumple</v>
      </c>
      <c r="L74" s="572">
        <f t="shared" si="7"/>
        <v>4557929.6000000006</v>
      </c>
    </row>
    <row r="75" spans="1:12" ht="30" x14ac:dyDescent="0.25">
      <c r="A75" s="550">
        <v>65</v>
      </c>
      <c r="B75" s="568" t="str">
        <f>IF(VF_EstudioEntregado!C75="","",VF_EstudioEntregado!C75)</f>
        <v>Alquiler de sillas</v>
      </c>
      <c r="C75" s="569" t="str">
        <f>IF(VF_EstudioEntregado!D75="","",VF_EstudioEntregado!D75)</f>
        <v xml:space="preserve">Alquiler de sillas: sillas plástica tipo sin brazos de 46,7 cms de ancho x 50,5 cms de largo y 89 cms de alto incluido el transporte. </v>
      </c>
      <c r="D75" s="550">
        <f>IF(VF_EstudioEntregado!F75="","",VF_EstudioEntregado!F75)</f>
        <v>80</v>
      </c>
      <c r="E75" s="551">
        <f>IF(VF_EstudioEntregado!Z75="","",VF_EstudioEntregado!Z75)</f>
        <v>5025.5919999999996</v>
      </c>
      <c r="F75" s="551">
        <f>IF(VF_EstudioEntregado!AA75="","",(E75*D75))</f>
        <v>402047.36</v>
      </c>
      <c r="G75" s="561"/>
      <c r="H75" s="570">
        <f t="shared" si="3"/>
        <v>0</v>
      </c>
      <c r="I75" s="571" t="str">
        <f t="shared" si="4"/>
        <v>Valor vacío</v>
      </c>
      <c r="J75" s="572">
        <f t="shared" ref="J75:J111" si="8">E75-G75</f>
        <v>5025.5919999999996</v>
      </c>
      <c r="K75" s="571" t="str">
        <f t="shared" ref="K75:K111" si="9">IF(F75&gt;=H75,"Cumple","No cumple")</f>
        <v>Cumple</v>
      </c>
      <c r="L75" s="572">
        <f t="shared" ref="L75:L111" si="10">F75-H75</f>
        <v>402047.36</v>
      </c>
    </row>
    <row r="76" spans="1:12" ht="45" x14ac:dyDescent="0.25">
      <c r="A76" s="550">
        <v>66</v>
      </c>
      <c r="B76" s="568" t="str">
        <f>IF(VF_EstudioEntregado!C76="","",VF_EstudioEntregado!C76)</f>
        <v>Mesas cuadradas</v>
      </c>
      <c r="C76" s="569" t="str">
        <f>IF(VF_EstudioEntregado!D76="","",VF_EstudioEntregado!D76)</f>
        <v>Alquiler de Mesas plásticas blancas, cuadrada de 75 cms de largo X 75 cms de ancho X 70,5 cms de alto Incluye transporte, instalación y entrega en el lugar requerido.</v>
      </c>
      <c r="D76" s="550">
        <f>IF(VF_EstudioEntregado!F76="","",VF_EstudioEntregado!F76)</f>
        <v>20</v>
      </c>
      <c r="E76" s="551">
        <f>IF(VF_EstudioEntregado!Z76="","",VF_EstudioEntregado!Z76)</f>
        <v>11423.16</v>
      </c>
      <c r="F76" s="551">
        <f>IF(VF_EstudioEntregado!AA76="","",(E76*D76))</f>
        <v>228463.2</v>
      </c>
      <c r="G76" s="561"/>
      <c r="H76" s="570">
        <f t="shared" ref="H76:H111" si="11">G76*D76</f>
        <v>0</v>
      </c>
      <c r="I76" s="571" t="str">
        <f t="shared" ref="I76:I111" si="12">IF(G76&lt;&gt;0,IF(AND(E76&gt;=G76,G76&lt;&gt;0),"Cumple","No cumple"),"Valor vacío")</f>
        <v>Valor vacío</v>
      </c>
      <c r="J76" s="572">
        <f t="shared" si="8"/>
        <v>11423.16</v>
      </c>
      <c r="K76" s="571" t="str">
        <f t="shared" si="9"/>
        <v>Cumple</v>
      </c>
      <c r="L76" s="572">
        <f t="shared" si="10"/>
        <v>228463.2</v>
      </c>
    </row>
    <row r="77" spans="1:12" ht="45" x14ac:dyDescent="0.25">
      <c r="A77" s="550">
        <v>67</v>
      </c>
      <c r="B77" s="568" t="str">
        <f>IF(VF_EstudioEntregado!C77="","",VF_EstudioEntregado!C77)</f>
        <v>Alquiler Sonido 1000 w 8 a 12 horas</v>
      </c>
      <c r="C77" s="569" t="str">
        <f>IF(VF_EstudioEntregado!D77="","",VF_EstudioEntregado!D77)</f>
        <v>Alquiler de Sonido de 1000 watios con operario por un periodo de 6 a 8 horas 2 cabinas de sonido, 2 trípodes para cabinas, sistema de monitoreo, set de micrófono, 1 consola de sonido.</v>
      </c>
      <c r="D77" s="550">
        <f>IF(VF_EstudioEntregado!F77="","",VF_EstudioEntregado!F77)</f>
        <v>1</v>
      </c>
      <c r="E77" s="551">
        <f>IF(VF_EstudioEntregado!Z77="","",VF_EstudioEntregado!Z77)</f>
        <v>1511499.92</v>
      </c>
      <c r="F77" s="551">
        <f>IF(VF_EstudioEntregado!AA77="","",(E77*D77))</f>
        <v>1511499.92</v>
      </c>
      <c r="G77" s="561"/>
      <c r="H77" s="570">
        <f t="shared" si="11"/>
        <v>0</v>
      </c>
      <c r="I77" s="571" t="str">
        <f t="shared" si="12"/>
        <v>Valor vacío</v>
      </c>
      <c r="J77" s="572">
        <f t="shared" si="8"/>
        <v>1511499.92</v>
      </c>
      <c r="K77" s="571" t="str">
        <f t="shared" si="9"/>
        <v>Cumple</v>
      </c>
      <c r="L77" s="572">
        <f t="shared" si="10"/>
        <v>1511499.92</v>
      </c>
    </row>
    <row r="78" spans="1:12" ht="90" x14ac:dyDescent="0.25">
      <c r="A78" s="550">
        <v>68</v>
      </c>
      <c r="B78" s="568" t="str">
        <f>IF(VF_EstudioEntregado!C78="","",VF_EstudioEntregado!C78)</f>
        <v xml:space="preserve">Alquiler Tarima 6 x 6 Jornada completa
</v>
      </c>
      <c r="C78" s="569" t="str">
        <f>IF(VF_EstudioEntregado!D78="","",VF_EstudioEntregado!D78)</f>
        <v>Tarima un solo módulo de 6 m x 6 m y altura de 1,20 m, con faldón negro y una escalera de embarque con cinta antideslizante, barandas y  señalización con cinta reflectiva., con acceso a personas con discapacidad. Incluye Instalación, Transporte Y Entrega En El Lugar Requerido, Montaje Y Desmontaje De La Misma (Jornada día de 8 a 12 horas, sin montaje y desmontaje)  Debe contar con techo que cubra la superficie de la tarima en caso de lluvia.</v>
      </c>
      <c r="D78" s="550">
        <f>IF(VF_EstudioEntregado!F78="","",VF_EstudioEntregado!F78)</f>
        <v>1</v>
      </c>
      <c r="E78" s="551">
        <f>IF(VF_EstudioEntregado!Z78="","",VF_EstudioEntregado!Z78)</f>
        <v>1332166.5233333334</v>
      </c>
      <c r="F78" s="551">
        <f>IF(VF_EstudioEntregado!AA78="","",(E78*D78))</f>
        <v>1332166.5233333334</v>
      </c>
      <c r="G78" s="561"/>
      <c r="H78" s="570">
        <f t="shared" si="11"/>
        <v>0</v>
      </c>
      <c r="I78" s="571" t="str">
        <f t="shared" si="12"/>
        <v>Valor vacío</v>
      </c>
      <c r="J78" s="572">
        <f t="shared" si="8"/>
        <v>1332166.5233333334</v>
      </c>
      <c r="K78" s="571" t="str">
        <f t="shared" si="9"/>
        <v>Cumple</v>
      </c>
      <c r="L78" s="572">
        <f t="shared" si="10"/>
        <v>1332166.5233333334</v>
      </c>
    </row>
    <row r="79" spans="1:12" x14ac:dyDescent="0.25">
      <c r="A79" s="550">
        <v>69</v>
      </c>
      <c r="B79" s="568" t="str">
        <f>IF(VF_EstudioEntregado!C79="","",VF_EstudioEntregado!C79)</f>
        <v>Agua en botella x 24 unidades 300 ml</v>
      </c>
      <c r="C79" s="569" t="str">
        <f>IF(VF_EstudioEntregado!D79="","",VF_EstudioEntregado!D79)</f>
        <v>Bandeja X 24 unidades de agua en botella por 300 ML.</v>
      </c>
      <c r="D79" s="550">
        <f>IF(VF_EstudioEntregado!F79="","",VF_EstudioEntregado!F79)</f>
        <v>40</v>
      </c>
      <c r="E79" s="551">
        <f>IF(VF_EstudioEntregado!Z79="","",VF_EstudioEntregado!Z79)</f>
        <v>17560.000966666663</v>
      </c>
      <c r="F79" s="551">
        <f>IF(VF_EstudioEntregado!AA79="","",(E79*D79))</f>
        <v>702400.03866666649</v>
      </c>
      <c r="G79" s="561"/>
      <c r="H79" s="570">
        <f t="shared" si="11"/>
        <v>0</v>
      </c>
      <c r="I79" s="571" t="str">
        <f t="shared" si="12"/>
        <v>Valor vacío</v>
      </c>
      <c r="J79" s="572">
        <f t="shared" si="8"/>
        <v>17560.000966666663</v>
      </c>
      <c r="K79" s="571" t="str">
        <f t="shared" si="9"/>
        <v>Cumple</v>
      </c>
      <c r="L79" s="572">
        <f t="shared" si="10"/>
        <v>702400.03866666649</v>
      </c>
    </row>
    <row r="80" spans="1:12" ht="90" x14ac:dyDescent="0.25">
      <c r="A80" s="550">
        <v>70</v>
      </c>
      <c r="B80" s="568" t="str">
        <f>IF(VF_EstudioEntregado!C80="","",VF_EstudioEntregado!C80)</f>
        <v>Refrigerio para deportista</v>
      </c>
      <c r="C80" s="569" t="str">
        <f>IF(VF_EstudioEntregado!D80="","",VF_EstudioEntregado!D80)</f>
        <v>Refrigerio para deportista Una fruta fresca (banano, manzana, pera, mandarina o guayaba), botella plástica sellada de agua de 600ml, 2 bocadillos veleño en empaque individual, 1 Barra de proteína con 20g de proteína premium, baja en azúcar y enriquecida con fibra y superalimentos para recuperar energía y favorecer el crecimiento muscular. (No se aceptarán productos con alto contenido de azúcares añadidos, colorantes o conservantes artificiales).</v>
      </c>
      <c r="D80" s="550">
        <f>IF(VF_EstudioEntregado!F80="","",VF_EstudioEntregado!F80)</f>
        <v>410</v>
      </c>
      <c r="E80" s="551">
        <f>IF(VF_EstudioEntregado!Z80="","",VF_EstudioEntregado!Z80)</f>
        <v>16488</v>
      </c>
      <c r="F80" s="551">
        <f>IF(VF_EstudioEntregado!AA80="","",(E80*D80))</f>
        <v>6760080</v>
      </c>
      <c r="G80" s="561"/>
      <c r="H80" s="570">
        <f t="shared" si="11"/>
        <v>0</v>
      </c>
      <c r="I80" s="571" t="str">
        <f t="shared" si="12"/>
        <v>Valor vacío</v>
      </c>
      <c r="J80" s="572">
        <f t="shared" si="8"/>
        <v>16488</v>
      </c>
      <c r="K80" s="571" t="str">
        <f t="shared" si="9"/>
        <v>Cumple</v>
      </c>
      <c r="L80" s="572">
        <f t="shared" si="10"/>
        <v>6760080</v>
      </c>
    </row>
    <row r="81" spans="1:12" ht="270" x14ac:dyDescent="0.25">
      <c r="A81" s="550">
        <v>71</v>
      </c>
      <c r="B81" s="568" t="str">
        <f>IF(VF_EstudioEntregado!C81="","",VF_EstudioEntregado!C81)</f>
        <v>Refrigerio Tipo 1</v>
      </c>
      <c r="C81" s="569" t="str">
        <f>IF(VF_EstudioEntregado!D81="","",VF_EstudioEntregado!D81)</f>
        <v>Compuesto por: 
1. Bebida: Deberá contener al menos 200 mililitros. Jugo de frutas y/o yogurt y/o kumis y/o avena, naturales no procesados, no se permitirá el suministro de bebidas empacadas en bolsa plástica, la Alcaldía Local de Suba requiere que las mismas sean entregadas a los asistentes en empaque tetra pack. 
2. Un producto cereal   o producto de panadería tipo: Deberán tener un peso mínimo de 100 gramos. Podrá ser  Pastel de pollo o carne, ponqué, arepa, empanada, mantecada,  arepa con queso, pastel gloria, croissant de jamón y queso, brownie, buñuelo o similares. Los gramajes corresponden a los productos ya elaborados.   
3. Una fruta de temporada: Porción de fruta no menor de 100 gramos. Mandarina, naranja,  manzana, pera, durazno o similares. 
4. Dulce: Deberá tener mínimo entre 12 y 15 gramos. Chocolatina, Arequipe,  bocadillo o similares.</v>
      </c>
      <c r="D81" s="550">
        <f>IF(VF_EstudioEntregado!F81="","",VF_EstudioEntregado!F81)</f>
        <v>50</v>
      </c>
      <c r="E81" s="551">
        <f>IF(VF_EstudioEntregado!Z81="","",VF_EstudioEntregado!Z81)</f>
        <v>11920.866666666667</v>
      </c>
      <c r="F81" s="551">
        <f>IF(VF_EstudioEntregado!AA81="","",(E81*D81))</f>
        <v>596043.33333333337</v>
      </c>
      <c r="G81" s="561"/>
      <c r="H81" s="570">
        <f t="shared" si="11"/>
        <v>0</v>
      </c>
      <c r="I81" s="571" t="str">
        <f t="shared" si="12"/>
        <v>Valor vacío</v>
      </c>
      <c r="J81" s="572">
        <f t="shared" si="8"/>
        <v>11920.866666666667</v>
      </c>
      <c r="K81" s="571" t="str">
        <f t="shared" si="9"/>
        <v>Cumple</v>
      </c>
      <c r="L81" s="572">
        <f t="shared" si="10"/>
        <v>596043.33333333337</v>
      </c>
    </row>
    <row r="82" spans="1:12" ht="30" x14ac:dyDescent="0.25">
      <c r="A82" s="550">
        <v>72</v>
      </c>
      <c r="B82" s="568" t="str">
        <f>IF(VF_EstudioEntregado!C82="","",VF_EstudioEntregado!C82)</f>
        <v>Carton Cartulina Blanco x pliego</v>
      </c>
      <c r="C82" s="569" t="str">
        <f>IF(VF_EstudioEntregado!D82="","",VF_EstudioEntregado!D82)</f>
        <v>Cartulina blanca 70x100 cm: Pliego de alto gramaje con superficie lisa y acabado uniforme en ambas caras.</v>
      </c>
      <c r="D82" s="550">
        <f>IF(VF_EstudioEntregado!F82="","",VF_EstudioEntregado!F82)</f>
        <v>30</v>
      </c>
      <c r="E82" s="551">
        <f>IF(VF_EstudioEntregado!Z82="","",VF_EstudioEntregado!Z82)</f>
        <v>2661.2133333333331</v>
      </c>
      <c r="F82" s="551">
        <f>IF(VF_EstudioEntregado!AA82="","",(E82*D82))</f>
        <v>79836.399999999994</v>
      </c>
      <c r="G82" s="561"/>
      <c r="H82" s="570">
        <f t="shared" si="11"/>
        <v>0</v>
      </c>
      <c r="I82" s="571" t="str">
        <f t="shared" si="12"/>
        <v>Valor vacío</v>
      </c>
      <c r="J82" s="572">
        <f t="shared" si="8"/>
        <v>2661.2133333333331</v>
      </c>
      <c r="K82" s="571" t="str">
        <f t="shared" si="9"/>
        <v>Cumple</v>
      </c>
      <c r="L82" s="572">
        <f t="shared" si="10"/>
        <v>79836.399999999994</v>
      </c>
    </row>
    <row r="83" spans="1:12" ht="30" x14ac:dyDescent="0.25">
      <c r="A83" s="550">
        <v>73</v>
      </c>
      <c r="B83" s="568" t="str">
        <f>IF(VF_EstudioEntregado!C83="","",VF_EstudioEntregado!C83)</f>
        <v>Cartulina Papel Iris Pliegos 70×100</v>
      </c>
      <c r="C83" s="569" t="str">
        <f>IF(VF_EstudioEntregado!D83="","",VF_EstudioEntregado!D83)</f>
        <v>Paquete de 10 pliegos de papel Iris de 70 x 100 cm, gramaje de 125 g/m² y colores surtidos</v>
      </c>
      <c r="D83" s="550">
        <f>IF(VF_EstudioEntregado!F83="","",VF_EstudioEntregado!F83)</f>
        <v>6</v>
      </c>
      <c r="E83" s="551">
        <f>IF(VF_EstudioEntregado!Z83="","",VF_EstudioEntregado!Z83)</f>
        <v>2005.4166666666667</v>
      </c>
      <c r="F83" s="551">
        <f>IF(VF_EstudioEntregado!AA83="","",(E83*D83))</f>
        <v>12032.5</v>
      </c>
      <c r="G83" s="561"/>
      <c r="H83" s="570">
        <f t="shared" si="11"/>
        <v>0</v>
      </c>
      <c r="I83" s="571" t="str">
        <f t="shared" si="12"/>
        <v>Valor vacío</v>
      </c>
      <c r="J83" s="572">
        <f t="shared" si="8"/>
        <v>2005.4166666666667</v>
      </c>
      <c r="K83" s="571" t="str">
        <f t="shared" si="9"/>
        <v>Cumple</v>
      </c>
      <c r="L83" s="572">
        <f t="shared" si="10"/>
        <v>12032.5</v>
      </c>
    </row>
    <row r="84" spans="1:12" ht="30" x14ac:dyDescent="0.25">
      <c r="A84" s="550">
        <v>74</v>
      </c>
      <c r="B84" s="568" t="str">
        <f>IF(VF_EstudioEntregado!C84="","",VF_EstudioEntregado!C84)</f>
        <v>Notas Adhesivas (Post-it) cuadradas 5x 5 cm</v>
      </c>
      <c r="C84" s="569" t="str">
        <f>IF(VF_EstudioEntregado!D84="","",VF_EstudioEntregado!D84)</f>
        <v>Bloque de 100 notas adhesivas de 5 x 5 cm (2" x 2"), fabricadas en papel de alto gramaje con acabado mate.</v>
      </c>
      <c r="D84" s="550">
        <f>IF(VF_EstudioEntregado!F84="","",VF_EstudioEntregado!F84)</f>
        <v>12</v>
      </c>
      <c r="E84" s="551">
        <f>IF(VF_EstudioEntregado!Z84="","",VF_EstudioEntregado!Z84)</f>
        <v>2137</v>
      </c>
      <c r="F84" s="551">
        <f>IF(VF_EstudioEntregado!AA84="","",(E84*D84))</f>
        <v>25644</v>
      </c>
      <c r="G84" s="561"/>
      <c r="H84" s="570">
        <f t="shared" si="11"/>
        <v>0</v>
      </c>
      <c r="I84" s="571" t="str">
        <f t="shared" si="12"/>
        <v>Valor vacío</v>
      </c>
      <c r="J84" s="572">
        <f t="shared" si="8"/>
        <v>2137</v>
      </c>
      <c r="K84" s="571" t="str">
        <f t="shared" si="9"/>
        <v>Cumple</v>
      </c>
      <c r="L84" s="572">
        <f t="shared" si="10"/>
        <v>25644</v>
      </c>
    </row>
    <row r="85" spans="1:12" ht="45" x14ac:dyDescent="0.25">
      <c r="A85" s="550">
        <v>75</v>
      </c>
      <c r="B85" s="568" t="str">
        <f>IF(VF_EstudioEntregado!C85="","",VF_EstudioEntregado!C85)</f>
        <v>Cinta transparente gruesa</v>
      </c>
      <c r="C85" s="569" t="str">
        <f>IF(VF_EstudioEntregado!D85="","",VF_EstudioEntregado!D85)</f>
        <v>Cinta de polipropileno transparente de 48 mm de ancho x 160 m de longitud, con un espesor de 1143 µm y acabado brillante. Adhesivo de alta adherencia y película resistente a la tensión.</v>
      </c>
      <c r="D85" s="550">
        <f>IF(VF_EstudioEntregado!F85="","",VF_EstudioEntregado!F85)</f>
        <v>6</v>
      </c>
      <c r="E85" s="551">
        <f>IF(VF_EstudioEntregado!Z85="","",VF_EstudioEntregado!Z85)</f>
        <v>6533.333333333333</v>
      </c>
      <c r="F85" s="551">
        <f>IF(VF_EstudioEntregado!AA85="","",(E85*D85))</f>
        <v>39200</v>
      </c>
      <c r="G85" s="561"/>
      <c r="H85" s="570">
        <f t="shared" si="11"/>
        <v>0</v>
      </c>
      <c r="I85" s="571" t="str">
        <f t="shared" si="12"/>
        <v>Valor vacío</v>
      </c>
      <c r="J85" s="572">
        <f t="shared" si="8"/>
        <v>6533.333333333333</v>
      </c>
      <c r="K85" s="571" t="str">
        <f t="shared" si="9"/>
        <v>Cumple</v>
      </c>
      <c r="L85" s="572">
        <f t="shared" si="10"/>
        <v>39200</v>
      </c>
    </row>
    <row r="86" spans="1:12" ht="30" x14ac:dyDescent="0.25">
      <c r="A86" s="550">
        <v>76</v>
      </c>
      <c r="B86" s="568" t="str">
        <f>IF(VF_EstudioEntregado!C86="","",VF_EstudioEntregado!C86)</f>
        <v>Papel Kraft (Paquete x 25 Pliegos)</v>
      </c>
      <c r="C86" s="569" t="str">
        <f>IF(VF_EstudioEntregado!D86="","",VF_EstudioEntregado!D86)</f>
        <v>Paquete de papel kraft de alta resistencia y gramaje uniforme, que contiene 25 pliegos de 100 cm x 70 cm cada uno</v>
      </c>
      <c r="D86" s="550">
        <f>IF(VF_EstudioEntregado!F86="","",VF_EstudioEntregado!F86)</f>
        <v>1</v>
      </c>
      <c r="E86" s="551">
        <f>IF(VF_EstudioEntregado!Z86="","",VF_EstudioEntregado!Z86)</f>
        <v>7587.5999999999995</v>
      </c>
      <c r="F86" s="551">
        <f>IF(VF_EstudioEntregado!AA86="","",(E86*D86))</f>
        <v>7587.5999999999995</v>
      </c>
      <c r="G86" s="561"/>
      <c r="H86" s="570">
        <f t="shared" si="11"/>
        <v>0</v>
      </c>
      <c r="I86" s="571" t="str">
        <f t="shared" si="12"/>
        <v>Valor vacío</v>
      </c>
      <c r="J86" s="572">
        <f t="shared" si="8"/>
        <v>7587.5999999999995</v>
      </c>
      <c r="K86" s="571" t="str">
        <f t="shared" si="9"/>
        <v>Cumple</v>
      </c>
      <c r="L86" s="572">
        <f t="shared" si="10"/>
        <v>7587.5999999999995</v>
      </c>
    </row>
    <row r="87" spans="1:12" ht="45" x14ac:dyDescent="0.25">
      <c r="A87" s="550">
        <v>77</v>
      </c>
      <c r="B87" s="568" t="str">
        <f>IF(VF_EstudioEntregado!C87="","",VF_EstudioEntregado!C87)</f>
        <v>Pegante liquido por 1.000 cc</v>
      </c>
      <c r="C87" s="569" t="str">
        <f>IF(VF_EstudioEntregado!D87="","",VF_EstudioEntregado!D87)</f>
        <v>Colbon-Pegante-Liquido-UniversalVolumen de la unidad 1.000 cc Con Tapa dosificadora - esparcidora con  cierre anti secado, no deja arrugas, lavable e inofensivo a la piel.  Coloreable en cualquier pigmento</v>
      </c>
      <c r="D87" s="550">
        <f>IF(VF_EstudioEntregado!F87="","",VF_EstudioEntregado!F87)</f>
        <v>6</v>
      </c>
      <c r="E87" s="551">
        <f>IF(VF_EstudioEntregado!Z87="","",VF_EstudioEntregado!Z87)</f>
        <v>16156.666666666666</v>
      </c>
      <c r="F87" s="551">
        <f>IF(VF_EstudioEntregado!AA87="","",(E87*D87))</f>
        <v>96940</v>
      </c>
      <c r="G87" s="561"/>
      <c r="H87" s="570">
        <f t="shared" si="11"/>
        <v>0</v>
      </c>
      <c r="I87" s="571" t="str">
        <f t="shared" si="12"/>
        <v>Valor vacío</v>
      </c>
      <c r="J87" s="572">
        <f t="shared" si="8"/>
        <v>16156.666666666666</v>
      </c>
      <c r="K87" s="571" t="str">
        <f t="shared" si="9"/>
        <v>Cumple</v>
      </c>
      <c r="L87" s="572">
        <f t="shared" si="10"/>
        <v>96940</v>
      </c>
    </row>
    <row r="88" spans="1:12" ht="45" x14ac:dyDescent="0.25">
      <c r="A88" s="550">
        <v>78</v>
      </c>
      <c r="B88" s="568" t="str">
        <f>IF(VF_EstudioEntregado!C88="","",VF_EstudioEntregado!C88)</f>
        <v>Tijera punta roma</v>
      </c>
      <c r="C88" s="569" t="str">
        <f>IF(VF_EstudioEntregado!D88="","",VF_EstudioEntregado!D88)</f>
        <v>Tijera punta roma: Herramienta de corte con hojas de acero inoxidable y puntas redondeadas para mayor seguridad. Mango ergonómico de polímero de alta resistencia. Tamaño entre 5 y 5.5 pulgadas</v>
      </c>
      <c r="D88" s="550">
        <f>IF(VF_EstudioEntregado!F88="","",VF_EstudioEntregado!F88)</f>
        <v>12</v>
      </c>
      <c r="E88" s="551">
        <f>IF(VF_EstudioEntregado!Z88="","",VF_EstudioEntregado!Z88)</f>
        <v>1633.3333333333333</v>
      </c>
      <c r="F88" s="551">
        <f>IF(VF_EstudioEntregado!AA88="","",(E88*D88))</f>
        <v>19600</v>
      </c>
      <c r="G88" s="561"/>
      <c r="H88" s="570">
        <f t="shared" si="11"/>
        <v>0</v>
      </c>
      <c r="I88" s="571" t="str">
        <f t="shared" si="12"/>
        <v>Valor vacío</v>
      </c>
      <c r="J88" s="572">
        <f t="shared" si="8"/>
        <v>1633.3333333333333</v>
      </c>
      <c r="K88" s="571" t="str">
        <f t="shared" si="9"/>
        <v>Cumple</v>
      </c>
      <c r="L88" s="572">
        <f t="shared" si="10"/>
        <v>19600</v>
      </c>
    </row>
    <row r="89" spans="1:12" ht="30" x14ac:dyDescent="0.25">
      <c r="A89" s="550">
        <v>79</v>
      </c>
      <c r="B89" s="568" t="str">
        <f>IF(VF_EstudioEntregado!C89="","",VF_EstudioEntregado!C89)</f>
        <v>Marcador borrable caja x 10</v>
      </c>
      <c r="C89" s="569" t="str">
        <f>IF(VF_EstudioEntregado!D89="","",VF_EstudioEntregado!D89)</f>
        <v>Caja de 10 marcadores para tablero blanco con tinta de borrado en seco, colores intensos y bajo olor. Punta acrílica de alta resistencia (redonda o biselada)</v>
      </c>
      <c r="D89" s="550">
        <f>IF(VF_EstudioEntregado!F89="","",VF_EstudioEntregado!F89)</f>
        <v>6</v>
      </c>
      <c r="E89" s="551">
        <f>IF(VF_EstudioEntregado!Z89="","",VF_EstudioEntregado!Z89)</f>
        <v>15188.82</v>
      </c>
      <c r="F89" s="551">
        <f>IF(VF_EstudioEntregado!AA89="","",(E89*D89))</f>
        <v>91132.92</v>
      </c>
      <c r="G89" s="561"/>
      <c r="H89" s="570">
        <f t="shared" si="11"/>
        <v>0</v>
      </c>
      <c r="I89" s="571" t="str">
        <f t="shared" si="12"/>
        <v>Valor vacío</v>
      </c>
      <c r="J89" s="572">
        <f t="shared" si="8"/>
        <v>15188.82</v>
      </c>
      <c r="K89" s="571" t="str">
        <f t="shared" si="9"/>
        <v>Cumple</v>
      </c>
      <c r="L89" s="572">
        <f t="shared" si="10"/>
        <v>91132.92</v>
      </c>
    </row>
    <row r="90" spans="1:12" ht="30" x14ac:dyDescent="0.25">
      <c r="A90" s="550">
        <v>80</v>
      </c>
      <c r="B90" s="568" t="str">
        <f>IF(VF_EstudioEntregado!C90="","",VF_EstudioEntregado!C90)</f>
        <v>Tablero acrílico</v>
      </c>
      <c r="C90" s="569" t="str">
        <f>IF(VF_EstudioEntregado!D90="","",VF_EstudioEntregado!D90)</f>
        <v>Tablero acrílico con base trípode caballete metálico medida trípode 150cm de alto , medidas tablero 120x80cm</v>
      </c>
      <c r="D90" s="550">
        <f>IF(VF_EstudioEntregado!F90="","",VF_EstudioEntregado!F90)</f>
        <v>6</v>
      </c>
      <c r="E90" s="551">
        <f>IF(VF_EstudioEntregado!Z90="","",VF_EstudioEntregado!Z90)</f>
        <v>139346.66666666666</v>
      </c>
      <c r="F90" s="551">
        <f>IF(VF_EstudioEntregado!AA90="","",(E90*D90))</f>
        <v>836080</v>
      </c>
      <c r="G90" s="561"/>
      <c r="H90" s="570">
        <f t="shared" si="11"/>
        <v>0</v>
      </c>
      <c r="I90" s="571" t="str">
        <f t="shared" si="12"/>
        <v>Valor vacío</v>
      </c>
      <c r="J90" s="572">
        <f t="shared" si="8"/>
        <v>139346.66666666666</v>
      </c>
      <c r="K90" s="571" t="str">
        <f t="shared" si="9"/>
        <v>Cumple</v>
      </c>
      <c r="L90" s="572">
        <f t="shared" si="10"/>
        <v>836080</v>
      </c>
    </row>
    <row r="91" spans="1:12" ht="180" x14ac:dyDescent="0.25">
      <c r="A91" s="550">
        <v>81</v>
      </c>
      <c r="B91" s="568" t="str">
        <f>IF(VF_EstudioEntregado!C91="","",VF_EstudioEntregado!C91)</f>
        <v>REGISTRO FOTOGRÁFICO Y AUDIOVISUAL</v>
      </c>
      <c r="C91" s="569" t="str">
        <f>IF(VF_EstudioEntregado!D91="","",VF_EstudioEntregado!D91)</f>
        <v>"Registro fotográfico profesional y video institucional donde se evidencie el resumen del evento con edición.
Registro fotográfico profesional y producción de video institucional del evento. El registro fotográfico deberá incluir una cobertura suficiente que evidencie las diferentes fases de la jornada (montaje, desarrollo de la carrera, estaciones metodológicas, participación de la comunidad y cierre), con un mínimo de cincuenta (50) fotografías editadas en alta resolución.
El video institucional deberá tener una duración mínima de dos (2) minutos, con edición básica que incluya selección de tomas representativas, ambientación musical libre de restricciones legales, inclusión de créditos institucionales y elementos gráficos básicos. Este deberá evidenciar de manera integral el desarrollo del evento, la participación comunitaria y los principales momentos de la jornada."</v>
      </c>
      <c r="D91" s="550">
        <f>IF(VF_EstudioEntregado!F91="","",VF_EstudioEntregado!F91)</f>
        <v>1</v>
      </c>
      <c r="E91" s="551">
        <f>IF(VF_EstudioEntregado!Z91="","",VF_EstudioEntregado!Z91)</f>
        <v>4956746.666666667</v>
      </c>
      <c r="F91" s="551">
        <f>IF(VF_EstudioEntregado!AA91="","",(E91*D91))</f>
        <v>4956746.666666667</v>
      </c>
      <c r="G91" s="561"/>
      <c r="H91" s="570">
        <f t="shared" si="11"/>
        <v>0</v>
      </c>
      <c r="I91" s="571" t="str">
        <f t="shared" si="12"/>
        <v>Valor vacío</v>
      </c>
      <c r="J91" s="572">
        <f t="shared" si="8"/>
        <v>4956746.666666667</v>
      </c>
      <c r="K91" s="571" t="str">
        <f t="shared" si="9"/>
        <v>Cumple</v>
      </c>
      <c r="L91" s="572">
        <f t="shared" si="10"/>
        <v>4956746.666666667</v>
      </c>
    </row>
    <row r="92" spans="1:12" ht="30" x14ac:dyDescent="0.25">
      <c r="A92" s="550">
        <v>82</v>
      </c>
      <c r="B92" s="568" t="str">
        <f>IF(VF_EstudioEntregado!C92="","",VF_EstudioEntregado!C92)</f>
        <v>Persona primeros auxilios</v>
      </c>
      <c r="C92" s="569" t="str">
        <f>IF(VF_EstudioEntregado!D92="","",VF_EstudioEntregado!D92)</f>
        <v>PERSONAL DE PRIMEROS AUXILIOS (AUXILIARES DE ENFERMERÍA)
(JORNADA ENTRE 5 Y HASTA 10 HORAS DÍA).</v>
      </c>
      <c r="D92" s="550">
        <f>IF(VF_EstudioEntregado!F92="","",VF_EstudioEntregado!F92)</f>
        <v>1</v>
      </c>
      <c r="E92" s="551">
        <f>IF(VF_EstudioEntregado!Z92="","",VF_EstudioEntregado!Z92)</f>
        <v>283367.58999999997</v>
      </c>
      <c r="F92" s="551">
        <f>IF(VF_EstudioEntregado!AA92="","",(E92*D92))</f>
        <v>283367.58999999997</v>
      </c>
      <c r="G92" s="561"/>
      <c r="H92" s="570">
        <f t="shared" si="11"/>
        <v>0</v>
      </c>
      <c r="I92" s="571" t="str">
        <f t="shared" si="12"/>
        <v>Valor vacío</v>
      </c>
      <c r="J92" s="572">
        <f t="shared" si="8"/>
        <v>283367.58999999997</v>
      </c>
      <c r="K92" s="571" t="str">
        <f t="shared" si="9"/>
        <v>Cumple</v>
      </c>
      <c r="L92" s="572">
        <f t="shared" si="10"/>
        <v>283367.58999999997</v>
      </c>
    </row>
    <row r="93" spans="1:12" ht="75" x14ac:dyDescent="0.25">
      <c r="A93" s="550">
        <v>83</v>
      </c>
      <c r="B93" s="568" t="str">
        <f>IF(VF_EstudioEntregado!C93="","",VF_EstudioEntregado!C93)</f>
        <v>Alquiler baño portatil tipo 1</v>
      </c>
      <c r="C93" s="569" t="str">
        <f>IF(VF_EstudioEntregado!D93="","",VF_EstudioEntregado!D93)</f>
        <v>ALQUILER DE 2 BAÑOS PORTÁTILES PERSONAS DISCAPACITADAS: INCLUYE SUMINISTRO DE PAPEL HIGIÉNICO – PERSONA DE ASEO (JORNADA POR EVENTO O DÍA)   INCLUYE INSTALACIÓN, TRASPORTE Y ENTREGA EN EL LUGAR REQUERIDO, MONTAJE Y DESMONTAJE</v>
      </c>
      <c r="D93" s="550">
        <f>IF(VF_EstudioEntregado!F93="","",VF_EstudioEntregado!F93)</f>
        <v>4</v>
      </c>
      <c r="E93" s="551">
        <f>IF(VF_EstudioEntregado!Z93="","",VF_EstudioEntregado!Z93)</f>
        <v>471938.54000000004</v>
      </c>
      <c r="F93" s="551">
        <f>IF(VF_EstudioEntregado!AA93="","",(E93*D93))</f>
        <v>1887754.1600000001</v>
      </c>
      <c r="G93" s="561"/>
      <c r="H93" s="570">
        <f t="shared" si="11"/>
        <v>0</v>
      </c>
      <c r="I93" s="571" t="str">
        <f t="shared" si="12"/>
        <v>Valor vacío</v>
      </c>
      <c r="J93" s="572">
        <f t="shared" si="8"/>
        <v>471938.54000000004</v>
      </c>
      <c r="K93" s="571" t="str">
        <f t="shared" si="9"/>
        <v>Cumple</v>
      </c>
      <c r="L93" s="572">
        <f t="shared" si="10"/>
        <v>1887754.1600000001</v>
      </c>
    </row>
    <row r="94" spans="1:12" ht="60" x14ac:dyDescent="0.25">
      <c r="A94" s="550">
        <v>84</v>
      </c>
      <c r="B94" s="568" t="str">
        <f>IF(VF_EstudioEntregado!C94="","",VF_EstudioEntregado!C94)</f>
        <v>Operario Logístico eventos masivos</v>
      </c>
      <c r="C94" s="569" t="str">
        <f>IF(VF_EstudioEntregado!D94="","",VF_EstudioEntregado!D94)</f>
        <v xml:space="preserve">LOGÍSTICO: OPERARIO CON EXPERIENCIA CERTIFICADA EN EVENTOS MÁSIVOS QUE INCLUYA DOTACIÓN DE UNIFORME Y ELEMENTOS DE BIOSEGURIDAD (JORNADA ENTRE 6 Y HASTA 10 HORAS DÍA) </v>
      </c>
      <c r="D94" s="550">
        <f>IF(VF_EstudioEntregado!F94="","",VF_EstudioEntregado!F94)</f>
        <v>1</v>
      </c>
      <c r="E94" s="551">
        <f>IF(VF_EstudioEntregado!Z94="","",VF_EstudioEntregado!Z94)</f>
        <v>156270.95500000002</v>
      </c>
      <c r="F94" s="551">
        <f>IF(VF_EstudioEntregado!AA94="","",(E94*D94))</f>
        <v>156270.95500000002</v>
      </c>
      <c r="G94" s="561"/>
      <c r="H94" s="570">
        <f t="shared" si="11"/>
        <v>0</v>
      </c>
      <c r="I94" s="571" t="str">
        <f t="shared" si="12"/>
        <v>Valor vacío</v>
      </c>
      <c r="J94" s="572">
        <f t="shared" si="8"/>
        <v>156270.95500000002</v>
      </c>
      <c r="K94" s="571" t="str">
        <f t="shared" si="9"/>
        <v>Cumple</v>
      </c>
      <c r="L94" s="572">
        <f t="shared" si="10"/>
        <v>156270.95500000002</v>
      </c>
    </row>
    <row r="95" spans="1:12" ht="270" x14ac:dyDescent="0.25">
      <c r="A95" s="550">
        <v>85</v>
      </c>
      <c r="B95" s="568" t="str">
        <f>IF(VF_EstudioEntregado!C95="","",VF_EstudioEntregado!C95)</f>
        <v>Refrigerio Tipo 1</v>
      </c>
      <c r="C95" s="569" t="str">
        <f>IF(VF_EstudioEntregado!D95="","",VF_EstudioEntregado!D95)</f>
        <v>Compuesto por: 
1. Bebida: Deberá contener al menos 200 mililitros. Jugo de frutas y/o yogurt y/o kumis y/o avena, naturales no procesados, no se permitirá el suministro de bebidas empacadas en bolsa plástica, la Alcaldía Local de Suba requiere que las mismas sean entregadas a los asistentes en empaque tetra pack. 
2. Un producto cereal   o producto de panadería tipo: Deberán tener un peso mínimo de 100 gramos. Podrá ser  Pastel de pollo o carne, ponqué, arepa, empanada, mantecada,  arepa con queso, pastel gloria, croissant de jamón y queso, brownie, buñuelo o similares. Los gramajes corresponden a los productos ya elaborados.   
3. Una fruta de temporada: Porción de fruta no menor de 100 gramos. Mandarina, naranja,  manzana, pera, durazno o similares. 
4. Dulce: Deberá tener mínimo entre 12 y 15 gramos. Chocolatina, Arequipe,  bocadillo o similares.</v>
      </c>
      <c r="D95" s="550">
        <f>IF(VF_EstudioEntregado!F95="","",VF_EstudioEntregado!F95)</f>
        <v>660</v>
      </c>
      <c r="E95" s="551">
        <f>IF(VF_EstudioEntregado!Z95="","",VF_EstudioEntregado!Z95)</f>
        <v>11920.866666666667</v>
      </c>
      <c r="F95" s="551">
        <f>IF(VF_EstudioEntregado!AA95="","",(E95*D95))</f>
        <v>7867772</v>
      </c>
      <c r="G95" s="561"/>
      <c r="H95" s="570">
        <f t="shared" si="11"/>
        <v>0</v>
      </c>
      <c r="I95" s="571" t="str">
        <f t="shared" si="12"/>
        <v>Valor vacío</v>
      </c>
      <c r="J95" s="572">
        <f t="shared" si="8"/>
        <v>11920.866666666667</v>
      </c>
      <c r="K95" s="571" t="str">
        <f t="shared" si="9"/>
        <v>Cumple</v>
      </c>
      <c r="L95" s="572">
        <f t="shared" si="10"/>
        <v>7867772</v>
      </c>
    </row>
    <row r="96" spans="1:12" ht="90" x14ac:dyDescent="0.25">
      <c r="A96" s="550">
        <v>86</v>
      </c>
      <c r="B96" s="568" t="str">
        <f>IF(VF_EstudioEntregado!C96="","",VF_EstudioEntregado!C96)</f>
        <v>Salón - Espacio Apto para 50 personas  (media jornada más equipos audiovisuales)</v>
      </c>
      <c r="C96" s="569" t="str">
        <f>IF(VF_EstudioEntregado!D96="","",VF_EstudioEntregado!D96)</f>
        <v>Espacio físico para 50 personas con baño, sillas y mesas, ubicado en la localidad de Suba, con disponibilidad de espacio exterior para desarrollo de actividades
Dotado con equipo de computo, video beam y sonido
Jornada de 4 horas</v>
      </c>
      <c r="D96" s="550">
        <f>IF(VF_EstudioEntregado!F96="","",VF_EstudioEntregado!F96)</f>
        <v>80</v>
      </c>
      <c r="E96" s="551">
        <f>IF(VF_EstudioEntregado!Z96="","",VF_EstudioEntregado!Z96)</f>
        <v>330000.685</v>
      </c>
      <c r="F96" s="551">
        <f>IF(VF_EstudioEntregado!AA96="","",(E96*D96))</f>
        <v>26400054.800000001</v>
      </c>
      <c r="G96" s="561"/>
      <c r="H96" s="570">
        <f t="shared" si="11"/>
        <v>0</v>
      </c>
      <c r="I96" s="571" t="str">
        <f t="shared" si="12"/>
        <v>Valor vacío</v>
      </c>
      <c r="J96" s="572">
        <f t="shared" si="8"/>
        <v>330000.685</v>
      </c>
      <c r="K96" s="571" t="str">
        <f t="shared" si="9"/>
        <v>Cumple</v>
      </c>
      <c r="L96" s="572">
        <f t="shared" si="10"/>
        <v>26400054.800000001</v>
      </c>
    </row>
    <row r="97" spans="1:13" ht="105" x14ac:dyDescent="0.25">
      <c r="A97" s="550">
        <v>87</v>
      </c>
      <c r="B97" s="568" t="str">
        <f>IF(VF_EstudioEntregado!C97="","",VF_EstudioEntregado!C97)</f>
        <v>Agendas con esfero con logos institucionales</v>
      </c>
      <c r="C97" s="569" t="str">
        <f>IF(VF_EstudioEntregado!D97="","",VF_EstudioEntregado!D97)</f>
        <v>Agenda:  Tamaño cuaderno (21,5 x 14 cm), 80 hojas internas  papel bond 76 gms impresas a una tinta (1x2)  hojas cuadriculadas, tapa dura, full color, plastificada, anillo doble. Con Logos de la Alcaldía aprobados por la oficina de prensa
Esfero: Bolígrafo plástico tinta negra Medidas: 14.5 cm, con sistema retráctil.</v>
      </c>
      <c r="D97" s="550">
        <f>IF(VF_EstudioEntregado!F97="","",VF_EstudioEntregado!F97)</f>
        <v>70</v>
      </c>
      <c r="E97" s="551">
        <f>IF(VF_EstudioEntregado!Z97="","",VF_EstudioEntregado!Z97)</f>
        <v>31639.999266666666</v>
      </c>
      <c r="F97" s="551">
        <f>IF(VF_EstudioEntregado!AA97="","",(E97*D97))</f>
        <v>2214799.9486666666</v>
      </c>
      <c r="G97" s="561"/>
      <c r="H97" s="570">
        <f t="shared" si="11"/>
        <v>0</v>
      </c>
      <c r="I97" s="571" t="str">
        <f t="shared" si="12"/>
        <v>Valor vacío</v>
      </c>
      <c r="J97" s="572">
        <f t="shared" si="8"/>
        <v>31639.999266666666</v>
      </c>
      <c r="K97" s="571" t="str">
        <f t="shared" si="9"/>
        <v>Cumple</v>
      </c>
      <c r="L97" s="572">
        <f t="shared" si="10"/>
        <v>2214799.9486666666</v>
      </c>
    </row>
    <row r="98" spans="1:13" ht="210" x14ac:dyDescent="0.25">
      <c r="A98" s="550">
        <v>88</v>
      </c>
      <c r="B98" s="568" t="str">
        <f>IF(VF_EstudioEntregado!C98="","",VF_EstudioEntregado!C98)</f>
        <v>Refrigerio Especial</v>
      </c>
      <c r="C98" s="569" t="str">
        <f>IF(VF_EstudioEntregado!D98="","",VF_EstudioEntregado!D98)</f>
        <v>"BEBIDA: Jugo natural  de fruta en agua o  néctares,  o refrescos de fruta,  con opción sin azúcar, o bajo en azúcar, o gaseosas ligth o normal; contenido mínimo 200 ml, en empaque comercial  duro ( no en bolsa, no de icopor o plástico), o servido en vaso de vidrio
ALIMENTO PRINCIPAL: Sánduche de jamón y/o queso o atún o pollo o espinaca y queso en pan común o integral  para sánduche,  ponqués o galletas o palito de queso o arepas  con queso o pasteles gloria, de pollo, de carne,  de queso, de harina  integral o comunes; porción entre  60 a 100 gr.
ACOMPAÑAMIENTO: Papas fritas de pollo o natural, o fruta deshidratada, paq de 30gr.
FRUTA: De temporada 150 gr.
EMPAQUE:  En bolsa plástica bio-degradable (si se requiere), preferiblemente que los productos se encuentren en empaques reciclables y/o biodegradables.
OPCIONAL: servicio de entrega al usuario final."</v>
      </c>
      <c r="D98" s="550">
        <f>IF(VF_EstudioEntregado!F98="","",VF_EstudioEntregado!F98)</f>
        <v>80</v>
      </c>
      <c r="E98" s="551">
        <f>IF(VF_EstudioEntregado!Z98="","",VF_EstudioEntregado!Z98)</f>
        <v>26432.639999999999</v>
      </c>
      <c r="F98" s="551">
        <f>IF(VF_EstudioEntregado!AA98="","",(E98*D98))</f>
        <v>2114611.2000000002</v>
      </c>
      <c r="G98" s="561"/>
      <c r="H98" s="570">
        <f t="shared" si="11"/>
        <v>0</v>
      </c>
      <c r="I98" s="571" t="str">
        <f t="shared" si="12"/>
        <v>Valor vacío</v>
      </c>
      <c r="J98" s="572">
        <f t="shared" si="8"/>
        <v>26432.639999999999</v>
      </c>
      <c r="K98" s="571" t="str">
        <f t="shared" si="9"/>
        <v>Cumple</v>
      </c>
      <c r="L98" s="572">
        <f t="shared" si="10"/>
        <v>2114611.2000000002</v>
      </c>
    </row>
    <row r="99" spans="1:13" ht="60" x14ac:dyDescent="0.25">
      <c r="A99" s="550">
        <v>89</v>
      </c>
      <c r="B99" s="568" t="str">
        <f>IF(VF_EstudioEntregado!C99="","",VF_EstudioEntregado!C99)</f>
        <v>CARTILLA METODOLÓGICA ESTILO SUBAMENTE CONSCIENTE 2.0</v>
      </c>
      <c r="C99" s="569" t="str">
        <f>IF(VF_EstudioEntregado!D99="","",VF_EstudioEntregado!D99)</f>
        <v>Cartilla impresa full color, mínimo 60 páginas, papel ecológico, tamaño carta o media carta, argollada o empastada. Contiene módulos DBT (Mindfulness, Regulación Emocional, Tolerancia al Malestar, Efectividad Interpersonal), ejercicios prácticos, autorregistros y rutas institucionales. Logos aprobados por prensa.</v>
      </c>
      <c r="D99" s="550">
        <f>IF(VF_EstudioEntregado!F99="","",VF_EstudioEntregado!F99)</f>
        <v>70</v>
      </c>
      <c r="E99" s="551">
        <f>IF(VF_EstudioEntregado!Z99="","",VF_EstudioEntregado!Z99)</f>
        <v>120229.66666666667</v>
      </c>
      <c r="F99" s="551">
        <f>IF(VF_EstudioEntregado!AA99="","",(E99*D99))</f>
        <v>8416076.6666666679</v>
      </c>
      <c r="G99" s="561"/>
      <c r="H99" s="570">
        <f t="shared" si="11"/>
        <v>0</v>
      </c>
      <c r="I99" s="571" t="str">
        <f t="shared" si="12"/>
        <v>Valor vacío</v>
      </c>
      <c r="J99" s="572">
        <f t="shared" si="8"/>
        <v>120229.66666666667</v>
      </c>
      <c r="K99" s="571" t="str">
        <f t="shared" si="9"/>
        <v>Cumple</v>
      </c>
      <c r="L99" s="572">
        <f t="shared" si="10"/>
        <v>8416076.6666666679</v>
      </c>
    </row>
    <row r="100" spans="1:13" ht="30" x14ac:dyDescent="0.25">
      <c r="A100" s="550">
        <v>90</v>
      </c>
      <c r="B100" s="568" t="str">
        <f>IF(VF_EstudioEntregado!C100="","",VF_EstudioEntregado!C100)</f>
        <v>Cartulina por octavos paquete 50 láminas</v>
      </c>
      <c r="C100" s="569" t="str">
        <f>IF(VF_EstudioEntregado!D100="","",VF_EstudioEntregado!D100)</f>
        <v>Paquete de 50 láminas de cartulina de 25 x 35 cm (1/8 de pliego), gramaje de 180g, colores surtidos o color único según requerimiento.</v>
      </c>
      <c r="D100" s="550">
        <f>IF(VF_EstudioEntregado!F100="","",VF_EstudioEntregado!F100)</f>
        <v>2</v>
      </c>
      <c r="E100" s="551">
        <f>IF(VF_EstudioEntregado!Z100="","",VF_EstudioEntregado!Z100)</f>
        <v>15537.056666666665</v>
      </c>
      <c r="F100" s="551">
        <f>IF(VF_EstudioEntregado!AA100="","",(E100*D100))</f>
        <v>31074.113333333331</v>
      </c>
      <c r="G100" s="561"/>
      <c r="H100" s="570">
        <f t="shared" si="11"/>
        <v>0</v>
      </c>
      <c r="I100" s="571" t="str">
        <f t="shared" si="12"/>
        <v>Valor vacío</v>
      </c>
      <c r="J100" s="572">
        <f t="shared" si="8"/>
        <v>15537.056666666665</v>
      </c>
      <c r="K100" s="571" t="str">
        <f t="shared" si="9"/>
        <v>Cumple</v>
      </c>
      <c r="L100" s="572">
        <f t="shared" si="10"/>
        <v>31074.113333333331</v>
      </c>
    </row>
    <row r="101" spans="1:13" ht="60" x14ac:dyDescent="0.25">
      <c r="A101" s="550">
        <v>91</v>
      </c>
      <c r="B101" s="568" t="str">
        <f>IF(VF_EstudioEntregado!C101="","",VF_EstudioEntregado!C101)</f>
        <v>Marcadores de Alcohol Caja x 80 colores doble punta</v>
      </c>
      <c r="C101" s="569" t="str">
        <f>IF(VF_EstudioEntregado!D101="","",VF_EstudioEntregado!D101)</f>
        <v>Set de 80 marcadores artísticos de punta doble (fina y biselada) con tinta a base de alcohol de secado rápido y mezcla profesional. Incluye estuche de lona con organizador interno y tapas codificadas por color y número para identificación técnica.</v>
      </c>
      <c r="D101" s="550">
        <f>IF(VF_EstudioEntregado!F101="","",VF_EstudioEntregado!F101)</f>
        <v>1</v>
      </c>
      <c r="E101" s="551">
        <f>IF(VF_EstudioEntregado!Z101="","",VF_EstudioEntregado!Z101)</f>
        <v>49933.333333333336</v>
      </c>
      <c r="F101" s="551">
        <f>IF(VF_EstudioEntregado!AA101="","",(E101*D101))</f>
        <v>49933.333333333336</v>
      </c>
      <c r="G101" s="561"/>
      <c r="H101" s="570">
        <f t="shared" si="11"/>
        <v>0</v>
      </c>
      <c r="I101" s="571" t="str">
        <f t="shared" si="12"/>
        <v>Valor vacío</v>
      </c>
      <c r="J101" s="572">
        <f t="shared" si="8"/>
        <v>49933.333333333336</v>
      </c>
      <c r="K101" s="571" t="str">
        <f t="shared" si="9"/>
        <v>Cumple</v>
      </c>
      <c r="L101" s="572">
        <f t="shared" si="10"/>
        <v>49933.333333333336</v>
      </c>
    </row>
    <row r="102" spans="1:13" ht="30" x14ac:dyDescent="0.25">
      <c r="A102" s="550">
        <v>92</v>
      </c>
      <c r="B102" s="568" t="str">
        <f>IF(VF_EstudioEntregado!C102="","",VF_EstudioEntregado!C102)</f>
        <v>Notas Adhesivas (Post-it) cuadradas 5x 5 cm</v>
      </c>
      <c r="C102" s="569" t="str">
        <f>IF(VF_EstudioEntregado!D102="","",VF_EstudioEntregado!D102)</f>
        <v>Bloque de 100 notas adhesivas de 5 x 5 cm (2" x 2"), fabricadas en papel de alto gramaje con acabado mate.</v>
      </c>
      <c r="D102" s="550">
        <f>IF(VF_EstudioEntregado!F102="","",VF_EstudioEntregado!F102)</f>
        <v>2</v>
      </c>
      <c r="E102" s="551">
        <f>IF(VF_EstudioEntregado!Z102="","",VF_EstudioEntregado!Z102)</f>
        <v>2137</v>
      </c>
      <c r="F102" s="551">
        <f>IF(VF_EstudioEntregado!AA102="","",(E102*D102))</f>
        <v>4274</v>
      </c>
      <c r="G102" s="561"/>
      <c r="H102" s="570">
        <f t="shared" si="11"/>
        <v>0</v>
      </c>
      <c r="I102" s="571" t="str">
        <f t="shared" si="12"/>
        <v>Valor vacío</v>
      </c>
      <c r="J102" s="572">
        <f t="shared" si="8"/>
        <v>2137</v>
      </c>
      <c r="K102" s="571" t="str">
        <f t="shared" si="9"/>
        <v>Cumple</v>
      </c>
      <c r="L102" s="572">
        <f t="shared" si="10"/>
        <v>4274</v>
      </c>
    </row>
    <row r="103" spans="1:13" ht="45" x14ac:dyDescent="0.25">
      <c r="A103" s="550">
        <v>93</v>
      </c>
      <c r="B103" s="568" t="str">
        <f>IF(VF_EstudioEntregado!C103="","",VF_EstudioEntregado!C103)</f>
        <v>Cinta transparente gruesa</v>
      </c>
      <c r="C103" s="569" t="str">
        <f>IF(VF_EstudioEntregado!D103="","",VF_EstudioEntregado!D103)</f>
        <v>Cinta de polipropileno transparente de 48 mm de ancho x 160 m de longitud, con un espesor de 1143 µm y acabado brillante. Adhesivo de alta adherencia y película resistente a la tensión.</v>
      </c>
      <c r="D103" s="550">
        <f>IF(VF_EstudioEntregado!F103="","",VF_EstudioEntregado!F103)</f>
        <v>35</v>
      </c>
      <c r="E103" s="551">
        <f>IF(VF_EstudioEntregado!Z103="","",VF_EstudioEntregado!Z103)</f>
        <v>6533.333333333333</v>
      </c>
      <c r="F103" s="551">
        <f>IF(VF_EstudioEntregado!AA103="","",(E103*D103))</f>
        <v>228666.66666666666</v>
      </c>
      <c r="G103" s="561"/>
      <c r="H103" s="570">
        <f t="shared" si="11"/>
        <v>0</v>
      </c>
      <c r="I103" s="571" t="str">
        <f t="shared" si="12"/>
        <v>Valor vacío</v>
      </c>
      <c r="J103" s="572">
        <f t="shared" si="8"/>
        <v>6533.333333333333</v>
      </c>
      <c r="K103" s="571" t="str">
        <f t="shared" si="9"/>
        <v>Cumple</v>
      </c>
      <c r="L103" s="572">
        <f t="shared" si="10"/>
        <v>228666.66666666666</v>
      </c>
    </row>
    <row r="104" spans="1:13" x14ac:dyDescent="0.25">
      <c r="A104" s="550">
        <v>94</v>
      </c>
      <c r="B104" s="568" t="str">
        <f>IF(VF_EstudioEntregado!C104="","",VF_EstudioEntregado!C104)</f>
        <v>Bitácora icopel ½ papel bond 50 hojas</v>
      </c>
      <c r="C104" s="569" t="str">
        <f>IF(VF_EstudioEntregado!D104="","",VF_EstudioEntregado!D104)</f>
        <v>Bitácora icopel ½ papel bond 50 hojas. Papel bond blanco 75 g/m².</v>
      </c>
      <c r="D104" s="550">
        <f>IF(VF_EstudioEntregado!F104="","",VF_EstudioEntregado!F104)</f>
        <v>4</v>
      </c>
      <c r="E104" s="551">
        <f>IF(VF_EstudioEntregado!Z104="","",VF_EstudioEntregado!Z104)</f>
        <v>10766.666666666666</v>
      </c>
      <c r="F104" s="551">
        <f>IF(VF_EstudioEntregado!AA104="","",(E104*D104))</f>
        <v>43066.666666666664</v>
      </c>
      <c r="G104" s="561"/>
      <c r="H104" s="570">
        <f t="shared" si="11"/>
        <v>0</v>
      </c>
      <c r="I104" s="571" t="str">
        <f t="shared" si="12"/>
        <v>Valor vacío</v>
      </c>
      <c r="J104" s="572">
        <f t="shared" si="8"/>
        <v>10766.666666666666</v>
      </c>
      <c r="K104" s="571" t="str">
        <f t="shared" si="9"/>
        <v>Cumple</v>
      </c>
      <c r="L104" s="572">
        <f t="shared" si="10"/>
        <v>43066.666666666664</v>
      </c>
    </row>
    <row r="105" spans="1:13" ht="60" x14ac:dyDescent="0.25">
      <c r="A105" s="550">
        <v>95</v>
      </c>
      <c r="B105" s="568" t="str">
        <f>IF(VF_EstudioEntregado!C105="","",VF_EstudioEntregado!C105)</f>
        <v>Afiche tabloide  100 unidades</v>
      </c>
      <c r="C105" s="569" t="str">
        <f>IF(VF_EstudioEntregado!D105="","",VF_EstudioEntregado!D105)</f>
        <v>Tamaño Tabloide 27.9 cm ancho X 43.2 cm alto
Papeles esmaltados C2S Gloss de 200 gr o Propalcote 200 gr, según las referencias o diseños que requiera la Alcaldía Local de Suba a 4 tintas full color y policromía, incluye logos.</v>
      </c>
      <c r="D105" s="550">
        <f>IF(VF_EstudioEntregado!F105="","",VF_EstudioEntregado!F105)</f>
        <v>2</v>
      </c>
      <c r="E105" s="551">
        <f>IF(VF_EstudioEntregado!Z105="","",VF_EstudioEntregado!Z105)</f>
        <v>295800</v>
      </c>
      <c r="F105" s="551">
        <f>IF(VF_EstudioEntregado!AA105="","",(E105*D105))</f>
        <v>591600</v>
      </c>
      <c r="G105" s="561"/>
      <c r="H105" s="570">
        <f t="shared" si="11"/>
        <v>0</v>
      </c>
      <c r="I105" s="571" t="str">
        <f t="shared" si="12"/>
        <v>Valor vacío</v>
      </c>
      <c r="J105" s="572">
        <f t="shared" si="8"/>
        <v>295800</v>
      </c>
      <c r="K105" s="571" t="str">
        <f t="shared" si="9"/>
        <v>Cumple</v>
      </c>
      <c r="L105" s="572">
        <f t="shared" si="10"/>
        <v>591600</v>
      </c>
    </row>
    <row r="106" spans="1:13" ht="60" x14ac:dyDescent="0.25">
      <c r="A106" s="550">
        <v>96</v>
      </c>
      <c r="B106" s="568" t="str">
        <f>IF(VF_EstudioEntregado!C106="","",VF_EstudioEntregado!C106)</f>
        <v>Afiche Medio Pliego  100 unidades</v>
      </c>
      <c r="C106" s="569" t="str">
        <f>IF(VF_EstudioEntregado!D106="","",VF_EstudioEntregado!D106)</f>
        <v>Tamaño Medio Pliego_x000D_
Papeles esmaltados C2S Gloss de 200 gr o Propalcote 200 gr, según las referencias o diseños que requiera la Alcaldía Local de Suba a 4 tintas full color y policromía, incluye logos.</v>
      </c>
      <c r="D106" s="550">
        <f>IF(VF_EstudioEntregado!F106="","",VF_EstudioEntregado!F106)</f>
        <v>1</v>
      </c>
      <c r="E106" s="551">
        <f>IF(VF_EstudioEntregado!Z106="","",VF_EstudioEntregado!Z106)</f>
        <v>578716.66666666663</v>
      </c>
      <c r="F106" s="551">
        <f>IF(VF_EstudioEntregado!AA106="","",(E106*D106))</f>
        <v>578716.66666666663</v>
      </c>
      <c r="G106" s="561"/>
      <c r="H106" s="570">
        <f t="shared" si="11"/>
        <v>0</v>
      </c>
      <c r="I106" s="571" t="str">
        <f t="shared" si="12"/>
        <v>Valor vacío</v>
      </c>
      <c r="J106" s="572">
        <f t="shared" si="8"/>
        <v>578716.66666666663</v>
      </c>
      <c r="K106" s="571" t="str">
        <f t="shared" si="9"/>
        <v>Cumple</v>
      </c>
      <c r="L106" s="572">
        <f t="shared" si="10"/>
        <v>578716.66666666663</v>
      </c>
    </row>
    <row r="107" spans="1:13" ht="30" x14ac:dyDescent="0.25">
      <c r="A107" s="550">
        <v>97</v>
      </c>
      <c r="B107" s="568" t="str">
        <f>IF(VF_EstudioEntregado!C107="","",VF_EstudioEntregado!C107)</f>
        <v>INSIGNIA TERRITORIAL “BARBERÍA SUBAMENTE CONSCIENTE”</v>
      </c>
      <c r="C107" s="569" t="str">
        <f>IF(VF_EstudioEntregado!D107="","",VF_EstudioEntregado!D107)</f>
        <v>Placa acrílica o metálica con diseño institucional aprobado por prensa, adhesivo o sistema de fijación resistente, identificación territorial del proceso.</v>
      </c>
      <c r="D107" s="550">
        <f>IF(VF_EstudioEntregado!F107="","",VF_EstudioEntregado!F107)</f>
        <v>70</v>
      </c>
      <c r="E107" s="551">
        <f>IF(VF_EstudioEntregado!Z107="","",VF_EstudioEntregado!Z107)</f>
        <v>51197.766666666663</v>
      </c>
      <c r="F107" s="551">
        <f>IF(VF_EstudioEntregado!AA107="","",(E107*D107))</f>
        <v>3583843.6666666665</v>
      </c>
      <c r="G107" s="561"/>
      <c r="H107" s="570">
        <f t="shared" si="11"/>
        <v>0</v>
      </c>
      <c r="I107" s="571" t="str">
        <f t="shared" si="12"/>
        <v>Valor vacío</v>
      </c>
      <c r="J107" s="572">
        <f t="shared" si="8"/>
        <v>51197.766666666663</v>
      </c>
      <c r="K107" s="571" t="str">
        <f t="shared" si="9"/>
        <v>Cumple</v>
      </c>
      <c r="L107" s="572">
        <f t="shared" si="10"/>
        <v>3583843.6666666665</v>
      </c>
    </row>
    <row r="108" spans="1:13" ht="60" x14ac:dyDescent="0.25">
      <c r="A108" s="550">
        <v>98</v>
      </c>
      <c r="B108" s="568" t="str">
        <f>IF(VF_EstudioEntregado!C108="","",VF_EstudioEntregado!C108)</f>
        <v>Certificado de participación</v>
      </c>
      <c r="C108" s="569" t="str">
        <f>IF(VF_EstudioEntregado!D108="","",VF_EstudioEntregado!D108)</f>
        <v>Impresión a media carta 4 tintas en papel
propalcote o kimberly 200 gr, tamaño 22x28 cm con nombres individuales o espacio para el mismo, refilados.</v>
      </c>
      <c r="D108" s="550">
        <f>IF(VF_EstudioEntregado!F108="","",VF_EstudioEntregado!F108)</f>
        <v>70</v>
      </c>
      <c r="E108" s="551">
        <f>IF(VF_EstudioEntregado!Z108="","",VF_EstudioEntregado!Z108)</f>
        <v>3206.001733333333</v>
      </c>
      <c r="F108" s="551">
        <f>IF(VF_EstudioEntregado!AA108="","",(E108*D108))</f>
        <v>224420.12133333331</v>
      </c>
      <c r="G108" s="561"/>
      <c r="H108" s="570">
        <f t="shared" si="11"/>
        <v>0</v>
      </c>
      <c r="I108" s="571" t="str">
        <f t="shared" si="12"/>
        <v>Valor vacío</v>
      </c>
      <c r="J108" s="572">
        <f t="shared" si="8"/>
        <v>3206.001733333333</v>
      </c>
      <c r="K108" s="571" t="str">
        <f t="shared" si="9"/>
        <v>Cumple</v>
      </c>
      <c r="L108" s="572">
        <f t="shared" si="10"/>
        <v>224420.12133333331</v>
      </c>
    </row>
    <row r="109" spans="1:13" ht="30" x14ac:dyDescent="0.25">
      <c r="A109" s="550">
        <v>99</v>
      </c>
      <c r="B109" s="568" t="str">
        <f>IF(VF_EstudioEntregado!C109="","",VF_EstudioEntregado!C109)</f>
        <v xml:space="preserve">INSTRUMENTO DE EVALUACIÓN PRE Y POST </v>
      </c>
      <c r="C109" s="569" t="str">
        <f>IF(VF_EstudioEntregado!D109="","",VF_EstudioEntregado!D109)</f>
        <v>Diseño, impresión y sistematización de instrumento de evaluación (pretest y postest), aplicación a los 35 participantes, consolidación básica de resultados.</v>
      </c>
      <c r="D109" s="550">
        <f>IF(VF_EstudioEntregado!F109="","",VF_EstudioEntregado!F109)</f>
        <v>2</v>
      </c>
      <c r="E109" s="551">
        <f>IF(VF_EstudioEntregado!Z109="","",VF_EstudioEntregado!Z109)</f>
        <v>783466.64666666661</v>
      </c>
      <c r="F109" s="551">
        <f>IF(VF_EstudioEntregado!AA109="","",(E109*D109))</f>
        <v>1566933.2933333332</v>
      </c>
      <c r="G109" s="561"/>
      <c r="H109" s="570">
        <f t="shared" si="11"/>
        <v>0</v>
      </c>
      <c r="I109" s="571" t="str">
        <f t="shared" si="12"/>
        <v>Valor vacío</v>
      </c>
      <c r="J109" s="572">
        <f t="shared" si="8"/>
        <v>783466.64666666661</v>
      </c>
      <c r="K109" s="571" t="str">
        <f t="shared" si="9"/>
        <v>Cumple</v>
      </c>
      <c r="L109" s="572">
        <f t="shared" si="10"/>
        <v>1566933.2933333332</v>
      </c>
    </row>
    <row r="110" spans="1:13" x14ac:dyDescent="0.25">
      <c r="A110" s="581">
        <v>100</v>
      </c>
      <c r="B110" s="582" t="str">
        <f>IF(VF_EstudioEntregado!C110="","",VF_EstudioEntregado!C110)</f>
        <v>Bolsa para barberos</v>
      </c>
      <c r="C110" s="583" t="str">
        <f>IF(VF_EstudioEntregado!D110="","",VF_EstudioEntregado!D110)</f>
        <v>Bolsa para insumos de los 35 barberos, monto máximo de $2.737.000</v>
      </c>
      <c r="D110" s="581">
        <f>IF(VF_EstudioEntregado!F110="","",VF_EstudioEntregado!F110)</f>
        <v>70</v>
      </c>
      <c r="E110" s="584">
        <f>IF(VF_EstudioEntregado!Z110="","",VF_EstudioEntregado!Z110)</f>
        <v>2737000</v>
      </c>
      <c r="F110" s="584">
        <f>IF(VF_EstudioEntregado!AA110="","",(E110*D110))</f>
        <v>191590000</v>
      </c>
      <c r="G110" s="585">
        <v>2737000</v>
      </c>
      <c r="H110" s="586">
        <f t="shared" si="11"/>
        <v>191590000</v>
      </c>
      <c r="I110" s="571" t="str">
        <f t="shared" si="12"/>
        <v>Cumple</v>
      </c>
      <c r="J110" s="572">
        <f t="shared" si="8"/>
        <v>0</v>
      </c>
      <c r="K110" s="571" t="str">
        <f t="shared" si="9"/>
        <v>Cumple</v>
      </c>
      <c r="L110" s="572">
        <f t="shared" si="10"/>
        <v>0</v>
      </c>
      <c r="M110" s="587" t="s">
        <v>1464</v>
      </c>
    </row>
    <row r="111" spans="1:13" x14ac:dyDescent="0.25">
      <c r="A111" s="581">
        <v>101</v>
      </c>
      <c r="B111" s="582" t="str">
        <f>IF(VF_EstudioEntregado!C111="","",VF_EstudioEntregado!C111)</f>
        <v>Bolsa para la carrera 3K y 6K</v>
      </c>
      <c r="C111" s="583" t="str">
        <f>IF(VF_EstudioEntregado!D111="","",VF_EstudioEntregado!D111)</f>
        <v xml:space="preserve">Permisos y póliza de accidentes personales para los 410 participantes </v>
      </c>
      <c r="D111" s="581">
        <f>IF(VF_EstudioEntregado!F111="","",VF_EstudioEntregado!F111)</f>
        <v>1</v>
      </c>
      <c r="E111" s="584">
        <f>IF(VF_EstudioEntregado!Z111="","",VF_EstudioEntregado!Z111)</f>
        <v>7761487</v>
      </c>
      <c r="F111" s="584">
        <f>IF(VF_EstudioEntregado!AA111="","",(E111*D111))</f>
        <v>7761487</v>
      </c>
      <c r="G111" s="585">
        <v>7761487</v>
      </c>
      <c r="H111" s="586">
        <f t="shared" si="11"/>
        <v>7761487</v>
      </c>
      <c r="I111" s="571" t="str">
        <f t="shared" si="12"/>
        <v>Cumple</v>
      </c>
      <c r="J111" s="572">
        <f t="shared" si="8"/>
        <v>0</v>
      </c>
      <c r="K111" s="571" t="str">
        <f t="shared" si="9"/>
        <v>Cumple</v>
      </c>
      <c r="L111" s="572">
        <f t="shared" si="10"/>
        <v>0</v>
      </c>
      <c r="M111" s="587" t="s">
        <v>1464</v>
      </c>
    </row>
    <row r="112" spans="1:13" x14ac:dyDescent="0.25">
      <c r="A112" s="552" t="s">
        <v>1344</v>
      </c>
      <c r="B112" s="552"/>
      <c r="C112" s="552"/>
      <c r="D112" s="552"/>
      <c r="E112" s="552"/>
      <c r="F112" s="552"/>
      <c r="G112" s="553"/>
      <c r="H112" s="554">
        <f>SUM(H11:H111)</f>
        <v>199351487</v>
      </c>
      <c r="I112" s="573"/>
      <c r="J112" s="573"/>
      <c r="K112" s="573"/>
      <c r="L112" s="574"/>
    </row>
    <row r="113" spans="1:12" x14ac:dyDescent="0.25">
      <c r="A113" s="555" t="s">
        <v>223</v>
      </c>
      <c r="B113" s="556"/>
      <c r="C113" s="556"/>
      <c r="D113" s="556"/>
      <c r="E113" s="555" t="s">
        <v>223</v>
      </c>
      <c r="F113" s="556"/>
      <c r="G113" s="556"/>
      <c r="H113" s="556"/>
      <c r="I113" s="575"/>
      <c r="J113" s="575"/>
      <c r="K113" s="575"/>
      <c r="L113" s="576"/>
    </row>
    <row r="114" spans="1:12" x14ac:dyDescent="0.25">
      <c r="A114" s="557"/>
      <c r="B114" s="558"/>
      <c r="C114" s="558"/>
      <c r="D114" s="558"/>
      <c r="E114" s="557"/>
      <c r="F114" s="558"/>
      <c r="G114" s="558"/>
      <c r="H114" s="558"/>
      <c r="I114" s="577"/>
      <c r="J114" s="577"/>
      <c r="K114" s="577"/>
      <c r="L114" s="578"/>
    </row>
    <row r="115" spans="1:12" ht="225" x14ac:dyDescent="0.25">
      <c r="A115" s="550">
        <f>VF_EstudioEntregado!A116</f>
        <v>1</v>
      </c>
      <c r="B115" s="568" t="str">
        <f>VF_EstudioEntregado!C116</f>
        <v xml:space="preserve">Coordinador(a) general del proyecto. </v>
      </c>
      <c r="C115" s="569" t="str">
        <f>IF(VF_EstudioEntregado!D116="","",VF_EstudioEntregado!D116)</f>
        <v>FORMACIÓN PROFESIONAL DE ACUERDO CON EL ÁREA DE CONOCIMIENTO DEL NÚCLEO BÁSICO DEL CONOCIMIENTO
Profesional en el área de las ciencias sociales y/o de la salud (Psicología, Trabajo Social, Sociología u otras disciplinas afines).
Con especialización y/o maestría en Gerencia de Proyectos y/o Gerencia Social y/o Salud Pública y/o Gestión Psicosocial u otras áreas afines al objeto del proyecto (según clasificación SNIES).
Tarjeta profesional vigente en los casos que aplique.
EXPERIENCIA PROFESIONAL Tres (3) años de experiencia profesional, contados a partir de la terminación de materias y/o fecha de grado, según aplique 
EXPERIENCIA ESPECIFICA En dos (2) años en procesos de salud mental y un año (1) como coordinador/a y/o Director/a en proyectos sociales en temas relacionados con salud mental.</v>
      </c>
      <c r="D115" s="550">
        <v>9</v>
      </c>
      <c r="E115" s="551">
        <f>IF(VF_EstudioEntregado!K117="","",VF_EstudioEntregado!K116)</f>
        <v>9170000</v>
      </c>
      <c r="F115" s="551">
        <f>IF(VF_EstudioEntregado!L116="","",(E115*D115))</f>
        <v>82530000</v>
      </c>
      <c r="G115" s="560"/>
      <c r="H115" s="570">
        <f t="shared" ref="H115:H151" si="13">G115*D115</f>
        <v>0</v>
      </c>
      <c r="I115" s="571" t="str">
        <f t="shared" ref="I115" si="14">IF(G115&lt;&gt;0,IF(AND(E115&gt;=G115,G115&lt;&gt;0),"Cumple","No cumple"),"Valor vacío")</f>
        <v>Valor vacío</v>
      </c>
      <c r="J115" s="572">
        <f>E115-G115</f>
        <v>9170000</v>
      </c>
      <c r="K115" s="571" t="str">
        <f>IF(F115&gt;=H115,"Cumple","No cumple")</f>
        <v>Cumple</v>
      </c>
      <c r="L115" s="572">
        <f>F115-H115</f>
        <v>82530000</v>
      </c>
    </row>
    <row r="116" spans="1:12" ht="195" x14ac:dyDescent="0.25">
      <c r="A116" s="550">
        <f>VF_EstudioEntregado!A117</f>
        <v>2</v>
      </c>
      <c r="B116" s="568" t="str">
        <f>VF_EstudioEntregado!C117</f>
        <v>Apoyo profesional</v>
      </c>
      <c r="C116" s="569" t="str">
        <f>IF(VF_EstudioEntregado!D117="","",VF_EstudioEntregado!D117)</f>
        <v>FORMACIÓN PROFESIONAL DE ACUERDO CON EL ÁREA DE CONOCIMIENTO DEL NÚCLEO BÁSICO DEL CONOCIMIENTO
Profesional en el núcleo básico del conocimiento en Profesional en Trabajo social y/o Psicología y/o ciencias sociales, y/o ciencias humanas. Tarjeta profesional vigente en los casos que aplique. (según clasificación del SNIES).
EXPERIENCIA PROFESIONAL Tres (3) años de experiencia profesional, contados a partir de la terminación de materias y/o fecha de grado, según aplique.
EXPERIENCIA ESPECIFICA En un (1) proyecto de mínimo seis (6) meses como apoyo a la coordinación y/o Dirección en proyectos sociales en temas relacionados con salud mental.</v>
      </c>
      <c r="D116" s="550">
        <v>18</v>
      </c>
      <c r="E116" s="551">
        <f>IF(VF_EstudioEntregado!K118="","",VF_EstudioEntregado!K117)</f>
        <v>7996000</v>
      </c>
      <c r="F116" s="551">
        <f>IF(VF_EstudioEntregado!L117="","",(E116*D116))</f>
        <v>143928000</v>
      </c>
      <c r="G116" s="560"/>
      <c r="H116" s="570">
        <f t="shared" si="13"/>
        <v>0</v>
      </c>
      <c r="I116" s="571" t="str">
        <f t="shared" ref="I116:I151" si="15">IF(G116&lt;&gt;0,IF(AND(E116&gt;=G116,G116&lt;&gt;0),"Cumple","No cumple"),"Valor vacío")</f>
        <v>Valor vacío</v>
      </c>
      <c r="J116" s="572">
        <f t="shared" ref="J116:J151" si="16">E116-G116</f>
        <v>7996000</v>
      </c>
      <c r="K116" s="571" t="str">
        <f t="shared" ref="K116:K151" si="17">IF(F116&gt;=H116,"Cumple","No cumple")</f>
        <v>Cumple</v>
      </c>
      <c r="L116" s="572">
        <f t="shared" ref="L116:L151" si="18">F116-H116</f>
        <v>143928000</v>
      </c>
    </row>
    <row r="117" spans="1:12" ht="210" x14ac:dyDescent="0.25">
      <c r="A117" s="550">
        <f>VF_EstudioEntregado!A118</f>
        <v>3</v>
      </c>
      <c r="B117" s="568" t="str">
        <f>VF_EstudioEntregado!C118</f>
        <v>Apoyo Profesional de Inclusión</v>
      </c>
      <c r="C117" s="569" t="str">
        <f>IF(VF_EstudioEntregado!D118="","",VF_EstudioEntregado!D118)</f>
        <v>FORMACIÓN PROFESIONAL DE ACUERDO CON EL ÁREA DE CONOCIMIENTO DEL NÚCLEO BÁSICO DEL CONOCIMIENTO
Profesional en Terapia Ocupacional, Fisioterapia, Fonoaudiología o Educación Especial, de acuerdo con la clasificación del Núcleo Básico del Conocimiento (NBC) del SNIES. Con tarjeta profesional vigente en los casos que aplique.
EXPERIENCIA PROFESIONAL
Mínimo 3 años de experiencia profesional relacionada con procesos de atención, intervención y/o acompañamiento en contextos sociales, educativos o comunitarios.
EXPERIENCIA ESPECÍFICA
Mínimo 1 año de experiencia en el desarrollo o implementación de procesos de inclusión, ajustes razonables, intervención psicosocial y/o trabajo comunitario, relacionados con el objeto del proyecto.</v>
      </c>
      <c r="D117" s="550">
        <v>9</v>
      </c>
      <c r="E117" s="551">
        <f>IF(VF_EstudioEntregado!K118="","",VF_EstudioEntregado!K118)</f>
        <v>7996000</v>
      </c>
      <c r="F117" s="551">
        <f>IF(VF_EstudioEntregado!L118="","",(E117*D117))</f>
        <v>71964000</v>
      </c>
      <c r="G117" s="560"/>
      <c r="H117" s="570">
        <f t="shared" si="13"/>
        <v>0</v>
      </c>
      <c r="I117" s="571" t="str">
        <f t="shared" si="15"/>
        <v>Valor vacío</v>
      </c>
      <c r="J117" s="572">
        <f t="shared" si="16"/>
        <v>7996000</v>
      </c>
      <c r="K117" s="571" t="str">
        <f t="shared" si="17"/>
        <v>Cumple</v>
      </c>
      <c r="L117" s="572">
        <f t="shared" si="18"/>
        <v>71964000</v>
      </c>
    </row>
    <row r="118" spans="1:12" ht="225" x14ac:dyDescent="0.25">
      <c r="A118" s="550">
        <f>VF_EstudioEntregado!A119</f>
        <v>4</v>
      </c>
      <c r="B118" s="568" t="str">
        <f>VF_EstudioEntregado!C119</f>
        <v>Profesional de Diseño Gráfico</v>
      </c>
      <c r="C118" s="569" t="str">
        <f>IF(VF_EstudioEntregado!D119="","",VF_EstudioEntregado!D119)</f>
        <v>FORMACIÓN PROFESIONAL DE ACUERDO CON EL ÁREA DE CONOCIMIENTO DEL NÚCLEO BÁSICO DEL CONOCIMIENTO
Profesional en Diseño Gráfico, Diseño Visual, Comunicación Visual o afines, de acuerdo con la clasificación del Núcleo Básico del Conocimiento (NBC) del SNIES.
EXPERIENCIA PROFESIONAL
Mínimo dos (2) años de experiencia profesional relacionada con diseño de piezas comunicativas, producción de contenidos gráficos y/o estrategias de comunicación en proyectos sociales, comunitarios o institucionales.
EXPERIENCIA ESPECÍFICA
Mínimo un (1) año de experiencia en el diseño e implementación de piezas comunicativas para procesos de formación, promoción social, salud pública o proyectos comunitarios.</v>
      </c>
      <c r="D118" s="550">
        <v>9</v>
      </c>
      <c r="E118" s="551">
        <f>IF(VF_EstudioEntregado!K119="","",VF_EstudioEntregado!K119)</f>
        <v>7996000</v>
      </c>
      <c r="F118" s="551">
        <f>IF(VF_EstudioEntregado!L119="","",(E118*D118))</f>
        <v>71964000</v>
      </c>
      <c r="G118" s="560"/>
      <c r="H118" s="570">
        <f t="shared" si="13"/>
        <v>0</v>
      </c>
      <c r="I118" s="571" t="str">
        <f t="shared" si="15"/>
        <v>Valor vacío</v>
      </c>
      <c r="J118" s="572">
        <f t="shared" si="16"/>
        <v>7996000</v>
      </c>
      <c r="K118" s="571" t="str">
        <f t="shared" si="17"/>
        <v>Cumple</v>
      </c>
      <c r="L118" s="572">
        <f t="shared" si="18"/>
        <v>71964000</v>
      </c>
    </row>
    <row r="119" spans="1:12" ht="180" x14ac:dyDescent="0.25">
      <c r="A119" s="550">
        <f>VF_EstudioEntregado!A120</f>
        <v>5</v>
      </c>
      <c r="B119" s="568" t="str">
        <f>VF_EstudioEntregado!C120</f>
        <v>Canalizador/a:</v>
      </c>
      <c r="C119" s="569" t="str">
        <f>IF(VF_EstudioEntregado!D120="","",VF_EstudioEntregado!D120)</f>
        <v>FORMACIÓN PROFESIONAL DE ACUERDO AL ÁREA DE CONOCIMIENTO DEL NÚCLEO BÁSICO DEL CONOCIMIENTO
Profesional en Enfermería y/o Trabajo social y/o Psicología y/o ciencias sociales, y/o ciencias humanas y/o afines. Tarjeta profesional vigente en los casos que aplique. (según clasificación del SNIES).
EXPERIENCIA PROFESIONAL Tres (3) años de experiencia profesional, contados a partir de la terminación de materias y/o fecha de grado, según aplique.
 EXPERIENCIA ESPECIFICA En un (1) proyectos de mínimo seis (6) meses como profesional en canalización de acuerdo a los lineamientos de la secretaria de salud.</v>
      </c>
      <c r="D119" s="550">
        <v>9</v>
      </c>
      <c r="E119" s="551">
        <f>IF(VF_EstudioEntregado!K120="","",VF_EstudioEntregado!K120)</f>
        <v>7996000</v>
      </c>
      <c r="F119" s="551">
        <f>IF(VF_EstudioEntregado!L120="","",(E119*D119))</f>
        <v>71964000</v>
      </c>
      <c r="G119" s="560"/>
      <c r="H119" s="570">
        <f t="shared" si="13"/>
        <v>0</v>
      </c>
      <c r="I119" s="571" t="str">
        <f t="shared" si="15"/>
        <v>Valor vacío</v>
      </c>
      <c r="J119" s="572">
        <f t="shared" si="16"/>
        <v>7996000</v>
      </c>
      <c r="K119" s="571" t="str">
        <f t="shared" si="17"/>
        <v>Cumple</v>
      </c>
      <c r="L119" s="572">
        <f t="shared" si="18"/>
        <v>71964000</v>
      </c>
    </row>
    <row r="120" spans="1:12" ht="45" x14ac:dyDescent="0.25">
      <c r="A120" s="550">
        <f>VF_EstudioEntregado!A121</f>
        <v>6</v>
      </c>
      <c r="B120" s="568" t="str">
        <f>VF_EstudioEntregado!C121</f>
        <v>Asistente administrativo</v>
      </c>
      <c r="C120" s="569" t="str">
        <f>IF(VF_EstudioEntregado!D121="","",VF_EstudioEntregado!D121)</f>
        <v>Título de formación técnica o técnica profesional o tecnológica o 6 semestres de educación superior en gestión empresarial, administración y/o ingeniería administrativa. Con 36 meses de experiencia laboral en temas relacionados.</v>
      </c>
      <c r="D120" s="550">
        <v>9</v>
      </c>
      <c r="E120" s="551">
        <f>IF(VF_EstudioEntregado!K121="","",VF_EstudioEntregado!K121)</f>
        <v>4687000</v>
      </c>
      <c r="F120" s="551">
        <f>IF(VF_EstudioEntregado!L121="","",(E120*D120))</f>
        <v>42183000</v>
      </c>
      <c r="G120" s="560"/>
      <c r="H120" s="570">
        <f t="shared" si="13"/>
        <v>0</v>
      </c>
      <c r="I120" s="571" t="str">
        <f t="shared" si="15"/>
        <v>Valor vacío</v>
      </c>
      <c r="J120" s="572">
        <f t="shared" si="16"/>
        <v>4687000</v>
      </c>
      <c r="K120" s="571" t="str">
        <f t="shared" si="17"/>
        <v>Cumple</v>
      </c>
      <c r="L120" s="572">
        <f t="shared" si="18"/>
        <v>42183000</v>
      </c>
    </row>
    <row r="121" spans="1:12" ht="60" x14ac:dyDescent="0.25">
      <c r="A121" s="550">
        <f>VF_EstudioEntregado!A122</f>
        <v>7</v>
      </c>
      <c r="B121" s="568" t="str">
        <f>VF_EstudioEntregado!C122</f>
        <v>Auxiliar logístico</v>
      </c>
      <c r="C121" s="569" t="str">
        <f>IF(VF_EstudioEntregado!D122="","",VF_EstudioEntregado!D122)</f>
        <v>Bachiller 
EXPERIENCIA: Desde 36 meses de experiencia que esté relacionada con el apoyo logístico en la ejecución de proyectos sociales</v>
      </c>
      <c r="D121" s="550">
        <v>9</v>
      </c>
      <c r="E121" s="551">
        <f>IF(VF_EstudioEntregado!K122="","",VF_EstudioEntregado!K122)</f>
        <v>3095000</v>
      </c>
      <c r="F121" s="551">
        <f>IF(VF_EstudioEntregado!L122="","",(E121*D121))</f>
        <v>27855000</v>
      </c>
      <c r="G121" s="560"/>
      <c r="H121" s="570">
        <f t="shared" si="13"/>
        <v>0</v>
      </c>
      <c r="I121" s="571" t="str">
        <f t="shared" si="15"/>
        <v>Valor vacío</v>
      </c>
      <c r="J121" s="572">
        <f t="shared" si="16"/>
        <v>3095000</v>
      </c>
      <c r="K121" s="571" t="str">
        <f t="shared" si="17"/>
        <v>Cumple</v>
      </c>
      <c r="L121" s="572">
        <f t="shared" si="18"/>
        <v>27855000</v>
      </c>
    </row>
    <row r="122" spans="1:12" ht="180" x14ac:dyDescent="0.25">
      <c r="A122" s="550">
        <f>VF_EstudioEntregado!A123</f>
        <v>8</v>
      </c>
      <c r="B122" s="568" t="str">
        <f>VF_EstudioEntregado!C123</f>
        <v>Licenciado en artes plásticas</v>
      </c>
      <c r="C122" s="569" t="str">
        <f>IF(VF_EstudioEntregado!D123="","",VF_EstudioEntregado!D123)</f>
        <v>FORMACIÓN PROFESIONAL DE ACUERDO AL ÁREA DE CONOCIMIENTO DEL NUCLEO BASICO DE CONOCIMIENTO
Profesional en artes plásticas y/o profesional en bellas artes y/o, tarjeta profesional vigente en los casos que aplique (Según clasificación del SNIES)
EXPERIENCIA PROFESIONAL:
Tres años de experiencia general, contados a partir de la terminación de materias y/o fecha de grado, según aplique.
EXPERIENCIA ESPECIFÍCA:
Mínimo seis (6) meses de experiencia como profesional formador en artes plásticas y/o en procesos comunitarios, preferiblemente relacionados con salud mental.</v>
      </c>
      <c r="D122" s="550">
        <v>1</v>
      </c>
      <c r="E122" s="551">
        <f>IF(VF_EstudioEntregado!K123="","",VF_EstudioEntregado!K123)</f>
        <v>2665333</v>
      </c>
      <c r="F122" s="551">
        <f>IF(VF_EstudioEntregado!L123="","",(E122*D122))</f>
        <v>2665333</v>
      </c>
      <c r="G122" s="560"/>
      <c r="H122" s="570">
        <f t="shared" si="13"/>
        <v>0</v>
      </c>
      <c r="I122" s="571" t="str">
        <f t="shared" si="15"/>
        <v>Valor vacío</v>
      </c>
      <c r="J122" s="572">
        <f t="shared" si="16"/>
        <v>2665333</v>
      </c>
      <c r="K122" s="571" t="str">
        <f t="shared" si="17"/>
        <v>Cumple</v>
      </c>
      <c r="L122" s="572">
        <f t="shared" si="18"/>
        <v>2665333</v>
      </c>
    </row>
    <row r="123" spans="1:12" ht="195" x14ac:dyDescent="0.25">
      <c r="A123" s="550">
        <f>VF_EstudioEntregado!A124</f>
        <v>9</v>
      </c>
      <c r="B123" s="568" t="str">
        <f>VF_EstudioEntregado!C124</f>
        <v>Licenciado en literatura</v>
      </c>
      <c r="C123" s="569" t="str">
        <f>IF(VF_EstudioEntregado!D124="","",VF_EstudioEntregado!D124)</f>
        <v>FORMACIÓN PROFESIONAL DE ACUERDO AL ÁREA DE CONOCIMIENTO DEL NUCLEO BASICO DE CONOCIMIENTO
Profesional en literatura, estudios literarios y edición / lengua castellana, / creación literaria, escritura creativa, tarjeta profesional vigente en los casos que aplique (Según clasificación del  SNIES)
EXPERIENCIA PROFESIONAL:
Tres años de experiencia general, contados a partir de la terminación de materias y/o fecha de grado, según aplique.
EXPERIENCIA ESPECIFÍCA:
Mínimo seis (6) meses de experiencia como profesional formador en literatura y/o en procesos comunitarios, preferiblemente relacionados con salud mental.</v>
      </c>
      <c r="D123" s="550">
        <v>1</v>
      </c>
      <c r="E123" s="551">
        <f>IF(VF_EstudioEntregado!K124="","",VF_EstudioEntregado!K124)</f>
        <v>2665333</v>
      </c>
      <c r="F123" s="551">
        <f>IF(VF_EstudioEntregado!L124="","",(E123*D123))</f>
        <v>2665333</v>
      </c>
      <c r="G123" s="560"/>
      <c r="H123" s="570">
        <f t="shared" si="13"/>
        <v>0</v>
      </c>
      <c r="I123" s="571" t="str">
        <f t="shared" si="15"/>
        <v>Valor vacío</v>
      </c>
      <c r="J123" s="572">
        <f t="shared" si="16"/>
        <v>2665333</v>
      </c>
      <c r="K123" s="571" t="str">
        <f t="shared" si="17"/>
        <v>Cumple</v>
      </c>
      <c r="L123" s="572">
        <f t="shared" si="18"/>
        <v>2665333</v>
      </c>
    </row>
    <row r="124" spans="1:12" ht="195" x14ac:dyDescent="0.25">
      <c r="A124" s="550">
        <f>VF_EstudioEntregado!A125</f>
        <v>10</v>
      </c>
      <c r="B124" s="568" t="str">
        <f>VF_EstudioEntregado!C125</f>
        <v>Licenciado en artes escénicas</v>
      </c>
      <c r="C124" s="569" t="str">
        <f>IF(VF_EstudioEntregado!D125="","",VF_EstudioEntregado!D125)</f>
        <v>FORMACIÓN PROFESIONAL DE ACUERDO AL ÁREA DE CONOCIMIENTO DEL NUCLEO BASICO DE CONOCIMIENTO
Profesional en artes escénicas y/o licenciatura en educación artística, licenciatura en teatro, tarjeta profesional vigente en los casos que aplique (Según clasificación del SNIES)
EXPERIENCIA PROFESIONAL:
Tres años de experiencia general, contados a partir de la terminación de materias y/o fecha de grado, según aplique.
EXPERIENCIA ESPECIFÍCA:
Mínimo seis (6) meses de experiencia como profesional formador en artes escénicas y/o en procesos comunitarios, preferiblemente relacionados con salud mental.</v>
      </c>
      <c r="D124" s="550">
        <v>1</v>
      </c>
      <c r="E124" s="551">
        <f>IF(VF_EstudioEntregado!K125="","",VF_EstudioEntregado!K125)</f>
        <v>2665333</v>
      </c>
      <c r="F124" s="551">
        <f>IF(VF_EstudioEntregado!L125="","",(E124*D124))</f>
        <v>2665333</v>
      </c>
      <c r="G124" s="560"/>
      <c r="H124" s="570">
        <f t="shared" si="13"/>
        <v>0</v>
      </c>
      <c r="I124" s="571" t="str">
        <f t="shared" si="15"/>
        <v>Valor vacío</v>
      </c>
      <c r="J124" s="572">
        <f t="shared" si="16"/>
        <v>2665333</v>
      </c>
      <c r="K124" s="571" t="str">
        <f t="shared" si="17"/>
        <v>Cumple</v>
      </c>
      <c r="L124" s="572">
        <f t="shared" si="18"/>
        <v>2665333</v>
      </c>
    </row>
    <row r="125" spans="1:12" ht="195" x14ac:dyDescent="0.25">
      <c r="A125" s="550">
        <f>VF_EstudioEntregado!A126</f>
        <v>11</v>
      </c>
      <c r="B125" s="568" t="str">
        <f>VF_EstudioEntregado!C126</f>
        <v xml:space="preserve">Profesional en Ciencias Sociales </v>
      </c>
      <c r="C125" s="569" t="str">
        <f>IF(VF_EstudioEntregado!D126="","",VF_EstudioEntregado!D126)</f>
        <v>FORMACIÓN PROFESIONAL DE ACUERDO CON EL ÁREA DE CONOCIMIENTO DEL NÚCLEO BÁSICO DEL CONOCIMIENTO
Profesional en el núcleo básico del conocimiento en Profesional en Trabajo social y/o Psicología y/o ciencias sociales, y/o ciencias humanas. Tarjeta profesional vigente en los casos que aplique. (según clasificación del SNIES).
EXPERIENCIA PROFESIONAL Tres (3) años de experiencia profesional, contados a partir de la terminación de materias y/o fecha de grado, según aplique.
EXPERIENCIA ESPECIFICA En un (1) proyecto de mínimo seis (6) meses como apoyo a la coordinación y/o Dirección en proyectos sociales en temas relacionados con salud mental.</v>
      </c>
      <c r="D125" s="550">
        <v>1</v>
      </c>
      <c r="E125" s="551">
        <f>IF(VF_EstudioEntregado!K126="","",VF_EstudioEntregado!K126)</f>
        <v>2665333</v>
      </c>
      <c r="F125" s="551">
        <f>IF(VF_EstudioEntregado!L126="","",(E125*D125))</f>
        <v>2665333</v>
      </c>
      <c r="G125" s="560"/>
      <c r="H125" s="570">
        <f t="shared" si="13"/>
        <v>0</v>
      </c>
      <c r="I125" s="571" t="str">
        <f t="shared" si="15"/>
        <v>Valor vacío</v>
      </c>
      <c r="J125" s="572">
        <f t="shared" si="16"/>
        <v>2665333</v>
      </c>
      <c r="K125" s="571" t="str">
        <f t="shared" si="17"/>
        <v>Cumple</v>
      </c>
      <c r="L125" s="572">
        <f t="shared" si="18"/>
        <v>2665333</v>
      </c>
    </row>
    <row r="126" spans="1:12" ht="90" x14ac:dyDescent="0.25">
      <c r="A126" s="550">
        <f>VF_EstudioEntregado!A127</f>
        <v>12</v>
      </c>
      <c r="B126" s="568" t="str">
        <f>VF_EstudioEntregado!C127</f>
        <v>Gestor Comunitario</v>
      </c>
      <c r="C126" s="569" t="str">
        <f>IF(VF_EstudioEntregado!D127="","",VF_EstudioEntregado!D127)</f>
        <v xml:space="preserve">FORMACIÓN CON NIVEL EDUCATIVO MÍNIMO BACHILLER
Con experiencia certificada en al menos tres años (3) en trabajo comunitario y social relacionados con apoyo a procesos sociales. Se priorizará que residan en la localidad de suba, en caso de que se requiera una modificación respecto a la localidad de vivienda, esto será analizado y aprobado en el comité técnico de supervisión. </v>
      </c>
      <c r="D126" s="550">
        <v>1</v>
      </c>
      <c r="E126" s="551">
        <f>IF(VF_EstudioEntregado!K127="","",VF_EstudioEntregado!K127)</f>
        <v>1031666</v>
      </c>
      <c r="F126" s="551">
        <f>IF(VF_EstudioEntregado!L127="","",(E126*D126))</f>
        <v>1031666</v>
      </c>
      <c r="G126" s="560"/>
      <c r="H126" s="570">
        <f t="shared" si="13"/>
        <v>0</v>
      </c>
      <c r="I126" s="571" t="str">
        <f t="shared" si="15"/>
        <v>Valor vacío</v>
      </c>
      <c r="J126" s="572">
        <f t="shared" si="16"/>
        <v>1031666</v>
      </c>
      <c r="K126" s="571" t="str">
        <f t="shared" si="17"/>
        <v>Cumple</v>
      </c>
      <c r="L126" s="572">
        <f t="shared" si="18"/>
        <v>1031666</v>
      </c>
    </row>
    <row r="127" spans="1:12" ht="195" x14ac:dyDescent="0.25">
      <c r="A127" s="550">
        <f>VF_EstudioEntregado!A128</f>
        <v>13</v>
      </c>
      <c r="B127" s="568" t="str">
        <f>VF_EstudioEntregado!C128</f>
        <v>Profesional Psicología</v>
      </c>
      <c r="C127" s="569" t="str">
        <f>IF(VF_EstudioEntregado!D128="","",VF_EstudioEntregado!D128)</f>
        <v xml:space="preserve">FORMACIÓN PROFESIONAL DE ACUERDO AL ÁREA DE CONOCIMIENTO DEL NUCLEO BASICO DE CONOCIMIENTO:
Profesional en Psicología especialista en terapias de tercera generación.
Tarjeta profesional vigente en los casos que aplique (según clasificación del SNIES).
EXPERIENCIA PROFESIONAL:
Tres años de experiencia general, contados a partir de la terminación de materias y/o fecha de grado, según aplique.
EXPERIENCIA ESPECIFÍCA:
En un (1) proyecto de mínimo seis (6) meses como profesional en proyectos relacionados con el fortalecimiento de habilidades socioemocionales, intervenciones grupales, prevención del suicidio, acompañamiento a población diversa. Experiencia en herramientas de autorregulación como respiración guiada y mindfulness </v>
      </c>
      <c r="D127" s="550">
        <v>1</v>
      </c>
      <c r="E127" s="551">
        <f>IF(VF_EstudioEntregado!K128="","",VF_EstudioEntregado!K128)</f>
        <v>7462933</v>
      </c>
      <c r="F127" s="551">
        <f>IF(VF_EstudioEntregado!L128="","",(E127*D127))</f>
        <v>7462933</v>
      </c>
      <c r="G127" s="560"/>
      <c r="H127" s="570">
        <f t="shared" si="13"/>
        <v>0</v>
      </c>
      <c r="I127" s="571" t="str">
        <f t="shared" si="15"/>
        <v>Valor vacío</v>
      </c>
      <c r="J127" s="572">
        <f t="shared" si="16"/>
        <v>7462933</v>
      </c>
      <c r="K127" s="571" t="str">
        <f t="shared" si="17"/>
        <v>Cumple</v>
      </c>
      <c r="L127" s="572">
        <f t="shared" si="18"/>
        <v>7462933</v>
      </c>
    </row>
    <row r="128" spans="1:12" ht="210" x14ac:dyDescent="0.25">
      <c r="A128" s="550">
        <f>VF_EstudioEntregado!A129</f>
        <v>14</v>
      </c>
      <c r="B128" s="568" t="str">
        <f>VF_EstudioEntregado!C129</f>
        <v>Técnico Agroecológico / Facilitador de Huertas Urbanas</v>
      </c>
      <c r="C128" s="569" t="str">
        <f>IF(VF_EstudioEntregado!D129="","",VF_EstudioEntregado!D129)</f>
        <v>FORMACIÓN TÉCNICO DE ACUERDO AL ÁREA DE CONOCIMIENTO DEL NUCLEO BASICO DE CONOCIMIENTO
Técnico agroecológico o profesional ambiental con experiencia en agricultura urbana y pedagogía comunitaria.
EXPERIENCIA PROFESIONAL:
Tres años de experiencia general, contados a partir de la terminación de materias y/o fecha de grado, según aplique.
EXPERIENCIA ESPECIFÍCA:
En un (1) proyecto de mínimo seis (6) meses como profesional en proyectos relacionados con el fortalecimiento de habilidades socioemocionales, intervenciones grupales, Acompañamiento en huertas urbanas.</v>
      </c>
      <c r="D128" s="550">
        <v>1</v>
      </c>
      <c r="E128" s="551">
        <f>IF(VF_EstudioEntregado!K129="","",VF_EstudioEntregado!K129)</f>
        <v>4374533</v>
      </c>
      <c r="F128" s="551">
        <f>IF(VF_EstudioEntregado!L129="","",(E128*D128))</f>
        <v>4374533</v>
      </c>
      <c r="G128" s="560"/>
      <c r="H128" s="570">
        <f t="shared" si="13"/>
        <v>0</v>
      </c>
      <c r="I128" s="571" t="str">
        <f t="shared" si="15"/>
        <v>Valor vacío</v>
      </c>
      <c r="J128" s="572">
        <f t="shared" si="16"/>
        <v>4374533</v>
      </c>
      <c r="K128" s="571" t="str">
        <f t="shared" si="17"/>
        <v>Cumple</v>
      </c>
      <c r="L128" s="572">
        <f t="shared" si="18"/>
        <v>4374533</v>
      </c>
    </row>
    <row r="129" spans="1:12" ht="135" x14ac:dyDescent="0.25">
      <c r="A129" s="550">
        <f>VF_EstudioEntregado!A130</f>
        <v>15</v>
      </c>
      <c r="B129" s="568" t="str">
        <f>VF_EstudioEntregado!C130</f>
        <v>Técnico o Tecnólogo en música</v>
      </c>
      <c r="C129" s="569" t="str">
        <f>IF(VF_EstudioEntregado!D130="","",VF_EstudioEntregado!D130)</f>
        <v>FORMACIÓN TÉCNICA DE ACUERDO CON EL AREA DE CONOCIMIENTO DEL NUCLEO BÁSICO DEL CONOCIMIENTO
Técnico o Tecnólogo en el núcleo básico del conocimiento en licenciatura en música y/o afines. Tarjeta profesional vigente en los casos que aplique. (según clasificación del SNIES)
EXPERIENCIA PROFESIONAL:
Con experiencia certificada en al menos tres años (3) en trabajo comunitario y social relacionados con apoyo a procesos sociales, y liderazgo en actividades musicales.</v>
      </c>
      <c r="D129" s="550">
        <v>1</v>
      </c>
      <c r="E129" s="551">
        <f>IF(VF_EstudioEntregado!K130="","",VF_EstudioEntregado!K130)</f>
        <v>4374533</v>
      </c>
      <c r="F129" s="551">
        <f>IF(VF_EstudioEntregado!L130="","",(E129*D129))</f>
        <v>4374533</v>
      </c>
      <c r="G129" s="560"/>
      <c r="H129" s="570">
        <f t="shared" si="13"/>
        <v>0</v>
      </c>
      <c r="I129" s="571" t="str">
        <f t="shared" si="15"/>
        <v>Valor vacío</v>
      </c>
      <c r="J129" s="572">
        <f t="shared" si="16"/>
        <v>4374533</v>
      </c>
      <c r="K129" s="571" t="str">
        <f t="shared" si="17"/>
        <v>Cumple</v>
      </c>
      <c r="L129" s="572">
        <f t="shared" si="18"/>
        <v>4374533</v>
      </c>
    </row>
    <row r="130" spans="1:12" ht="105" x14ac:dyDescent="0.25">
      <c r="A130" s="550">
        <f>VF_EstudioEntregado!A131</f>
        <v>16</v>
      </c>
      <c r="B130" s="568" t="str">
        <f>VF_EstudioEntregado!C131</f>
        <v>Gestor Comunitario</v>
      </c>
      <c r="C130" s="569" t="str">
        <f>IF(VF_EstudioEntregado!D131="","",VF_EstudioEntregado!D131)</f>
        <v>FORMACIÓN CON NIVEL EDUCATIVO MÍNIMO BACHILLER
Con experiencia certificada en al menos tres años (3) en trabajo comunitario y social relacionados con apoyo a procesos sociales. Se priorizarán gestores que residan en la localidad de suba, sin embargo, en caso de que se requiera una modificación respecto a la localidad de vivienda, esto será analizado y aprobado en el comité técnico de supervisión</v>
      </c>
      <c r="D130" s="550">
        <v>3</v>
      </c>
      <c r="E130" s="551">
        <f>IF(VF_EstudioEntregado!K131="","",VF_EstudioEntregado!K131)</f>
        <v>1031666</v>
      </c>
      <c r="F130" s="551">
        <f>IF(VF_EstudioEntregado!L131="","",(E130*D130))</f>
        <v>3094998</v>
      </c>
      <c r="G130" s="560"/>
      <c r="H130" s="570">
        <f t="shared" si="13"/>
        <v>0</v>
      </c>
      <c r="I130" s="571" t="str">
        <f t="shared" si="15"/>
        <v>Valor vacío</v>
      </c>
      <c r="J130" s="572">
        <f t="shared" si="16"/>
        <v>1031666</v>
      </c>
      <c r="K130" s="571" t="str">
        <f t="shared" si="17"/>
        <v>Cumple</v>
      </c>
      <c r="L130" s="572">
        <f t="shared" si="18"/>
        <v>3094998</v>
      </c>
    </row>
    <row r="131" spans="1:12" ht="240" x14ac:dyDescent="0.25">
      <c r="A131" s="550">
        <f>VF_EstudioEntregado!A132</f>
        <v>17</v>
      </c>
      <c r="B131" s="568" t="str">
        <f>VF_EstudioEntregado!C132</f>
        <v>Profesional en Psicología con enfoque DBT</v>
      </c>
      <c r="C131" s="569" t="str">
        <f>IF(VF_EstudioEntregado!D132="","",VF_EstudioEntregado!D132)</f>
        <v>FORMACIÓN PROFESIONAL DE ACUERDO CON EL ÁREA DE CONOCIMIENTO DEL NUCLEO BASICO DE CONOCIMIENTO
Profesional en Psicología y/o Trabajo Social y/o disciplinas afines del área de las ciencias sociales o de la salud, con formación complementaria certificada en Terapia Dialéctico Conductual (DBT), terapias contextuales, regulación emocional o intervención psicosocial basada en habilidades socioemocionales.
Tarjeta profesional vigente en los casos que aplique (según clasificación del SNIES).
EXPERIENCIA PROFESIONAL:
Tres años de experiencia general, contados a partir de la terminación de materias y/o fecha de grado, según aplique.
EXPERIENCIA ESPECIFÍCA:
En un (1) proyecto de mínimo seis (6) meses como profesional en proyectos relacionados con el fortalecimiento de habilidades socioemocionales y/o la implementación de metodologías psicoeducativas grupales basadas en Terapia Dialéctico Conductual (DBT) o enfoques similares.</v>
      </c>
      <c r="D131" s="550">
        <v>1</v>
      </c>
      <c r="E131" s="551">
        <f>IF(VF_EstudioEntregado!K132="","",VF_EstudioEntregado!K132)</f>
        <v>7462933</v>
      </c>
      <c r="F131" s="551">
        <f>IF(VF_EstudioEntregado!L132="","",(E131*D131))</f>
        <v>7462933</v>
      </c>
      <c r="G131" s="560"/>
      <c r="H131" s="570">
        <f t="shared" si="13"/>
        <v>0</v>
      </c>
      <c r="I131" s="571" t="str">
        <f t="shared" si="15"/>
        <v>Valor vacío</v>
      </c>
      <c r="J131" s="572">
        <f t="shared" si="16"/>
        <v>7462933</v>
      </c>
      <c r="K131" s="571" t="str">
        <f t="shared" si="17"/>
        <v>Cumple</v>
      </c>
      <c r="L131" s="572">
        <f t="shared" si="18"/>
        <v>7462933</v>
      </c>
    </row>
    <row r="132" spans="1:12" ht="60" x14ac:dyDescent="0.25">
      <c r="A132" s="550">
        <f>VF_EstudioEntregado!A133</f>
        <v>18</v>
      </c>
      <c r="B132" s="568" t="str">
        <f>VF_EstudioEntregado!C133</f>
        <v>Apoyo Logístico</v>
      </c>
      <c r="C132" s="569" t="str">
        <f>IF(VF_EstudioEntregado!D133="","",VF_EstudioEntregado!D133)</f>
        <v>FORMACIÓN CON NIVEL EDUCATIVO MÍNIMO BACHILLER
Con experiencia certificada en al menos tres años (3) en trabajo comunitario y social relacionados con apoyo a procesos sociales y residente de la localidad.</v>
      </c>
      <c r="D132" s="550">
        <v>2</v>
      </c>
      <c r="E132" s="551">
        <f>IF(VF_EstudioEntregado!K133="","",VF_EstudioEntregado!K133)</f>
        <v>2888666</v>
      </c>
      <c r="F132" s="551">
        <f>IF(VF_EstudioEntregado!L133="","",(E132*D132))</f>
        <v>5777332</v>
      </c>
      <c r="G132" s="560"/>
      <c r="H132" s="570">
        <f t="shared" si="13"/>
        <v>0</v>
      </c>
      <c r="I132" s="571" t="str">
        <f t="shared" si="15"/>
        <v>Valor vacío</v>
      </c>
      <c r="J132" s="572">
        <f t="shared" si="16"/>
        <v>2888666</v>
      </c>
      <c r="K132" s="571" t="str">
        <f t="shared" si="17"/>
        <v>Cumple</v>
      </c>
      <c r="L132" s="572">
        <f t="shared" si="18"/>
        <v>5777332</v>
      </c>
    </row>
    <row r="133" spans="1:12" ht="150" x14ac:dyDescent="0.25">
      <c r="A133" s="550">
        <f>VF_EstudioEntregado!A134</f>
        <v>19</v>
      </c>
      <c r="B133" s="568" t="str">
        <f>VF_EstudioEntregado!C134</f>
        <v xml:space="preserve">Profesional Psicología /trabajo social. </v>
      </c>
      <c r="C133" s="569" t="str">
        <f>IF(VF_EstudioEntregado!D134="","",VF_EstudioEntregado!D134)</f>
        <v xml:space="preserve">CONOCIMIENTO DEL NUCLEO BASICO DE CONOCIMIENTO
Profesional en el núcleo básico del conocimiento en profesional en Psicología, trabajo social, y/o ciencias sociales, y/o ciencias humanas y/o afines. Tarjeta profesional vigente en los casos que aplique (según clasificación del SNIES)
EXPERIENCIA PROFESIONAL:  Tres (3) años de experiencia profesional, contados a partir de la terminación de materias y/o fecha de grado según aplique
EXPERIENCIA ESPECIFÍCA: En un (1) proyecto de mínimo seis (6) meses como profesional Psicosocial, con experiencia en intervención salud mental comunitaria, manejo de grupos intergeneracionales, prevención del riesgo emocional y promoción del bienestar. </v>
      </c>
      <c r="D133" s="550">
        <v>1</v>
      </c>
      <c r="E133" s="551">
        <f>IF(VF_EstudioEntregado!K134="","",VF_EstudioEntregado!K134)</f>
        <v>9861733</v>
      </c>
      <c r="F133" s="551">
        <f>IF(VF_EstudioEntregado!L134="","",(E133*D133))</f>
        <v>9861733</v>
      </c>
      <c r="G133" s="560"/>
      <c r="H133" s="570">
        <f t="shared" si="13"/>
        <v>0</v>
      </c>
      <c r="I133" s="571" t="str">
        <f t="shared" si="15"/>
        <v>Valor vacío</v>
      </c>
      <c r="J133" s="572">
        <f t="shared" si="16"/>
        <v>9861733</v>
      </c>
      <c r="K133" s="571" t="str">
        <f t="shared" si="17"/>
        <v>Cumple</v>
      </c>
      <c r="L133" s="572">
        <f t="shared" si="18"/>
        <v>9861733</v>
      </c>
    </row>
    <row r="134" spans="1:12" ht="120" x14ac:dyDescent="0.25">
      <c r="A134" s="550">
        <f>VF_EstudioEntregado!A135</f>
        <v>20</v>
      </c>
      <c r="B134" s="568" t="str">
        <f>VF_EstudioEntregado!C135</f>
        <v>Facilitador artístico</v>
      </c>
      <c r="C134" s="569" t="str">
        <f>IF(VF_EstudioEntregado!D135="","",VF_EstudioEntregado!D135)</f>
        <v xml:space="preserve">FORMACIÓN PROFESIONAL DE ACUERDO AL ÁREA DE CONOCIMIENTO DEL NUCLEO BASICO DE CONOCIMIENTO
Licenciado/a en artes, gestor cultural, educador comunitario o profesional afín.
EXPERIENCIA PROFESIONAL:  tres (3) años de experiencia profesional, contados a partir de la terminación de materias y/o fecha de grado, según aplique.
EXPERIENCIA ESPECIFÍCA: En un (1) proyecto de mínimo (6) seis meses como profesional en gestor comunitario, docente en artes en proyectos intergeneracionales., conocimiento en metodologías artísticas participativas. </v>
      </c>
      <c r="D134" s="550">
        <v>1</v>
      </c>
      <c r="E134" s="551">
        <f>IF(VF_EstudioEntregado!K135="","",VF_EstudioEntregado!K135)</f>
        <v>9861733</v>
      </c>
      <c r="F134" s="551">
        <f>IF(VF_EstudioEntregado!L135="","",(E134*D134))</f>
        <v>9861733</v>
      </c>
      <c r="G134" s="560"/>
      <c r="H134" s="570">
        <f t="shared" si="13"/>
        <v>0</v>
      </c>
      <c r="I134" s="571" t="str">
        <f t="shared" si="15"/>
        <v>Valor vacío</v>
      </c>
      <c r="J134" s="572">
        <f t="shared" si="16"/>
        <v>9861733</v>
      </c>
      <c r="K134" s="571" t="str">
        <f t="shared" si="17"/>
        <v>Cumple</v>
      </c>
      <c r="L134" s="572">
        <f t="shared" si="18"/>
        <v>9861733</v>
      </c>
    </row>
    <row r="135" spans="1:12" ht="105" x14ac:dyDescent="0.25">
      <c r="A135" s="550">
        <f>VF_EstudioEntregado!A136</f>
        <v>21</v>
      </c>
      <c r="B135" s="568" t="str">
        <f>VF_EstudioEntregado!C136</f>
        <v>Gestor Comunitario</v>
      </c>
      <c r="C135" s="569" t="str">
        <f>IF(VF_EstudioEntregado!D136="","",VF_EstudioEntregado!D136)</f>
        <v>FORMACIÓN CON NIVEL EDUCATIVO MÍNIMO BACHILLER
Con experiencia certificada en al menos tres años (3) en trabajo comunitario y social relacionados con apoyo a procesos sociales, Se priorizará gestores que residan en la localidad de suba, sin embargo, en caso de que se requiera una modificación respecto a la localidad de vivienda, esto será analizado y aprobado en el comité técnico de supervisión</v>
      </c>
      <c r="D135" s="550">
        <v>4</v>
      </c>
      <c r="E135" s="551">
        <f>IF(VF_EstudioEntregado!K136="","",VF_EstudioEntregado!K136)</f>
        <v>3817166</v>
      </c>
      <c r="F135" s="551">
        <f>IF(VF_EstudioEntregado!L136="","",(E135*D135))</f>
        <v>15268664</v>
      </c>
      <c r="G135" s="560"/>
      <c r="H135" s="570">
        <f t="shared" si="13"/>
        <v>0</v>
      </c>
      <c r="I135" s="571" t="str">
        <f t="shared" si="15"/>
        <v>Valor vacío</v>
      </c>
      <c r="J135" s="572">
        <f t="shared" si="16"/>
        <v>3817166</v>
      </c>
      <c r="K135" s="571" t="str">
        <f t="shared" si="17"/>
        <v>Cumple</v>
      </c>
      <c r="L135" s="572">
        <f t="shared" si="18"/>
        <v>15268664</v>
      </c>
    </row>
    <row r="136" spans="1:12" ht="135" x14ac:dyDescent="0.25">
      <c r="A136" s="550">
        <f>VF_EstudioEntregado!A137</f>
        <v>22</v>
      </c>
      <c r="B136" s="568" t="str">
        <f>VF_EstudioEntregado!C137</f>
        <v xml:space="preserve">Fotógrafo/a y/o Tallerista de Fotografía. </v>
      </c>
      <c r="C136" s="569" t="str">
        <f>IF(VF_EstudioEntregado!D137="","",VF_EstudioEntregado!D137)</f>
        <v>FORMACIÓN PROFESIONAL DE ACUERDO AL ÁREA DE CONOCIMIENTO DEL NUCLEO BASICO DE CONOCIMIENTO
Técnico o tecnólogo en artes visuales y/o fotografía y/o artes visuales y/o afines.
EXPERIENCIA PROFESIONAL:
Tres (3) años de experiencia general, contados a partir de la terminación de materias y/o fecha de grado, según aplique. EXPERIENCIA ESPECIFÍCA:
En dos (2) proyecto de mínimo seis (6) meses como profesional en formación y/o orientación de fotografía. Experiencia en trabajo comunitario preferiblemente en proyectos de salud mental.</v>
      </c>
      <c r="D136" s="550">
        <v>1</v>
      </c>
      <c r="E136" s="551">
        <f>IF(VF_EstudioEntregado!K137="","",VF_EstudioEntregado!K137)</f>
        <v>4374533</v>
      </c>
      <c r="F136" s="551">
        <f>IF(VF_EstudioEntregado!L137="","",(E136*D136))</f>
        <v>4374533</v>
      </c>
      <c r="G136" s="560"/>
      <c r="H136" s="570">
        <f t="shared" si="13"/>
        <v>0</v>
      </c>
      <c r="I136" s="571" t="str">
        <f t="shared" si="15"/>
        <v>Valor vacío</v>
      </c>
      <c r="J136" s="572">
        <f t="shared" si="16"/>
        <v>4374533</v>
      </c>
      <c r="K136" s="571" t="str">
        <f t="shared" si="17"/>
        <v>Cumple</v>
      </c>
      <c r="L136" s="572">
        <f t="shared" si="18"/>
        <v>4374533</v>
      </c>
    </row>
    <row r="137" spans="1:12" ht="195" x14ac:dyDescent="0.25">
      <c r="A137" s="550">
        <f>VF_EstudioEntregado!A138</f>
        <v>23</v>
      </c>
      <c r="B137" s="568" t="str">
        <f>VF_EstudioEntregado!C138</f>
        <v>Licenciado en artes</v>
      </c>
      <c r="C137" s="569" t="str">
        <f>IF(VF_EstudioEntregado!D138="","",VF_EstudioEntregado!D138)</f>
        <v xml:space="preserve">FORMACIÓN PROFESIONAL DE ACUERDO AL ÁREA DE CONOCIMIENTO DEL NUCLEO BASICO DE CONOCIMIENTO
Profesional en teatro y/o licenciatura en artes escénicas y/o licenciatura en educación artística, tarjeta profesional vigente en los casos que aplique (según clasificación del SNIES)
EXPERIENCIA PROFESIONAL:
Tres (3) años de experiencia general, contados a a partir de la terminación de materias y/o fecha de grado según aplique.
EXPERIENCIA ESPECIFÍCA:
En un (1) proyecto de mínimo seis (6) meses como profesional en formación y/o orientación en arteterapia. Trabajo con comunidades, proyectos sociales, preferiblemente en promoción y prevención en temas relacionados con salud mental. </v>
      </c>
      <c r="D137" s="550">
        <v>1</v>
      </c>
      <c r="E137" s="551">
        <f>IF(VF_EstudioEntregado!K138="","",VF_EstudioEntregado!K138)</f>
        <v>7462933</v>
      </c>
      <c r="F137" s="551">
        <f>IF(VF_EstudioEntregado!L138="","",(E137*D137))</f>
        <v>7462933</v>
      </c>
      <c r="G137" s="560"/>
      <c r="H137" s="570">
        <f t="shared" si="13"/>
        <v>0</v>
      </c>
      <c r="I137" s="571" t="str">
        <f t="shared" si="15"/>
        <v>Valor vacío</v>
      </c>
      <c r="J137" s="572">
        <f t="shared" si="16"/>
        <v>7462933</v>
      </c>
      <c r="K137" s="571" t="str">
        <f t="shared" si="17"/>
        <v>Cumple</v>
      </c>
      <c r="L137" s="572">
        <f t="shared" si="18"/>
        <v>7462933</v>
      </c>
    </row>
    <row r="138" spans="1:12" ht="165" x14ac:dyDescent="0.25">
      <c r="A138" s="550">
        <f>VF_EstudioEntregado!A139</f>
        <v>24</v>
      </c>
      <c r="B138" s="568" t="str">
        <f>VF_EstudioEntregado!C139</f>
        <v xml:space="preserve">Profesional Capacitador Primeros Auxilios Psicológicos. </v>
      </c>
      <c r="C138" s="569" t="str">
        <f>IF(VF_EstudioEntregado!D139="","",VF_EstudioEntregado!D139)</f>
        <v xml:space="preserve">FORMACIÓN PROFESIONAL DE ACUERDO AL ÁREA DE CONOCIMIENTO DEL NUCLEO BASICO DE CONOCIMIENTO
Psicólogo / trabajador social, tarjeta profesional vigente en los casos que aplique (según clasificación SNIES).
EXPERIENCIA PROFESIONAL:
Tres (3) años de experiencia general, contados a partir de la terminación de materias y/o fecha de grado, según aplique.
EXPERIENCIA ESPECIFÍCA: en 1 proyecto minímo de 6 meses como capacitador en primeros auxilios psicológicos, trabajo con comunidades, Y/o proyectos sociales relacionados con salud mental. </v>
      </c>
      <c r="D138" s="550">
        <v>1</v>
      </c>
      <c r="E138" s="551">
        <f>IF(VF_EstudioEntregado!K139="","",VF_EstudioEntregado!K139)</f>
        <v>2398800</v>
      </c>
      <c r="F138" s="551">
        <f>IF(VF_EstudioEntregado!L139="","",(E138*D138))</f>
        <v>2398800</v>
      </c>
      <c r="G138" s="560"/>
      <c r="H138" s="570">
        <f t="shared" si="13"/>
        <v>0</v>
      </c>
      <c r="I138" s="571" t="str">
        <f t="shared" si="15"/>
        <v>Valor vacío</v>
      </c>
      <c r="J138" s="572">
        <f t="shared" si="16"/>
        <v>2398800</v>
      </c>
      <c r="K138" s="571" t="str">
        <f t="shared" si="17"/>
        <v>Cumple</v>
      </c>
      <c r="L138" s="572">
        <f t="shared" si="18"/>
        <v>2398800</v>
      </c>
    </row>
    <row r="139" spans="1:12" ht="195" x14ac:dyDescent="0.25">
      <c r="A139" s="550">
        <f>VF_EstudioEntregado!A140</f>
        <v>25</v>
      </c>
      <c r="B139" s="568" t="str">
        <f>VF_EstudioEntregado!C140</f>
        <v xml:space="preserve">Profesional en Ciencias Sociales </v>
      </c>
      <c r="C139" s="569" t="str">
        <f>IF(VF_EstudioEntregado!D140="","",VF_EstudioEntregado!D140)</f>
        <v>FORMACIÓN PROFESIONAL DE ACUERDO CON EL ÁREA DE CONOCIMIENTO DEL NÚCLEO BÁSICO DEL CONOCIMIENTO
Profesional en el núcleo básico del conocimiento en Profesional en Trabajo social y/o Psicología y/o ciencias sociales, y/o ciencias humanas. Tarjeta profesional vigente en los casos que aplique. (según clasificación del SNIES).
EXPERIENCIA PROFESIONAL Tres (3) años de experiencia profesional, contados a partir de la terminación de materias y/o fecha de grado, según aplique.
EXPERIENCIA ESPECIFICA En un (1) proyecto de mínimo seis (6) meses como apoyo a la coordinación y/o Dirección en proyectos sociales en temas relacionados con salud mental.</v>
      </c>
      <c r="D139" s="550">
        <v>1</v>
      </c>
      <c r="E139" s="551">
        <f>IF(VF_EstudioEntregado!K140="","",VF_EstudioEntregado!K140)</f>
        <v>7462933</v>
      </c>
      <c r="F139" s="551">
        <f>IF(VF_EstudioEntregado!L140="","",(E139*D139))</f>
        <v>7462933</v>
      </c>
      <c r="G139" s="560"/>
      <c r="H139" s="570">
        <f t="shared" si="13"/>
        <v>0</v>
      </c>
      <c r="I139" s="571" t="str">
        <f t="shared" si="15"/>
        <v>Valor vacío</v>
      </c>
      <c r="J139" s="572">
        <f t="shared" si="16"/>
        <v>7462933</v>
      </c>
      <c r="K139" s="571" t="str">
        <f t="shared" si="17"/>
        <v>Cumple</v>
      </c>
      <c r="L139" s="572">
        <f t="shared" si="18"/>
        <v>7462933</v>
      </c>
    </row>
    <row r="140" spans="1:12" ht="90" x14ac:dyDescent="0.25">
      <c r="A140" s="550">
        <f>VF_EstudioEntregado!A141</f>
        <v>26</v>
      </c>
      <c r="B140" s="568" t="str">
        <f>VF_EstudioEntregado!C141</f>
        <v>Apoyo Logístico</v>
      </c>
      <c r="C140" s="569" t="str">
        <f>IF(VF_EstudioEntregado!D141="","",VF_EstudioEntregado!D141)</f>
        <v>FORMACIÓN CON NIVEL EDUCATIVO MINÍMO BACHILLER:
Con experiencia certificada en al menos tres años (3) en trabajo comunitario y social relacionados con apoyo a procesos sociales,
Se priorizará que este perfil residan en la localidad de suba, sin embargo, en caso de que se requiera una modificación respecto a la localidad de vivienda, esto será analizado y aprobado en el comité técnico de supervisión</v>
      </c>
      <c r="D140" s="550">
        <v>3</v>
      </c>
      <c r="E140" s="551">
        <f>IF(VF_EstudioEntregado!K141="","",VF_EstudioEntregado!K141)</f>
        <v>1031666</v>
      </c>
      <c r="F140" s="551">
        <f>IF(VF_EstudioEntregado!L141="","",(E140*D140))</f>
        <v>3094998</v>
      </c>
      <c r="G140" s="560"/>
      <c r="H140" s="570">
        <f t="shared" si="13"/>
        <v>0</v>
      </c>
      <c r="I140" s="571" t="str">
        <f t="shared" si="15"/>
        <v>Valor vacío</v>
      </c>
      <c r="J140" s="572">
        <f t="shared" si="16"/>
        <v>1031666</v>
      </c>
      <c r="K140" s="571" t="str">
        <f t="shared" si="17"/>
        <v>Cumple</v>
      </c>
      <c r="L140" s="572">
        <f t="shared" si="18"/>
        <v>3094998</v>
      </c>
    </row>
    <row r="141" spans="1:12" ht="150" x14ac:dyDescent="0.25">
      <c r="A141" s="550">
        <f>VF_EstudioEntregado!A142</f>
        <v>27</v>
      </c>
      <c r="B141" s="568" t="str">
        <f>VF_EstudioEntregado!C142</f>
        <v>Coordinador(a) operativo del Festival</v>
      </c>
      <c r="C141" s="569" t="str">
        <f>IF(VF_EstudioEntregado!D142="","",VF_EstudioEntregado!D142)</f>
        <v>FORMACIÓN PROFESIONAL:
Profesional en Psicología, Trabajo Social, Ciencias Sociales, Administración de Empresas, Gestión Cultural o áreas afines.
EXPERIENCIA GENERAL:
Tres (3) años de experiencia profesional.
EXPERIENCIA ESPECÍFICA:
Mínimo un (1) año en coordinación logística u operativa de eventos comunitarios, jornadas masivas o proyectos sociales con enfoque territorial.</v>
      </c>
      <c r="D141" s="550">
        <v>2</v>
      </c>
      <c r="E141" s="551">
        <f>IF(VF_EstudioEntregado!K142="","",VF_EstudioEntregado!K142)</f>
        <v>7996001</v>
      </c>
      <c r="F141" s="551">
        <f>IF(VF_EstudioEntregado!L142="","",(E141*D141))</f>
        <v>15992002</v>
      </c>
      <c r="G141" s="560"/>
      <c r="H141" s="570">
        <f t="shared" si="13"/>
        <v>0</v>
      </c>
      <c r="I141" s="571" t="str">
        <f t="shared" si="15"/>
        <v>Valor vacío</v>
      </c>
      <c r="J141" s="572">
        <f t="shared" si="16"/>
        <v>7996001</v>
      </c>
      <c r="K141" s="571" t="str">
        <f t="shared" si="17"/>
        <v>Cumple</v>
      </c>
      <c r="L141" s="572">
        <f t="shared" si="18"/>
        <v>15992002</v>
      </c>
    </row>
    <row r="142" spans="1:12" ht="150" x14ac:dyDescent="0.25">
      <c r="A142" s="550">
        <f>VF_EstudioEntregado!A143</f>
        <v>28</v>
      </c>
      <c r="B142" s="568" t="str">
        <f>VF_EstudioEntregado!C143</f>
        <v>Profesional psicosocial facilitador(a) de estaciones</v>
      </c>
      <c r="C142" s="569" t="str">
        <f>IF(VF_EstudioEntregado!D143="","",VF_EstudioEntregado!D143)</f>
        <v>FORMACIÓN PROFESIONAL:
Psicólogo(a) y/o Trabajador(a) Social y/o Profesional en Ciencias Humanas o Sociales. Tarjeta profesional vigente cuando aplique.
EXPERIENCIA GENERAL:
Dos (2) años de experiencia profesional.
EXPERIENCIA ESPECÍFICA:
Experiencia en promoción y prevención en salud mental comunitaria, facilitación grupal o procesos psicoeducativos colectivos.</v>
      </c>
      <c r="D142" s="550">
        <v>5</v>
      </c>
      <c r="E142" s="551">
        <f>IF(VF_EstudioEntregado!K143="","",VF_EstudioEntregado!K143)</f>
        <v>7996001</v>
      </c>
      <c r="F142" s="551">
        <f>IF(VF_EstudioEntregado!L143="","",(E142*D142))</f>
        <v>39980005</v>
      </c>
      <c r="G142" s="560"/>
      <c r="H142" s="570">
        <f t="shared" si="13"/>
        <v>0</v>
      </c>
      <c r="I142" s="571" t="str">
        <f t="shared" si="15"/>
        <v>Valor vacío</v>
      </c>
      <c r="J142" s="572">
        <f t="shared" si="16"/>
        <v>7996001</v>
      </c>
      <c r="K142" s="571" t="str">
        <f t="shared" si="17"/>
        <v>Cumple</v>
      </c>
      <c r="L142" s="572">
        <f t="shared" si="18"/>
        <v>39980005</v>
      </c>
    </row>
    <row r="143" spans="1:12" ht="195" x14ac:dyDescent="0.25">
      <c r="A143" s="550">
        <f>VF_EstudioEntregado!A144</f>
        <v>29</v>
      </c>
      <c r="B143" s="568" t="str">
        <f>VF_EstudioEntregado!C144</f>
        <v xml:space="preserve">Profesional en Ciencias Sociales </v>
      </c>
      <c r="C143" s="569" t="str">
        <f>IF(VF_EstudioEntregado!D144="","",VF_EstudioEntregado!D144)</f>
        <v>FORMACIÓN PROFESIONAL DE ACUERDO CON EL ÁREA DE CONOCIMIENTO DEL NÚCLEO BÁSICO DEL CONOCIMIENTO
Profesional en el núcleo básico del conocimiento en Profesional en Trabajo social y/o Psicología y/o ciencias sociales, y/o ciencias humanas. Tarjeta profesional vigente en los casos que aplique. (según clasificación del SNIES).
EXPERIENCIA PROFESIONAL Tres (3) años de experiencia profesional, contados a partir de la terminación de materias y/o fecha de grado, según aplique.
EXPERIENCIA ESPECIFICA En un (1) proyecto de mínimo seis (6) meses como apoyo a la coordinación y/o Dirección en proyectos sociales en temas relacionados con salud mental.</v>
      </c>
      <c r="D143" s="550">
        <v>1</v>
      </c>
      <c r="E143" s="551">
        <f>IF(VF_EstudioEntregado!K144="","",VF_EstudioEntregado!K144)</f>
        <v>7996001</v>
      </c>
      <c r="F143" s="551">
        <f>IF(VF_EstudioEntregado!L144="","",(E143*D143))</f>
        <v>7996001</v>
      </c>
      <c r="G143" s="560"/>
      <c r="H143" s="570">
        <f t="shared" si="13"/>
        <v>0</v>
      </c>
      <c r="I143" s="571" t="str">
        <f t="shared" si="15"/>
        <v>Valor vacío</v>
      </c>
      <c r="J143" s="572">
        <f t="shared" si="16"/>
        <v>7996001</v>
      </c>
      <c r="K143" s="571" t="str">
        <f t="shared" si="17"/>
        <v>Cumple</v>
      </c>
      <c r="L143" s="572">
        <f t="shared" si="18"/>
        <v>7996001</v>
      </c>
    </row>
    <row r="144" spans="1:12" ht="135" x14ac:dyDescent="0.25">
      <c r="A144" s="550">
        <f>VF_EstudioEntregado!A145</f>
        <v>30</v>
      </c>
      <c r="B144" s="568" t="str">
        <f>VF_EstudioEntregado!C145</f>
        <v>Conductor(a) / Animador(a) de evento comunitario</v>
      </c>
      <c r="C144" s="569" t="str">
        <f>IF(VF_EstudioEntregado!D145="","",VF_EstudioEntregado!D145)</f>
        <v>FORMACIÓN PROFESIONAL:
Profesional en comunicación social, educación física, cultura física, artes escénicas, recreación o áreas afines.
EXPERIENCIA GENERAL:
Dos (2) años de experiencia profesional.
EXPERIENCIA ESPECÍFICA:
Experiencia certificada en dirección de actividades físicas comunitarias, carreras recreativas o jornadas deportivas masivas.</v>
      </c>
      <c r="D144" s="550">
        <v>1</v>
      </c>
      <c r="E144" s="551">
        <f>IF(VF_EstudioEntregado!K145="","",VF_EstudioEntregado!K145)</f>
        <v>5860000</v>
      </c>
      <c r="F144" s="551">
        <f>IF(VF_EstudioEntregado!L145="","",(E144*D144))</f>
        <v>5860000</v>
      </c>
      <c r="G144" s="560"/>
      <c r="H144" s="570">
        <f t="shared" si="13"/>
        <v>0</v>
      </c>
      <c r="I144" s="571" t="str">
        <f t="shared" si="15"/>
        <v>Valor vacío</v>
      </c>
      <c r="J144" s="572">
        <f t="shared" si="16"/>
        <v>5860000</v>
      </c>
      <c r="K144" s="571" t="str">
        <f t="shared" si="17"/>
        <v>Cumple</v>
      </c>
      <c r="L144" s="572">
        <f t="shared" si="18"/>
        <v>5860000</v>
      </c>
    </row>
    <row r="145" spans="1:12" ht="105" x14ac:dyDescent="0.25">
      <c r="A145" s="550">
        <f>VF_EstudioEntregado!A146</f>
        <v>31</v>
      </c>
      <c r="B145" s="568" t="str">
        <f>VF_EstudioEntregado!C146</f>
        <v>Gestor Comunitario Territorial</v>
      </c>
      <c r="C145" s="569" t="str">
        <f>IF(VF_EstudioEntregado!D146="","",VF_EstudioEntregado!D146)</f>
        <v>FORMACIÓN:
Técnico, tecnólogo o estudiante de últimos semestres en ciencias sociales y/o humanas y/o administrativas.
EXPERIENCIA:
Mínimo dos (2) años de experiencia en trabajo comunitario, convocatoria territorial y articulación con actores locales.</v>
      </c>
      <c r="D145" s="550">
        <v>4</v>
      </c>
      <c r="E145" s="551">
        <f>IF(VF_EstudioEntregado!K146="","",VF_EstudioEntregado!K146)</f>
        <v>3095000</v>
      </c>
      <c r="F145" s="551">
        <f>IF(VF_EstudioEntregado!L146="","",(E145*D145))</f>
        <v>12380000</v>
      </c>
      <c r="G145" s="560"/>
      <c r="H145" s="570">
        <f t="shared" si="13"/>
        <v>0</v>
      </c>
      <c r="I145" s="571" t="str">
        <f t="shared" si="15"/>
        <v>Valor vacío</v>
      </c>
      <c r="J145" s="572">
        <f t="shared" si="16"/>
        <v>3095000</v>
      </c>
      <c r="K145" s="571" t="str">
        <f t="shared" si="17"/>
        <v>Cumple</v>
      </c>
      <c r="L145" s="572">
        <f t="shared" si="18"/>
        <v>12380000</v>
      </c>
    </row>
    <row r="146" spans="1:12" ht="90" x14ac:dyDescent="0.25">
      <c r="A146" s="550">
        <f>VF_EstudioEntregado!A147</f>
        <v>32</v>
      </c>
      <c r="B146" s="568" t="str">
        <f>VF_EstudioEntregado!C147</f>
        <v>Auxiliar Logístico del Evento</v>
      </c>
      <c r="C146" s="569" t="str">
        <f>IF(VF_EstudioEntregado!D147="","",VF_EstudioEntregado!D147)</f>
        <v>FORMACIÓN:
Bachiller académico.
EXPERIENCIA:
Mínimo dos (2) años de experiencia en apoyo logístico para ejecución de proyectos sociales.</v>
      </c>
      <c r="D146" s="550">
        <v>30</v>
      </c>
      <c r="E146" s="551">
        <f>IF(VF_EstudioEntregado!K147="","",VF_EstudioEntregado!K147)</f>
        <v>3095000</v>
      </c>
      <c r="F146" s="551">
        <f>IF(VF_EstudioEntregado!L147="","",(E146*D146))</f>
        <v>92850000</v>
      </c>
      <c r="G146" s="560"/>
      <c r="H146" s="570">
        <f t="shared" si="13"/>
        <v>0</v>
      </c>
      <c r="I146" s="571" t="str">
        <f t="shared" si="15"/>
        <v>Valor vacío</v>
      </c>
      <c r="J146" s="572">
        <f t="shared" si="16"/>
        <v>3095000</v>
      </c>
      <c r="K146" s="571" t="str">
        <f t="shared" si="17"/>
        <v>Cumple</v>
      </c>
      <c r="L146" s="572">
        <f t="shared" si="18"/>
        <v>92850000</v>
      </c>
    </row>
    <row r="147" spans="1:12" ht="165" x14ac:dyDescent="0.25">
      <c r="A147" s="550">
        <f>VF_EstudioEntregado!A148</f>
        <v>33</v>
      </c>
      <c r="B147" s="568" t="str">
        <f>VF_EstudioEntregado!C148</f>
        <v>Profesional en Psicología (Formador DBT)</v>
      </c>
      <c r="C147" s="569" t="str">
        <f>IF(VF_EstudioEntregado!D148="","",VF_EstudioEntregado!D148)</f>
        <v>FORMACIÓN PROFESIONAL DE ACUERDO CON EL ÁREA DE CONOCIMIENTO DEL NÚCLEO BÁSICO DEL CONOCIMIENTO: Profesional en Psicología. Tarjeta profesional vigente.
EXPERIENCIA PROFESIONAL:
Tres (3) años de experiencia profesional contados a partir de la fecha de grado.
EXPERIENCIA ESPECÍFICA:
Mínimo un (1) año de experiencia en procesos comunitarios en salud mental y formación en habilidades de regulación emocional y/o enfoques cognitivo-conductuales. Experiencia en facilitación grupal.</v>
      </c>
      <c r="D147" s="550">
        <v>4</v>
      </c>
      <c r="E147" s="551">
        <f>IF(VF_EstudioEntregado!K148="","",VF_EstudioEntregado!K148)</f>
        <v>7996000</v>
      </c>
      <c r="F147" s="551">
        <f>IF(VF_EstudioEntregado!L148="","",(E147*D147))</f>
        <v>31984000</v>
      </c>
      <c r="G147" s="560"/>
      <c r="H147" s="570">
        <f t="shared" si="13"/>
        <v>0</v>
      </c>
      <c r="I147" s="571" t="str">
        <f t="shared" si="15"/>
        <v>Valor vacío</v>
      </c>
      <c r="J147" s="572">
        <f t="shared" si="16"/>
        <v>7996000</v>
      </c>
      <c r="K147" s="571" t="str">
        <f t="shared" si="17"/>
        <v>Cumple</v>
      </c>
      <c r="L147" s="572">
        <f t="shared" si="18"/>
        <v>31984000</v>
      </c>
    </row>
    <row r="148" spans="1:12" ht="150" x14ac:dyDescent="0.25">
      <c r="A148" s="550">
        <f>VF_EstudioEntregado!A149</f>
        <v>34</v>
      </c>
      <c r="B148" s="568" t="str">
        <f>VF_EstudioEntregado!C149</f>
        <v>Profesional en Ciencias Sociales con enfoque en género</v>
      </c>
      <c r="C148" s="569" t="str">
        <f>IF(VF_EstudioEntregado!D149="","",VF_EstudioEntregado!D149)</f>
        <v>FORMACIÓN PROFESIONAL:
Profesional en Trabajo Social y/o Sociología y/o Antropología y/o Ciencias Sociales afines.
EXPERIENCIA PROFESIONAL:
Tres (3) años de experiencia profesional.
EXPERIENCIA ESPECÍFICA:
Experiencia mínima de un (1) año en procesos comunitarios de prevención de violencias basadas en género y trabajo con hombres y masculinidades.</v>
      </c>
      <c r="D148" s="550">
        <v>4</v>
      </c>
      <c r="E148" s="551">
        <f>IF(VF_EstudioEntregado!K149="","",VF_EstudioEntregado!K149)</f>
        <v>7996000</v>
      </c>
      <c r="F148" s="551">
        <f>IF(VF_EstudioEntregado!L149="","",(E148*D148))</f>
        <v>31984000</v>
      </c>
      <c r="G148" s="560"/>
      <c r="H148" s="570">
        <f t="shared" si="13"/>
        <v>0</v>
      </c>
      <c r="I148" s="571" t="str">
        <f t="shared" si="15"/>
        <v>Valor vacío</v>
      </c>
      <c r="J148" s="572">
        <f t="shared" si="16"/>
        <v>7996000</v>
      </c>
      <c r="K148" s="571" t="str">
        <f t="shared" si="17"/>
        <v>Cumple</v>
      </c>
      <c r="L148" s="572">
        <f t="shared" si="18"/>
        <v>31984000</v>
      </c>
    </row>
    <row r="149" spans="1:12" ht="150" x14ac:dyDescent="0.25">
      <c r="A149" s="550">
        <f>VF_EstudioEntregado!A150</f>
        <v>35</v>
      </c>
      <c r="B149" s="568" t="str">
        <f>VF_EstudioEntregado!C150</f>
        <v>Profesional en Administración o Emprendimiento</v>
      </c>
      <c r="C149" s="569" t="str">
        <f>IF(VF_EstudioEntregado!D150="","",VF_EstudioEntregado!D150)</f>
        <v>FORMACIÓN PROFESIONAL:
Profesional en Administración de Empresas y/o Economía y/o Ingeniería Industrial y/o áreas afines.
EXPERIENCIA PROFESIONAL:
Tres (3) años de experiencia profesional.
EXPERIENCIA ESPECÍFICA:
Experiencia mínima de un (1) año en formación a emprendedores, fortalecimiento empresarial o procesos de formalización comercial.</v>
      </c>
      <c r="D149" s="550">
        <v>3</v>
      </c>
      <c r="E149" s="551">
        <f>IF(VF_EstudioEntregado!K150="","",VF_EstudioEntregado!K150)</f>
        <v>7996000</v>
      </c>
      <c r="F149" s="551">
        <f>IF(VF_EstudioEntregado!L150="","",(E149*D149))</f>
        <v>23988000</v>
      </c>
      <c r="G149" s="560"/>
      <c r="H149" s="570">
        <f t="shared" si="13"/>
        <v>0</v>
      </c>
      <c r="I149" s="571" t="str">
        <f t="shared" si="15"/>
        <v>Valor vacío</v>
      </c>
      <c r="J149" s="572">
        <f t="shared" si="16"/>
        <v>7996000</v>
      </c>
      <c r="K149" s="571" t="str">
        <f t="shared" si="17"/>
        <v>Cumple</v>
      </c>
      <c r="L149" s="572">
        <f t="shared" si="18"/>
        <v>23988000</v>
      </c>
    </row>
    <row r="150" spans="1:12" ht="105" x14ac:dyDescent="0.25">
      <c r="A150" s="550">
        <f>VF_EstudioEntregado!A151</f>
        <v>36</v>
      </c>
      <c r="B150" s="568" t="str">
        <f>VF_EstudioEntregado!C151</f>
        <v>Gestor Comunitario Territorial</v>
      </c>
      <c r="C150" s="569" t="str">
        <f>IF(VF_EstudioEntregado!D151="","",VF_EstudioEntregado!D151)</f>
        <v>FORMACIÓN:
Técnico, tecnólogo o estudiante de últimos semestres en ciencias sociales y/o humanas y/o administrativas.
EXPERIENCIA:
Mínimo dos (2) años de experiencia en trabajo comunitario, convocatoria territorial y articulación con actores locales.</v>
      </c>
      <c r="D150" s="550">
        <v>8</v>
      </c>
      <c r="E150" s="551">
        <f>IF(VF_EstudioEntregado!K151="","",VF_EstudioEntregado!K151)</f>
        <v>3640000</v>
      </c>
      <c r="F150" s="551">
        <f>IF(VF_EstudioEntregado!L151="","",(E150*D150))</f>
        <v>29120000</v>
      </c>
      <c r="G150" s="560"/>
      <c r="H150" s="570">
        <f t="shared" si="13"/>
        <v>0</v>
      </c>
      <c r="I150" s="571" t="str">
        <f t="shared" si="15"/>
        <v>Valor vacío</v>
      </c>
      <c r="J150" s="572">
        <f t="shared" si="16"/>
        <v>3640000</v>
      </c>
      <c r="K150" s="571" t="str">
        <f t="shared" si="17"/>
        <v>Cumple</v>
      </c>
      <c r="L150" s="572">
        <f t="shared" si="18"/>
        <v>29120000</v>
      </c>
    </row>
    <row r="151" spans="1:12" ht="90" x14ac:dyDescent="0.25">
      <c r="A151" s="550">
        <f>VF_EstudioEntregado!A152</f>
        <v>37</v>
      </c>
      <c r="B151" s="568" t="str">
        <f>VF_EstudioEntregado!C152</f>
        <v>Auxiliar Logístico</v>
      </c>
      <c r="C151" s="569" t="str">
        <f>IF(VF_EstudioEntregado!D152="","",VF_EstudioEntregado!D152)</f>
        <v>FORMACIÓN:
Bachiller académico.
EXPERIENCIA:
Mínimo dos (2) años de experiencia en apoyo logístico para ejecución de proyectos sociales.</v>
      </c>
      <c r="D151" s="550">
        <v>6</v>
      </c>
      <c r="E151" s="551">
        <f>IF(VF_EstudioEntregado!K152="","",VF_EstudioEntregado!K152)</f>
        <v>3095000</v>
      </c>
      <c r="F151" s="551">
        <f>IF(VF_EstudioEntregado!L152="","",(E151*D151))</f>
        <v>18570000</v>
      </c>
      <c r="G151" s="560"/>
      <c r="H151" s="570">
        <f t="shared" si="13"/>
        <v>0</v>
      </c>
      <c r="I151" s="571" t="str">
        <f t="shared" si="15"/>
        <v>Valor vacío</v>
      </c>
      <c r="J151" s="572">
        <f t="shared" si="16"/>
        <v>3095000</v>
      </c>
      <c r="K151" s="571" t="str">
        <f t="shared" si="17"/>
        <v>Cumple</v>
      </c>
      <c r="L151" s="572">
        <f t="shared" si="18"/>
        <v>18570000</v>
      </c>
    </row>
    <row r="152" spans="1:12" x14ac:dyDescent="0.25">
      <c r="A152" s="552" t="s">
        <v>10</v>
      </c>
      <c r="B152" s="552"/>
      <c r="C152" s="552"/>
      <c r="D152" s="552"/>
      <c r="E152" s="552"/>
      <c r="F152" s="552"/>
      <c r="G152" s="553"/>
      <c r="H152" s="554">
        <f>SUM(H115:H151)</f>
        <v>0</v>
      </c>
      <c r="I152" s="573"/>
      <c r="J152" s="573"/>
      <c r="K152" s="573"/>
      <c r="L152" s="574"/>
    </row>
    <row r="153" spans="1:12" ht="15.75" x14ac:dyDescent="0.25">
      <c r="A153" s="580" t="s">
        <v>1345</v>
      </c>
      <c r="B153" s="580"/>
      <c r="C153" s="580"/>
      <c r="D153" s="559"/>
      <c r="E153" s="559"/>
      <c r="F153" s="559"/>
      <c r="G153" s="559"/>
      <c r="H153" s="559"/>
    </row>
    <row r="154" spans="1:12" ht="15.75" x14ac:dyDescent="0.25">
      <c r="A154" s="580" t="s">
        <v>1346</v>
      </c>
      <c r="B154" s="580"/>
      <c r="C154" s="580"/>
      <c r="D154" s="559"/>
      <c r="E154" s="559"/>
      <c r="F154" s="559"/>
      <c r="G154" s="559"/>
      <c r="H154" s="559"/>
    </row>
    <row r="155" spans="1:12" ht="15.75" x14ac:dyDescent="0.25">
      <c r="A155" s="580" t="s">
        <v>1347</v>
      </c>
      <c r="B155" s="580"/>
      <c r="C155" s="580"/>
      <c r="D155" s="559"/>
      <c r="E155" s="559"/>
      <c r="F155" s="559"/>
      <c r="G155" s="559"/>
      <c r="H155" s="559"/>
    </row>
    <row r="156" spans="1:12" ht="15.75" x14ac:dyDescent="0.25">
      <c r="A156" s="580" t="s">
        <v>1348</v>
      </c>
      <c r="B156" s="580"/>
      <c r="C156" s="580"/>
      <c r="D156" s="559"/>
      <c r="E156" s="559"/>
      <c r="F156" s="559"/>
      <c r="G156" s="559"/>
      <c r="H156" s="559"/>
    </row>
    <row r="157" spans="1:12" ht="260.25" customHeight="1" x14ac:dyDescent="0.25">
      <c r="A157" s="465" t="s">
        <v>1465</v>
      </c>
      <c r="B157" s="465"/>
      <c r="C157" s="465"/>
      <c r="D157" s="465"/>
      <c r="E157" s="465"/>
      <c r="F157" s="465"/>
      <c r="G157" s="465"/>
      <c r="H157" s="465"/>
    </row>
    <row r="158" spans="1:12" x14ac:dyDescent="0.25">
      <c r="D158" s="579"/>
      <c r="E158" s="579"/>
      <c r="F158" s="579"/>
    </row>
    <row r="159" spans="1:12" x14ac:dyDescent="0.25">
      <c r="C159" s="579"/>
      <c r="D159" s="579"/>
      <c r="E159" s="579"/>
      <c r="F159" s="579"/>
    </row>
    <row r="160" spans="1:12" x14ac:dyDescent="0.25">
      <c r="C160" s="579"/>
      <c r="D160" s="579"/>
      <c r="E160" s="579"/>
      <c r="F160" s="579"/>
    </row>
    <row r="161" spans="3:6" x14ac:dyDescent="0.25">
      <c r="C161" s="579"/>
      <c r="D161" s="579"/>
      <c r="E161" s="579"/>
      <c r="F161" s="579"/>
    </row>
    <row r="162" spans="3:6" x14ac:dyDescent="0.25">
      <c r="C162" s="579"/>
      <c r="D162" s="579"/>
      <c r="E162" s="579"/>
      <c r="F162" s="579"/>
    </row>
  </sheetData>
  <sheetProtection sheet="1" objects="1" scenarios="1"/>
  <mergeCells count="27">
    <mergeCell ref="A154:C154"/>
    <mergeCell ref="D154:H154"/>
    <mergeCell ref="A6:B7"/>
    <mergeCell ref="C6:H6"/>
    <mergeCell ref="D7:H7"/>
    <mergeCell ref="A8:D8"/>
    <mergeCell ref="A9:A10"/>
    <mergeCell ref="B9:B10"/>
    <mergeCell ref="C9:C10"/>
    <mergeCell ref="D9:D10"/>
    <mergeCell ref="E9:F9"/>
    <mergeCell ref="G9:H9"/>
    <mergeCell ref="I9:L9"/>
    <mergeCell ref="A153:C153"/>
    <mergeCell ref="D153:H153"/>
    <mergeCell ref="A112:F112"/>
    <mergeCell ref="I112:L112"/>
    <mergeCell ref="A113:D114"/>
    <mergeCell ref="E113:H114"/>
    <mergeCell ref="I113:L114"/>
    <mergeCell ref="A152:F152"/>
    <mergeCell ref="I152:L152"/>
    <mergeCell ref="A155:C155"/>
    <mergeCell ref="D155:H155"/>
    <mergeCell ref="A156:C156"/>
    <mergeCell ref="D156:H156"/>
    <mergeCell ref="A157:H157"/>
  </mergeCells>
  <conditionalFormatting sqref="J11:J111 L11:L111">
    <cfRule type="cellIs" dxfId="82" priority="15" operator="lessThan">
      <formula>0</formula>
    </cfRule>
    <cfRule type="cellIs" dxfId="81" priority="16" operator="lessThan">
      <formula>0</formula>
    </cfRule>
  </conditionalFormatting>
  <conditionalFormatting sqref="J115:J151 L115:L151">
    <cfRule type="cellIs" dxfId="80" priority="7" operator="lessThan">
      <formula>0</formula>
    </cfRule>
    <cfRule type="cellIs" dxfId="79" priority="8" operator="lessThan">
      <formula>0</formula>
    </cfRule>
  </conditionalFormatting>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DC1764-AC56-4967-957C-08551FD6E0C5}">
  <sheetPr codeName="Hoja6"/>
  <dimension ref="A3:CN132"/>
  <sheetViews>
    <sheetView zoomScale="55" zoomScaleNormal="55" workbookViewId="0"/>
  </sheetViews>
  <sheetFormatPr baseColWidth="10" defaultColWidth="11.28515625" defaultRowHeight="15" x14ac:dyDescent="0.25"/>
  <cols>
    <col min="1" max="1" width="17.140625" style="3" customWidth="1"/>
    <col min="2" max="2" width="24.28515625" style="3" customWidth="1"/>
    <col min="3" max="4" width="52.28515625" style="3" customWidth="1"/>
    <col min="5" max="6" width="28.28515625" style="3" customWidth="1"/>
    <col min="7" max="7" width="31.28515625" style="3" customWidth="1"/>
    <col min="8" max="13" width="25.28515625" style="3" customWidth="1"/>
    <col min="14" max="40" width="24.28515625" style="3" customWidth="1"/>
    <col min="41" max="50" width="23" style="3" customWidth="1"/>
    <col min="51" max="51" width="56.28515625" style="3" customWidth="1"/>
    <col min="52" max="54" width="11.28515625" style="3"/>
    <col min="55" max="56" width="31.28515625" style="3" customWidth="1"/>
    <col min="57" max="57" width="29.28515625" style="3" customWidth="1"/>
    <col min="58" max="58" width="66.7109375" style="3" customWidth="1"/>
    <col min="59" max="61" width="22.7109375" style="3" customWidth="1"/>
    <col min="62" max="63" width="32.28515625" style="3" customWidth="1"/>
    <col min="64" max="66" width="22.7109375" style="3" customWidth="1"/>
    <col min="67" max="88" width="11.28515625" style="3"/>
    <col min="89" max="89" width="5.28515625" style="3" bestFit="1" customWidth="1"/>
    <col min="90" max="16384" width="11.28515625" style="3"/>
  </cols>
  <sheetData>
    <row r="3" spans="1:92" s="1" customFormat="1" ht="32.450000000000003" customHeight="1" x14ac:dyDescent="0.25">
      <c r="A3" s="503" t="s">
        <v>0</v>
      </c>
      <c r="B3" s="503"/>
      <c r="C3" s="503"/>
      <c r="D3" s="503"/>
      <c r="E3" s="503"/>
      <c r="F3" s="503"/>
      <c r="G3" s="503"/>
      <c r="H3" s="503"/>
      <c r="I3" s="503"/>
      <c r="J3" s="503"/>
      <c r="K3" s="503"/>
      <c r="L3" s="503"/>
      <c r="M3" s="530" t="s">
        <v>1</v>
      </c>
      <c r="N3" s="531"/>
      <c r="O3" s="531"/>
      <c r="P3" s="531"/>
      <c r="Q3" s="531"/>
      <c r="R3" s="531"/>
      <c r="S3" s="531"/>
      <c r="T3" s="531"/>
      <c r="U3" s="531"/>
      <c r="V3" s="531"/>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4"/>
    </row>
    <row r="4" spans="1:92" s="2" customFormat="1" ht="70.150000000000006" customHeight="1" x14ac:dyDescent="0.25">
      <c r="A4" s="505"/>
      <c r="B4" s="505"/>
      <c r="C4" s="45" t="s">
        <v>1349</v>
      </c>
      <c r="D4" s="17"/>
      <c r="E4" s="466" t="s">
        <v>3</v>
      </c>
      <c r="F4" s="466"/>
      <c r="G4" s="506"/>
      <c r="H4" s="506"/>
      <c r="I4" s="506"/>
      <c r="J4" s="506"/>
      <c r="K4" s="506"/>
      <c r="L4" s="506"/>
      <c r="M4" s="532"/>
      <c r="N4" s="533"/>
      <c r="O4" s="533"/>
      <c r="P4" s="533"/>
      <c r="Q4" s="533"/>
      <c r="R4" s="533"/>
      <c r="S4" s="533"/>
      <c r="T4" s="533"/>
      <c r="U4" s="533"/>
      <c r="V4" s="533"/>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5"/>
    </row>
    <row r="5" spans="1:92" s="2" customFormat="1" ht="63" customHeight="1" x14ac:dyDescent="0.25">
      <c r="A5" s="505"/>
      <c r="B5" s="505"/>
      <c r="C5" s="20" t="s">
        <v>6</v>
      </c>
      <c r="D5" s="507"/>
      <c r="E5" s="508"/>
      <c r="F5" s="509"/>
      <c r="G5" s="20" t="s">
        <v>8</v>
      </c>
      <c r="H5" s="507"/>
      <c r="I5" s="509"/>
      <c r="J5" s="20" t="s">
        <v>9</v>
      </c>
      <c r="K5" s="507"/>
      <c r="L5" s="509"/>
      <c r="M5" s="532"/>
      <c r="N5" s="533"/>
      <c r="O5" s="533"/>
      <c r="P5" s="533"/>
      <c r="Q5" s="533"/>
      <c r="R5" s="533"/>
      <c r="S5" s="533"/>
      <c r="T5" s="533"/>
      <c r="U5" s="533"/>
      <c r="V5" s="533"/>
      <c r="W5" s="38"/>
      <c r="X5" s="38"/>
      <c r="Y5" s="38"/>
      <c r="Z5" s="38"/>
      <c r="AA5" s="38"/>
      <c r="AB5" s="38"/>
      <c r="AC5" s="38"/>
      <c r="AD5" s="38"/>
      <c r="AE5" s="38"/>
      <c r="AF5" s="38"/>
      <c r="AG5" s="38"/>
      <c r="AH5" s="38"/>
      <c r="AI5" s="38"/>
      <c r="AJ5" s="38"/>
      <c r="AK5" s="38"/>
      <c r="AL5" s="38"/>
      <c r="AM5" s="38"/>
      <c r="AN5" s="38"/>
      <c r="AO5" s="38"/>
      <c r="AP5" s="38"/>
      <c r="AQ5" s="38"/>
      <c r="AR5" s="38"/>
      <c r="AS5" s="38"/>
      <c r="AT5" s="38"/>
      <c r="AU5" s="38"/>
      <c r="AV5" s="35"/>
    </row>
    <row r="6" spans="1:92" s="2" customFormat="1" ht="102" customHeight="1" x14ac:dyDescent="0.25">
      <c r="A6" s="505"/>
      <c r="B6" s="505"/>
      <c r="C6" s="46" t="s">
        <v>11</v>
      </c>
      <c r="D6" s="466"/>
      <c r="E6" s="466"/>
      <c r="F6" s="466"/>
      <c r="G6" s="466"/>
      <c r="H6" s="466"/>
      <c r="I6" s="466"/>
      <c r="J6" s="466"/>
      <c r="K6" s="466"/>
      <c r="L6" s="466"/>
      <c r="M6" s="534"/>
      <c r="N6" s="535"/>
      <c r="O6" s="535"/>
      <c r="P6" s="535"/>
      <c r="Q6" s="535"/>
      <c r="R6" s="535"/>
      <c r="S6" s="535"/>
      <c r="T6" s="535"/>
      <c r="U6" s="535"/>
      <c r="V6" s="535"/>
      <c r="W6" s="36"/>
      <c r="X6" s="36"/>
      <c r="Y6" s="36"/>
      <c r="Z6" s="36"/>
      <c r="AA6" s="36"/>
      <c r="AB6" s="36"/>
      <c r="AC6" s="36"/>
      <c r="AD6" s="36"/>
      <c r="AE6" s="36"/>
      <c r="AF6" s="36"/>
      <c r="AG6" s="36"/>
      <c r="AH6" s="36"/>
      <c r="AI6" s="36"/>
      <c r="AJ6" s="36"/>
      <c r="AK6" s="36"/>
      <c r="AL6" s="36"/>
      <c r="AM6" s="36"/>
      <c r="AN6" s="36"/>
      <c r="AO6" s="36"/>
      <c r="AP6" s="36"/>
      <c r="AQ6" s="36"/>
      <c r="AR6" s="36"/>
      <c r="AS6" s="36"/>
      <c r="AT6" s="36"/>
      <c r="AU6" s="36"/>
      <c r="AV6" s="37"/>
      <c r="BC6" s="514" t="s">
        <v>223</v>
      </c>
      <c r="BD6" s="514"/>
      <c r="BE6" s="514"/>
      <c r="BF6" s="514"/>
      <c r="BG6" s="514"/>
      <c r="BH6" s="514"/>
      <c r="BI6" s="514"/>
      <c r="BJ6" s="514"/>
      <c r="BK6" s="514"/>
      <c r="BL6" s="514"/>
      <c r="BM6" s="514"/>
      <c r="BN6" s="514"/>
    </row>
    <row r="8" spans="1:92" x14ac:dyDescent="0.25">
      <c r="A8" s="4"/>
      <c r="I8" s="16"/>
      <c r="J8" s="16"/>
      <c r="K8" s="16"/>
      <c r="L8" s="16"/>
      <c r="O8" s="16"/>
      <c r="P8" s="16"/>
      <c r="Q8" s="16"/>
      <c r="R8" s="16"/>
      <c r="U8" s="16"/>
      <c r="V8" s="16"/>
      <c r="W8" s="16"/>
      <c r="X8" s="16"/>
      <c r="Y8" s="16"/>
      <c r="AA8" s="16"/>
      <c r="AB8" s="16"/>
      <c r="AC8" s="16"/>
      <c r="AD8" s="16"/>
      <c r="AE8" s="16"/>
    </row>
    <row r="9" spans="1:92" s="18" customFormat="1" ht="15.6" customHeight="1" x14ac:dyDescent="0.3">
      <c r="G9" s="521" t="s">
        <v>14</v>
      </c>
      <c r="H9" s="522"/>
      <c r="I9" s="522"/>
      <c r="J9" s="522"/>
      <c r="K9" s="522"/>
      <c r="L9" s="523"/>
      <c r="M9" s="524" t="s">
        <v>15</v>
      </c>
      <c r="N9" s="525"/>
      <c r="O9" s="525"/>
      <c r="P9" s="525"/>
      <c r="Q9" s="525"/>
      <c r="R9" s="526"/>
      <c r="S9" s="527" t="s">
        <v>16</v>
      </c>
      <c r="T9" s="528"/>
      <c r="U9" s="528"/>
      <c r="V9" s="528"/>
      <c r="W9" s="528"/>
      <c r="X9" s="529"/>
      <c r="Y9" s="524" t="s">
        <v>1350</v>
      </c>
      <c r="Z9" s="525"/>
      <c r="AA9" s="525"/>
      <c r="AB9" s="525"/>
      <c r="AC9" s="525"/>
      <c r="AD9" s="526"/>
      <c r="AE9" s="518" t="s">
        <v>17</v>
      </c>
      <c r="AF9" s="519"/>
      <c r="AG9" s="519"/>
      <c r="AH9" s="519"/>
      <c r="AI9" s="517" t="s">
        <v>1351</v>
      </c>
      <c r="AJ9" s="517"/>
      <c r="AO9" s="518" t="s">
        <v>17</v>
      </c>
      <c r="AP9" s="519"/>
      <c r="AQ9" s="519"/>
      <c r="AR9" s="519"/>
      <c r="AS9" s="517" t="s">
        <v>1351</v>
      </c>
      <c r="AT9" s="517"/>
    </row>
    <row r="10" spans="1:92" s="18" customFormat="1" ht="97.9" customHeight="1" x14ac:dyDescent="0.3">
      <c r="A10" s="19" t="s">
        <v>18</v>
      </c>
      <c r="B10" s="19" t="s">
        <v>19</v>
      </c>
      <c r="C10" s="19" t="s">
        <v>20</v>
      </c>
      <c r="D10" s="19" t="s">
        <v>21</v>
      </c>
      <c r="E10" s="19" t="s">
        <v>22</v>
      </c>
      <c r="F10" s="19" t="s">
        <v>23</v>
      </c>
      <c r="G10" s="21" t="s">
        <v>25</v>
      </c>
      <c r="H10" s="21" t="s">
        <v>26</v>
      </c>
      <c r="I10" s="21" t="s">
        <v>27</v>
      </c>
      <c r="J10" s="21" t="s">
        <v>28</v>
      </c>
      <c r="K10" s="21" t="s">
        <v>29</v>
      </c>
      <c r="L10" s="21" t="s">
        <v>30</v>
      </c>
      <c r="M10" s="19" t="s">
        <v>31</v>
      </c>
      <c r="N10" s="19" t="s">
        <v>26</v>
      </c>
      <c r="O10" s="19" t="s">
        <v>27</v>
      </c>
      <c r="P10" s="19" t="s">
        <v>28</v>
      </c>
      <c r="Q10" s="19" t="s">
        <v>29</v>
      </c>
      <c r="R10" s="19" t="s">
        <v>30</v>
      </c>
      <c r="S10" s="28" t="s">
        <v>32</v>
      </c>
      <c r="T10" s="28" t="s">
        <v>26</v>
      </c>
      <c r="U10" s="28" t="s">
        <v>27</v>
      </c>
      <c r="V10" s="28" t="s">
        <v>28</v>
      </c>
      <c r="W10" s="28" t="s">
        <v>29</v>
      </c>
      <c r="X10" s="28" t="s">
        <v>30</v>
      </c>
      <c r="Y10" s="19" t="s">
        <v>1352</v>
      </c>
      <c r="Z10" s="19" t="s">
        <v>26</v>
      </c>
      <c r="AA10" s="19" t="s">
        <v>27</v>
      </c>
      <c r="AB10" s="19" t="s">
        <v>28</v>
      </c>
      <c r="AC10" s="19" t="s">
        <v>29</v>
      </c>
      <c r="AD10" s="19" t="s">
        <v>30</v>
      </c>
      <c r="AE10" s="21" t="s">
        <v>33</v>
      </c>
      <c r="AF10" s="21" t="s">
        <v>34</v>
      </c>
      <c r="AG10" s="21" t="s">
        <v>35</v>
      </c>
      <c r="AH10" s="21" t="s">
        <v>36</v>
      </c>
      <c r="AI10" s="21" t="s">
        <v>33</v>
      </c>
      <c r="AJ10" s="21" t="s">
        <v>34</v>
      </c>
      <c r="AK10" s="21" t="s">
        <v>1353</v>
      </c>
      <c r="AL10" s="21" t="s">
        <v>1354</v>
      </c>
      <c r="AM10" s="21" t="s">
        <v>1355</v>
      </c>
      <c r="AN10" s="21" t="s">
        <v>1356</v>
      </c>
      <c r="AO10" s="71" t="s">
        <v>33</v>
      </c>
      <c r="AP10" s="71" t="s">
        <v>34</v>
      </c>
      <c r="AQ10" s="71" t="s">
        <v>35</v>
      </c>
      <c r="AR10" s="71" t="s">
        <v>36</v>
      </c>
      <c r="AS10" s="71" t="s">
        <v>33</v>
      </c>
      <c r="AT10" s="71" t="s">
        <v>34</v>
      </c>
      <c r="AU10" s="71" t="s">
        <v>1353</v>
      </c>
      <c r="AV10" s="71" t="s">
        <v>1354</v>
      </c>
      <c r="AW10" s="71" t="s">
        <v>1355</v>
      </c>
      <c r="AX10" s="71" t="s">
        <v>1356</v>
      </c>
      <c r="AY10" s="71" t="s">
        <v>37</v>
      </c>
      <c r="BC10" s="21" t="s">
        <v>19</v>
      </c>
      <c r="BD10" s="21" t="s">
        <v>1357</v>
      </c>
      <c r="BE10" s="21" t="s">
        <v>1358</v>
      </c>
      <c r="BF10" s="21" t="s">
        <v>1359</v>
      </c>
      <c r="BG10" s="21" t="s">
        <v>1360</v>
      </c>
      <c r="BH10" s="21" t="s">
        <v>1361</v>
      </c>
      <c r="BI10" s="21" t="s">
        <v>1362</v>
      </c>
      <c r="BJ10" s="21" t="s">
        <v>1363</v>
      </c>
      <c r="BK10" s="21" t="s">
        <v>1364</v>
      </c>
      <c r="BL10" s="21" t="s">
        <v>15</v>
      </c>
      <c r="BM10" s="21" t="s">
        <v>16</v>
      </c>
      <c r="BN10" s="21" t="s">
        <v>1365</v>
      </c>
    </row>
    <row r="11" spans="1:92" s="7" customFormat="1" x14ac:dyDescent="0.25">
      <c r="A11" s="6" t="str">
        <f>IF(B11&lt;&gt;"",CN11,"")</f>
        <v/>
      </c>
      <c r="B11" s="43"/>
      <c r="C11" s="6"/>
      <c r="D11" s="6"/>
      <c r="E11" s="43"/>
      <c r="F11" s="44"/>
      <c r="G11" s="22"/>
      <c r="H11" s="23"/>
      <c r="I11" s="47">
        <f>H11*19%</f>
        <v>0</v>
      </c>
      <c r="J11" s="47">
        <f>H11+I11</f>
        <v>0</v>
      </c>
      <c r="K11" s="58" t="str">
        <f>IF(B11="","",(H11*F11))</f>
        <v/>
      </c>
      <c r="L11" s="58" t="str">
        <f>IF(B11="","",(J11*F11))</f>
        <v/>
      </c>
      <c r="M11" s="24"/>
      <c r="N11" s="25"/>
      <c r="O11" s="26">
        <f>N11*19%</f>
        <v>0</v>
      </c>
      <c r="P11" s="26">
        <f>N11+O11</f>
        <v>0</v>
      </c>
      <c r="Q11" s="27" t="str">
        <f>IF(B11="","",(N11*F11))</f>
        <v/>
      </c>
      <c r="R11" s="27" t="str">
        <f>IF(B11="","",(P11*F11))</f>
        <v/>
      </c>
      <c r="S11" s="29"/>
      <c r="T11" s="30"/>
      <c r="U11" s="31">
        <f>T11*19%</f>
        <v>0</v>
      </c>
      <c r="V11" s="31">
        <f>T11+U11</f>
        <v>0</v>
      </c>
      <c r="W11" s="32" t="str">
        <f>IF(B11="","",(T11*F11))</f>
        <v/>
      </c>
      <c r="X11" s="32" t="str">
        <f>IF(B11="","",(V11*F11))</f>
        <v/>
      </c>
      <c r="Y11" s="24"/>
      <c r="Z11" s="24"/>
      <c r="AA11" s="25">
        <f>Z11*19%</f>
        <v>0</v>
      </c>
      <c r="AB11" s="26">
        <f>Z11+AA11</f>
        <v>0</v>
      </c>
      <c r="AC11" s="26" t="str">
        <f>IF(E11="","",(Z11*F11))</f>
        <v/>
      </c>
      <c r="AD11" s="27" t="str">
        <f>IF(E11="","",(AB11*F11))</f>
        <v/>
      </c>
      <c r="AE11" s="39" t="str">
        <f>IF(A11="","",ROUND(AVERAGE(J11,P11,V11),0))</f>
        <v/>
      </c>
      <c r="AF11" s="39" t="str">
        <f>IF(B11="","",ROUND(AVERAGE(L11,R11,X11),0))</f>
        <v/>
      </c>
      <c r="AG11" s="40" t="str">
        <f>IF(B11="","",ROUND(STDEV(L11,R11,X11),0))</f>
        <v/>
      </c>
      <c r="AH11" s="41" t="str">
        <f t="shared" ref="AH11:AH74" si="0">IF(B11="","",(AG11/AF11))</f>
        <v/>
      </c>
      <c r="AI11" s="39" t="str">
        <f>IF(B11="","",ROUND(GEOMEAN((J11,P11,V11)),0))</f>
        <v/>
      </c>
      <c r="AJ11" s="39" t="str">
        <f>IF(B11="","",ROUND(GEOMEAN((L11,R11,X11)),0))</f>
        <v/>
      </c>
      <c r="AK11" s="40" t="str">
        <f t="shared" ref="AK11:AK74" si="1">IF(B11="","",(AF11-AG11))</f>
        <v/>
      </c>
      <c r="AL11" s="40" t="str">
        <f t="shared" ref="AL11:AL74" si="2">IF(B11="","",(AF11+AG11))</f>
        <v/>
      </c>
      <c r="AM11" s="42" t="e">
        <f>ROUND(AVERAGE(L11,R11,X11),0)</f>
        <v>#DIV/0!</v>
      </c>
      <c r="AN11" s="42" t="e">
        <f t="shared" ref="AN11:AN74" si="3">AM11*F11</f>
        <v>#DIV/0!</v>
      </c>
      <c r="AO11" s="39" t="str">
        <f>IF(A11="","",ROUND(AVERAGE(J11,P11,V11,AB11),0))</f>
        <v/>
      </c>
      <c r="AP11" s="39" t="str">
        <f>IF(B11="","",ROUND(AVERAGE(L11,R11,X11,AD11),0))</f>
        <v/>
      </c>
      <c r="AQ11" s="40" t="str">
        <f>IF(B11="","",ROUND(STDEV(L11,R11,X11,AD11),0))</f>
        <v/>
      </c>
      <c r="AR11" s="41" t="str">
        <f>IF(B11="","",(AQ11/AP11))</f>
        <v/>
      </c>
      <c r="AS11" s="39" t="str">
        <f>IF(L11="","",ROUND(GEOMEAN((J11,P11,V11,AB11)),0))</f>
        <v/>
      </c>
      <c r="AT11" s="39" t="str">
        <f>IF(L11="","",ROUND(GEOMEAN((L11,R11,X11,AD11)),0))</f>
        <v/>
      </c>
      <c r="AU11" s="40" t="str">
        <f>IF(B11="","",(AP11-AQ11))</f>
        <v/>
      </c>
      <c r="AV11" s="40" t="str">
        <f>IF(B11="","",(AP11+AQ11))</f>
        <v/>
      </c>
      <c r="AW11" s="42">
        <f>ROUND(AVERAGE(L11,R11,X11,AB11),0)</f>
        <v>0</v>
      </c>
      <c r="AX11" s="42">
        <f t="shared" ref="AX11:AX74" si="4">AW11*F11</f>
        <v>0</v>
      </c>
      <c r="AY11" s="5"/>
      <c r="BC11" s="63"/>
      <c r="BD11" s="63"/>
      <c r="BE11" s="5"/>
      <c r="BF11" s="5"/>
      <c r="BG11" s="5"/>
      <c r="BH11" s="64"/>
      <c r="BI11" s="65"/>
      <c r="BJ11" s="66"/>
      <c r="BK11" s="66" t="str">
        <f>IF(BG11="Tabla",(BJ11*BD11*BH11*BI11)," ")</f>
        <v xml:space="preserve"> </v>
      </c>
      <c r="BL11" s="5"/>
      <c r="BM11" s="5"/>
      <c r="BN11" s="67" t="e">
        <f>IF(BG11="Tabla",BK11,(AVERAGE(BJ11,BL11,BM11)*BI11*BD11))</f>
        <v>#DIV/0!</v>
      </c>
      <c r="CN11" s="7">
        <v>1</v>
      </c>
    </row>
    <row r="12" spans="1:92" s="7" customFormat="1" x14ac:dyDescent="0.25">
      <c r="A12" s="6" t="str">
        <f t="shared" ref="A12:A75" si="5">IF(B12&lt;&gt;"",CN12,"")</f>
        <v/>
      </c>
      <c r="B12" s="43"/>
      <c r="C12" s="6"/>
      <c r="D12" s="6"/>
      <c r="E12" s="43"/>
      <c r="F12" s="44"/>
      <c r="G12" s="22"/>
      <c r="H12" s="23"/>
      <c r="I12" s="47">
        <f t="shared" ref="I12:I75" si="6">H12*19%</f>
        <v>0</v>
      </c>
      <c r="J12" s="47">
        <f t="shared" ref="J12:J75" si="7">H12+I12</f>
        <v>0</v>
      </c>
      <c r="K12" s="58" t="str">
        <f t="shared" ref="K12:K75" si="8">IF(B12="","",(H12*F12))</f>
        <v/>
      </c>
      <c r="L12" s="58" t="str">
        <f t="shared" ref="L12:L75" si="9">IF(B12="","",(J12*F12))</f>
        <v/>
      </c>
      <c r="M12" s="24"/>
      <c r="N12" s="25"/>
      <c r="O12" s="26">
        <f t="shared" ref="O12:O75" si="10">N12*19%</f>
        <v>0</v>
      </c>
      <c r="P12" s="26">
        <f t="shared" ref="P12:P75" si="11">N12+O12</f>
        <v>0</v>
      </c>
      <c r="Q12" s="27" t="str">
        <f t="shared" ref="Q12:Q75" si="12">IF(B12="","",(N12*F12))</f>
        <v/>
      </c>
      <c r="R12" s="27" t="str">
        <f t="shared" ref="R12:R75" si="13">IF(B12="","",(P12*F12))</f>
        <v/>
      </c>
      <c r="S12" s="29"/>
      <c r="T12" s="30"/>
      <c r="U12" s="31">
        <f t="shared" ref="U12:U75" si="14">T12*19%</f>
        <v>0</v>
      </c>
      <c r="V12" s="31">
        <f t="shared" ref="V12:V75" si="15">T12+U12</f>
        <v>0</v>
      </c>
      <c r="W12" s="32" t="str">
        <f t="shared" ref="W12:W75" si="16">IF(B12="","",(T12*F12))</f>
        <v/>
      </c>
      <c r="X12" s="32" t="str">
        <f t="shared" ref="X12:X75" si="17">IF(B12="","",(V12*F12))</f>
        <v/>
      </c>
      <c r="Y12" s="24"/>
      <c r="Z12" s="24"/>
      <c r="AA12" s="25">
        <f t="shared" ref="AA12:AA75" si="18">Z12*19%</f>
        <v>0</v>
      </c>
      <c r="AB12" s="26">
        <f t="shared" ref="AB12:AB75" si="19">Z12+AA12</f>
        <v>0</v>
      </c>
      <c r="AC12" s="26" t="str">
        <f t="shared" ref="AC12:AC75" si="20">IF(E12="","",(Z12*F12))</f>
        <v/>
      </c>
      <c r="AD12" s="27" t="str">
        <f t="shared" ref="AD12:AD75" si="21">IF(E12="","",(AB12*F12))</f>
        <v/>
      </c>
      <c r="AE12" s="39" t="str">
        <f t="shared" ref="AE12:AE75" si="22">IF(A12="","",ROUND(AVERAGE(J12,P12,V12),0))</f>
        <v/>
      </c>
      <c r="AF12" s="39" t="str">
        <f t="shared" ref="AF12:AF75" si="23">IF(B12="","",ROUND(AVERAGE(L12,R12,X12),0))</f>
        <v/>
      </c>
      <c r="AG12" s="40" t="str">
        <f t="shared" ref="AG12:AG75" si="24">IF(B12="","",ROUND(STDEV(L12,R12,X12),0))</f>
        <v/>
      </c>
      <c r="AH12" s="41" t="str">
        <f t="shared" si="0"/>
        <v/>
      </c>
      <c r="AI12" s="39" t="str">
        <f>IF(B12="","",ROUND(GEOMEAN((J12,P12,V12)),0))</f>
        <v/>
      </c>
      <c r="AJ12" s="39" t="str">
        <f>IF(B12="","",ROUND(GEOMEAN((L12,R12,X12)),0))</f>
        <v/>
      </c>
      <c r="AK12" s="40" t="str">
        <f t="shared" si="1"/>
        <v/>
      </c>
      <c r="AL12" s="40" t="str">
        <f t="shared" si="2"/>
        <v/>
      </c>
      <c r="AM12" s="42" t="e">
        <f t="shared" ref="AM12:AM75" si="25">ROUND(AVERAGE(L12,R12,X12),0)</f>
        <v>#DIV/0!</v>
      </c>
      <c r="AN12" s="42" t="e">
        <f t="shared" si="3"/>
        <v>#DIV/0!</v>
      </c>
      <c r="AO12" s="39" t="str">
        <f t="shared" ref="AO12:AO75" si="26">IF(A12="","",ROUND(AVERAGE(J12,P12,V12,AB12),0))</f>
        <v/>
      </c>
      <c r="AP12" s="39" t="str">
        <f t="shared" ref="AP12:AP75" si="27">IF(B12="","",ROUND(AVERAGE(L12,R12,X12,AD12),0))</f>
        <v/>
      </c>
      <c r="AQ12" s="40" t="str">
        <f t="shared" ref="AQ12:AQ75" si="28">IF(B12="","",ROUND(STDEV(L12,R12,X12,AD12),0))</f>
        <v/>
      </c>
      <c r="AR12" s="41" t="str">
        <f t="shared" ref="AR12:AR75" si="29">IF(B12="","",(AQ12/AP12))</f>
        <v/>
      </c>
      <c r="AS12" s="39" t="str">
        <f>IF(L12="","",ROUND(GEOMEAN((J12,P12,V12,AB12)),0))</f>
        <v/>
      </c>
      <c r="AT12" s="39" t="str">
        <f>IF(L12="","",ROUND(GEOMEAN((L12,R12,X12,AD12)),0))</f>
        <v/>
      </c>
      <c r="AU12" s="40" t="str">
        <f t="shared" ref="AU12:AU75" si="30">IF(B12="","",(AP12-AQ12))</f>
        <v/>
      </c>
      <c r="AV12" s="40" t="str">
        <f t="shared" ref="AV12:AV75" si="31">IF(B12="","",(AP12+AQ12))</f>
        <v/>
      </c>
      <c r="AW12" s="42">
        <f t="shared" ref="AW12:AW75" si="32">ROUND(AVERAGE(L12,R12,X12,AB12),0)</f>
        <v>0</v>
      </c>
      <c r="AX12" s="42">
        <f t="shared" si="4"/>
        <v>0</v>
      </c>
      <c r="AY12" s="5"/>
      <c r="BC12" s="63"/>
      <c r="BD12" s="63"/>
      <c r="BE12" s="5"/>
      <c r="BF12" s="5"/>
      <c r="BG12" s="5"/>
      <c r="BH12" s="64"/>
      <c r="BI12" s="65"/>
      <c r="BJ12" s="66"/>
      <c r="BK12" s="66" t="str">
        <f t="shared" ref="BK12:BK36" si="33">IF(BG12="Tabla",(BJ12*BD12*BH12*BI12)," ")</f>
        <v xml:space="preserve"> </v>
      </c>
      <c r="BL12" s="5"/>
      <c r="BM12" s="5"/>
      <c r="BN12" s="67" t="e">
        <f t="shared" ref="BN12:BN36" si="34">IF(BG12="Tabla",BK12,(AVERAGE(BJ12,BL12,BM12)*BI12*BD12))</f>
        <v>#DIV/0!</v>
      </c>
      <c r="CN12" s="7">
        <v>2</v>
      </c>
    </row>
    <row r="13" spans="1:92" s="7" customFormat="1" x14ac:dyDescent="0.25">
      <c r="A13" s="6" t="str">
        <f t="shared" si="5"/>
        <v/>
      </c>
      <c r="B13" s="43"/>
      <c r="C13" s="6"/>
      <c r="D13" s="6"/>
      <c r="E13" s="43"/>
      <c r="F13" s="44"/>
      <c r="G13" s="22"/>
      <c r="H13" s="23"/>
      <c r="I13" s="47">
        <f t="shared" si="6"/>
        <v>0</v>
      </c>
      <c r="J13" s="47">
        <f t="shared" si="7"/>
        <v>0</v>
      </c>
      <c r="K13" s="58" t="str">
        <f t="shared" si="8"/>
        <v/>
      </c>
      <c r="L13" s="58" t="str">
        <f t="shared" si="9"/>
        <v/>
      </c>
      <c r="M13" s="24"/>
      <c r="N13" s="25"/>
      <c r="O13" s="26">
        <f t="shared" si="10"/>
        <v>0</v>
      </c>
      <c r="P13" s="26">
        <f t="shared" si="11"/>
        <v>0</v>
      </c>
      <c r="Q13" s="27" t="str">
        <f t="shared" si="12"/>
        <v/>
      </c>
      <c r="R13" s="27" t="str">
        <f t="shared" si="13"/>
        <v/>
      </c>
      <c r="S13" s="29"/>
      <c r="T13" s="30"/>
      <c r="U13" s="31">
        <f t="shared" si="14"/>
        <v>0</v>
      </c>
      <c r="V13" s="31">
        <f t="shared" si="15"/>
        <v>0</v>
      </c>
      <c r="W13" s="32" t="str">
        <f t="shared" si="16"/>
        <v/>
      </c>
      <c r="X13" s="32" t="str">
        <f t="shared" si="17"/>
        <v/>
      </c>
      <c r="Y13" s="24"/>
      <c r="Z13" s="24"/>
      <c r="AA13" s="25">
        <f t="shared" si="18"/>
        <v>0</v>
      </c>
      <c r="AB13" s="26">
        <f t="shared" si="19"/>
        <v>0</v>
      </c>
      <c r="AC13" s="26" t="str">
        <f t="shared" si="20"/>
        <v/>
      </c>
      <c r="AD13" s="27" t="str">
        <f t="shared" si="21"/>
        <v/>
      </c>
      <c r="AE13" s="39" t="str">
        <f t="shared" si="22"/>
        <v/>
      </c>
      <c r="AF13" s="39" t="str">
        <f t="shared" si="23"/>
        <v/>
      </c>
      <c r="AG13" s="40" t="str">
        <f t="shared" si="24"/>
        <v/>
      </c>
      <c r="AH13" s="41" t="str">
        <f t="shared" si="0"/>
        <v/>
      </c>
      <c r="AI13" s="39" t="str">
        <f>IF(B13="","",ROUND(GEOMEAN((J13,P13,V13)),0))</f>
        <v/>
      </c>
      <c r="AJ13" s="39" t="str">
        <f>IF(B13="","",ROUND(GEOMEAN((L13,R13,X13)),0))</f>
        <v/>
      </c>
      <c r="AK13" s="40" t="str">
        <f t="shared" si="1"/>
        <v/>
      </c>
      <c r="AL13" s="40" t="str">
        <f t="shared" si="2"/>
        <v/>
      </c>
      <c r="AM13" s="42" t="e">
        <f t="shared" si="25"/>
        <v>#DIV/0!</v>
      </c>
      <c r="AN13" s="42" t="e">
        <f t="shared" si="3"/>
        <v>#DIV/0!</v>
      </c>
      <c r="AO13" s="39" t="str">
        <f t="shared" si="26"/>
        <v/>
      </c>
      <c r="AP13" s="39" t="str">
        <f t="shared" si="27"/>
        <v/>
      </c>
      <c r="AQ13" s="40" t="str">
        <f t="shared" si="28"/>
        <v/>
      </c>
      <c r="AR13" s="41" t="str">
        <f t="shared" si="29"/>
        <v/>
      </c>
      <c r="AS13" s="39" t="str">
        <f>IF(L13="","",ROUND(GEOMEAN((J13,P13,V13,AB13)),0))</f>
        <v/>
      </c>
      <c r="AT13" s="39" t="str">
        <f>IF(L13="","",ROUND(GEOMEAN((L13,R13,X13,AD13)),0))</f>
        <v/>
      </c>
      <c r="AU13" s="40" t="str">
        <f t="shared" si="30"/>
        <v/>
      </c>
      <c r="AV13" s="40" t="str">
        <f t="shared" si="31"/>
        <v/>
      </c>
      <c r="AW13" s="42">
        <f t="shared" si="32"/>
        <v>0</v>
      </c>
      <c r="AX13" s="42">
        <f t="shared" si="4"/>
        <v>0</v>
      </c>
      <c r="AY13" s="5"/>
      <c r="BC13" s="63"/>
      <c r="BD13" s="63"/>
      <c r="BE13" s="5"/>
      <c r="BF13" s="5"/>
      <c r="BG13" s="5"/>
      <c r="BH13" s="64"/>
      <c r="BI13" s="65"/>
      <c r="BJ13" s="66"/>
      <c r="BK13" s="66" t="str">
        <f t="shared" si="33"/>
        <v xml:space="preserve"> </v>
      </c>
      <c r="BL13" s="5"/>
      <c r="BM13" s="5"/>
      <c r="BN13" s="67" t="e">
        <f t="shared" si="34"/>
        <v>#DIV/0!</v>
      </c>
      <c r="CN13" s="7">
        <v>3</v>
      </c>
    </row>
    <row r="14" spans="1:92" s="7" customFormat="1" x14ac:dyDescent="0.25">
      <c r="A14" s="6" t="str">
        <f t="shared" si="5"/>
        <v/>
      </c>
      <c r="B14" s="43"/>
      <c r="C14" s="6"/>
      <c r="D14" s="6"/>
      <c r="E14" s="43"/>
      <c r="F14" s="44"/>
      <c r="G14" s="22"/>
      <c r="H14" s="23"/>
      <c r="I14" s="47">
        <f t="shared" si="6"/>
        <v>0</v>
      </c>
      <c r="J14" s="47">
        <f t="shared" si="7"/>
        <v>0</v>
      </c>
      <c r="K14" s="58" t="str">
        <f t="shared" si="8"/>
        <v/>
      </c>
      <c r="L14" s="58" t="str">
        <f t="shared" si="9"/>
        <v/>
      </c>
      <c r="M14" s="24"/>
      <c r="N14" s="25"/>
      <c r="O14" s="26">
        <f t="shared" si="10"/>
        <v>0</v>
      </c>
      <c r="P14" s="26">
        <f t="shared" si="11"/>
        <v>0</v>
      </c>
      <c r="Q14" s="27" t="str">
        <f t="shared" si="12"/>
        <v/>
      </c>
      <c r="R14" s="27" t="str">
        <f t="shared" si="13"/>
        <v/>
      </c>
      <c r="S14" s="29"/>
      <c r="T14" s="30"/>
      <c r="U14" s="31">
        <f t="shared" si="14"/>
        <v>0</v>
      </c>
      <c r="V14" s="31">
        <f t="shared" si="15"/>
        <v>0</v>
      </c>
      <c r="W14" s="32" t="str">
        <f t="shared" si="16"/>
        <v/>
      </c>
      <c r="X14" s="32" t="str">
        <f t="shared" si="17"/>
        <v/>
      </c>
      <c r="Y14" s="24"/>
      <c r="Z14" s="24"/>
      <c r="AA14" s="25">
        <f t="shared" si="18"/>
        <v>0</v>
      </c>
      <c r="AB14" s="26">
        <f t="shared" si="19"/>
        <v>0</v>
      </c>
      <c r="AC14" s="26" t="str">
        <f t="shared" si="20"/>
        <v/>
      </c>
      <c r="AD14" s="27" t="str">
        <f t="shared" si="21"/>
        <v/>
      </c>
      <c r="AE14" s="39" t="str">
        <f t="shared" si="22"/>
        <v/>
      </c>
      <c r="AF14" s="39" t="str">
        <f t="shared" si="23"/>
        <v/>
      </c>
      <c r="AG14" s="40" t="str">
        <f t="shared" si="24"/>
        <v/>
      </c>
      <c r="AH14" s="41" t="str">
        <f t="shared" si="0"/>
        <v/>
      </c>
      <c r="AI14" s="39" t="str">
        <f>IF(B14="","",ROUND(GEOMEAN((J14,P14,V14)),0))</f>
        <v/>
      </c>
      <c r="AJ14" s="39" t="str">
        <f>IF(B14="","",ROUND(GEOMEAN((L14,R14,X14)),0))</f>
        <v/>
      </c>
      <c r="AK14" s="40" t="str">
        <f t="shared" si="1"/>
        <v/>
      </c>
      <c r="AL14" s="40" t="str">
        <f t="shared" si="2"/>
        <v/>
      </c>
      <c r="AM14" s="42" t="e">
        <f t="shared" si="25"/>
        <v>#DIV/0!</v>
      </c>
      <c r="AN14" s="42" t="e">
        <f t="shared" si="3"/>
        <v>#DIV/0!</v>
      </c>
      <c r="AO14" s="39" t="str">
        <f t="shared" si="26"/>
        <v/>
      </c>
      <c r="AP14" s="39" t="str">
        <f t="shared" si="27"/>
        <v/>
      </c>
      <c r="AQ14" s="40" t="str">
        <f t="shared" si="28"/>
        <v/>
      </c>
      <c r="AR14" s="41" t="str">
        <f t="shared" si="29"/>
        <v/>
      </c>
      <c r="AS14" s="39" t="str">
        <f>IF(L14="","",ROUND(GEOMEAN((J14,P14,V14,AB14)),0))</f>
        <v/>
      </c>
      <c r="AT14" s="39" t="str">
        <f>IF(L14="","",ROUND(GEOMEAN((L14,R14,X14,AD14)),0))</f>
        <v/>
      </c>
      <c r="AU14" s="40" t="str">
        <f t="shared" si="30"/>
        <v/>
      </c>
      <c r="AV14" s="40" t="str">
        <f t="shared" si="31"/>
        <v/>
      </c>
      <c r="AW14" s="42">
        <f t="shared" si="32"/>
        <v>0</v>
      </c>
      <c r="AX14" s="42">
        <f t="shared" si="4"/>
        <v>0</v>
      </c>
      <c r="AY14" s="5"/>
      <c r="BC14" s="63"/>
      <c r="BD14" s="63"/>
      <c r="BE14" s="5"/>
      <c r="BF14" s="5"/>
      <c r="BG14" s="5"/>
      <c r="BH14" s="64"/>
      <c r="BI14" s="65"/>
      <c r="BJ14" s="66"/>
      <c r="BK14" s="66" t="str">
        <f t="shared" si="33"/>
        <v xml:space="preserve"> </v>
      </c>
      <c r="BL14" s="5"/>
      <c r="BM14" s="5"/>
      <c r="BN14" s="67" t="e">
        <f t="shared" si="34"/>
        <v>#DIV/0!</v>
      </c>
      <c r="CN14" s="7">
        <v>4</v>
      </c>
    </row>
    <row r="15" spans="1:92" s="7" customFormat="1" x14ac:dyDescent="0.25">
      <c r="A15" s="6" t="str">
        <f t="shared" si="5"/>
        <v/>
      </c>
      <c r="B15" s="43"/>
      <c r="C15" s="6"/>
      <c r="D15" s="6"/>
      <c r="E15" s="43"/>
      <c r="F15" s="44"/>
      <c r="G15" s="22"/>
      <c r="H15" s="23"/>
      <c r="I15" s="47">
        <f t="shared" si="6"/>
        <v>0</v>
      </c>
      <c r="J15" s="47">
        <f t="shared" si="7"/>
        <v>0</v>
      </c>
      <c r="K15" s="58" t="str">
        <f t="shared" si="8"/>
        <v/>
      </c>
      <c r="L15" s="58" t="str">
        <f t="shared" si="9"/>
        <v/>
      </c>
      <c r="M15" s="24"/>
      <c r="N15" s="25"/>
      <c r="O15" s="26">
        <f t="shared" si="10"/>
        <v>0</v>
      </c>
      <c r="P15" s="26">
        <f t="shared" si="11"/>
        <v>0</v>
      </c>
      <c r="Q15" s="27" t="str">
        <f t="shared" si="12"/>
        <v/>
      </c>
      <c r="R15" s="27" t="str">
        <f t="shared" si="13"/>
        <v/>
      </c>
      <c r="S15" s="29"/>
      <c r="T15" s="30"/>
      <c r="U15" s="31">
        <f t="shared" si="14"/>
        <v>0</v>
      </c>
      <c r="V15" s="31">
        <f t="shared" si="15"/>
        <v>0</v>
      </c>
      <c r="W15" s="32" t="str">
        <f t="shared" si="16"/>
        <v/>
      </c>
      <c r="X15" s="32" t="str">
        <f t="shared" si="17"/>
        <v/>
      </c>
      <c r="Y15" s="24"/>
      <c r="Z15" s="24"/>
      <c r="AA15" s="25">
        <f t="shared" si="18"/>
        <v>0</v>
      </c>
      <c r="AB15" s="26">
        <f t="shared" si="19"/>
        <v>0</v>
      </c>
      <c r="AC15" s="26" t="str">
        <f t="shared" si="20"/>
        <v/>
      </c>
      <c r="AD15" s="27" t="str">
        <f t="shared" si="21"/>
        <v/>
      </c>
      <c r="AE15" s="39" t="str">
        <f t="shared" si="22"/>
        <v/>
      </c>
      <c r="AF15" s="39" t="str">
        <f t="shared" si="23"/>
        <v/>
      </c>
      <c r="AG15" s="40" t="str">
        <f t="shared" si="24"/>
        <v/>
      </c>
      <c r="AH15" s="41" t="str">
        <f t="shared" si="0"/>
        <v/>
      </c>
      <c r="AI15" s="39" t="str">
        <f>IF(B15="","",ROUND(GEOMEAN((J15,P15,V15)),0))</f>
        <v/>
      </c>
      <c r="AJ15" s="39" t="str">
        <f>IF(B15="","",ROUND(GEOMEAN((L15,R15,X15)),0))</f>
        <v/>
      </c>
      <c r="AK15" s="40" t="str">
        <f t="shared" si="1"/>
        <v/>
      </c>
      <c r="AL15" s="40" t="str">
        <f t="shared" si="2"/>
        <v/>
      </c>
      <c r="AM15" s="42" t="e">
        <f t="shared" si="25"/>
        <v>#DIV/0!</v>
      </c>
      <c r="AN15" s="42" t="e">
        <f t="shared" si="3"/>
        <v>#DIV/0!</v>
      </c>
      <c r="AO15" s="39" t="str">
        <f t="shared" si="26"/>
        <v/>
      </c>
      <c r="AP15" s="39" t="str">
        <f t="shared" si="27"/>
        <v/>
      </c>
      <c r="AQ15" s="40" t="str">
        <f t="shared" si="28"/>
        <v/>
      </c>
      <c r="AR15" s="41" t="str">
        <f t="shared" si="29"/>
        <v/>
      </c>
      <c r="AS15" s="39" t="str">
        <f>IF(L15="","",ROUND(GEOMEAN((J15,P15,V15,AB15)),0))</f>
        <v/>
      </c>
      <c r="AT15" s="39" t="str">
        <f>IF(L15="","",ROUND(GEOMEAN((L15,R15,X15,AD15)),0))</f>
        <v/>
      </c>
      <c r="AU15" s="40" t="str">
        <f t="shared" si="30"/>
        <v/>
      </c>
      <c r="AV15" s="40" t="str">
        <f t="shared" si="31"/>
        <v/>
      </c>
      <c r="AW15" s="42">
        <f t="shared" si="32"/>
        <v>0</v>
      </c>
      <c r="AX15" s="42">
        <f t="shared" si="4"/>
        <v>0</v>
      </c>
      <c r="AY15" s="5"/>
      <c r="BC15" s="63"/>
      <c r="BD15" s="63"/>
      <c r="BE15" s="5"/>
      <c r="BF15" s="5"/>
      <c r="BG15" s="5"/>
      <c r="BH15" s="64"/>
      <c r="BI15" s="65"/>
      <c r="BJ15" s="66"/>
      <c r="BK15" s="66" t="str">
        <f t="shared" si="33"/>
        <v xml:space="preserve"> </v>
      </c>
      <c r="BL15" s="5"/>
      <c r="BM15" s="5"/>
      <c r="BN15" s="67" t="e">
        <f t="shared" si="34"/>
        <v>#DIV/0!</v>
      </c>
      <c r="CN15" s="7">
        <v>5</v>
      </c>
    </row>
    <row r="16" spans="1:92" s="7" customFormat="1" x14ac:dyDescent="0.25">
      <c r="A16" s="6" t="str">
        <f t="shared" si="5"/>
        <v/>
      </c>
      <c r="B16" s="43"/>
      <c r="C16" s="6"/>
      <c r="D16" s="6"/>
      <c r="E16" s="43"/>
      <c r="F16" s="44"/>
      <c r="G16" s="22"/>
      <c r="H16" s="23"/>
      <c r="I16" s="47">
        <f t="shared" si="6"/>
        <v>0</v>
      </c>
      <c r="J16" s="47">
        <f t="shared" si="7"/>
        <v>0</v>
      </c>
      <c r="K16" s="58" t="str">
        <f t="shared" si="8"/>
        <v/>
      </c>
      <c r="L16" s="58" t="str">
        <f t="shared" si="9"/>
        <v/>
      </c>
      <c r="M16" s="24"/>
      <c r="N16" s="25"/>
      <c r="O16" s="26">
        <f t="shared" si="10"/>
        <v>0</v>
      </c>
      <c r="P16" s="26">
        <f t="shared" si="11"/>
        <v>0</v>
      </c>
      <c r="Q16" s="27" t="str">
        <f t="shared" si="12"/>
        <v/>
      </c>
      <c r="R16" s="27" t="str">
        <f t="shared" si="13"/>
        <v/>
      </c>
      <c r="S16" s="29"/>
      <c r="T16" s="30"/>
      <c r="U16" s="31">
        <f t="shared" si="14"/>
        <v>0</v>
      </c>
      <c r="V16" s="31">
        <f t="shared" si="15"/>
        <v>0</v>
      </c>
      <c r="W16" s="32" t="str">
        <f t="shared" si="16"/>
        <v/>
      </c>
      <c r="X16" s="32" t="str">
        <f t="shared" si="17"/>
        <v/>
      </c>
      <c r="Y16" s="24"/>
      <c r="Z16" s="24"/>
      <c r="AA16" s="25">
        <f t="shared" si="18"/>
        <v>0</v>
      </c>
      <c r="AB16" s="26">
        <f t="shared" si="19"/>
        <v>0</v>
      </c>
      <c r="AC16" s="26" t="str">
        <f t="shared" si="20"/>
        <v/>
      </c>
      <c r="AD16" s="27" t="str">
        <f t="shared" si="21"/>
        <v/>
      </c>
      <c r="AE16" s="39" t="str">
        <f t="shared" si="22"/>
        <v/>
      </c>
      <c r="AF16" s="39" t="str">
        <f t="shared" si="23"/>
        <v/>
      </c>
      <c r="AG16" s="40" t="str">
        <f t="shared" si="24"/>
        <v/>
      </c>
      <c r="AH16" s="41" t="str">
        <f t="shared" si="0"/>
        <v/>
      </c>
      <c r="AI16" s="39" t="str">
        <f>IF(B16="","",ROUND(GEOMEAN((J16,P16,V16)),0))</f>
        <v/>
      </c>
      <c r="AJ16" s="39" t="str">
        <f>IF(B16="","",ROUND(GEOMEAN((L16,R16,X16)),0))</f>
        <v/>
      </c>
      <c r="AK16" s="40" t="str">
        <f t="shared" si="1"/>
        <v/>
      </c>
      <c r="AL16" s="40" t="str">
        <f t="shared" si="2"/>
        <v/>
      </c>
      <c r="AM16" s="42" t="e">
        <f t="shared" si="25"/>
        <v>#DIV/0!</v>
      </c>
      <c r="AN16" s="42" t="e">
        <f t="shared" si="3"/>
        <v>#DIV/0!</v>
      </c>
      <c r="AO16" s="39" t="str">
        <f t="shared" si="26"/>
        <v/>
      </c>
      <c r="AP16" s="39" t="str">
        <f t="shared" si="27"/>
        <v/>
      </c>
      <c r="AQ16" s="40" t="str">
        <f t="shared" si="28"/>
        <v/>
      </c>
      <c r="AR16" s="41" t="str">
        <f t="shared" si="29"/>
        <v/>
      </c>
      <c r="AS16" s="39" t="str">
        <f>IF(L16="","",ROUND(GEOMEAN((J16,P16,V16,AB16)),0))</f>
        <v/>
      </c>
      <c r="AT16" s="39" t="str">
        <f>IF(L16="","",ROUND(GEOMEAN((L16,R16,X16,AD16)),0))</f>
        <v/>
      </c>
      <c r="AU16" s="40" t="str">
        <f t="shared" si="30"/>
        <v/>
      </c>
      <c r="AV16" s="40" t="str">
        <f t="shared" si="31"/>
        <v/>
      </c>
      <c r="AW16" s="42">
        <f t="shared" si="32"/>
        <v>0</v>
      </c>
      <c r="AX16" s="42">
        <f t="shared" si="4"/>
        <v>0</v>
      </c>
      <c r="AY16" s="5"/>
      <c r="BC16" s="63"/>
      <c r="BD16" s="63"/>
      <c r="BE16" s="5"/>
      <c r="BF16" s="5"/>
      <c r="BG16" s="5"/>
      <c r="BH16" s="64"/>
      <c r="BI16" s="65"/>
      <c r="BJ16" s="66"/>
      <c r="BK16" s="66" t="str">
        <f t="shared" si="33"/>
        <v xml:space="preserve"> </v>
      </c>
      <c r="BL16" s="5"/>
      <c r="BM16" s="5"/>
      <c r="BN16" s="67" t="e">
        <f t="shared" si="34"/>
        <v>#DIV/0!</v>
      </c>
      <c r="CN16" s="7">
        <v>6</v>
      </c>
    </row>
    <row r="17" spans="1:92" s="7" customFormat="1" x14ac:dyDescent="0.25">
      <c r="A17" s="6" t="str">
        <f t="shared" si="5"/>
        <v/>
      </c>
      <c r="B17" s="43"/>
      <c r="C17" s="6"/>
      <c r="D17" s="6"/>
      <c r="E17" s="43"/>
      <c r="F17" s="44"/>
      <c r="G17" s="22"/>
      <c r="H17" s="23"/>
      <c r="I17" s="47">
        <f t="shared" si="6"/>
        <v>0</v>
      </c>
      <c r="J17" s="47">
        <f t="shared" si="7"/>
        <v>0</v>
      </c>
      <c r="K17" s="58" t="str">
        <f t="shared" si="8"/>
        <v/>
      </c>
      <c r="L17" s="58" t="str">
        <f t="shared" si="9"/>
        <v/>
      </c>
      <c r="M17" s="24"/>
      <c r="N17" s="25"/>
      <c r="O17" s="26">
        <f t="shared" si="10"/>
        <v>0</v>
      </c>
      <c r="P17" s="26">
        <f t="shared" si="11"/>
        <v>0</v>
      </c>
      <c r="Q17" s="27" t="str">
        <f t="shared" si="12"/>
        <v/>
      </c>
      <c r="R17" s="27" t="str">
        <f t="shared" si="13"/>
        <v/>
      </c>
      <c r="S17" s="29"/>
      <c r="T17" s="30"/>
      <c r="U17" s="31">
        <f t="shared" si="14"/>
        <v>0</v>
      </c>
      <c r="V17" s="31">
        <f t="shared" si="15"/>
        <v>0</v>
      </c>
      <c r="W17" s="32" t="str">
        <f t="shared" si="16"/>
        <v/>
      </c>
      <c r="X17" s="32" t="str">
        <f t="shared" si="17"/>
        <v/>
      </c>
      <c r="Y17" s="24"/>
      <c r="Z17" s="24"/>
      <c r="AA17" s="25">
        <f t="shared" si="18"/>
        <v>0</v>
      </c>
      <c r="AB17" s="26">
        <f t="shared" si="19"/>
        <v>0</v>
      </c>
      <c r="AC17" s="26" t="str">
        <f t="shared" si="20"/>
        <v/>
      </c>
      <c r="AD17" s="27" t="str">
        <f t="shared" si="21"/>
        <v/>
      </c>
      <c r="AE17" s="39" t="str">
        <f t="shared" si="22"/>
        <v/>
      </c>
      <c r="AF17" s="39" t="str">
        <f t="shared" si="23"/>
        <v/>
      </c>
      <c r="AG17" s="40" t="str">
        <f t="shared" si="24"/>
        <v/>
      </c>
      <c r="AH17" s="41" t="str">
        <f t="shared" si="0"/>
        <v/>
      </c>
      <c r="AI17" s="39" t="str">
        <f>IF(B17="","",ROUND(GEOMEAN((J17,P17,V17)),0))</f>
        <v/>
      </c>
      <c r="AJ17" s="39" t="str">
        <f>IF(B17="","",ROUND(GEOMEAN((L17,R17,X17)),0))</f>
        <v/>
      </c>
      <c r="AK17" s="40" t="str">
        <f t="shared" si="1"/>
        <v/>
      </c>
      <c r="AL17" s="40" t="str">
        <f t="shared" si="2"/>
        <v/>
      </c>
      <c r="AM17" s="42" t="e">
        <f t="shared" si="25"/>
        <v>#DIV/0!</v>
      </c>
      <c r="AN17" s="42" t="e">
        <f t="shared" si="3"/>
        <v>#DIV/0!</v>
      </c>
      <c r="AO17" s="39" t="str">
        <f t="shared" si="26"/>
        <v/>
      </c>
      <c r="AP17" s="39" t="str">
        <f t="shared" si="27"/>
        <v/>
      </c>
      <c r="AQ17" s="40" t="str">
        <f t="shared" si="28"/>
        <v/>
      </c>
      <c r="AR17" s="41" t="str">
        <f t="shared" si="29"/>
        <v/>
      </c>
      <c r="AS17" s="39" t="str">
        <f>IF(L17="","",ROUND(GEOMEAN((J17,P17,V17,AB17)),0))</f>
        <v/>
      </c>
      <c r="AT17" s="39" t="str">
        <f>IF(L17="","",ROUND(GEOMEAN((L17,R17,X17,AD17)),0))</f>
        <v/>
      </c>
      <c r="AU17" s="40" t="str">
        <f t="shared" si="30"/>
        <v/>
      </c>
      <c r="AV17" s="40" t="str">
        <f t="shared" si="31"/>
        <v/>
      </c>
      <c r="AW17" s="42">
        <f t="shared" si="32"/>
        <v>0</v>
      </c>
      <c r="AX17" s="42">
        <f t="shared" si="4"/>
        <v>0</v>
      </c>
      <c r="AY17" s="5"/>
      <c r="BC17" s="63"/>
      <c r="BD17" s="63"/>
      <c r="BE17" s="5"/>
      <c r="BF17" s="5"/>
      <c r="BG17" s="5"/>
      <c r="BH17" s="64"/>
      <c r="BI17" s="65"/>
      <c r="BJ17" s="66"/>
      <c r="BK17" s="66" t="str">
        <f t="shared" si="33"/>
        <v xml:space="preserve"> </v>
      </c>
      <c r="BL17" s="5"/>
      <c r="BM17" s="5"/>
      <c r="BN17" s="67" t="e">
        <f t="shared" si="34"/>
        <v>#DIV/0!</v>
      </c>
      <c r="CN17" s="7">
        <v>7</v>
      </c>
    </row>
    <row r="18" spans="1:92" s="7" customFormat="1" x14ac:dyDescent="0.25">
      <c r="A18" s="6" t="str">
        <f t="shared" si="5"/>
        <v/>
      </c>
      <c r="B18" s="43"/>
      <c r="C18" s="6"/>
      <c r="D18" s="6"/>
      <c r="E18" s="43"/>
      <c r="F18" s="44"/>
      <c r="G18" s="22"/>
      <c r="H18" s="23"/>
      <c r="I18" s="47">
        <f t="shared" si="6"/>
        <v>0</v>
      </c>
      <c r="J18" s="47">
        <f t="shared" si="7"/>
        <v>0</v>
      </c>
      <c r="K18" s="58" t="str">
        <f t="shared" si="8"/>
        <v/>
      </c>
      <c r="L18" s="58" t="str">
        <f t="shared" si="9"/>
        <v/>
      </c>
      <c r="M18" s="24"/>
      <c r="N18" s="25"/>
      <c r="O18" s="26">
        <f t="shared" si="10"/>
        <v>0</v>
      </c>
      <c r="P18" s="26">
        <f t="shared" si="11"/>
        <v>0</v>
      </c>
      <c r="Q18" s="27" t="str">
        <f t="shared" si="12"/>
        <v/>
      </c>
      <c r="R18" s="27" t="str">
        <f t="shared" si="13"/>
        <v/>
      </c>
      <c r="S18" s="29"/>
      <c r="T18" s="30"/>
      <c r="U18" s="31">
        <f t="shared" si="14"/>
        <v>0</v>
      </c>
      <c r="V18" s="31">
        <f t="shared" si="15"/>
        <v>0</v>
      </c>
      <c r="W18" s="32" t="str">
        <f t="shared" si="16"/>
        <v/>
      </c>
      <c r="X18" s="32" t="str">
        <f t="shared" si="17"/>
        <v/>
      </c>
      <c r="Y18" s="24"/>
      <c r="Z18" s="24"/>
      <c r="AA18" s="25">
        <f t="shared" si="18"/>
        <v>0</v>
      </c>
      <c r="AB18" s="26">
        <f t="shared" si="19"/>
        <v>0</v>
      </c>
      <c r="AC18" s="26" t="str">
        <f t="shared" si="20"/>
        <v/>
      </c>
      <c r="AD18" s="27" t="str">
        <f t="shared" si="21"/>
        <v/>
      </c>
      <c r="AE18" s="39" t="str">
        <f t="shared" si="22"/>
        <v/>
      </c>
      <c r="AF18" s="39" t="str">
        <f t="shared" si="23"/>
        <v/>
      </c>
      <c r="AG18" s="40" t="str">
        <f t="shared" si="24"/>
        <v/>
      </c>
      <c r="AH18" s="41" t="str">
        <f t="shared" si="0"/>
        <v/>
      </c>
      <c r="AI18" s="39" t="str">
        <f>IF(B18="","",ROUND(GEOMEAN((J18,P18,V18)),0))</f>
        <v/>
      </c>
      <c r="AJ18" s="39" t="str">
        <f>IF(B18="","",ROUND(GEOMEAN((L18,R18,X18)),0))</f>
        <v/>
      </c>
      <c r="AK18" s="40" t="str">
        <f t="shared" si="1"/>
        <v/>
      </c>
      <c r="AL18" s="40" t="str">
        <f t="shared" si="2"/>
        <v/>
      </c>
      <c r="AM18" s="42" t="e">
        <f t="shared" si="25"/>
        <v>#DIV/0!</v>
      </c>
      <c r="AN18" s="42" t="e">
        <f t="shared" si="3"/>
        <v>#DIV/0!</v>
      </c>
      <c r="AO18" s="39" t="str">
        <f t="shared" si="26"/>
        <v/>
      </c>
      <c r="AP18" s="39" t="str">
        <f t="shared" si="27"/>
        <v/>
      </c>
      <c r="AQ18" s="40" t="str">
        <f t="shared" si="28"/>
        <v/>
      </c>
      <c r="AR18" s="41" t="str">
        <f t="shared" si="29"/>
        <v/>
      </c>
      <c r="AS18" s="39" t="str">
        <f>IF(L18="","",ROUND(GEOMEAN((J18,P18,V18,AB18)),0))</f>
        <v/>
      </c>
      <c r="AT18" s="39" t="str">
        <f>IF(L18="","",ROUND(GEOMEAN((L18,R18,X18,AD18)),0))</f>
        <v/>
      </c>
      <c r="AU18" s="40" t="str">
        <f t="shared" si="30"/>
        <v/>
      </c>
      <c r="AV18" s="40" t="str">
        <f t="shared" si="31"/>
        <v/>
      </c>
      <c r="AW18" s="42">
        <f t="shared" si="32"/>
        <v>0</v>
      </c>
      <c r="AX18" s="42">
        <f t="shared" si="4"/>
        <v>0</v>
      </c>
      <c r="AY18" s="5"/>
      <c r="BC18" s="63"/>
      <c r="BD18" s="63"/>
      <c r="BE18" s="63"/>
      <c r="BF18" s="63"/>
      <c r="BG18" s="63"/>
      <c r="BH18" s="63"/>
      <c r="BI18" s="63"/>
      <c r="BJ18" s="66"/>
      <c r="BK18" s="66" t="str">
        <f t="shared" si="33"/>
        <v xml:space="preserve"> </v>
      </c>
      <c r="BL18" s="63"/>
      <c r="BM18" s="63"/>
      <c r="BN18" s="67" t="e">
        <f t="shared" si="34"/>
        <v>#DIV/0!</v>
      </c>
      <c r="CN18" s="7">
        <v>8</v>
      </c>
    </row>
    <row r="19" spans="1:92" s="7" customFormat="1" x14ac:dyDescent="0.25">
      <c r="A19" s="6" t="str">
        <f>IF(B19&lt;&gt;"",CN19,"")</f>
        <v/>
      </c>
      <c r="B19" s="43"/>
      <c r="C19" s="6"/>
      <c r="D19" s="6"/>
      <c r="E19" s="43"/>
      <c r="F19" s="44"/>
      <c r="G19" s="22"/>
      <c r="H19" s="23"/>
      <c r="I19" s="47">
        <f t="shared" si="6"/>
        <v>0</v>
      </c>
      <c r="J19" s="47">
        <f t="shared" si="7"/>
        <v>0</v>
      </c>
      <c r="K19" s="58" t="str">
        <f t="shared" si="8"/>
        <v/>
      </c>
      <c r="L19" s="58" t="str">
        <f t="shared" si="9"/>
        <v/>
      </c>
      <c r="M19" s="24"/>
      <c r="N19" s="25"/>
      <c r="O19" s="26">
        <f t="shared" si="10"/>
        <v>0</v>
      </c>
      <c r="P19" s="26">
        <f t="shared" si="11"/>
        <v>0</v>
      </c>
      <c r="Q19" s="27" t="str">
        <f t="shared" si="12"/>
        <v/>
      </c>
      <c r="R19" s="27" t="str">
        <f t="shared" si="13"/>
        <v/>
      </c>
      <c r="S19" s="29"/>
      <c r="T19" s="30"/>
      <c r="U19" s="31">
        <f t="shared" si="14"/>
        <v>0</v>
      </c>
      <c r="V19" s="31">
        <f t="shared" si="15"/>
        <v>0</v>
      </c>
      <c r="W19" s="32" t="str">
        <f t="shared" si="16"/>
        <v/>
      </c>
      <c r="X19" s="32" t="str">
        <f t="shared" si="17"/>
        <v/>
      </c>
      <c r="Y19" s="24"/>
      <c r="Z19" s="24"/>
      <c r="AA19" s="25">
        <f t="shared" si="18"/>
        <v>0</v>
      </c>
      <c r="AB19" s="26">
        <f t="shared" si="19"/>
        <v>0</v>
      </c>
      <c r="AC19" s="26" t="str">
        <f t="shared" si="20"/>
        <v/>
      </c>
      <c r="AD19" s="27" t="str">
        <f t="shared" si="21"/>
        <v/>
      </c>
      <c r="AE19" s="39" t="str">
        <f t="shared" si="22"/>
        <v/>
      </c>
      <c r="AF19" s="39" t="str">
        <f t="shared" si="23"/>
        <v/>
      </c>
      <c r="AG19" s="40" t="str">
        <f t="shared" si="24"/>
        <v/>
      </c>
      <c r="AH19" s="41" t="str">
        <f t="shared" si="0"/>
        <v/>
      </c>
      <c r="AI19" s="39" t="str">
        <f>IF(B19="","",ROUND(GEOMEAN((J19,P19,V19)),0))</f>
        <v/>
      </c>
      <c r="AJ19" s="39" t="str">
        <f>IF(B19="","",ROUND(GEOMEAN((L19,R19,X19)),0))</f>
        <v/>
      </c>
      <c r="AK19" s="40" t="str">
        <f t="shared" si="1"/>
        <v/>
      </c>
      <c r="AL19" s="40" t="str">
        <f t="shared" si="2"/>
        <v/>
      </c>
      <c r="AM19" s="42" t="e">
        <f t="shared" si="25"/>
        <v>#DIV/0!</v>
      </c>
      <c r="AN19" s="42" t="e">
        <f t="shared" si="3"/>
        <v>#DIV/0!</v>
      </c>
      <c r="AO19" s="39" t="str">
        <f t="shared" si="26"/>
        <v/>
      </c>
      <c r="AP19" s="39" t="str">
        <f t="shared" si="27"/>
        <v/>
      </c>
      <c r="AQ19" s="40" t="str">
        <f t="shared" si="28"/>
        <v/>
      </c>
      <c r="AR19" s="41" t="str">
        <f t="shared" si="29"/>
        <v/>
      </c>
      <c r="AS19" s="39" t="str">
        <f>IF(L19="","",ROUND(GEOMEAN((J19,P19,V19,AB19)),0))</f>
        <v/>
      </c>
      <c r="AT19" s="39" t="str">
        <f>IF(L19="","",ROUND(GEOMEAN((L19,R19,X19,AD19)),0))</f>
        <v/>
      </c>
      <c r="AU19" s="40" t="str">
        <f t="shared" si="30"/>
        <v/>
      </c>
      <c r="AV19" s="40" t="str">
        <f t="shared" si="31"/>
        <v/>
      </c>
      <c r="AW19" s="42">
        <f t="shared" si="32"/>
        <v>0</v>
      </c>
      <c r="AX19" s="42">
        <f t="shared" si="4"/>
        <v>0</v>
      </c>
      <c r="AY19" s="5"/>
      <c r="BC19" s="63"/>
      <c r="BD19" s="63"/>
      <c r="BE19" s="63"/>
      <c r="BF19" s="63"/>
      <c r="BG19" s="63"/>
      <c r="BH19" s="63"/>
      <c r="BI19" s="63"/>
      <c r="BJ19" s="66"/>
      <c r="BK19" s="66" t="str">
        <f t="shared" si="33"/>
        <v xml:space="preserve"> </v>
      </c>
      <c r="BL19" s="63"/>
      <c r="BM19" s="63"/>
      <c r="BN19" s="67" t="e">
        <f t="shared" si="34"/>
        <v>#DIV/0!</v>
      </c>
      <c r="CN19" s="7">
        <v>9</v>
      </c>
    </row>
    <row r="20" spans="1:92" s="7" customFormat="1" x14ac:dyDescent="0.25">
      <c r="A20" s="6" t="str">
        <f t="shared" si="5"/>
        <v/>
      </c>
      <c r="B20" s="43"/>
      <c r="C20" s="6"/>
      <c r="D20" s="6"/>
      <c r="E20" s="43"/>
      <c r="F20" s="44"/>
      <c r="G20" s="22"/>
      <c r="H20" s="23"/>
      <c r="I20" s="47">
        <f t="shared" si="6"/>
        <v>0</v>
      </c>
      <c r="J20" s="47">
        <f t="shared" si="7"/>
        <v>0</v>
      </c>
      <c r="K20" s="58" t="str">
        <f t="shared" si="8"/>
        <v/>
      </c>
      <c r="L20" s="58" t="str">
        <f t="shared" si="9"/>
        <v/>
      </c>
      <c r="M20" s="24"/>
      <c r="N20" s="25"/>
      <c r="O20" s="26">
        <f t="shared" si="10"/>
        <v>0</v>
      </c>
      <c r="P20" s="26">
        <f t="shared" si="11"/>
        <v>0</v>
      </c>
      <c r="Q20" s="27" t="str">
        <f t="shared" si="12"/>
        <v/>
      </c>
      <c r="R20" s="27" t="str">
        <f t="shared" si="13"/>
        <v/>
      </c>
      <c r="S20" s="29"/>
      <c r="T20" s="30"/>
      <c r="U20" s="31">
        <f t="shared" si="14"/>
        <v>0</v>
      </c>
      <c r="V20" s="31">
        <f t="shared" si="15"/>
        <v>0</v>
      </c>
      <c r="W20" s="32" t="str">
        <f t="shared" si="16"/>
        <v/>
      </c>
      <c r="X20" s="32" t="str">
        <f t="shared" si="17"/>
        <v/>
      </c>
      <c r="Y20" s="24"/>
      <c r="Z20" s="24"/>
      <c r="AA20" s="25">
        <f t="shared" si="18"/>
        <v>0</v>
      </c>
      <c r="AB20" s="26">
        <f t="shared" si="19"/>
        <v>0</v>
      </c>
      <c r="AC20" s="26" t="str">
        <f t="shared" si="20"/>
        <v/>
      </c>
      <c r="AD20" s="27" t="str">
        <f t="shared" si="21"/>
        <v/>
      </c>
      <c r="AE20" s="39" t="str">
        <f t="shared" si="22"/>
        <v/>
      </c>
      <c r="AF20" s="39" t="str">
        <f t="shared" si="23"/>
        <v/>
      </c>
      <c r="AG20" s="40" t="str">
        <f t="shared" si="24"/>
        <v/>
      </c>
      <c r="AH20" s="41" t="str">
        <f t="shared" si="0"/>
        <v/>
      </c>
      <c r="AI20" s="39" t="str">
        <f>IF(B20="","",ROUND(GEOMEAN((J20,P20,V20)),0))</f>
        <v/>
      </c>
      <c r="AJ20" s="39" t="str">
        <f>IF(B20="","",ROUND(GEOMEAN((L20,R20,X20)),0))</f>
        <v/>
      </c>
      <c r="AK20" s="40" t="str">
        <f t="shared" si="1"/>
        <v/>
      </c>
      <c r="AL20" s="40" t="str">
        <f t="shared" si="2"/>
        <v/>
      </c>
      <c r="AM20" s="42" t="e">
        <f t="shared" si="25"/>
        <v>#DIV/0!</v>
      </c>
      <c r="AN20" s="42" t="e">
        <f t="shared" si="3"/>
        <v>#DIV/0!</v>
      </c>
      <c r="AO20" s="39" t="str">
        <f t="shared" si="26"/>
        <v/>
      </c>
      <c r="AP20" s="39" t="str">
        <f t="shared" si="27"/>
        <v/>
      </c>
      <c r="AQ20" s="40" t="str">
        <f t="shared" si="28"/>
        <v/>
      </c>
      <c r="AR20" s="41" t="str">
        <f t="shared" si="29"/>
        <v/>
      </c>
      <c r="AS20" s="39" t="str">
        <f>IF(L20="","",ROUND(GEOMEAN((J20,P20,V20,AB20)),0))</f>
        <v/>
      </c>
      <c r="AT20" s="39" t="str">
        <f>IF(L20="","",ROUND(GEOMEAN((L20,R20,X20,AD20)),0))</f>
        <v/>
      </c>
      <c r="AU20" s="40" t="str">
        <f t="shared" si="30"/>
        <v/>
      </c>
      <c r="AV20" s="40" t="str">
        <f t="shared" si="31"/>
        <v/>
      </c>
      <c r="AW20" s="42">
        <f t="shared" si="32"/>
        <v>0</v>
      </c>
      <c r="AX20" s="42">
        <f t="shared" si="4"/>
        <v>0</v>
      </c>
      <c r="AY20" s="5"/>
      <c r="BC20" s="63"/>
      <c r="BD20" s="63"/>
      <c r="BE20" s="63"/>
      <c r="BF20" s="63"/>
      <c r="BG20" s="63"/>
      <c r="BH20" s="63"/>
      <c r="BI20" s="63"/>
      <c r="BJ20" s="66"/>
      <c r="BK20" s="66" t="str">
        <f t="shared" si="33"/>
        <v xml:space="preserve"> </v>
      </c>
      <c r="BL20" s="63"/>
      <c r="BM20" s="63"/>
      <c r="BN20" s="67" t="e">
        <f t="shared" si="34"/>
        <v>#DIV/0!</v>
      </c>
      <c r="CN20" s="7">
        <v>10</v>
      </c>
    </row>
    <row r="21" spans="1:92" s="7" customFormat="1" x14ac:dyDescent="0.25">
      <c r="A21" s="6" t="str">
        <f t="shared" si="5"/>
        <v/>
      </c>
      <c r="B21" s="43"/>
      <c r="C21" s="6"/>
      <c r="D21" s="6"/>
      <c r="E21" s="43"/>
      <c r="F21" s="44"/>
      <c r="G21" s="22"/>
      <c r="H21" s="23"/>
      <c r="I21" s="47">
        <f t="shared" si="6"/>
        <v>0</v>
      </c>
      <c r="J21" s="47">
        <f t="shared" si="7"/>
        <v>0</v>
      </c>
      <c r="K21" s="58" t="str">
        <f t="shared" si="8"/>
        <v/>
      </c>
      <c r="L21" s="58" t="str">
        <f t="shared" si="9"/>
        <v/>
      </c>
      <c r="M21" s="24"/>
      <c r="N21" s="25"/>
      <c r="O21" s="26">
        <f t="shared" si="10"/>
        <v>0</v>
      </c>
      <c r="P21" s="26">
        <f t="shared" si="11"/>
        <v>0</v>
      </c>
      <c r="Q21" s="27" t="str">
        <f t="shared" si="12"/>
        <v/>
      </c>
      <c r="R21" s="27" t="str">
        <f t="shared" si="13"/>
        <v/>
      </c>
      <c r="S21" s="29"/>
      <c r="T21" s="30"/>
      <c r="U21" s="31">
        <f t="shared" si="14"/>
        <v>0</v>
      </c>
      <c r="V21" s="31">
        <f t="shared" si="15"/>
        <v>0</v>
      </c>
      <c r="W21" s="32" t="str">
        <f t="shared" si="16"/>
        <v/>
      </c>
      <c r="X21" s="32" t="str">
        <f t="shared" si="17"/>
        <v/>
      </c>
      <c r="Y21" s="24"/>
      <c r="Z21" s="24"/>
      <c r="AA21" s="25">
        <f t="shared" si="18"/>
        <v>0</v>
      </c>
      <c r="AB21" s="26">
        <f t="shared" si="19"/>
        <v>0</v>
      </c>
      <c r="AC21" s="26" t="str">
        <f t="shared" si="20"/>
        <v/>
      </c>
      <c r="AD21" s="27" t="str">
        <f t="shared" si="21"/>
        <v/>
      </c>
      <c r="AE21" s="39" t="str">
        <f t="shared" si="22"/>
        <v/>
      </c>
      <c r="AF21" s="39" t="str">
        <f t="shared" si="23"/>
        <v/>
      </c>
      <c r="AG21" s="40" t="str">
        <f t="shared" si="24"/>
        <v/>
      </c>
      <c r="AH21" s="41" t="str">
        <f t="shared" si="0"/>
        <v/>
      </c>
      <c r="AI21" s="39" t="str">
        <f>IF(B21="","",ROUND(GEOMEAN((J21,P21,V21)),0))</f>
        <v/>
      </c>
      <c r="AJ21" s="39" t="str">
        <f>IF(B21="","",ROUND(GEOMEAN((L21,R21,X21)),0))</f>
        <v/>
      </c>
      <c r="AK21" s="40" t="str">
        <f t="shared" si="1"/>
        <v/>
      </c>
      <c r="AL21" s="40" t="str">
        <f t="shared" si="2"/>
        <v/>
      </c>
      <c r="AM21" s="42" t="e">
        <f t="shared" si="25"/>
        <v>#DIV/0!</v>
      </c>
      <c r="AN21" s="42" t="e">
        <f t="shared" si="3"/>
        <v>#DIV/0!</v>
      </c>
      <c r="AO21" s="39" t="str">
        <f t="shared" si="26"/>
        <v/>
      </c>
      <c r="AP21" s="39" t="str">
        <f t="shared" si="27"/>
        <v/>
      </c>
      <c r="AQ21" s="40" t="str">
        <f t="shared" si="28"/>
        <v/>
      </c>
      <c r="AR21" s="41" t="str">
        <f t="shared" si="29"/>
        <v/>
      </c>
      <c r="AS21" s="39" t="str">
        <f>IF(L21="","",ROUND(GEOMEAN((J21,P21,V21,AB21)),0))</f>
        <v/>
      </c>
      <c r="AT21" s="39" t="str">
        <f>IF(L21="","",ROUND(GEOMEAN((L21,R21,X21,AD21)),0))</f>
        <v/>
      </c>
      <c r="AU21" s="40" t="str">
        <f t="shared" si="30"/>
        <v/>
      </c>
      <c r="AV21" s="40" t="str">
        <f t="shared" si="31"/>
        <v/>
      </c>
      <c r="AW21" s="42">
        <f t="shared" si="32"/>
        <v>0</v>
      </c>
      <c r="AX21" s="42">
        <f t="shared" si="4"/>
        <v>0</v>
      </c>
      <c r="AY21" s="5"/>
      <c r="BC21" s="63"/>
      <c r="BD21" s="63"/>
      <c r="BE21" s="63"/>
      <c r="BF21" s="63"/>
      <c r="BG21" s="63"/>
      <c r="BH21" s="63"/>
      <c r="BI21" s="63"/>
      <c r="BJ21" s="66"/>
      <c r="BK21" s="66" t="str">
        <f t="shared" si="33"/>
        <v xml:space="preserve"> </v>
      </c>
      <c r="BL21" s="63"/>
      <c r="BM21" s="63"/>
      <c r="BN21" s="67" t="e">
        <f t="shared" si="34"/>
        <v>#DIV/0!</v>
      </c>
      <c r="CN21" s="7">
        <v>11</v>
      </c>
    </row>
    <row r="22" spans="1:92" s="7" customFormat="1" x14ac:dyDescent="0.25">
      <c r="A22" s="6" t="str">
        <f t="shared" si="5"/>
        <v/>
      </c>
      <c r="B22" s="43"/>
      <c r="C22" s="6"/>
      <c r="D22" s="6"/>
      <c r="E22" s="43"/>
      <c r="F22" s="44"/>
      <c r="G22" s="22"/>
      <c r="H22" s="23"/>
      <c r="I22" s="47">
        <f t="shared" si="6"/>
        <v>0</v>
      </c>
      <c r="J22" s="47">
        <f t="shared" si="7"/>
        <v>0</v>
      </c>
      <c r="K22" s="58" t="str">
        <f t="shared" si="8"/>
        <v/>
      </c>
      <c r="L22" s="58" t="str">
        <f t="shared" si="9"/>
        <v/>
      </c>
      <c r="M22" s="24"/>
      <c r="N22" s="25"/>
      <c r="O22" s="26">
        <f t="shared" si="10"/>
        <v>0</v>
      </c>
      <c r="P22" s="26">
        <f t="shared" si="11"/>
        <v>0</v>
      </c>
      <c r="Q22" s="27" t="str">
        <f t="shared" si="12"/>
        <v/>
      </c>
      <c r="R22" s="27" t="str">
        <f t="shared" si="13"/>
        <v/>
      </c>
      <c r="S22" s="29"/>
      <c r="T22" s="30"/>
      <c r="U22" s="31">
        <f t="shared" si="14"/>
        <v>0</v>
      </c>
      <c r="V22" s="31">
        <f t="shared" si="15"/>
        <v>0</v>
      </c>
      <c r="W22" s="32" t="str">
        <f t="shared" si="16"/>
        <v/>
      </c>
      <c r="X22" s="32" t="str">
        <f t="shared" si="17"/>
        <v/>
      </c>
      <c r="Y22" s="24"/>
      <c r="Z22" s="24"/>
      <c r="AA22" s="25">
        <f t="shared" si="18"/>
        <v>0</v>
      </c>
      <c r="AB22" s="26">
        <f t="shared" si="19"/>
        <v>0</v>
      </c>
      <c r="AC22" s="26" t="str">
        <f t="shared" si="20"/>
        <v/>
      </c>
      <c r="AD22" s="27" t="str">
        <f t="shared" si="21"/>
        <v/>
      </c>
      <c r="AE22" s="39" t="str">
        <f t="shared" si="22"/>
        <v/>
      </c>
      <c r="AF22" s="39" t="str">
        <f t="shared" si="23"/>
        <v/>
      </c>
      <c r="AG22" s="40" t="str">
        <f t="shared" si="24"/>
        <v/>
      </c>
      <c r="AH22" s="41" t="str">
        <f t="shared" si="0"/>
        <v/>
      </c>
      <c r="AI22" s="39" t="str">
        <f>IF(B22="","",ROUND(GEOMEAN((J22,P22,V22)),0))</f>
        <v/>
      </c>
      <c r="AJ22" s="39" t="str">
        <f>IF(B22="","",ROUND(GEOMEAN((L22,R22,X22)),0))</f>
        <v/>
      </c>
      <c r="AK22" s="40" t="str">
        <f t="shared" si="1"/>
        <v/>
      </c>
      <c r="AL22" s="40" t="str">
        <f t="shared" si="2"/>
        <v/>
      </c>
      <c r="AM22" s="42" t="e">
        <f t="shared" si="25"/>
        <v>#DIV/0!</v>
      </c>
      <c r="AN22" s="42" t="e">
        <f t="shared" si="3"/>
        <v>#DIV/0!</v>
      </c>
      <c r="AO22" s="39" t="str">
        <f t="shared" si="26"/>
        <v/>
      </c>
      <c r="AP22" s="39" t="str">
        <f t="shared" si="27"/>
        <v/>
      </c>
      <c r="AQ22" s="40" t="str">
        <f t="shared" si="28"/>
        <v/>
      </c>
      <c r="AR22" s="41" t="str">
        <f t="shared" si="29"/>
        <v/>
      </c>
      <c r="AS22" s="39" t="str">
        <f>IF(L22="","",ROUND(GEOMEAN((J22,P22,V22,AB22)),0))</f>
        <v/>
      </c>
      <c r="AT22" s="39" t="str">
        <f>IF(L22="","",ROUND(GEOMEAN((L22,R22,X22,AD22)),0))</f>
        <v/>
      </c>
      <c r="AU22" s="40" t="str">
        <f t="shared" si="30"/>
        <v/>
      </c>
      <c r="AV22" s="40" t="str">
        <f t="shared" si="31"/>
        <v/>
      </c>
      <c r="AW22" s="42">
        <f t="shared" si="32"/>
        <v>0</v>
      </c>
      <c r="AX22" s="42">
        <f t="shared" si="4"/>
        <v>0</v>
      </c>
      <c r="AY22" s="5"/>
      <c r="BC22" s="63"/>
      <c r="BD22" s="63"/>
      <c r="BE22" s="63"/>
      <c r="BF22" s="63"/>
      <c r="BG22" s="63"/>
      <c r="BH22" s="63"/>
      <c r="BI22" s="63"/>
      <c r="BJ22" s="66"/>
      <c r="BK22" s="66" t="str">
        <f t="shared" si="33"/>
        <v xml:space="preserve"> </v>
      </c>
      <c r="BL22" s="63"/>
      <c r="BM22" s="63"/>
      <c r="BN22" s="67" t="e">
        <f t="shared" si="34"/>
        <v>#DIV/0!</v>
      </c>
      <c r="CN22" s="7">
        <v>12</v>
      </c>
    </row>
    <row r="23" spans="1:92" s="7" customFormat="1" x14ac:dyDescent="0.25">
      <c r="A23" s="6" t="str">
        <f t="shared" si="5"/>
        <v/>
      </c>
      <c r="B23" s="43"/>
      <c r="C23" s="6"/>
      <c r="D23" s="6"/>
      <c r="E23" s="43"/>
      <c r="F23" s="44"/>
      <c r="G23" s="22"/>
      <c r="H23" s="23"/>
      <c r="I23" s="47">
        <f t="shared" si="6"/>
        <v>0</v>
      </c>
      <c r="J23" s="47">
        <f t="shared" si="7"/>
        <v>0</v>
      </c>
      <c r="K23" s="58" t="str">
        <f t="shared" si="8"/>
        <v/>
      </c>
      <c r="L23" s="58" t="str">
        <f t="shared" si="9"/>
        <v/>
      </c>
      <c r="M23" s="24"/>
      <c r="N23" s="25"/>
      <c r="O23" s="26">
        <f t="shared" si="10"/>
        <v>0</v>
      </c>
      <c r="P23" s="26">
        <f t="shared" si="11"/>
        <v>0</v>
      </c>
      <c r="Q23" s="27" t="str">
        <f t="shared" si="12"/>
        <v/>
      </c>
      <c r="R23" s="27" t="str">
        <f t="shared" si="13"/>
        <v/>
      </c>
      <c r="S23" s="29"/>
      <c r="T23" s="30"/>
      <c r="U23" s="31">
        <f t="shared" si="14"/>
        <v>0</v>
      </c>
      <c r="V23" s="31">
        <f t="shared" si="15"/>
        <v>0</v>
      </c>
      <c r="W23" s="32" t="str">
        <f t="shared" si="16"/>
        <v/>
      </c>
      <c r="X23" s="32" t="str">
        <f t="shared" si="17"/>
        <v/>
      </c>
      <c r="Y23" s="24"/>
      <c r="Z23" s="24"/>
      <c r="AA23" s="25">
        <f t="shared" si="18"/>
        <v>0</v>
      </c>
      <c r="AB23" s="26">
        <f t="shared" si="19"/>
        <v>0</v>
      </c>
      <c r="AC23" s="26" t="str">
        <f t="shared" si="20"/>
        <v/>
      </c>
      <c r="AD23" s="27" t="str">
        <f t="shared" si="21"/>
        <v/>
      </c>
      <c r="AE23" s="39" t="str">
        <f t="shared" si="22"/>
        <v/>
      </c>
      <c r="AF23" s="39" t="str">
        <f t="shared" si="23"/>
        <v/>
      </c>
      <c r="AG23" s="40" t="str">
        <f t="shared" si="24"/>
        <v/>
      </c>
      <c r="AH23" s="41" t="str">
        <f t="shared" si="0"/>
        <v/>
      </c>
      <c r="AI23" s="39" t="str">
        <f>IF(B23="","",ROUND(GEOMEAN((J23,P23,V23)),0))</f>
        <v/>
      </c>
      <c r="AJ23" s="39" t="str">
        <f>IF(B23="","",ROUND(GEOMEAN((L23,R23,X23)),0))</f>
        <v/>
      </c>
      <c r="AK23" s="40" t="str">
        <f t="shared" si="1"/>
        <v/>
      </c>
      <c r="AL23" s="40" t="str">
        <f t="shared" si="2"/>
        <v/>
      </c>
      <c r="AM23" s="42" t="e">
        <f t="shared" si="25"/>
        <v>#DIV/0!</v>
      </c>
      <c r="AN23" s="42" t="e">
        <f t="shared" si="3"/>
        <v>#DIV/0!</v>
      </c>
      <c r="AO23" s="39" t="str">
        <f t="shared" si="26"/>
        <v/>
      </c>
      <c r="AP23" s="39" t="str">
        <f t="shared" si="27"/>
        <v/>
      </c>
      <c r="AQ23" s="40" t="str">
        <f t="shared" si="28"/>
        <v/>
      </c>
      <c r="AR23" s="41" t="str">
        <f t="shared" si="29"/>
        <v/>
      </c>
      <c r="AS23" s="39" t="str">
        <f>IF(L23="","",ROUND(GEOMEAN((J23,P23,V23,AB23)),0))</f>
        <v/>
      </c>
      <c r="AT23" s="39" t="str">
        <f>IF(L23="","",ROUND(GEOMEAN((L23,R23,X23,AD23)),0))</f>
        <v/>
      </c>
      <c r="AU23" s="40" t="str">
        <f t="shared" si="30"/>
        <v/>
      </c>
      <c r="AV23" s="40" t="str">
        <f t="shared" si="31"/>
        <v/>
      </c>
      <c r="AW23" s="42">
        <f t="shared" si="32"/>
        <v>0</v>
      </c>
      <c r="AX23" s="42">
        <f t="shared" si="4"/>
        <v>0</v>
      </c>
      <c r="AY23" s="5"/>
      <c r="BC23" s="63"/>
      <c r="BD23" s="63"/>
      <c r="BE23" s="63"/>
      <c r="BF23" s="63"/>
      <c r="BG23" s="63"/>
      <c r="BH23" s="63"/>
      <c r="BI23" s="63"/>
      <c r="BJ23" s="66"/>
      <c r="BK23" s="66" t="str">
        <f t="shared" si="33"/>
        <v xml:space="preserve"> </v>
      </c>
      <c r="BL23" s="63"/>
      <c r="BM23" s="63"/>
      <c r="BN23" s="67" t="e">
        <f t="shared" si="34"/>
        <v>#DIV/0!</v>
      </c>
      <c r="CN23" s="7">
        <v>13</v>
      </c>
    </row>
    <row r="24" spans="1:92" s="7" customFormat="1" x14ac:dyDescent="0.25">
      <c r="A24" s="6" t="str">
        <f t="shared" si="5"/>
        <v/>
      </c>
      <c r="B24" s="43"/>
      <c r="C24" s="6"/>
      <c r="D24" s="6"/>
      <c r="E24" s="43"/>
      <c r="F24" s="44"/>
      <c r="G24" s="22"/>
      <c r="H24" s="23"/>
      <c r="I24" s="47">
        <f t="shared" si="6"/>
        <v>0</v>
      </c>
      <c r="J24" s="47">
        <f t="shared" si="7"/>
        <v>0</v>
      </c>
      <c r="K24" s="58" t="str">
        <f t="shared" si="8"/>
        <v/>
      </c>
      <c r="L24" s="58" t="str">
        <f t="shared" si="9"/>
        <v/>
      </c>
      <c r="M24" s="24"/>
      <c r="N24" s="25"/>
      <c r="O24" s="26">
        <f t="shared" si="10"/>
        <v>0</v>
      </c>
      <c r="P24" s="26">
        <f t="shared" si="11"/>
        <v>0</v>
      </c>
      <c r="Q24" s="27" t="str">
        <f t="shared" si="12"/>
        <v/>
      </c>
      <c r="R24" s="27" t="str">
        <f t="shared" si="13"/>
        <v/>
      </c>
      <c r="S24" s="29"/>
      <c r="T24" s="30"/>
      <c r="U24" s="31">
        <f t="shared" si="14"/>
        <v>0</v>
      </c>
      <c r="V24" s="31">
        <f t="shared" si="15"/>
        <v>0</v>
      </c>
      <c r="W24" s="32" t="str">
        <f t="shared" si="16"/>
        <v/>
      </c>
      <c r="X24" s="32" t="str">
        <f t="shared" si="17"/>
        <v/>
      </c>
      <c r="Y24" s="24"/>
      <c r="Z24" s="24"/>
      <c r="AA24" s="25">
        <f t="shared" si="18"/>
        <v>0</v>
      </c>
      <c r="AB24" s="26">
        <f t="shared" si="19"/>
        <v>0</v>
      </c>
      <c r="AC24" s="26" t="str">
        <f t="shared" si="20"/>
        <v/>
      </c>
      <c r="AD24" s="27" t="str">
        <f t="shared" si="21"/>
        <v/>
      </c>
      <c r="AE24" s="39" t="str">
        <f t="shared" si="22"/>
        <v/>
      </c>
      <c r="AF24" s="39" t="str">
        <f t="shared" si="23"/>
        <v/>
      </c>
      <c r="AG24" s="40" t="str">
        <f t="shared" si="24"/>
        <v/>
      </c>
      <c r="AH24" s="41" t="str">
        <f t="shared" si="0"/>
        <v/>
      </c>
      <c r="AI24" s="39" t="str">
        <f>IF(B24="","",ROUND(GEOMEAN((J24,P24,V24)),0))</f>
        <v/>
      </c>
      <c r="AJ24" s="39" t="str">
        <f>IF(B24="","",ROUND(GEOMEAN((L24,R24,X24)),0))</f>
        <v/>
      </c>
      <c r="AK24" s="40" t="str">
        <f t="shared" si="1"/>
        <v/>
      </c>
      <c r="AL24" s="40" t="str">
        <f t="shared" si="2"/>
        <v/>
      </c>
      <c r="AM24" s="42" t="e">
        <f t="shared" si="25"/>
        <v>#DIV/0!</v>
      </c>
      <c r="AN24" s="42" t="e">
        <f t="shared" si="3"/>
        <v>#DIV/0!</v>
      </c>
      <c r="AO24" s="39" t="str">
        <f t="shared" si="26"/>
        <v/>
      </c>
      <c r="AP24" s="39" t="str">
        <f t="shared" si="27"/>
        <v/>
      </c>
      <c r="AQ24" s="40" t="str">
        <f t="shared" si="28"/>
        <v/>
      </c>
      <c r="AR24" s="41" t="str">
        <f t="shared" si="29"/>
        <v/>
      </c>
      <c r="AS24" s="39" t="str">
        <f>IF(L24="","",ROUND(GEOMEAN((J24,P24,V24,AB24)),0))</f>
        <v/>
      </c>
      <c r="AT24" s="39" t="str">
        <f>IF(L24="","",ROUND(GEOMEAN((L24,R24,X24,AD24)),0))</f>
        <v/>
      </c>
      <c r="AU24" s="40" t="str">
        <f t="shared" si="30"/>
        <v/>
      </c>
      <c r="AV24" s="40" t="str">
        <f t="shared" si="31"/>
        <v/>
      </c>
      <c r="AW24" s="42">
        <f t="shared" si="32"/>
        <v>0</v>
      </c>
      <c r="AX24" s="42">
        <f t="shared" si="4"/>
        <v>0</v>
      </c>
      <c r="AY24" s="5"/>
      <c r="BC24" s="63"/>
      <c r="BD24" s="63"/>
      <c r="BE24" s="63"/>
      <c r="BF24" s="63"/>
      <c r="BG24" s="63"/>
      <c r="BH24" s="63"/>
      <c r="BI24" s="63"/>
      <c r="BJ24" s="66"/>
      <c r="BK24" s="66" t="str">
        <f t="shared" si="33"/>
        <v xml:space="preserve"> </v>
      </c>
      <c r="BL24" s="63"/>
      <c r="BM24" s="63"/>
      <c r="BN24" s="67" t="e">
        <f t="shared" si="34"/>
        <v>#DIV/0!</v>
      </c>
      <c r="CN24" s="7">
        <v>14</v>
      </c>
    </row>
    <row r="25" spans="1:92" s="7" customFormat="1" x14ac:dyDescent="0.25">
      <c r="A25" s="6" t="str">
        <f t="shared" si="5"/>
        <v/>
      </c>
      <c r="B25" s="43"/>
      <c r="C25" s="6"/>
      <c r="D25" s="6"/>
      <c r="E25" s="43"/>
      <c r="F25" s="44"/>
      <c r="G25" s="22"/>
      <c r="H25" s="23"/>
      <c r="I25" s="47">
        <f t="shared" si="6"/>
        <v>0</v>
      </c>
      <c r="J25" s="47">
        <f t="shared" si="7"/>
        <v>0</v>
      </c>
      <c r="K25" s="58" t="str">
        <f t="shared" si="8"/>
        <v/>
      </c>
      <c r="L25" s="58" t="str">
        <f t="shared" si="9"/>
        <v/>
      </c>
      <c r="M25" s="24"/>
      <c r="N25" s="25"/>
      <c r="O25" s="26">
        <f t="shared" si="10"/>
        <v>0</v>
      </c>
      <c r="P25" s="26">
        <f t="shared" si="11"/>
        <v>0</v>
      </c>
      <c r="Q25" s="27" t="str">
        <f t="shared" si="12"/>
        <v/>
      </c>
      <c r="R25" s="27" t="str">
        <f t="shared" si="13"/>
        <v/>
      </c>
      <c r="S25" s="29"/>
      <c r="T25" s="30"/>
      <c r="U25" s="31">
        <f t="shared" si="14"/>
        <v>0</v>
      </c>
      <c r="V25" s="31">
        <f t="shared" si="15"/>
        <v>0</v>
      </c>
      <c r="W25" s="32" t="str">
        <f t="shared" si="16"/>
        <v/>
      </c>
      <c r="X25" s="32" t="str">
        <f t="shared" si="17"/>
        <v/>
      </c>
      <c r="Y25" s="24"/>
      <c r="Z25" s="24"/>
      <c r="AA25" s="25">
        <f t="shared" si="18"/>
        <v>0</v>
      </c>
      <c r="AB25" s="26">
        <f t="shared" si="19"/>
        <v>0</v>
      </c>
      <c r="AC25" s="26" t="str">
        <f t="shared" si="20"/>
        <v/>
      </c>
      <c r="AD25" s="27" t="str">
        <f t="shared" si="21"/>
        <v/>
      </c>
      <c r="AE25" s="39" t="str">
        <f t="shared" si="22"/>
        <v/>
      </c>
      <c r="AF25" s="39" t="str">
        <f t="shared" si="23"/>
        <v/>
      </c>
      <c r="AG25" s="40" t="str">
        <f t="shared" si="24"/>
        <v/>
      </c>
      <c r="AH25" s="41" t="str">
        <f t="shared" si="0"/>
        <v/>
      </c>
      <c r="AI25" s="39" t="str">
        <f>IF(B25="","",ROUND(GEOMEAN((J25,P25,V25)),0))</f>
        <v/>
      </c>
      <c r="AJ25" s="39" t="str">
        <f>IF(B25="","",ROUND(GEOMEAN((L25,R25,X25)),0))</f>
        <v/>
      </c>
      <c r="AK25" s="40" t="str">
        <f t="shared" si="1"/>
        <v/>
      </c>
      <c r="AL25" s="40" t="str">
        <f t="shared" si="2"/>
        <v/>
      </c>
      <c r="AM25" s="42" t="e">
        <f t="shared" si="25"/>
        <v>#DIV/0!</v>
      </c>
      <c r="AN25" s="42" t="e">
        <f t="shared" si="3"/>
        <v>#DIV/0!</v>
      </c>
      <c r="AO25" s="39" t="str">
        <f t="shared" si="26"/>
        <v/>
      </c>
      <c r="AP25" s="39" t="str">
        <f t="shared" si="27"/>
        <v/>
      </c>
      <c r="AQ25" s="40" t="str">
        <f t="shared" si="28"/>
        <v/>
      </c>
      <c r="AR25" s="41" t="str">
        <f t="shared" si="29"/>
        <v/>
      </c>
      <c r="AS25" s="39" t="str">
        <f>IF(L25="","",ROUND(GEOMEAN((J25,P25,V25,AB25)),0))</f>
        <v/>
      </c>
      <c r="AT25" s="39" t="str">
        <f>IF(L25="","",ROUND(GEOMEAN((L25,R25,X25,AD25)),0))</f>
        <v/>
      </c>
      <c r="AU25" s="40" t="str">
        <f t="shared" si="30"/>
        <v/>
      </c>
      <c r="AV25" s="40" t="str">
        <f t="shared" si="31"/>
        <v/>
      </c>
      <c r="AW25" s="42">
        <f t="shared" si="32"/>
        <v>0</v>
      </c>
      <c r="AX25" s="42">
        <f t="shared" si="4"/>
        <v>0</v>
      </c>
      <c r="AY25" s="5"/>
      <c r="BC25" s="63"/>
      <c r="BD25" s="63"/>
      <c r="BE25" s="63"/>
      <c r="BF25" s="63"/>
      <c r="BG25" s="63"/>
      <c r="BH25" s="63"/>
      <c r="BI25" s="63"/>
      <c r="BJ25" s="66"/>
      <c r="BK25" s="66" t="str">
        <f t="shared" si="33"/>
        <v xml:space="preserve"> </v>
      </c>
      <c r="BL25" s="63"/>
      <c r="BM25" s="63"/>
      <c r="BN25" s="67" t="e">
        <f t="shared" si="34"/>
        <v>#DIV/0!</v>
      </c>
      <c r="CN25" s="7">
        <v>15</v>
      </c>
    </row>
    <row r="26" spans="1:92" s="7" customFormat="1" x14ac:dyDescent="0.25">
      <c r="A26" s="6" t="str">
        <f t="shared" si="5"/>
        <v/>
      </c>
      <c r="B26" s="43"/>
      <c r="C26" s="6"/>
      <c r="D26" s="6"/>
      <c r="E26" s="43"/>
      <c r="F26" s="44"/>
      <c r="G26" s="22"/>
      <c r="H26" s="23"/>
      <c r="I26" s="47">
        <f t="shared" si="6"/>
        <v>0</v>
      </c>
      <c r="J26" s="47">
        <f t="shared" si="7"/>
        <v>0</v>
      </c>
      <c r="K26" s="58" t="str">
        <f t="shared" si="8"/>
        <v/>
      </c>
      <c r="L26" s="58" t="str">
        <f t="shared" si="9"/>
        <v/>
      </c>
      <c r="M26" s="24"/>
      <c r="N26" s="25"/>
      <c r="O26" s="26">
        <f t="shared" si="10"/>
        <v>0</v>
      </c>
      <c r="P26" s="26">
        <f t="shared" si="11"/>
        <v>0</v>
      </c>
      <c r="Q26" s="27" t="str">
        <f t="shared" si="12"/>
        <v/>
      </c>
      <c r="R26" s="27" t="str">
        <f t="shared" si="13"/>
        <v/>
      </c>
      <c r="S26" s="29"/>
      <c r="T26" s="30"/>
      <c r="U26" s="31">
        <f t="shared" si="14"/>
        <v>0</v>
      </c>
      <c r="V26" s="31">
        <f t="shared" si="15"/>
        <v>0</v>
      </c>
      <c r="W26" s="32" t="str">
        <f t="shared" si="16"/>
        <v/>
      </c>
      <c r="X26" s="32" t="str">
        <f t="shared" si="17"/>
        <v/>
      </c>
      <c r="Y26" s="24"/>
      <c r="Z26" s="24"/>
      <c r="AA26" s="25">
        <f t="shared" si="18"/>
        <v>0</v>
      </c>
      <c r="AB26" s="26">
        <f t="shared" si="19"/>
        <v>0</v>
      </c>
      <c r="AC26" s="26" t="str">
        <f t="shared" si="20"/>
        <v/>
      </c>
      <c r="AD26" s="27" t="str">
        <f t="shared" si="21"/>
        <v/>
      </c>
      <c r="AE26" s="39" t="str">
        <f t="shared" si="22"/>
        <v/>
      </c>
      <c r="AF26" s="39" t="str">
        <f t="shared" si="23"/>
        <v/>
      </c>
      <c r="AG26" s="40" t="str">
        <f t="shared" si="24"/>
        <v/>
      </c>
      <c r="AH26" s="41" t="str">
        <f t="shared" si="0"/>
        <v/>
      </c>
      <c r="AI26" s="39" t="str">
        <f>IF(B26="","",ROUND(GEOMEAN((J26,P26,V26)),0))</f>
        <v/>
      </c>
      <c r="AJ26" s="39" t="str">
        <f>IF(B26="","",ROUND(GEOMEAN((L26,R26,X26)),0))</f>
        <v/>
      </c>
      <c r="AK26" s="40" t="str">
        <f t="shared" si="1"/>
        <v/>
      </c>
      <c r="AL26" s="40" t="str">
        <f t="shared" si="2"/>
        <v/>
      </c>
      <c r="AM26" s="42" t="e">
        <f t="shared" si="25"/>
        <v>#DIV/0!</v>
      </c>
      <c r="AN26" s="42" t="e">
        <f t="shared" si="3"/>
        <v>#DIV/0!</v>
      </c>
      <c r="AO26" s="39" t="str">
        <f t="shared" si="26"/>
        <v/>
      </c>
      <c r="AP26" s="39" t="str">
        <f t="shared" si="27"/>
        <v/>
      </c>
      <c r="AQ26" s="40" t="str">
        <f t="shared" si="28"/>
        <v/>
      </c>
      <c r="AR26" s="41" t="str">
        <f t="shared" si="29"/>
        <v/>
      </c>
      <c r="AS26" s="39" t="str">
        <f>IF(L26="","",ROUND(GEOMEAN((J26,P26,V26,AB26)),0))</f>
        <v/>
      </c>
      <c r="AT26" s="39" t="str">
        <f>IF(L26="","",ROUND(GEOMEAN((L26,R26,X26,AD26)),0))</f>
        <v/>
      </c>
      <c r="AU26" s="40" t="str">
        <f t="shared" si="30"/>
        <v/>
      </c>
      <c r="AV26" s="40" t="str">
        <f t="shared" si="31"/>
        <v/>
      </c>
      <c r="AW26" s="42">
        <f t="shared" si="32"/>
        <v>0</v>
      </c>
      <c r="AX26" s="42">
        <f t="shared" si="4"/>
        <v>0</v>
      </c>
      <c r="AY26" s="5"/>
      <c r="BC26" s="63"/>
      <c r="BD26" s="63"/>
      <c r="BE26" s="5"/>
      <c r="BF26" s="5"/>
      <c r="BG26" s="5"/>
      <c r="BH26" s="64"/>
      <c r="BI26" s="65"/>
      <c r="BJ26" s="66"/>
      <c r="BK26" s="66" t="str">
        <f t="shared" si="33"/>
        <v xml:space="preserve"> </v>
      </c>
      <c r="BL26" s="5"/>
      <c r="BM26" s="5"/>
      <c r="BN26" s="67" t="e">
        <f t="shared" si="34"/>
        <v>#DIV/0!</v>
      </c>
      <c r="CN26" s="7">
        <v>16</v>
      </c>
    </row>
    <row r="27" spans="1:92" s="7" customFormat="1" x14ac:dyDescent="0.25">
      <c r="A27" s="6" t="str">
        <f t="shared" si="5"/>
        <v/>
      </c>
      <c r="B27" s="43"/>
      <c r="C27" s="6"/>
      <c r="D27" s="6"/>
      <c r="E27" s="43"/>
      <c r="F27" s="44"/>
      <c r="G27" s="22"/>
      <c r="H27" s="23"/>
      <c r="I27" s="47">
        <f t="shared" si="6"/>
        <v>0</v>
      </c>
      <c r="J27" s="47">
        <f t="shared" si="7"/>
        <v>0</v>
      </c>
      <c r="K27" s="58" t="str">
        <f t="shared" si="8"/>
        <v/>
      </c>
      <c r="L27" s="58" t="str">
        <f t="shared" si="9"/>
        <v/>
      </c>
      <c r="M27" s="24"/>
      <c r="N27" s="25"/>
      <c r="O27" s="26">
        <f t="shared" si="10"/>
        <v>0</v>
      </c>
      <c r="P27" s="26">
        <f t="shared" si="11"/>
        <v>0</v>
      </c>
      <c r="Q27" s="27" t="str">
        <f t="shared" si="12"/>
        <v/>
      </c>
      <c r="R27" s="27" t="str">
        <f t="shared" si="13"/>
        <v/>
      </c>
      <c r="S27" s="29"/>
      <c r="T27" s="30"/>
      <c r="U27" s="31">
        <f t="shared" si="14"/>
        <v>0</v>
      </c>
      <c r="V27" s="31">
        <f t="shared" si="15"/>
        <v>0</v>
      </c>
      <c r="W27" s="32" t="str">
        <f t="shared" si="16"/>
        <v/>
      </c>
      <c r="X27" s="32" t="str">
        <f t="shared" si="17"/>
        <v/>
      </c>
      <c r="Y27" s="24"/>
      <c r="Z27" s="24"/>
      <c r="AA27" s="25">
        <f t="shared" si="18"/>
        <v>0</v>
      </c>
      <c r="AB27" s="26">
        <f t="shared" si="19"/>
        <v>0</v>
      </c>
      <c r="AC27" s="26" t="str">
        <f t="shared" si="20"/>
        <v/>
      </c>
      <c r="AD27" s="27" t="str">
        <f t="shared" si="21"/>
        <v/>
      </c>
      <c r="AE27" s="39" t="str">
        <f t="shared" si="22"/>
        <v/>
      </c>
      <c r="AF27" s="39" t="str">
        <f t="shared" si="23"/>
        <v/>
      </c>
      <c r="AG27" s="40" t="str">
        <f t="shared" si="24"/>
        <v/>
      </c>
      <c r="AH27" s="41" t="str">
        <f t="shared" si="0"/>
        <v/>
      </c>
      <c r="AI27" s="39" t="str">
        <f>IF(B27="","",ROUND(GEOMEAN((J27,P27,V27)),0))</f>
        <v/>
      </c>
      <c r="AJ27" s="39" t="str">
        <f>IF(B27="","",ROUND(GEOMEAN((L27,R27,X27)),0))</f>
        <v/>
      </c>
      <c r="AK27" s="40" t="str">
        <f t="shared" si="1"/>
        <v/>
      </c>
      <c r="AL27" s="40" t="str">
        <f t="shared" si="2"/>
        <v/>
      </c>
      <c r="AM27" s="42" t="e">
        <f t="shared" si="25"/>
        <v>#DIV/0!</v>
      </c>
      <c r="AN27" s="42" t="e">
        <f t="shared" si="3"/>
        <v>#DIV/0!</v>
      </c>
      <c r="AO27" s="39" t="str">
        <f t="shared" si="26"/>
        <v/>
      </c>
      <c r="AP27" s="39" t="str">
        <f t="shared" si="27"/>
        <v/>
      </c>
      <c r="AQ27" s="40" t="str">
        <f t="shared" si="28"/>
        <v/>
      </c>
      <c r="AR27" s="41" t="str">
        <f t="shared" si="29"/>
        <v/>
      </c>
      <c r="AS27" s="39" t="str">
        <f>IF(L27="","",ROUND(GEOMEAN((J27,P27,V27,AB27)),0))</f>
        <v/>
      </c>
      <c r="AT27" s="39" t="str">
        <f>IF(L27="","",ROUND(GEOMEAN((L27,R27,X27,AD27)),0))</f>
        <v/>
      </c>
      <c r="AU27" s="40" t="str">
        <f t="shared" si="30"/>
        <v/>
      </c>
      <c r="AV27" s="40" t="str">
        <f t="shared" si="31"/>
        <v/>
      </c>
      <c r="AW27" s="42">
        <f t="shared" si="32"/>
        <v>0</v>
      </c>
      <c r="AX27" s="42">
        <f t="shared" si="4"/>
        <v>0</v>
      </c>
      <c r="AY27" s="5"/>
      <c r="BC27" s="63"/>
      <c r="BD27" s="63"/>
      <c r="BE27" s="5"/>
      <c r="BF27" s="5"/>
      <c r="BG27" s="5"/>
      <c r="BH27" s="64"/>
      <c r="BI27" s="65"/>
      <c r="BJ27" s="66"/>
      <c r="BK27" s="66" t="str">
        <f t="shared" si="33"/>
        <v xml:space="preserve"> </v>
      </c>
      <c r="BL27" s="5"/>
      <c r="BM27" s="5"/>
      <c r="BN27" s="67" t="e">
        <f t="shared" si="34"/>
        <v>#DIV/0!</v>
      </c>
      <c r="CN27" s="7">
        <v>17</v>
      </c>
    </row>
    <row r="28" spans="1:92" s="7" customFormat="1" x14ac:dyDescent="0.25">
      <c r="A28" s="6" t="str">
        <f t="shared" si="5"/>
        <v/>
      </c>
      <c r="B28" s="43"/>
      <c r="C28" s="6"/>
      <c r="D28" s="6"/>
      <c r="E28" s="43"/>
      <c r="F28" s="44"/>
      <c r="G28" s="22"/>
      <c r="H28" s="23"/>
      <c r="I28" s="47">
        <f t="shared" si="6"/>
        <v>0</v>
      </c>
      <c r="J28" s="47">
        <f t="shared" si="7"/>
        <v>0</v>
      </c>
      <c r="K28" s="58" t="str">
        <f t="shared" si="8"/>
        <v/>
      </c>
      <c r="L28" s="58" t="str">
        <f t="shared" si="9"/>
        <v/>
      </c>
      <c r="M28" s="24"/>
      <c r="N28" s="25"/>
      <c r="O28" s="26">
        <f t="shared" si="10"/>
        <v>0</v>
      </c>
      <c r="P28" s="26">
        <f t="shared" si="11"/>
        <v>0</v>
      </c>
      <c r="Q28" s="27" t="str">
        <f t="shared" si="12"/>
        <v/>
      </c>
      <c r="R28" s="27" t="str">
        <f t="shared" si="13"/>
        <v/>
      </c>
      <c r="S28" s="29"/>
      <c r="T28" s="30"/>
      <c r="U28" s="31">
        <f t="shared" si="14"/>
        <v>0</v>
      </c>
      <c r="V28" s="31">
        <f t="shared" si="15"/>
        <v>0</v>
      </c>
      <c r="W28" s="32" t="str">
        <f t="shared" si="16"/>
        <v/>
      </c>
      <c r="X28" s="32" t="str">
        <f t="shared" si="17"/>
        <v/>
      </c>
      <c r="Y28" s="24"/>
      <c r="Z28" s="24"/>
      <c r="AA28" s="25">
        <f t="shared" si="18"/>
        <v>0</v>
      </c>
      <c r="AB28" s="26">
        <f t="shared" si="19"/>
        <v>0</v>
      </c>
      <c r="AC28" s="26" t="str">
        <f t="shared" si="20"/>
        <v/>
      </c>
      <c r="AD28" s="27" t="str">
        <f t="shared" si="21"/>
        <v/>
      </c>
      <c r="AE28" s="39" t="str">
        <f t="shared" si="22"/>
        <v/>
      </c>
      <c r="AF28" s="39" t="str">
        <f t="shared" si="23"/>
        <v/>
      </c>
      <c r="AG28" s="40" t="str">
        <f t="shared" si="24"/>
        <v/>
      </c>
      <c r="AH28" s="41" t="str">
        <f t="shared" si="0"/>
        <v/>
      </c>
      <c r="AI28" s="39" t="str">
        <f>IF(B28="","",ROUND(GEOMEAN((J28,P28,V28)),0))</f>
        <v/>
      </c>
      <c r="AJ28" s="39" t="str">
        <f>IF(B28="","",ROUND(GEOMEAN((L28,R28,X28)),0))</f>
        <v/>
      </c>
      <c r="AK28" s="40" t="str">
        <f t="shared" si="1"/>
        <v/>
      </c>
      <c r="AL28" s="40" t="str">
        <f t="shared" si="2"/>
        <v/>
      </c>
      <c r="AM28" s="42" t="e">
        <f t="shared" si="25"/>
        <v>#DIV/0!</v>
      </c>
      <c r="AN28" s="42" t="e">
        <f t="shared" si="3"/>
        <v>#DIV/0!</v>
      </c>
      <c r="AO28" s="39" t="str">
        <f t="shared" si="26"/>
        <v/>
      </c>
      <c r="AP28" s="39" t="str">
        <f t="shared" si="27"/>
        <v/>
      </c>
      <c r="AQ28" s="40" t="str">
        <f t="shared" si="28"/>
        <v/>
      </c>
      <c r="AR28" s="41" t="str">
        <f t="shared" si="29"/>
        <v/>
      </c>
      <c r="AS28" s="39" t="str">
        <f>IF(L28="","",ROUND(GEOMEAN((J28,P28,V28,AB28)),0))</f>
        <v/>
      </c>
      <c r="AT28" s="39" t="str">
        <f>IF(L28="","",ROUND(GEOMEAN((L28,R28,X28,AD28)),0))</f>
        <v/>
      </c>
      <c r="AU28" s="40" t="str">
        <f t="shared" si="30"/>
        <v/>
      </c>
      <c r="AV28" s="40" t="str">
        <f t="shared" si="31"/>
        <v/>
      </c>
      <c r="AW28" s="42">
        <f t="shared" si="32"/>
        <v>0</v>
      </c>
      <c r="AX28" s="42">
        <f t="shared" si="4"/>
        <v>0</v>
      </c>
      <c r="AY28" s="5"/>
      <c r="BC28" s="63"/>
      <c r="BD28" s="63"/>
      <c r="BE28" s="5"/>
      <c r="BF28" s="5"/>
      <c r="BG28" s="5"/>
      <c r="BH28" s="64"/>
      <c r="BI28" s="65"/>
      <c r="BJ28" s="66"/>
      <c r="BK28" s="66" t="str">
        <f t="shared" si="33"/>
        <v xml:space="preserve"> </v>
      </c>
      <c r="BL28" s="5"/>
      <c r="BM28" s="5"/>
      <c r="BN28" s="67" t="e">
        <f t="shared" si="34"/>
        <v>#DIV/0!</v>
      </c>
      <c r="CN28" s="7">
        <v>18</v>
      </c>
    </row>
    <row r="29" spans="1:92" s="7" customFormat="1" x14ac:dyDescent="0.25">
      <c r="A29" s="6" t="str">
        <f t="shared" si="5"/>
        <v/>
      </c>
      <c r="B29" s="43"/>
      <c r="C29" s="6"/>
      <c r="D29" s="6"/>
      <c r="E29" s="43"/>
      <c r="F29" s="44"/>
      <c r="G29" s="22"/>
      <c r="H29" s="23"/>
      <c r="I29" s="47">
        <f t="shared" si="6"/>
        <v>0</v>
      </c>
      <c r="J29" s="47">
        <f t="shared" si="7"/>
        <v>0</v>
      </c>
      <c r="K29" s="58" t="str">
        <f t="shared" si="8"/>
        <v/>
      </c>
      <c r="L29" s="58" t="str">
        <f t="shared" si="9"/>
        <v/>
      </c>
      <c r="M29" s="24"/>
      <c r="N29" s="25"/>
      <c r="O29" s="26">
        <f t="shared" si="10"/>
        <v>0</v>
      </c>
      <c r="P29" s="26">
        <f t="shared" si="11"/>
        <v>0</v>
      </c>
      <c r="Q29" s="27" t="str">
        <f t="shared" si="12"/>
        <v/>
      </c>
      <c r="R29" s="27" t="str">
        <f t="shared" si="13"/>
        <v/>
      </c>
      <c r="S29" s="29"/>
      <c r="T29" s="30"/>
      <c r="U29" s="31">
        <f t="shared" si="14"/>
        <v>0</v>
      </c>
      <c r="V29" s="31">
        <f t="shared" si="15"/>
        <v>0</v>
      </c>
      <c r="W29" s="32" t="str">
        <f t="shared" si="16"/>
        <v/>
      </c>
      <c r="X29" s="32" t="str">
        <f t="shared" si="17"/>
        <v/>
      </c>
      <c r="Y29" s="24"/>
      <c r="Z29" s="24"/>
      <c r="AA29" s="25">
        <f t="shared" si="18"/>
        <v>0</v>
      </c>
      <c r="AB29" s="26">
        <f t="shared" si="19"/>
        <v>0</v>
      </c>
      <c r="AC29" s="26" t="str">
        <f t="shared" si="20"/>
        <v/>
      </c>
      <c r="AD29" s="27" t="str">
        <f t="shared" si="21"/>
        <v/>
      </c>
      <c r="AE29" s="39" t="str">
        <f t="shared" si="22"/>
        <v/>
      </c>
      <c r="AF29" s="39" t="str">
        <f t="shared" si="23"/>
        <v/>
      </c>
      <c r="AG29" s="40" t="str">
        <f t="shared" si="24"/>
        <v/>
      </c>
      <c r="AH29" s="41" t="str">
        <f t="shared" si="0"/>
        <v/>
      </c>
      <c r="AI29" s="39" t="str">
        <f>IF(B29="","",ROUND(GEOMEAN((J29,P29,V29)),0))</f>
        <v/>
      </c>
      <c r="AJ29" s="39" t="str">
        <f>IF(B29="","",ROUND(GEOMEAN((L29,R29,X29)),0))</f>
        <v/>
      </c>
      <c r="AK29" s="40" t="str">
        <f t="shared" si="1"/>
        <v/>
      </c>
      <c r="AL29" s="40" t="str">
        <f t="shared" si="2"/>
        <v/>
      </c>
      <c r="AM29" s="42" t="e">
        <f t="shared" si="25"/>
        <v>#DIV/0!</v>
      </c>
      <c r="AN29" s="42" t="e">
        <f t="shared" si="3"/>
        <v>#DIV/0!</v>
      </c>
      <c r="AO29" s="39" t="str">
        <f t="shared" si="26"/>
        <v/>
      </c>
      <c r="AP29" s="39" t="str">
        <f t="shared" si="27"/>
        <v/>
      </c>
      <c r="AQ29" s="40" t="str">
        <f t="shared" si="28"/>
        <v/>
      </c>
      <c r="AR29" s="41" t="str">
        <f t="shared" si="29"/>
        <v/>
      </c>
      <c r="AS29" s="39" t="str">
        <f>IF(L29="","",ROUND(GEOMEAN((J29,P29,V29,AB29)),0))</f>
        <v/>
      </c>
      <c r="AT29" s="39" t="str">
        <f>IF(L29="","",ROUND(GEOMEAN((L29,R29,X29,AD29)),0))</f>
        <v/>
      </c>
      <c r="AU29" s="40" t="str">
        <f t="shared" si="30"/>
        <v/>
      </c>
      <c r="AV29" s="40" t="str">
        <f t="shared" si="31"/>
        <v/>
      </c>
      <c r="AW29" s="42">
        <f t="shared" si="32"/>
        <v>0</v>
      </c>
      <c r="AX29" s="42">
        <f t="shared" si="4"/>
        <v>0</v>
      </c>
      <c r="AY29" s="5"/>
      <c r="BC29" s="63"/>
      <c r="BD29" s="63"/>
      <c r="BE29" s="5"/>
      <c r="BF29" s="5"/>
      <c r="BG29" s="5"/>
      <c r="BH29" s="64"/>
      <c r="BI29" s="65"/>
      <c r="BJ29" s="66"/>
      <c r="BK29" s="66" t="str">
        <f t="shared" si="33"/>
        <v xml:space="preserve"> </v>
      </c>
      <c r="BL29" s="5"/>
      <c r="BM29" s="5"/>
      <c r="BN29" s="67" t="e">
        <f t="shared" si="34"/>
        <v>#DIV/0!</v>
      </c>
      <c r="CN29" s="7">
        <v>19</v>
      </c>
    </row>
    <row r="30" spans="1:92" s="7" customFormat="1" x14ac:dyDescent="0.25">
      <c r="A30" s="6" t="str">
        <f t="shared" si="5"/>
        <v/>
      </c>
      <c r="B30" s="43"/>
      <c r="C30" s="6"/>
      <c r="D30" s="6"/>
      <c r="E30" s="43"/>
      <c r="F30" s="44"/>
      <c r="G30" s="22"/>
      <c r="H30" s="23"/>
      <c r="I30" s="47">
        <f t="shared" si="6"/>
        <v>0</v>
      </c>
      <c r="J30" s="47">
        <f t="shared" si="7"/>
        <v>0</v>
      </c>
      <c r="K30" s="58" t="str">
        <f t="shared" si="8"/>
        <v/>
      </c>
      <c r="L30" s="58" t="str">
        <f t="shared" si="9"/>
        <v/>
      </c>
      <c r="M30" s="24"/>
      <c r="N30" s="25"/>
      <c r="O30" s="26">
        <f t="shared" si="10"/>
        <v>0</v>
      </c>
      <c r="P30" s="26">
        <f t="shared" si="11"/>
        <v>0</v>
      </c>
      <c r="Q30" s="27" t="str">
        <f t="shared" si="12"/>
        <v/>
      </c>
      <c r="R30" s="27" t="str">
        <f t="shared" si="13"/>
        <v/>
      </c>
      <c r="S30" s="29"/>
      <c r="T30" s="30"/>
      <c r="U30" s="31">
        <f t="shared" si="14"/>
        <v>0</v>
      </c>
      <c r="V30" s="31">
        <f t="shared" si="15"/>
        <v>0</v>
      </c>
      <c r="W30" s="32" t="str">
        <f t="shared" si="16"/>
        <v/>
      </c>
      <c r="X30" s="32" t="str">
        <f t="shared" si="17"/>
        <v/>
      </c>
      <c r="Y30" s="24"/>
      <c r="Z30" s="24"/>
      <c r="AA30" s="25">
        <f t="shared" si="18"/>
        <v>0</v>
      </c>
      <c r="AB30" s="26">
        <f t="shared" si="19"/>
        <v>0</v>
      </c>
      <c r="AC30" s="26" t="str">
        <f t="shared" si="20"/>
        <v/>
      </c>
      <c r="AD30" s="27" t="str">
        <f t="shared" si="21"/>
        <v/>
      </c>
      <c r="AE30" s="39" t="str">
        <f t="shared" si="22"/>
        <v/>
      </c>
      <c r="AF30" s="39" t="str">
        <f t="shared" si="23"/>
        <v/>
      </c>
      <c r="AG30" s="40" t="str">
        <f t="shared" si="24"/>
        <v/>
      </c>
      <c r="AH30" s="41" t="str">
        <f t="shared" si="0"/>
        <v/>
      </c>
      <c r="AI30" s="39" t="str">
        <f>IF(B30="","",ROUND(GEOMEAN((J30,P30,V30)),0))</f>
        <v/>
      </c>
      <c r="AJ30" s="39" t="str">
        <f>IF(B30="","",ROUND(GEOMEAN((L30,R30,X30)),0))</f>
        <v/>
      </c>
      <c r="AK30" s="40" t="str">
        <f t="shared" si="1"/>
        <v/>
      </c>
      <c r="AL30" s="40" t="str">
        <f t="shared" si="2"/>
        <v/>
      </c>
      <c r="AM30" s="42" t="e">
        <f t="shared" si="25"/>
        <v>#DIV/0!</v>
      </c>
      <c r="AN30" s="42" t="e">
        <f t="shared" si="3"/>
        <v>#DIV/0!</v>
      </c>
      <c r="AO30" s="39" t="str">
        <f t="shared" si="26"/>
        <v/>
      </c>
      <c r="AP30" s="39" t="str">
        <f t="shared" si="27"/>
        <v/>
      </c>
      <c r="AQ30" s="40" t="str">
        <f t="shared" si="28"/>
        <v/>
      </c>
      <c r="AR30" s="41" t="str">
        <f t="shared" si="29"/>
        <v/>
      </c>
      <c r="AS30" s="39" t="str">
        <f>IF(L30="","",ROUND(GEOMEAN((J30,P30,V30,AB30)),0))</f>
        <v/>
      </c>
      <c r="AT30" s="39" t="str">
        <f>IF(L30="","",ROUND(GEOMEAN((L30,R30,X30,AD30)),0))</f>
        <v/>
      </c>
      <c r="AU30" s="40" t="str">
        <f t="shared" si="30"/>
        <v/>
      </c>
      <c r="AV30" s="40" t="str">
        <f t="shared" si="31"/>
        <v/>
      </c>
      <c r="AW30" s="42">
        <f t="shared" si="32"/>
        <v>0</v>
      </c>
      <c r="AX30" s="42">
        <f t="shared" si="4"/>
        <v>0</v>
      </c>
      <c r="AY30" s="5"/>
      <c r="BC30" s="63"/>
      <c r="BD30" s="63"/>
      <c r="BE30" s="5"/>
      <c r="BF30" s="5"/>
      <c r="BG30" s="5"/>
      <c r="BH30" s="64"/>
      <c r="BI30" s="65"/>
      <c r="BJ30" s="66"/>
      <c r="BK30" s="66" t="str">
        <f t="shared" si="33"/>
        <v xml:space="preserve"> </v>
      </c>
      <c r="BL30" s="5"/>
      <c r="BM30" s="5"/>
      <c r="BN30" s="67" t="e">
        <f t="shared" si="34"/>
        <v>#DIV/0!</v>
      </c>
      <c r="CN30" s="7">
        <v>20</v>
      </c>
    </row>
    <row r="31" spans="1:92" s="7" customFormat="1" x14ac:dyDescent="0.25">
      <c r="A31" s="6" t="str">
        <f t="shared" si="5"/>
        <v/>
      </c>
      <c r="B31" s="43"/>
      <c r="C31" s="6"/>
      <c r="D31" s="6"/>
      <c r="E31" s="43"/>
      <c r="F31" s="44"/>
      <c r="G31" s="22"/>
      <c r="H31" s="23"/>
      <c r="I31" s="47">
        <f t="shared" si="6"/>
        <v>0</v>
      </c>
      <c r="J31" s="47">
        <f t="shared" si="7"/>
        <v>0</v>
      </c>
      <c r="K31" s="58" t="str">
        <f t="shared" si="8"/>
        <v/>
      </c>
      <c r="L31" s="58" t="str">
        <f t="shared" si="9"/>
        <v/>
      </c>
      <c r="M31" s="24"/>
      <c r="N31" s="25"/>
      <c r="O31" s="26">
        <f t="shared" si="10"/>
        <v>0</v>
      </c>
      <c r="P31" s="26">
        <f t="shared" si="11"/>
        <v>0</v>
      </c>
      <c r="Q31" s="27" t="str">
        <f t="shared" si="12"/>
        <v/>
      </c>
      <c r="R31" s="27" t="str">
        <f t="shared" si="13"/>
        <v/>
      </c>
      <c r="S31" s="29"/>
      <c r="T31" s="30"/>
      <c r="U31" s="31">
        <f t="shared" si="14"/>
        <v>0</v>
      </c>
      <c r="V31" s="31">
        <f t="shared" si="15"/>
        <v>0</v>
      </c>
      <c r="W31" s="32" t="str">
        <f t="shared" si="16"/>
        <v/>
      </c>
      <c r="X31" s="32" t="str">
        <f t="shared" si="17"/>
        <v/>
      </c>
      <c r="Y31" s="24"/>
      <c r="Z31" s="24"/>
      <c r="AA31" s="25">
        <f t="shared" si="18"/>
        <v>0</v>
      </c>
      <c r="AB31" s="26">
        <f t="shared" si="19"/>
        <v>0</v>
      </c>
      <c r="AC31" s="26" t="str">
        <f t="shared" si="20"/>
        <v/>
      </c>
      <c r="AD31" s="27" t="str">
        <f t="shared" si="21"/>
        <v/>
      </c>
      <c r="AE31" s="39" t="str">
        <f t="shared" si="22"/>
        <v/>
      </c>
      <c r="AF31" s="39" t="str">
        <f t="shared" si="23"/>
        <v/>
      </c>
      <c r="AG31" s="40" t="str">
        <f t="shared" si="24"/>
        <v/>
      </c>
      <c r="AH31" s="41" t="str">
        <f t="shared" si="0"/>
        <v/>
      </c>
      <c r="AI31" s="39" t="str">
        <f>IF(B31="","",ROUND(GEOMEAN((J31,P31,V31)),0))</f>
        <v/>
      </c>
      <c r="AJ31" s="39" t="str">
        <f>IF(B31="","",ROUND(GEOMEAN((L31,R31,X31)),0))</f>
        <v/>
      </c>
      <c r="AK31" s="40" t="str">
        <f t="shared" si="1"/>
        <v/>
      </c>
      <c r="AL31" s="40" t="str">
        <f t="shared" si="2"/>
        <v/>
      </c>
      <c r="AM31" s="42" t="e">
        <f t="shared" si="25"/>
        <v>#DIV/0!</v>
      </c>
      <c r="AN31" s="42" t="e">
        <f t="shared" si="3"/>
        <v>#DIV/0!</v>
      </c>
      <c r="AO31" s="39" t="str">
        <f t="shared" si="26"/>
        <v/>
      </c>
      <c r="AP31" s="39" t="str">
        <f t="shared" si="27"/>
        <v/>
      </c>
      <c r="AQ31" s="40" t="str">
        <f t="shared" si="28"/>
        <v/>
      </c>
      <c r="AR31" s="41" t="str">
        <f t="shared" si="29"/>
        <v/>
      </c>
      <c r="AS31" s="39" t="str">
        <f>IF(L31="","",ROUND(GEOMEAN((J31,P31,V31,AB31)),0))</f>
        <v/>
      </c>
      <c r="AT31" s="39" t="str">
        <f>IF(L31="","",ROUND(GEOMEAN((L31,R31,X31,AD31)),0))</f>
        <v/>
      </c>
      <c r="AU31" s="40" t="str">
        <f t="shared" si="30"/>
        <v/>
      </c>
      <c r="AV31" s="40" t="str">
        <f t="shared" si="31"/>
        <v/>
      </c>
      <c r="AW31" s="42">
        <f t="shared" si="32"/>
        <v>0</v>
      </c>
      <c r="AX31" s="42">
        <f t="shared" si="4"/>
        <v>0</v>
      </c>
      <c r="AY31" s="5"/>
      <c r="BC31" s="63"/>
      <c r="BD31" s="63"/>
      <c r="BE31" s="5"/>
      <c r="BF31" s="5"/>
      <c r="BG31" s="5"/>
      <c r="BH31" s="64"/>
      <c r="BI31" s="65"/>
      <c r="BJ31" s="66"/>
      <c r="BK31" s="66" t="str">
        <f t="shared" si="33"/>
        <v xml:space="preserve"> </v>
      </c>
      <c r="BL31" s="5"/>
      <c r="BM31" s="5"/>
      <c r="BN31" s="67" t="e">
        <f t="shared" si="34"/>
        <v>#DIV/0!</v>
      </c>
      <c r="CN31" s="7">
        <v>21</v>
      </c>
    </row>
    <row r="32" spans="1:92" s="7" customFormat="1" x14ac:dyDescent="0.25">
      <c r="A32" s="6" t="str">
        <f t="shared" si="5"/>
        <v/>
      </c>
      <c r="B32" s="43"/>
      <c r="C32" s="6"/>
      <c r="D32" s="6"/>
      <c r="E32" s="43"/>
      <c r="F32" s="44"/>
      <c r="G32" s="22"/>
      <c r="H32" s="23"/>
      <c r="I32" s="47">
        <f t="shared" si="6"/>
        <v>0</v>
      </c>
      <c r="J32" s="47">
        <f t="shared" si="7"/>
        <v>0</v>
      </c>
      <c r="K32" s="58" t="str">
        <f t="shared" si="8"/>
        <v/>
      </c>
      <c r="L32" s="58" t="str">
        <f t="shared" si="9"/>
        <v/>
      </c>
      <c r="M32" s="24"/>
      <c r="N32" s="25"/>
      <c r="O32" s="26">
        <f t="shared" si="10"/>
        <v>0</v>
      </c>
      <c r="P32" s="26">
        <f t="shared" si="11"/>
        <v>0</v>
      </c>
      <c r="Q32" s="27" t="str">
        <f t="shared" si="12"/>
        <v/>
      </c>
      <c r="R32" s="27" t="str">
        <f t="shared" si="13"/>
        <v/>
      </c>
      <c r="S32" s="29"/>
      <c r="T32" s="30"/>
      <c r="U32" s="31">
        <f t="shared" si="14"/>
        <v>0</v>
      </c>
      <c r="V32" s="31">
        <f t="shared" si="15"/>
        <v>0</v>
      </c>
      <c r="W32" s="32" t="str">
        <f t="shared" si="16"/>
        <v/>
      </c>
      <c r="X32" s="32" t="str">
        <f t="shared" si="17"/>
        <v/>
      </c>
      <c r="Y32" s="24"/>
      <c r="Z32" s="24"/>
      <c r="AA32" s="25">
        <f t="shared" si="18"/>
        <v>0</v>
      </c>
      <c r="AB32" s="26">
        <f t="shared" si="19"/>
        <v>0</v>
      </c>
      <c r="AC32" s="26" t="str">
        <f t="shared" si="20"/>
        <v/>
      </c>
      <c r="AD32" s="27" t="str">
        <f t="shared" si="21"/>
        <v/>
      </c>
      <c r="AE32" s="39" t="str">
        <f t="shared" si="22"/>
        <v/>
      </c>
      <c r="AF32" s="39" t="str">
        <f t="shared" si="23"/>
        <v/>
      </c>
      <c r="AG32" s="40" t="str">
        <f t="shared" si="24"/>
        <v/>
      </c>
      <c r="AH32" s="41" t="str">
        <f t="shared" si="0"/>
        <v/>
      </c>
      <c r="AI32" s="39" t="str">
        <f>IF(B32="","",ROUND(GEOMEAN((J32,P32,V32)),0))</f>
        <v/>
      </c>
      <c r="AJ32" s="39" t="str">
        <f>IF(B32="","",ROUND(GEOMEAN((L32,R32,X32)),0))</f>
        <v/>
      </c>
      <c r="AK32" s="40" t="str">
        <f t="shared" si="1"/>
        <v/>
      </c>
      <c r="AL32" s="40" t="str">
        <f t="shared" si="2"/>
        <v/>
      </c>
      <c r="AM32" s="42" t="e">
        <f t="shared" si="25"/>
        <v>#DIV/0!</v>
      </c>
      <c r="AN32" s="42" t="e">
        <f t="shared" si="3"/>
        <v>#DIV/0!</v>
      </c>
      <c r="AO32" s="39" t="str">
        <f t="shared" si="26"/>
        <v/>
      </c>
      <c r="AP32" s="39" t="str">
        <f t="shared" si="27"/>
        <v/>
      </c>
      <c r="AQ32" s="40" t="str">
        <f t="shared" si="28"/>
        <v/>
      </c>
      <c r="AR32" s="41" t="str">
        <f t="shared" si="29"/>
        <v/>
      </c>
      <c r="AS32" s="39" t="str">
        <f>IF(L32="","",ROUND(GEOMEAN((J32,P32,V32,AB32)),0))</f>
        <v/>
      </c>
      <c r="AT32" s="39" t="str">
        <f>IF(L32="","",ROUND(GEOMEAN((L32,R32,X32,AD32)),0))</f>
        <v/>
      </c>
      <c r="AU32" s="40" t="str">
        <f t="shared" si="30"/>
        <v/>
      </c>
      <c r="AV32" s="40" t="str">
        <f t="shared" si="31"/>
        <v/>
      </c>
      <c r="AW32" s="42">
        <f t="shared" si="32"/>
        <v>0</v>
      </c>
      <c r="AX32" s="42">
        <f t="shared" si="4"/>
        <v>0</v>
      </c>
      <c r="AY32" s="5"/>
      <c r="BC32" s="63"/>
      <c r="BD32" s="63"/>
      <c r="BE32" s="5"/>
      <c r="BF32" s="5"/>
      <c r="BG32" s="5"/>
      <c r="BH32" s="64"/>
      <c r="BI32" s="65"/>
      <c r="BJ32" s="66"/>
      <c r="BK32" s="66" t="str">
        <f t="shared" si="33"/>
        <v xml:space="preserve"> </v>
      </c>
      <c r="BL32" s="5"/>
      <c r="BM32" s="5"/>
      <c r="BN32" s="67" t="e">
        <f t="shared" si="34"/>
        <v>#DIV/0!</v>
      </c>
      <c r="CN32" s="7">
        <v>22</v>
      </c>
    </row>
    <row r="33" spans="1:92" s="7" customFormat="1" x14ac:dyDescent="0.25">
      <c r="A33" s="6" t="str">
        <f t="shared" si="5"/>
        <v/>
      </c>
      <c r="B33" s="43"/>
      <c r="C33" s="6"/>
      <c r="D33" s="6"/>
      <c r="E33" s="43"/>
      <c r="F33" s="44"/>
      <c r="G33" s="22"/>
      <c r="H33" s="23"/>
      <c r="I33" s="47">
        <f t="shared" si="6"/>
        <v>0</v>
      </c>
      <c r="J33" s="47">
        <f t="shared" si="7"/>
        <v>0</v>
      </c>
      <c r="K33" s="58" t="str">
        <f t="shared" si="8"/>
        <v/>
      </c>
      <c r="L33" s="58" t="str">
        <f t="shared" si="9"/>
        <v/>
      </c>
      <c r="M33" s="24"/>
      <c r="N33" s="25"/>
      <c r="O33" s="26">
        <f t="shared" si="10"/>
        <v>0</v>
      </c>
      <c r="P33" s="26">
        <f t="shared" si="11"/>
        <v>0</v>
      </c>
      <c r="Q33" s="27" t="str">
        <f t="shared" si="12"/>
        <v/>
      </c>
      <c r="R33" s="27" t="str">
        <f t="shared" si="13"/>
        <v/>
      </c>
      <c r="S33" s="29"/>
      <c r="T33" s="30"/>
      <c r="U33" s="31">
        <f t="shared" si="14"/>
        <v>0</v>
      </c>
      <c r="V33" s="31">
        <f t="shared" si="15"/>
        <v>0</v>
      </c>
      <c r="W33" s="32" t="str">
        <f t="shared" si="16"/>
        <v/>
      </c>
      <c r="X33" s="32" t="str">
        <f t="shared" si="17"/>
        <v/>
      </c>
      <c r="Y33" s="24"/>
      <c r="Z33" s="24"/>
      <c r="AA33" s="25">
        <f t="shared" si="18"/>
        <v>0</v>
      </c>
      <c r="AB33" s="26">
        <f t="shared" si="19"/>
        <v>0</v>
      </c>
      <c r="AC33" s="26" t="str">
        <f t="shared" si="20"/>
        <v/>
      </c>
      <c r="AD33" s="27" t="str">
        <f t="shared" si="21"/>
        <v/>
      </c>
      <c r="AE33" s="39" t="str">
        <f t="shared" si="22"/>
        <v/>
      </c>
      <c r="AF33" s="39" t="str">
        <f t="shared" si="23"/>
        <v/>
      </c>
      <c r="AG33" s="40" t="str">
        <f t="shared" si="24"/>
        <v/>
      </c>
      <c r="AH33" s="41" t="str">
        <f t="shared" si="0"/>
        <v/>
      </c>
      <c r="AI33" s="39" t="str">
        <f>IF(B33="","",ROUND(GEOMEAN((J33,P33,V33)),0))</f>
        <v/>
      </c>
      <c r="AJ33" s="39" t="str">
        <f>IF(B33="","",ROUND(GEOMEAN((L33,R33,X33)),0))</f>
        <v/>
      </c>
      <c r="AK33" s="40" t="str">
        <f t="shared" si="1"/>
        <v/>
      </c>
      <c r="AL33" s="40" t="str">
        <f t="shared" si="2"/>
        <v/>
      </c>
      <c r="AM33" s="42" t="e">
        <f t="shared" si="25"/>
        <v>#DIV/0!</v>
      </c>
      <c r="AN33" s="42" t="e">
        <f t="shared" si="3"/>
        <v>#DIV/0!</v>
      </c>
      <c r="AO33" s="39" t="str">
        <f t="shared" si="26"/>
        <v/>
      </c>
      <c r="AP33" s="39" t="str">
        <f t="shared" si="27"/>
        <v/>
      </c>
      <c r="AQ33" s="40" t="str">
        <f t="shared" si="28"/>
        <v/>
      </c>
      <c r="AR33" s="41" t="str">
        <f t="shared" si="29"/>
        <v/>
      </c>
      <c r="AS33" s="39" t="str">
        <f>IF(L33="","",ROUND(GEOMEAN((J33,P33,V33,AB33)),0))</f>
        <v/>
      </c>
      <c r="AT33" s="39" t="str">
        <f>IF(L33="","",ROUND(GEOMEAN((L33,R33,X33,AD33)),0))</f>
        <v/>
      </c>
      <c r="AU33" s="40" t="str">
        <f t="shared" si="30"/>
        <v/>
      </c>
      <c r="AV33" s="40" t="str">
        <f t="shared" si="31"/>
        <v/>
      </c>
      <c r="AW33" s="42">
        <f t="shared" si="32"/>
        <v>0</v>
      </c>
      <c r="AX33" s="42">
        <f t="shared" si="4"/>
        <v>0</v>
      </c>
      <c r="AY33" s="5"/>
      <c r="BC33" s="63"/>
      <c r="BD33" s="63"/>
      <c r="BE33" s="5"/>
      <c r="BF33" s="5"/>
      <c r="BG33" s="5"/>
      <c r="BH33" s="64"/>
      <c r="BI33" s="65"/>
      <c r="BJ33" s="66"/>
      <c r="BK33" s="66" t="str">
        <f t="shared" si="33"/>
        <v xml:space="preserve"> </v>
      </c>
      <c r="BL33" s="5"/>
      <c r="BM33" s="5"/>
      <c r="BN33" s="67" t="e">
        <f t="shared" si="34"/>
        <v>#DIV/0!</v>
      </c>
      <c r="CN33" s="7">
        <v>23</v>
      </c>
    </row>
    <row r="34" spans="1:92" s="7" customFormat="1" x14ac:dyDescent="0.25">
      <c r="A34" s="6" t="str">
        <f t="shared" si="5"/>
        <v/>
      </c>
      <c r="B34" s="43"/>
      <c r="C34" s="6"/>
      <c r="D34" s="6"/>
      <c r="E34" s="43"/>
      <c r="F34" s="44"/>
      <c r="G34" s="22"/>
      <c r="H34" s="23"/>
      <c r="I34" s="47">
        <f t="shared" si="6"/>
        <v>0</v>
      </c>
      <c r="J34" s="47">
        <f t="shared" si="7"/>
        <v>0</v>
      </c>
      <c r="K34" s="58" t="str">
        <f t="shared" si="8"/>
        <v/>
      </c>
      <c r="L34" s="58" t="str">
        <f t="shared" si="9"/>
        <v/>
      </c>
      <c r="M34" s="24"/>
      <c r="N34" s="25"/>
      <c r="O34" s="26">
        <f t="shared" si="10"/>
        <v>0</v>
      </c>
      <c r="P34" s="26">
        <f t="shared" si="11"/>
        <v>0</v>
      </c>
      <c r="Q34" s="27" t="str">
        <f t="shared" si="12"/>
        <v/>
      </c>
      <c r="R34" s="27" t="str">
        <f t="shared" si="13"/>
        <v/>
      </c>
      <c r="S34" s="29"/>
      <c r="T34" s="30"/>
      <c r="U34" s="31">
        <f t="shared" si="14"/>
        <v>0</v>
      </c>
      <c r="V34" s="31">
        <f t="shared" si="15"/>
        <v>0</v>
      </c>
      <c r="W34" s="32" t="str">
        <f t="shared" si="16"/>
        <v/>
      </c>
      <c r="X34" s="32" t="str">
        <f t="shared" si="17"/>
        <v/>
      </c>
      <c r="Y34" s="24"/>
      <c r="Z34" s="24"/>
      <c r="AA34" s="25">
        <f t="shared" si="18"/>
        <v>0</v>
      </c>
      <c r="AB34" s="26">
        <f t="shared" si="19"/>
        <v>0</v>
      </c>
      <c r="AC34" s="26" t="str">
        <f t="shared" si="20"/>
        <v/>
      </c>
      <c r="AD34" s="27" t="str">
        <f t="shared" si="21"/>
        <v/>
      </c>
      <c r="AE34" s="39" t="str">
        <f t="shared" si="22"/>
        <v/>
      </c>
      <c r="AF34" s="39" t="str">
        <f t="shared" si="23"/>
        <v/>
      </c>
      <c r="AG34" s="40" t="str">
        <f t="shared" si="24"/>
        <v/>
      </c>
      <c r="AH34" s="41" t="str">
        <f t="shared" si="0"/>
        <v/>
      </c>
      <c r="AI34" s="39" t="str">
        <f>IF(B34="","",ROUND(GEOMEAN((J34,P34,V34)),0))</f>
        <v/>
      </c>
      <c r="AJ34" s="39" t="str">
        <f>IF(B34="","",ROUND(GEOMEAN((L34,R34,X34)),0))</f>
        <v/>
      </c>
      <c r="AK34" s="40" t="str">
        <f t="shared" si="1"/>
        <v/>
      </c>
      <c r="AL34" s="40" t="str">
        <f t="shared" si="2"/>
        <v/>
      </c>
      <c r="AM34" s="42" t="e">
        <f t="shared" si="25"/>
        <v>#DIV/0!</v>
      </c>
      <c r="AN34" s="42" t="e">
        <f t="shared" si="3"/>
        <v>#DIV/0!</v>
      </c>
      <c r="AO34" s="39" t="str">
        <f t="shared" si="26"/>
        <v/>
      </c>
      <c r="AP34" s="39" t="str">
        <f t="shared" si="27"/>
        <v/>
      </c>
      <c r="AQ34" s="40" t="str">
        <f t="shared" si="28"/>
        <v/>
      </c>
      <c r="AR34" s="41" t="str">
        <f t="shared" si="29"/>
        <v/>
      </c>
      <c r="AS34" s="39" t="str">
        <f>IF(L34="","",ROUND(GEOMEAN((J34,P34,V34,AB34)),0))</f>
        <v/>
      </c>
      <c r="AT34" s="39" t="str">
        <f>IF(L34="","",ROUND(GEOMEAN((L34,R34,X34,AD34)),0))</f>
        <v/>
      </c>
      <c r="AU34" s="40" t="str">
        <f t="shared" si="30"/>
        <v/>
      </c>
      <c r="AV34" s="40" t="str">
        <f t="shared" si="31"/>
        <v/>
      </c>
      <c r="AW34" s="42">
        <f t="shared" si="32"/>
        <v>0</v>
      </c>
      <c r="AX34" s="42">
        <f t="shared" si="4"/>
        <v>0</v>
      </c>
      <c r="AY34" s="5"/>
      <c r="BC34" s="63"/>
      <c r="BD34" s="63"/>
      <c r="BE34" s="5"/>
      <c r="BF34" s="5"/>
      <c r="BG34" s="5"/>
      <c r="BH34" s="64"/>
      <c r="BI34" s="65"/>
      <c r="BJ34" s="66"/>
      <c r="BK34" s="66" t="str">
        <f t="shared" si="33"/>
        <v xml:space="preserve"> </v>
      </c>
      <c r="BL34" s="5"/>
      <c r="BM34" s="5"/>
      <c r="BN34" s="67" t="e">
        <f t="shared" si="34"/>
        <v>#DIV/0!</v>
      </c>
      <c r="CN34" s="7">
        <v>24</v>
      </c>
    </row>
    <row r="35" spans="1:92" s="7" customFormat="1" x14ac:dyDescent="0.25">
      <c r="A35" s="6" t="str">
        <f t="shared" si="5"/>
        <v/>
      </c>
      <c r="B35" s="43"/>
      <c r="C35" s="6"/>
      <c r="D35" s="6"/>
      <c r="E35" s="43"/>
      <c r="F35" s="44"/>
      <c r="G35" s="22"/>
      <c r="H35" s="23"/>
      <c r="I35" s="47">
        <f t="shared" si="6"/>
        <v>0</v>
      </c>
      <c r="J35" s="47">
        <f t="shared" si="7"/>
        <v>0</v>
      </c>
      <c r="K35" s="58" t="str">
        <f t="shared" si="8"/>
        <v/>
      </c>
      <c r="L35" s="58" t="str">
        <f t="shared" si="9"/>
        <v/>
      </c>
      <c r="M35" s="24"/>
      <c r="N35" s="25"/>
      <c r="O35" s="26">
        <f t="shared" si="10"/>
        <v>0</v>
      </c>
      <c r="P35" s="26">
        <f t="shared" si="11"/>
        <v>0</v>
      </c>
      <c r="Q35" s="27" t="str">
        <f t="shared" si="12"/>
        <v/>
      </c>
      <c r="R35" s="27" t="str">
        <f t="shared" si="13"/>
        <v/>
      </c>
      <c r="S35" s="29"/>
      <c r="T35" s="30"/>
      <c r="U35" s="31">
        <f t="shared" si="14"/>
        <v>0</v>
      </c>
      <c r="V35" s="31">
        <f t="shared" si="15"/>
        <v>0</v>
      </c>
      <c r="W35" s="32" t="str">
        <f t="shared" si="16"/>
        <v/>
      </c>
      <c r="X35" s="32" t="str">
        <f t="shared" si="17"/>
        <v/>
      </c>
      <c r="Y35" s="24"/>
      <c r="Z35" s="24"/>
      <c r="AA35" s="25">
        <f t="shared" si="18"/>
        <v>0</v>
      </c>
      <c r="AB35" s="26">
        <f t="shared" si="19"/>
        <v>0</v>
      </c>
      <c r="AC35" s="26" t="str">
        <f t="shared" si="20"/>
        <v/>
      </c>
      <c r="AD35" s="27" t="str">
        <f t="shared" si="21"/>
        <v/>
      </c>
      <c r="AE35" s="39" t="str">
        <f t="shared" si="22"/>
        <v/>
      </c>
      <c r="AF35" s="39" t="str">
        <f t="shared" si="23"/>
        <v/>
      </c>
      <c r="AG35" s="40" t="str">
        <f t="shared" si="24"/>
        <v/>
      </c>
      <c r="AH35" s="41" t="str">
        <f t="shared" si="0"/>
        <v/>
      </c>
      <c r="AI35" s="39" t="str">
        <f>IF(B35="","",ROUND(GEOMEAN((J35,P35,V35)),0))</f>
        <v/>
      </c>
      <c r="AJ35" s="39" t="str">
        <f>IF(B35="","",ROUND(GEOMEAN((L35,R35,X35)),0))</f>
        <v/>
      </c>
      <c r="AK35" s="40" t="str">
        <f t="shared" si="1"/>
        <v/>
      </c>
      <c r="AL35" s="40" t="str">
        <f t="shared" si="2"/>
        <v/>
      </c>
      <c r="AM35" s="42" t="e">
        <f t="shared" si="25"/>
        <v>#DIV/0!</v>
      </c>
      <c r="AN35" s="42" t="e">
        <f t="shared" si="3"/>
        <v>#DIV/0!</v>
      </c>
      <c r="AO35" s="39" t="str">
        <f t="shared" si="26"/>
        <v/>
      </c>
      <c r="AP35" s="39" t="str">
        <f t="shared" si="27"/>
        <v/>
      </c>
      <c r="AQ35" s="40" t="str">
        <f t="shared" si="28"/>
        <v/>
      </c>
      <c r="AR35" s="41" t="str">
        <f t="shared" si="29"/>
        <v/>
      </c>
      <c r="AS35" s="39" t="str">
        <f>IF(L35="","",ROUND(GEOMEAN((J35,P35,V35,AB35)),0))</f>
        <v/>
      </c>
      <c r="AT35" s="39" t="str">
        <f>IF(L35="","",ROUND(GEOMEAN((L35,R35,X35,AD35)),0))</f>
        <v/>
      </c>
      <c r="AU35" s="40" t="str">
        <f t="shared" si="30"/>
        <v/>
      </c>
      <c r="AV35" s="40" t="str">
        <f t="shared" si="31"/>
        <v/>
      </c>
      <c r="AW35" s="42">
        <f t="shared" si="32"/>
        <v>0</v>
      </c>
      <c r="AX35" s="42">
        <f t="shared" si="4"/>
        <v>0</v>
      </c>
      <c r="AY35" s="5"/>
      <c r="BC35" s="63"/>
      <c r="BD35" s="63"/>
      <c r="BE35" s="5"/>
      <c r="BF35" s="5"/>
      <c r="BG35" s="5"/>
      <c r="BH35" s="64"/>
      <c r="BI35" s="65"/>
      <c r="BJ35" s="66"/>
      <c r="BK35" s="66" t="str">
        <f t="shared" si="33"/>
        <v xml:space="preserve"> </v>
      </c>
      <c r="BL35" s="5"/>
      <c r="BM35" s="5"/>
      <c r="BN35" s="67" t="e">
        <f t="shared" si="34"/>
        <v>#DIV/0!</v>
      </c>
      <c r="CN35" s="7">
        <v>25</v>
      </c>
    </row>
    <row r="36" spans="1:92" s="7" customFormat="1" x14ac:dyDescent="0.25">
      <c r="A36" s="6" t="str">
        <f t="shared" si="5"/>
        <v/>
      </c>
      <c r="B36" s="43"/>
      <c r="C36" s="6"/>
      <c r="D36" s="6"/>
      <c r="E36" s="43"/>
      <c r="F36" s="44"/>
      <c r="G36" s="22"/>
      <c r="H36" s="23"/>
      <c r="I36" s="47">
        <f t="shared" si="6"/>
        <v>0</v>
      </c>
      <c r="J36" s="47">
        <f t="shared" si="7"/>
        <v>0</v>
      </c>
      <c r="K36" s="58" t="str">
        <f t="shared" si="8"/>
        <v/>
      </c>
      <c r="L36" s="58" t="str">
        <f t="shared" si="9"/>
        <v/>
      </c>
      <c r="M36" s="24"/>
      <c r="N36" s="25"/>
      <c r="O36" s="26">
        <f t="shared" si="10"/>
        <v>0</v>
      </c>
      <c r="P36" s="26">
        <f t="shared" si="11"/>
        <v>0</v>
      </c>
      <c r="Q36" s="27" t="str">
        <f t="shared" si="12"/>
        <v/>
      </c>
      <c r="R36" s="27" t="str">
        <f t="shared" si="13"/>
        <v/>
      </c>
      <c r="S36" s="29"/>
      <c r="T36" s="30"/>
      <c r="U36" s="31">
        <f t="shared" si="14"/>
        <v>0</v>
      </c>
      <c r="V36" s="31">
        <f t="shared" si="15"/>
        <v>0</v>
      </c>
      <c r="W36" s="32" t="str">
        <f t="shared" si="16"/>
        <v/>
      </c>
      <c r="X36" s="32" t="str">
        <f t="shared" si="17"/>
        <v/>
      </c>
      <c r="Y36" s="24"/>
      <c r="Z36" s="24"/>
      <c r="AA36" s="25">
        <f t="shared" si="18"/>
        <v>0</v>
      </c>
      <c r="AB36" s="26">
        <f t="shared" si="19"/>
        <v>0</v>
      </c>
      <c r="AC36" s="26" t="str">
        <f t="shared" si="20"/>
        <v/>
      </c>
      <c r="AD36" s="27" t="str">
        <f t="shared" si="21"/>
        <v/>
      </c>
      <c r="AE36" s="39" t="str">
        <f t="shared" si="22"/>
        <v/>
      </c>
      <c r="AF36" s="39" t="str">
        <f t="shared" si="23"/>
        <v/>
      </c>
      <c r="AG36" s="40" t="str">
        <f t="shared" si="24"/>
        <v/>
      </c>
      <c r="AH36" s="41" t="str">
        <f t="shared" si="0"/>
        <v/>
      </c>
      <c r="AI36" s="39" t="str">
        <f>IF(B36="","",ROUND(GEOMEAN((J36,P36,V36)),0))</f>
        <v/>
      </c>
      <c r="AJ36" s="39" t="str">
        <f>IF(B36="","",ROUND(GEOMEAN((L36,R36,X36)),0))</f>
        <v/>
      </c>
      <c r="AK36" s="40" t="str">
        <f t="shared" si="1"/>
        <v/>
      </c>
      <c r="AL36" s="40" t="str">
        <f t="shared" si="2"/>
        <v/>
      </c>
      <c r="AM36" s="42" t="e">
        <f t="shared" si="25"/>
        <v>#DIV/0!</v>
      </c>
      <c r="AN36" s="42" t="e">
        <f t="shared" si="3"/>
        <v>#DIV/0!</v>
      </c>
      <c r="AO36" s="39" t="str">
        <f t="shared" si="26"/>
        <v/>
      </c>
      <c r="AP36" s="39" t="str">
        <f t="shared" si="27"/>
        <v/>
      </c>
      <c r="AQ36" s="40" t="str">
        <f t="shared" si="28"/>
        <v/>
      </c>
      <c r="AR36" s="41" t="str">
        <f t="shared" si="29"/>
        <v/>
      </c>
      <c r="AS36" s="39" t="str">
        <f>IF(L36="","",ROUND(GEOMEAN((J36,P36,V36,AB36)),0))</f>
        <v/>
      </c>
      <c r="AT36" s="39" t="str">
        <f>IF(L36="","",ROUND(GEOMEAN((L36,R36,X36,AD36)),0))</f>
        <v/>
      </c>
      <c r="AU36" s="40" t="str">
        <f t="shared" si="30"/>
        <v/>
      </c>
      <c r="AV36" s="40" t="str">
        <f t="shared" si="31"/>
        <v/>
      </c>
      <c r="AW36" s="42">
        <f t="shared" si="32"/>
        <v>0</v>
      </c>
      <c r="AX36" s="42">
        <f t="shared" si="4"/>
        <v>0</v>
      </c>
      <c r="AY36" s="5"/>
      <c r="BC36" s="63"/>
      <c r="BD36" s="63"/>
      <c r="BE36" s="5"/>
      <c r="BF36" s="5"/>
      <c r="BG36" s="5"/>
      <c r="BH36" s="64"/>
      <c r="BI36" s="65"/>
      <c r="BJ36" s="66"/>
      <c r="BK36" s="66" t="str">
        <f t="shared" si="33"/>
        <v xml:space="preserve"> </v>
      </c>
      <c r="BL36" s="5"/>
      <c r="BM36" s="5"/>
      <c r="BN36" s="67" t="e">
        <f t="shared" si="34"/>
        <v>#DIV/0!</v>
      </c>
      <c r="CN36" s="7">
        <v>26</v>
      </c>
    </row>
    <row r="37" spans="1:92" s="7" customFormat="1" x14ac:dyDescent="0.25">
      <c r="A37" s="6" t="str">
        <f t="shared" si="5"/>
        <v/>
      </c>
      <c r="B37" s="43"/>
      <c r="C37" s="6"/>
      <c r="D37" s="6"/>
      <c r="E37" s="43"/>
      <c r="F37" s="44"/>
      <c r="G37" s="22"/>
      <c r="H37" s="23"/>
      <c r="I37" s="47">
        <f t="shared" si="6"/>
        <v>0</v>
      </c>
      <c r="J37" s="47">
        <f t="shared" si="7"/>
        <v>0</v>
      </c>
      <c r="K37" s="58" t="str">
        <f t="shared" si="8"/>
        <v/>
      </c>
      <c r="L37" s="58" t="str">
        <f t="shared" si="9"/>
        <v/>
      </c>
      <c r="M37" s="24"/>
      <c r="N37" s="25"/>
      <c r="O37" s="26">
        <f t="shared" si="10"/>
        <v>0</v>
      </c>
      <c r="P37" s="26">
        <f t="shared" si="11"/>
        <v>0</v>
      </c>
      <c r="Q37" s="27" t="str">
        <f t="shared" si="12"/>
        <v/>
      </c>
      <c r="R37" s="27" t="str">
        <f t="shared" si="13"/>
        <v/>
      </c>
      <c r="S37" s="29"/>
      <c r="T37" s="30"/>
      <c r="U37" s="31">
        <f t="shared" si="14"/>
        <v>0</v>
      </c>
      <c r="V37" s="31">
        <f t="shared" si="15"/>
        <v>0</v>
      </c>
      <c r="W37" s="32" t="str">
        <f t="shared" si="16"/>
        <v/>
      </c>
      <c r="X37" s="32" t="str">
        <f t="shared" si="17"/>
        <v/>
      </c>
      <c r="Y37" s="24"/>
      <c r="Z37" s="24"/>
      <c r="AA37" s="25">
        <f t="shared" si="18"/>
        <v>0</v>
      </c>
      <c r="AB37" s="26">
        <f t="shared" si="19"/>
        <v>0</v>
      </c>
      <c r="AC37" s="26" t="str">
        <f t="shared" si="20"/>
        <v/>
      </c>
      <c r="AD37" s="27" t="str">
        <f t="shared" si="21"/>
        <v/>
      </c>
      <c r="AE37" s="39" t="str">
        <f t="shared" si="22"/>
        <v/>
      </c>
      <c r="AF37" s="39" t="str">
        <f t="shared" si="23"/>
        <v/>
      </c>
      <c r="AG37" s="40" t="str">
        <f t="shared" si="24"/>
        <v/>
      </c>
      <c r="AH37" s="41" t="str">
        <f t="shared" si="0"/>
        <v/>
      </c>
      <c r="AI37" s="39" t="str">
        <f>IF(B37="","",ROUND(GEOMEAN((J37,P37,V37)),0))</f>
        <v/>
      </c>
      <c r="AJ37" s="39" t="str">
        <f>IF(B37="","",ROUND(GEOMEAN((L37,R37,X37)),0))</f>
        <v/>
      </c>
      <c r="AK37" s="40" t="str">
        <f t="shared" si="1"/>
        <v/>
      </c>
      <c r="AL37" s="40" t="str">
        <f t="shared" si="2"/>
        <v/>
      </c>
      <c r="AM37" s="42" t="e">
        <f t="shared" si="25"/>
        <v>#DIV/0!</v>
      </c>
      <c r="AN37" s="42" t="e">
        <f t="shared" si="3"/>
        <v>#DIV/0!</v>
      </c>
      <c r="AO37" s="39" t="str">
        <f t="shared" si="26"/>
        <v/>
      </c>
      <c r="AP37" s="39" t="str">
        <f t="shared" si="27"/>
        <v/>
      </c>
      <c r="AQ37" s="40" t="str">
        <f t="shared" si="28"/>
        <v/>
      </c>
      <c r="AR37" s="41" t="str">
        <f t="shared" si="29"/>
        <v/>
      </c>
      <c r="AS37" s="39" t="str">
        <f>IF(L37="","",ROUND(GEOMEAN((J37,P37,V37,AB37)),0))</f>
        <v/>
      </c>
      <c r="AT37" s="39" t="str">
        <f>IF(L37="","",ROUND(GEOMEAN((L37,R37,X37,AD37)),0))</f>
        <v/>
      </c>
      <c r="AU37" s="40" t="str">
        <f t="shared" si="30"/>
        <v/>
      </c>
      <c r="AV37" s="40" t="str">
        <f t="shared" si="31"/>
        <v/>
      </c>
      <c r="AW37" s="42">
        <f t="shared" si="32"/>
        <v>0</v>
      </c>
      <c r="AX37" s="42">
        <f t="shared" si="4"/>
        <v>0</v>
      </c>
      <c r="AY37" s="5"/>
      <c r="BF37" s="515" t="s">
        <v>1366</v>
      </c>
      <c r="BG37" s="515"/>
      <c r="BH37" s="515"/>
      <c r="BI37" s="515"/>
      <c r="BJ37" s="515"/>
      <c r="BK37" s="515"/>
      <c r="BL37" s="515"/>
      <c r="BM37" s="516"/>
      <c r="BN37" s="68" t="e">
        <f>SUM(BN11:BN36)</f>
        <v>#DIV/0!</v>
      </c>
      <c r="CN37" s="7">
        <v>27</v>
      </c>
    </row>
    <row r="38" spans="1:92" s="7" customFormat="1" x14ac:dyDescent="0.25">
      <c r="A38" s="6" t="str">
        <f t="shared" si="5"/>
        <v/>
      </c>
      <c r="B38" s="43"/>
      <c r="C38" s="6"/>
      <c r="D38" s="6"/>
      <c r="E38" s="43"/>
      <c r="F38" s="44"/>
      <c r="G38" s="22"/>
      <c r="H38" s="23"/>
      <c r="I38" s="47">
        <f t="shared" si="6"/>
        <v>0</v>
      </c>
      <c r="J38" s="47">
        <f t="shared" si="7"/>
        <v>0</v>
      </c>
      <c r="K38" s="58" t="str">
        <f t="shared" si="8"/>
        <v/>
      </c>
      <c r="L38" s="58" t="str">
        <f t="shared" si="9"/>
        <v/>
      </c>
      <c r="M38" s="24"/>
      <c r="N38" s="25"/>
      <c r="O38" s="26">
        <f t="shared" si="10"/>
        <v>0</v>
      </c>
      <c r="P38" s="26">
        <f t="shared" si="11"/>
        <v>0</v>
      </c>
      <c r="Q38" s="27" t="str">
        <f t="shared" si="12"/>
        <v/>
      </c>
      <c r="R38" s="27" t="str">
        <f t="shared" si="13"/>
        <v/>
      </c>
      <c r="S38" s="29"/>
      <c r="T38" s="30"/>
      <c r="U38" s="31">
        <f t="shared" si="14"/>
        <v>0</v>
      </c>
      <c r="V38" s="31">
        <f t="shared" si="15"/>
        <v>0</v>
      </c>
      <c r="W38" s="32" t="str">
        <f t="shared" si="16"/>
        <v/>
      </c>
      <c r="X38" s="32" t="str">
        <f t="shared" si="17"/>
        <v/>
      </c>
      <c r="Y38" s="24"/>
      <c r="Z38" s="24"/>
      <c r="AA38" s="25">
        <f t="shared" si="18"/>
        <v>0</v>
      </c>
      <c r="AB38" s="26">
        <f t="shared" si="19"/>
        <v>0</v>
      </c>
      <c r="AC38" s="26" t="str">
        <f t="shared" si="20"/>
        <v/>
      </c>
      <c r="AD38" s="27" t="str">
        <f t="shared" si="21"/>
        <v/>
      </c>
      <c r="AE38" s="39" t="str">
        <f t="shared" si="22"/>
        <v/>
      </c>
      <c r="AF38" s="39" t="str">
        <f t="shared" si="23"/>
        <v/>
      </c>
      <c r="AG38" s="40" t="str">
        <f t="shared" si="24"/>
        <v/>
      </c>
      <c r="AH38" s="41" t="str">
        <f t="shared" si="0"/>
        <v/>
      </c>
      <c r="AI38" s="39" t="str">
        <f>IF(B38="","",ROUND(GEOMEAN((J38,P38,V38)),0))</f>
        <v/>
      </c>
      <c r="AJ38" s="39" t="str">
        <f>IF(B38="","",ROUND(GEOMEAN((L38,R38,X38)),0))</f>
        <v/>
      </c>
      <c r="AK38" s="40" t="str">
        <f t="shared" si="1"/>
        <v/>
      </c>
      <c r="AL38" s="40" t="str">
        <f t="shared" si="2"/>
        <v/>
      </c>
      <c r="AM38" s="42" t="e">
        <f t="shared" si="25"/>
        <v>#DIV/0!</v>
      </c>
      <c r="AN38" s="42" t="e">
        <f t="shared" si="3"/>
        <v>#DIV/0!</v>
      </c>
      <c r="AO38" s="39" t="str">
        <f t="shared" si="26"/>
        <v/>
      </c>
      <c r="AP38" s="39" t="str">
        <f t="shared" si="27"/>
        <v/>
      </c>
      <c r="AQ38" s="40" t="str">
        <f t="shared" si="28"/>
        <v/>
      </c>
      <c r="AR38" s="41" t="str">
        <f t="shared" si="29"/>
        <v/>
      </c>
      <c r="AS38" s="39" t="str">
        <f>IF(L38="","",ROUND(GEOMEAN((J38,P38,V38,AB38)),0))</f>
        <v/>
      </c>
      <c r="AT38" s="39" t="str">
        <f>IF(L38="","",ROUND(GEOMEAN((L38,R38,X38,AD38)),0))</f>
        <v/>
      </c>
      <c r="AU38" s="40" t="str">
        <f t="shared" si="30"/>
        <v/>
      </c>
      <c r="AV38" s="40" t="str">
        <f t="shared" si="31"/>
        <v/>
      </c>
      <c r="AW38" s="42">
        <f t="shared" si="32"/>
        <v>0</v>
      </c>
      <c r="AX38" s="42">
        <f t="shared" si="4"/>
        <v>0</v>
      </c>
      <c r="AY38" s="5"/>
      <c r="BF38" s="10"/>
      <c r="BG38" s="10"/>
      <c r="BH38" s="10"/>
      <c r="BI38" s="10"/>
      <c r="BJ38" s="10"/>
      <c r="BK38" s="3"/>
      <c r="BL38" s="3"/>
      <c r="BM38" s="3"/>
      <c r="BN38" s="3"/>
      <c r="CN38" s="7">
        <v>28</v>
      </c>
    </row>
    <row r="39" spans="1:92" s="7" customFormat="1" x14ac:dyDescent="0.25">
      <c r="A39" s="6" t="str">
        <f t="shared" si="5"/>
        <v/>
      </c>
      <c r="B39" s="43"/>
      <c r="C39" s="6"/>
      <c r="D39" s="6"/>
      <c r="E39" s="43"/>
      <c r="F39" s="44"/>
      <c r="G39" s="22"/>
      <c r="H39" s="23"/>
      <c r="I39" s="47">
        <f t="shared" si="6"/>
        <v>0</v>
      </c>
      <c r="J39" s="47">
        <f t="shared" si="7"/>
        <v>0</v>
      </c>
      <c r="K39" s="58" t="str">
        <f t="shared" si="8"/>
        <v/>
      </c>
      <c r="L39" s="58" t="str">
        <f t="shared" si="9"/>
        <v/>
      </c>
      <c r="M39" s="24"/>
      <c r="N39" s="25"/>
      <c r="O39" s="26">
        <f t="shared" si="10"/>
        <v>0</v>
      </c>
      <c r="P39" s="26">
        <f t="shared" si="11"/>
        <v>0</v>
      </c>
      <c r="Q39" s="27" t="str">
        <f t="shared" si="12"/>
        <v/>
      </c>
      <c r="R39" s="27" t="str">
        <f t="shared" si="13"/>
        <v/>
      </c>
      <c r="S39" s="29"/>
      <c r="T39" s="30"/>
      <c r="U39" s="31">
        <f t="shared" si="14"/>
        <v>0</v>
      </c>
      <c r="V39" s="31">
        <f t="shared" si="15"/>
        <v>0</v>
      </c>
      <c r="W39" s="32" t="str">
        <f t="shared" si="16"/>
        <v/>
      </c>
      <c r="X39" s="32" t="str">
        <f t="shared" si="17"/>
        <v/>
      </c>
      <c r="Y39" s="24"/>
      <c r="Z39" s="24"/>
      <c r="AA39" s="25">
        <f t="shared" si="18"/>
        <v>0</v>
      </c>
      <c r="AB39" s="26">
        <f t="shared" si="19"/>
        <v>0</v>
      </c>
      <c r="AC39" s="26" t="str">
        <f t="shared" si="20"/>
        <v/>
      </c>
      <c r="AD39" s="27" t="str">
        <f t="shared" si="21"/>
        <v/>
      </c>
      <c r="AE39" s="39" t="str">
        <f t="shared" si="22"/>
        <v/>
      </c>
      <c r="AF39" s="39" t="str">
        <f t="shared" si="23"/>
        <v/>
      </c>
      <c r="AG39" s="40" t="str">
        <f t="shared" si="24"/>
        <v/>
      </c>
      <c r="AH39" s="41" t="str">
        <f t="shared" si="0"/>
        <v/>
      </c>
      <c r="AI39" s="39" t="str">
        <f>IF(B39="","",ROUND(GEOMEAN((J39,P39,V39)),0))</f>
        <v/>
      </c>
      <c r="AJ39" s="39" t="str">
        <f>IF(B39="","",ROUND(GEOMEAN((L39,R39,X39)),0))</f>
        <v/>
      </c>
      <c r="AK39" s="40" t="str">
        <f t="shared" si="1"/>
        <v/>
      </c>
      <c r="AL39" s="40" t="str">
        <f t="shared" si="2"/>
        <v/>
      </c>
      <c r="AM39" s="42" t="e">
        <f t="shared" si="25"/>
        <v>#DIV/0!</v>
      </c>
      <c r="AN39" s="42" t="e">
        <f t="shared" si="3"/>
        <v>#DIV/0!</v>
      </c>
      <c r="AO39" s="39" t="str">
        <f t="shared" si="26"/>
        <v/>
      </c>
      <c r="AP39" s="39" t="str">
        <f t="shared" si="27"/>
        <v/>
      </c>
      <c r="AQ39" s="40" t="str">
        <f t="shared" si="28"/>
        <v/>
      </c>
      <c r="AR39" s="41" t="str">
        <f t="shared" si="29"/>
        <v/>
      </c>
      <c r="AS39" s="39" t="str">
        <f>IF(L39="","",ROUND(GEOMEAN((J39,P39,V39,AB39)),0))</f>
        <v/>
      </c>
      <c r="AT39" s="39" t="str">
        <f>IF(L39="","",ROUND(GEOMEAN((L39,R39,X39,AD39)),0))</f>
        <v/>
      </c>
      <c r="AU39" s="40" t="str">
        <f t="shared" si="30"/>
        <v/>
      </c>
      <c r="AV39" s="40" t="str">
        <f t="shared" si="31"/>
        <v/>
      </c>
      <c r="AW39" s="42">
        <f t="shared" si="32"/>
        <v>0</v>
      </c>
      <c r="AX39" s="42">
        <f t="shared" si="4"/>
        <v>0</v>
      </c>
      <c r="AY39" s="5"/>
      <c r="BF39" s="10"/>
      <c r="BG39" s="10"/>
      <c r="BH39" s="10"/>
      <c r="BI39" s="10"/>
      <c r="BJ39" s="10"/>
      <c r="BK39" s="3"/>
      <c r="BL39" s="3"/>
      <c r="BM39" s="3"/>
      <c r="BN39" s="3"/>
      <c r="CN39" s="7">
        <v>29</v>
      </c>
    </row>
    <row r="40" spans="1:92" s="7" customFormat="1" x14ac:dyDescent="0.25">
      <c r="A40" s="6" t="str">
        <f t="shared" si="5"/>
        <v/>
      </c>
      <c r="B40" s="43"/>
      <c r="C40" s="6"/>
      <c r="D40" s="6"/>
      <c r="E40" s="43"/>
      <c r="F40" s="44"/>
      <c r="G40" s="22"/>
      <c r="H40" s="23"/>
      <c r="I40" s="47">
        <f t="shared" si="6"/>
        <v>0</v>
      </c>
      <c r="J40" s="47">
        <f t="shared" si="7"/>
        <v>0</v>
      </c>
      <c r="K40" s="58" t="str">
        <f t="shared" si="8"/>
        <v/>
      </c>
      <c r="L40" s="58" t="str">
        <f t="shared" si="9"/>
        <v/>
      </c>
      <c r="M40" s="24"/>
      <c r="N40" s="25"/>
      <c r="O40" s="26">
        <f t="shared" si="10"/>
        <v>0</v>
      </c>
      <c r="P40" s="26">
        <f t="shared" si="11"/>
        <v>0</v>
      </c>
      <c r="Q40" s="27" t="str">
        <f t="shared" si="12"/>
        <v/>
      </c>
      <c r="R40" s="27" t="str">
        <f t="shared" si="13"/>
        <v/>
      </c>
      <c r="S40" s="29"/>
      <c r="T40" s="30"/>
      <c r="U40" s="31">
        <f t="shared" si="14"/>
        <v>0</v>
      </c>
      <c r="V40" s="31">
        <f t="shared" si="15"/>
        <v>0</v>
      </c>
      <c r="W40" s="32" t="str">
        <f t="shared" si="16"/>
        <v/>
      </c>
      <c r="X40" s="32" t="str">
        <f t="shared" si="17"/>
        <v/>
      </c>
      <c r="Y40" s="24"/>
      <c r="Z40" s="24"/>
      <c r="AA40" s="25">
        <f t="shared" si="18"/>
        <v>0</v>
      </c>
      <c r="AB40" s="26">
        <f t="shared" si="19"/>
        <v>0</v>
      </c>
      <c r="AC40" s="26" t="str">
        <f t="shared" si="20"/>
        <v/>
      </c>
      <c r="AD40" s="27" t="str">
        <f t="shared" si="21"/>
        <v/>
      </c>
      <c r="AE40" s="39" t="str">
        <f t="shared" si="22"/>
        <v/>
      </c>
      <c r="AF40" s="39" t="str">
        <f t="shared" si="23"/>
        <v/>
      </c>
      <c r="AG40" s="40" t="str">
        <f t="shared" si="24"/>
        <v/>
      </c>
      <c r="AH40" s="41" t="str">
        <f t="shared" si="0"/>
        <v/>
      </c>
      <c r="AI40" s="39" t="str">
        <f>IF(B40="","",ROUND(GEOMEAN((J40,P40,V40)),0))</f>
        <v/>
      </c>
      <c r="AJ40" s="39" t="str">
        <f>IF(B40="","",ROUND(GEOMEAN((L40,R40,X40)),0))</f>
        <v/>
      </c>
      <c r="AK40" s="40" t="str">
        <f t="shared" si="1"/>
        <v/>
      </c>
      <c r="AL40" s="40" t="str">
        <f t="shared" si="2"/>
        <v/>
      </c>
      <c r="AM40" s="42" t="e">
        <f t="shared" si="25"/>
        <v>#DIV/0!</v>
      </c>
      <c r="AN40" s="42" t="e">
        <f t="shared" si="3"/>
        <v>#DIV/0!</v>
      </c>
      <c r="AO40" s="39" t="str">
        <f t="shared" si="26"/>
        <v/>
      </c>
      <c r="AP40" s="39" t="str">
        <f t="shared" si="27"/>
        <v/>
      </c>
      <c r="AQ40" s="40" t="str">
        <f t="shared" si="28"/>
        <v/>
      </c>
      <c r="AR40" s="41" t="str">
        <f t="shared" si="29"/>
        <v/>
      </c>
      <c r="AS40" s="39" t="str">
        <f>IF(L40="","",ROUND(GEOMEAN((J40,P40,V40,AB40)),0))</f>
        <v/>
      </c>
      <c r="AT40" s="39" t="str">
        <f>IF(L40="","",ROUND(GEOMEAN((L40,R40,X40,AD40)),0))</f>
        <v/>
      </c>
      <c r="AU40" s="40" t="str">
        <f t="shared" si="30"/>
        <v/>
      </c>
      <c r="AV40" s="40" t="str">
        <f t="shared" si="31"/>
        <v/>
      </c>
      <c r="AW40" s="42">
        <f t="shared" si="32"/>
        <v>0</v>
      </c>
      <c r="AX40" s="42">
        <f t="shared" si="4"/>
        <v>0</v>
      </c>
      <c r="AY40" s="5"/>
      <c r="BK40" s="3"/>
      <c r="BL40" s="3"/>
      <c r="BM40" s="3"/>
      <c r="BN40" s="3"/>
      <c r="CN40" s="7">
        <v>30</v>
      </c>
    </row>
    <row r="41" spans="1:92" s="7" customFormat="1" x14ac:dyDescent="0.25">
      <c r="A41" s="6" t="str">
        <f t="shared" si="5"/>
        <v/>
      </c>
      <c r="B41" s="43"/>
      <c r="C41" s="6"/>
      <c r="D41" s="6"/>
      <c r="E41" s="43"/>
      <c r="F41" s="44"/>
      <c r="G41" s="22"/>
      <c r="H41" s="23"/>
      <c r="I41" s="47">
        <f t="shared" si="6"/>
        <v>0</v>
      </c>
      <c r="J41" s="47">
        <f t="shared" si="7"/>
        <v>0</v>
      </c>
      <c r="K41" s="58" t="str">
        <f t="shared" si="8"/>
        <v/>
      </c>
      <c r="L41" s="58" t="str">
        <f t="shared" si="9"/>
        <v/>
      </c>
      <c r="M41" s="24"/>
      <c r="N41" s="25"/>
      <c r="O41" s="26">
        <f t="shared" si="10"/>
        <v>0</v>
      </c>
      <c r="P41" s="26">
        <f t="shared" si="11"/>
        <v>0</v>
      </c>
      <c r="Q41" s="27" t="str">
        <f t="shared" si="12"/>
        <v/>
      </c>
      <c r="R41" s="27" t="str">
        <f t="shared" si="13"/>
        <v/>
      </c>
      <c r="S41" s="29"/>
      <c r="T41" s="30"/>
      <c r="U41" s="31">
        <f t="shared" si="14"/>
        <v>0</v>
      </c>
      <c r="V41" s="31">
        <f t="shared" si="15"/>
        <v>0</v>
      </c>
      <c r="W41" s="32" t="str">
        <f t="shared" si="16"/>
        <v/>
      </c>
      <c r="X41" s="32" t="str">
        <f t="shared" si="17"/>
        <v/>
      </c>
      <c r="Y41" s="24"/>
      <c r="Z41" s="24"/>
      <c r="AA41" s="25">
        <f t="shared" si="18"/>
        <v>0</v>
      </c>
      <c r="AB41" s="26">
        <f t="shared" si="19"/>
        <v>0</v>
      </c>
      <c r="AC41" s="26" t="str">
        <f t="shared" si="20"/>
        <v/>
      </c>
      <c r="AD41" s="27" t="str">
        <f t="shared" si="21"/>
        <v/>
      </c>
      <c r="AE41" s="39" t="str">
        <f t="shared" si="22"/>
        <v/>
      </c>
      <c r="AF41" s="39" t="str">
        <f t="shared" si="23"/>
        <v/>
      </c>
      <c r="AG41" s="40" t="str">
        <f t="shared" si="24"/>
        <v/>
      </c>
      <c r="AH41" s="41" t="str">
        <f t="shared" si="0"/>
        <v/>
      </c>
      <c r="AI41" s="39" t="str">
        <f>IF(B41="","",ROUND(GEOMEAN((J41,P41,V41)),0))</f>
        <v/>
      </c>
      <c r="AJ41" s="39" t="str">
        <f>IF(B41="","",ROUND(GEOMEAN((L41,R41,X41)),0))</f>
        <v/>
      </c>
      <c r="AK41" s="40" t="str">
        <f t="shared" si="1"/>
        <v/>
      </c>
      <c r="AL41" s="40" t="str">
        <f t="shared" si="2"/>
        <v/>
      </c>
      <c r="AM41" s="42" t="e">
        <f t="shared" si="25"/>
        <v>#DIV/0!</v>
      </c>
      <c r="AN41" s="42" t="e">
        <f t="shared" si="3"/>
        <v>#DIV/0!</v>
      </c>
      <c r="AO41" s="39" t="str">
        <f t="shared" si="26"/>
        <v/>
      </c>
      <c r="AP41" s="39" t="str">
        <f t="shared" si="27"/>
        <v/>
      </c>
      <c r="AQ41" s="40" t="str">
        <f t="shared" si="28"/>
        <v/>
      </c>
      <c r="AR41" s="41" t="str">
        <f t="shared" si="29"/>
        <v/>
      </c>
      <c r="AS41" s="39" t="str">
        <f>IF(L41="","",ROUND(GEOMEAN((J41,P41,V41,AB41)),0))</f>
        <v/>
      </c>
      <c r="AT41" s="39" t="str">
        <f>IF(L41="","",ROUND(GEOMEAN((L41,R41,X41,AD41)),0))</f>
        <v/>
      </c>
      <c r="AU41" s="40" t="str">
        <f t="shared" si="30"/>
        <v/>
      </c>
      <c r="AV41" s="40" t="str">
        <f t="shared" si="31"/>
        <v/>
      </c>
      <c r="AW41" s="42">
        <f t="shared" si="32"/>
        <v>0</v>
      </c>
      <c r="AX41" s="42">
        <f t="shared" si="4"/>
        <v>0</v>
      </c>
      <c r="AY41" s="5"/>
      <c r="CN41" s="7">
        <v>31</v>
      </c>
    </row>
    <row r="42" spans="1:92" s="7" customFormat="1" x14ac:dyDescent="0.25">
      <c r="A42" s="6" t="str">
        <f t="shared" si="5"/>
        <v/>
      </c>
      <c r="B42" s="43"/>
      <c r="C42" s="6"/>
      <c r="D42" s="6"/>
      <c r="E42" s="43"/>
      <c r="F42" s="44"/>
      <c r="G42" s="22"/>
      <c r="H42" s="23"/>
      <c r="I42" s="47">
        <f t="shared" si="6"/>
        <v>0</v>
      </c>
      <c r="J42" s="47">
        <f t="shared" si="7"/>
        <v>0</v>
      </c>
      <c r="K42" s="58" t="str">
        <f t="shared" si="8"/>
        <v/>
      </c>
      <c r="L42" s="58" t="str">
        <f t="shared" si="9"/>
        <v/>
      </c>
      <c r="M42" s="24"/>
      <c r="N42" s="25"/>
      <c r="O42" s="26">
        <f t="shared" si="10"/>
        <v>0</v>
      </c>
      <c r="P42" s="26">
        <f t="shared" si="11"/>
        <v>0</v>
      </c>
      <c r="Q42" s="27" t="str">
        <f t="shared" si="12"/>
        <v/>
      </c>
      <c r="R42" s="27" t="str">
        <f t="shared" si="13"/>
        <v/>
      </c>
      <c r="S42" s="29"/>
      <c r="T42" s="30"/>
      <c r="U42" s="31">
        <f t="shared" si="14"/>
        <v>0</v>
      </c>
      <c r="V42" s="31">
        <f t="shared" si="15"/>
        <v>0</v>
      </c>
      <c r="W42" s="32" t="str">
        <f t="shared" si="16"/>
        <v/>
      </c>
      <c r="X42" s="32" t="str">
        <f t="shared" si="17"/>
        <v/>
      </c>
      <c r="Y42" s="24"/>
      <c r="Z42" s="24"/>
      <c r="AA42" s="25">
        <f t="shared" si="18"/>
        <v>0</v>
      </c>
      <c r="AB42" s="26">
        <f t="shared" si="19"/>
        <v>0</v>
      </c>
      <c r="AC42" s="26" t="str">
        <f t="shared" si="20"/>
        <v/>
      </c>
      <c r="AD42" s="27" t="str">
        <f t="shared" si="21"/>
        <v/>
      </c>
      <c r="AE42" s="39" t="str">
        <f t="shared" si="22"/>
        <v/>
      </c>
      <c r="AF42" s="39" t="str">
        <f t="shared" si="23"/>
        <v/>
      </c>
      <c r="AG42" s="40" t="str">
        <f t="shared" si="24"/>
        <v/>
      </c>
      <c r="AH42" s="41" t="str">
        <f t="shared" si="0"/>
        <v/>
      </c>
      <c r="AI42" s="39" t="str">
        <f>IF(B42="","",ROUND(GEOMEAN((J42,P42,V42)),0))</f>
        <v/>
      </c>
      <c r="AJ42" s="39" t="str">
        <f>IF(B42="","",ROUND(GEOMEAN((L42,R42,X42)),0))</f>
        <v/>
      </c>
      <c r="AK42" s="40" t="str">
        <f t="shared" si="1"/>
        <v/>
      </c>
      <c r="AL42" s="40" t="str">
        <f t="shared" si="2"/>
        <v/>
      </c>
      <c r="AM42" s="42" t="e">
        <f t="shared" si="25"/>
        <v>#DIV/0!</v>
      </c>
      <c r="AN42" s="42" t="e">
        <f t="shared" si="3"/>
        <v>#DIV/0!</v>
      </c>
      <c r="AO42" s="39" t="str">
        <f t="shared" si="26"/>
        <v/>
      </c>
      <c r="AP42" s="39" t="str">
        <f t="shared" si="27"/>
        <v/>
      </c>
      <c r="AQ42" s="40" t="str">
        <f t="shared" si="28"/>
        <v/>
      </c>
      <c r="AR42" s="41" t="str">
        <f t="shared" si="29"/>
        <v/>
      </c>
      <c r="AS42" s="39" t="str">
        <f>IF(L42="","",ROUND(GEOMEAN((J42,P42,V42,AB42)),0))</f>
        <v/>
      </c>
      <c r="AT42" s="39" t="str">
        <f>IF(L42="","",ROUND(GEOMEAN((L42,R42,X42,AD42)),0))</f>
        <v/>
      </c>
      <c r="AU42" s="40" t="str">
        <f t="shared" si="30"/>
        <v/>
      </c>
      <c r="AV42" s="40" t="str">
        <f t="shared" si="31"/>
        <v/>
      </c>
      <c r="AW42" s="42">
        <f t="shared" si="32"/>
        <v>0</v>
      </c>
      <c r="AX42" s="42">
        <f t="shared" si="4"/>
        <v>0</v>
      </c>
      <c r="AY42" s="5"/>
      <c r="CN42" s="7">
        <v>32</v>
      </c>
    </row>
    <row r="43" spans="1:92" s="7" customFormat="1" x14ac:dyDescent="0.25">
      <c r="A43" s="6" t="str">
        <f t="shared" si="5"/>
        <v/>
      </c>
      <c r="B43" s="43"/>
      <c r="C43" s="6"/>
      <c r="D43" s="6"/>
      <c r="E43" s="43"/>
      <c r="F43" s="44"/>
      <c r="G43" s="22"/>
      <c r="H43" s="23"/>
      <c r="I43" s="47">
        <f t="shared" si="6"/>
        <v>0</v>
      </c>
      <c r="J43" s="47">
        <f t="shared" si="7"/>
        <v>0</v>
      </c>
      <c r="K43" s="58" t="str">
        <f t="shared" si="8"/>
        <v/>
      </c>
      <c r="L43" s="58" t="str">
        <f t="shared" si="9"/>
        <v/>
      </c>
      <c r="M43" s="24"/>
      <c r="N43" s="25"/>
      <c r="O43" s="26">
        <f t="shared" si="10"/>
        <v>0</v>
      </c>
      <c r="P43" s="26">
        <f t="shared" si="11"/>
        <v>0</v>
      </c>
      <c r="Q43" s="27" t="str">
        <f t="shared" si="12"/>
        <v/>
      </c>
      <c r="R43" s="27" t="str">
        <f t="shared" si="13"/>
        <v/>
      </c>
      <c r="S43" s="29"/>
      <c r="T43" s="30"/>
      <c r="U43" s="31">
        <f t="shared" si="14"/>
        <v>0</v>
      </c>
      <c r="V43" s="31">
        <f t="shared" si="15"/>
        <v>0</v>
      </c>
      <c r="W43" s="32" t="str">
        <f t="shared" si="16"/>
        <v/>
      </c>
      <c r="X43" s="32" t="str">
        <f t="shared" si="17"/>
        <v/>
      </c>
      <c r="Y43" s="24"/>
      <c r="Z43" s="24"/>
      <c r="AA43" s="25">
        <f t="shared" si="18"/>
        <v>0</v>
      </c>
      <c r="AB43" s="26">
        <f t="shared" si="19"/>
        <v>0</v>
      </c>
      <c r="AC43" s="26" t="str">
        <f t="shared" si="20"/>
        <v/>
      </c>
      <c r="AD43" s="27" t="str">
        <f t="shared" si="21"/>
        <v/>
      </c>
      <c r="AE43" s="39" t="str">
        <f t="shared" si="22"/>
        <v/>
      </c>
      <c r="AF43" s="39" t="str">
        <f t="shared" si="23"/>
        <v/>
      </c>
      <c r="AG43" s="40" t="str">
        <f t="shared" si="24"/>
        <v/>
      </c>
      <c r="AH43" s="41" t="str">
        <f t="shared" si="0"/>
        <v/>
      </c>
      <c r="AI43" s="39" t="str">
        <f>IF(B43="","",ROUND(GEOMEAN((J43,P43,V43)),0))</f>
        <v/>
      </c>
      <c r="AJ43" s="39" t="str">
        <f>IF(B43="","",ROUND(GEOMEAN((L43,R43,X43)),0))</f>
        <v/>
      </c>
      <c r="AK43" s="40" t="str">
        <f t="shared" si="1"/>
        <v/>
      </c>
      <c r="AL43" s="40" t="str">
        <f t="shared" si="2"/>
        <v/>
      </c>
      <c r="AM43" s="42" t="e">
        <f t="shared" si="25"/>
        <v>#DIV/0!</v>
      </c>
      <c r="AN43" s="42" t="e">
        <f t="shared" si="3"/>
        <v>#DIV/0!</v>
      </c>
      <c r="AO43" s="39" t="str">
        <f t="shared" si="26"/>
        <v/>
      </c>
      <c r="AP43" s="39" t="str">
        <f t="shared" si="27"/>
        <v/>
      </c>
      <c r="AQ43" s="40" t="str">
        <f t="shared" si="28"/>
        <v/>
      </c>
      <c r="AR43" s="41" t="str">
        <f t="shared" si="29"/>
        <v/>
      </c>
      <c r="AS43" s="39" t="str">
        <f>IF(L43="","",ROUND(GEOMEAN((J43,P43,V43,AB43)),0))</f>
        <v/>
      </c>
      <c r="AT43" s="39" t="str">
        <f>IF(L43="","",ROUND(GEOMEAN((L43,R43,X43,AD43)),0))</f>
        <v/>
      </c>
      <c r="AU43" s="40" t="str">
        <f t="shared" si="30"/>
        <v/>
      </c>
      <c r="AV43" s="40" t="str">
        <f t="shared" si="31"/>
        <v/>
      </c>
      <c r="AW43" s="42">
        <f t="shared" si="32"/>
        <v>0</v>
      </c>
      <c r="AX43" s="42">
        <f t="shared" si="4"/>
        <v>0</v>
      </c>
      <c r="AY43" s="5"/>
      <c r="CN43" s="7">
        <v>33</v>
      </c>
    </row>
    <row r="44" spans="1:92" s="7" customFormat="1" x14ac:dyDescent="0.25">
      <c r="A44" s="6" t="str">
        <f t="shared" si="5"/>
        <v/>
      </c>
      <c r="B44" s="43"/>
      <c r="C44" s="6"/>
      <c r="D44" s="6"/>
      <c r="E44" s="43"/>
      <c r="F44" s="44"/>
      <c r="G44" s="22"/>
      <c r="H44" s="23"/>
      <c r="I44" s="47">
        <f t="shared" si="6"/>
        <v>0</v>
      </c>
      <c r="J44" s="47">
        <f t="shared" si="7"/>
        <v>0</v>
      </c>
      <c r="K44" s="58" t="str">
        <f t="shared" si="8"/>
        <v/>
      </c>
      <c r="L44" s="58" t="str">
        <f t="shared" si="9"/>
        <v/>
      </c>
      <c r="M44" s="24"/>
      <c r="N44" s="25"/>
      <c r="O44" s="26">
        <f t="shared" si="10"/>
        <v>0</v>
      </c>
      <c r="P44" s="26">
        <f t="shared" si="11"/>
        <v>0</v>
      </c>
      <c r="Q44" s="27" t="str">
        <f t="shared" si="12"/>
        <v/>
      </c>
      <c r="R44" s="27" t="str">
        <f t="shared" si="13"/>
        <v/>
      </c>
      <c r="S44" s="29"/>
      <c r="T44" s="30"/>
      <c r="U44" s="31">
        <f t="shared" si="14"/>
        <v>0</v>
      </c>
      <c r="V44" s="31">
        <f t="shared" si="15"/>
        <v>0</v>
      </c>
      <c r="W44" s="32" t="str">
        <f t="shared" si="16"/>
        <v/>
      </c>
      <c r="X44" s="32" t="str">
        <f t="shared" si="17"/>
        <v/>
      </c>
      <c r="Y44" s="24"/>
      <c r="Z44" s="24"/>
      <c r="AA44" s="25">
        <f t="shared" si="18"/>
        <v>0</v>
      </c>
      <c r="AB44" s="26">
        <f t="shared" si="19"/>
        <v>0</v>
      </c>
      <c r="AC44" s="26" t="str">
        <f t="shared" si="20"/>
        <v/>
      </c>
      <c r="AD44" s="27" t="str">
        <f t="shared" si="21"/>
        <v/>
      </c>
      <c r="AE44" s="39" t="str">
        <f t="shared" si="22"/>
        <v/>
      </c>
      <c r="AF44" s="39" t="str">
        <f t="shared" si="23"/>
        <v/>
      </c>
      <c r="AG44" s="40" t="str">
        <f t="shared" si="24"/>
        <v/>
      </c>
      <c r="AH44" s="41" t="str">
        <f t="shared" si="0"/>
        <v/>
      </c>
      <c r="AI44" s="39" t="str">
        <f>IF(B44="","",ROUND(GEOMEAN((J44,P44,V44)),0))</f>
        <v/>
      </c>
      <c r="AJ44" s="39" t="str">
        <f>IF(B44="","",ROUND(GEOMEAN((L44,R44,X44)),0))</f>
        <v/>
      </c>
      <c r="AK44" s="40" t="str">
        <f t="shared" si="1"/>
        <v/>
      </c>
      <c r="AL44" s="40" t="str">
        <f t="shared" si="2"/>
        <v/>
      </c>
      <c r="AM44" s="42" t="e">
        <f t="shared" si="25"/>
        <v>#DIV/0!</v>
      </c>
      <c r="AN44" s="42" t="e">
        <f t="shared" si="3"/>
        <v>#DIV/0!</v>
      </c>
      <c r="AO44" s="39" t="str">
        <f t="shared" si="26"/>
        <v/>
      </c>
      <c r="AP44" s="39" t="str">
        <f t="shared" si="27"/>
        <v/>
      </c>
      <c r="AQ44" s="40" t="str">
        <f t="shared" si="28"/>
        <v/>
      </c>
      <c r="AR44" s="41" t="str">
        <f t="shared" si="29"/>
        <v/>
      </c>
      <c r="AS44" s="39" t="str">
        <f>IF(L44="","",ROUND(GEOMEAN((J44,P44,V44,AB44)),0))</f>
        <v/>
      </c>
      <c r="AT44" s="39" t="str">
        <f>IF(L44="","",ROUND(GEOMEAN((L44,R44,X44,AD44)),0))</f>
        <v/>
      </c>
      <c r="AU44" s="40" t="str">
        <f t="shared" si="30"/>
        <v/>
      </c>
      <c r="AV44" s="40" t="str">
        <f t="shared" si="31"/>
        <v/>
      </c>
      <c r="AW44" s="42">
        <f t="shared" si="32"/>
        <v>0</v>
      </c>
      <c r="AX44" s="42">
        <f t="shared" si="4"/>
        <v>0</v>
      </c>
      <c r="AY44" s="5"/>
      <c r="CN44" s="7">
        <v>34</v>
      </c>
    </row>
    <row r="45" spans="1:92" s="7" customFormat="1" x14ac:dyDescent="0.25">
      <c r="A45" s="6" t="str">
        <f t="shared" si="5"/>
        <v/>
      </c>
      <c r="B45" s="43"/>
      <c r="C45" s="6"/>
      <c r="D45" s="6"/>
      <c r="E45" s="43"/>
      <c r="F45" s="44"/>
      <c r="G45" s="22"/>
      <c r="H45" s="23"/>
      <c r="I45" s="47">
        <f t="shared" si="6"/>
        <v>0</v>
      </c>
      <c r="J45" s="47">
        <f t="shared" si="7"/>
        <v>0</v>
      </c>
      <c r="K45" s="58" t="str">
        <f t="shared" si="8"/>
        <v/>
      </c>
      <c r="L45" s="58" t="str">
        <f t="shared" si="9"/>
        <v/>
      </c>
      <c r="M45" s="24"/>
      <c r="N45" s="25"/>
      <c r="O45" s="26">
        <f t="shared" si="10"/>
        <v>0</v>
      </c>
      <c r="P45" s="26">
        <f t="shared" si="11"/>
        <v>0</v>
      </c>
      <c r="Q45" s="27" t="str">
        <f t="shared" si="12"/>
        <v/>
      </c>
      <c r="R45" s="27" t="str">
        <f t="shared" si="13"/>
        <v/>
      </c>
      <c r="S45" s="29"/>
      <c r="T45" s="30"/>
      <c r="U45" s="31">
        <f t="shared" si="14"/>
        <v>0</v>
      </c>
      <c r="V45" s="31">
        <f t="shared" si="15"/>
        <v>0</v>
      </c>
      <c r="W45" s="32" t="str">
        <f t="shared" si="16"/>
        <v/>
      </c>
      <c r="X45" s="32" t="str">
        <f t="shared" si="17"/>
        <v/>
      </c>
      <c r="Y45" s="24"/>
      <c r="Z45" s="24"/>
      <c r="AA45" s="25">
        <f t="shared" si="18"/>
        <v>0</v>
      </c>
      <c r="AB45" s="26">
        <f t="shared" si="19"/>
        <v>0</v>
      </c>
      <c r="AC45" s="26" t="str">
        <f t="shared" si="20"/>
        <v/>
      </c>
      <c r="AD45" s="27" t="str">
        <f t="shared" si="21"/>
        <v/>
      </c>
      <c r="AE45" s="39" t="str">
        <f t="shared" si="22"/>
        <v/>
      </c>
      <c r="AF45" s="39" t="str">
        <f t="shared" si="23"/>
        <v/>
      </c>
      <c r="AG45" s="40" t="str">
        <f t="shared" si="24"/>
        <v/>
      </c>
      <c r="AH45" s="41" t="str">
        <f t="shared" si="0"/>
        <v/>
      </c>
      <c r="AI45" s="39" t="str">
        <f>IF(B45="","",ROUND(GEOMEAN((J45,P45,V45)),0))</f>
        <v/>
      </c>
      <c r="AJ45" s="39" t="str">
        <f>IF(B45="","",ROUND(GEOMEAN((L45,R45,X45)),0))</f>
        <v/>
      </c>
      <c r="AK45" s="40" t="str">
        <f t="shared" si="1"/>
        <v/>
      </c>
      <c r="AL45" s="40" t="str">
        <f t="shared" si="2"/>
        <v/>
      </c>
      <c r="AM45" s="42" t="e">
        <f t="shared" si="25"/>
        <v>#DIV/0!</v>
      </c>
      <c r="AN45" s="42" t="e">
        <f t="shared" si="3"/>
        <v>#DIV/0!</v>
      </c>
      <c r="AO45" s="39" t="str">
        <f t="shared" si="26"/>
        <v/>
      </c>
      <c r="AP45" s="39" t="str">
        <f t="shared" si="27"/>
        <v/>
      </c>
      <c r="AQ45" s="40" t="str">
        <f t="shared" si="28"/>
        <v/>
      </c>
      <c r="AR45" s="41" t="str">
        <f t="shared" si="29"/>
        <v/>
      </c>
      <c r="AS45" s="39" t="str">
        <f>IF(L45="","",ROUND(GEOMEAN((J45,P45,V45,AB45)),0))</f>
        <v/>
      </c>
      <c r="AT45" s="39" t="str">
        <f>IF(L45="","",ROUND(GEOMEAN((L45,R45,X45,AD45)),0))</f>
        <v/>
      </c>
      <c r="AU45" s="40" t="str">
        <f t="shared" si="30"/>
        <v/>
      </c>
      <c r="AV45" s="40" t="str">
        <f t="shared" si="31"/>
        <v/>
      </c>
      <c r="AW45" s="42">
        <f t="shared" si="32"/>
        <v>0</v>
      </c>
      <c r="AX45" s="42">
        <f t="shared" si="4"/>
        <v>0</v>
      </c>
      <c r="AY45" s="5"/>
      <c r="CN45" s="7">
        <v>35</v>
      </c>
    </row>
    <row r="46" spans="1:92" s="7" customFormat="1" ht="14.45" customHeight="1" x14ac:dyDescent="0.25">
      <c r="A46" s="6" t="str">
        <f t="shared" si="5"/>
        <v/>
      </c>
      <c r="B46" s="43"/>
      <c r="C46" s="6"/>
      <c r="D46" s="6"/>
      <c r="E46" s="43"/>
      <c r="F46" s="44"/>
      <c r="G46" s="22"/>
      <c r="H46" s="23"/>
      <c r="I46" s="47">
        <f t="shared" si="6"/>
        <v>0</v>
      </c>
      <c r="J46" s="47">
        <f t="shared" si="7"/>
        <v>0</v>
      </c>
      <c r="K46" s="58" t="str">
        <f t="shared" si="8"/>
        <v/>
      </c>
      <c r="L46" s="58" t="str">
        <f t="shared" si="9"/>
        <v/>
      </c>
      <c r="M46" s="24"/>
      <c r="N46" s="25"/>
      <c r="O46" s="26">
        <f t="shared" si="10"/>
        <v>0</v>
      </c>
      <c r="P46" s="26">
        <f t="shared" si="11"/>
        <v>0</v>
      </c>
      <c r="Q46" s="27" t="str">
        <f t="shared" si="12"/>
        <v/>
      </c>
      <c r="R46" s="27" t="str">
        <f t="shared" si="13"/>
        <v/>
      </c>
      <c r="S46" s="29"/>
      <c r="T46" s="30"/>
      <c r="U46" s="31">
        <f t="shared" si="14"/>
        <v>0</v>
      </c>
      <c r="V46" s="31">
        <f t="shared" si="15"/>
        <v>0</v>
      </c>
      <c r="W46" s="32" t="str">
        <f t="shared" si="16"/>
        <v/>
      </c>
      <c r="X46" s="32" t="str">
        <f t="shared" si="17"/>
        <v/>
      </c>
      <c r="Y46" s="24"/>
      <c r="Z46" s="24"/>
      <c r="AA46" s="25">
        <f t="shared" si="18"/>
        <v>0</v>
      </c>
      <c r="AB46" s="26">
        <f t="shared" si="19"/>
        <v>0</v>
      </c>
      <c r="AC46" s="26" t="str">
        <f t="shared" si="20"/>
        <v/>
      </c>
      <c r="AD46" s="27" t="str">
        <f t="shared" si="21"/>
        <v/>
      </c>
      <c r="AE46" s="39" t="str">
        <f t="shared" si="22"/>
        <v/>
      </c>
      <c r="AF46" s="39" t="str">
        <f t="shared" si="23"/>
        <v/>
      </c>
      <c r="AG46" s="40" t="str">
        <f t="shared" si="24"/>
        <v/>
      </c>
      <c r="AH46" s="41" t="str">
        <f t="shared" si="0"/>
        <v/>
      </c>
      <c r="AI46" s="39" t="str">
        <f>IF(B46="","",ROUND(GEOMEAN((J46,P46,V46)),0))</f>
        <v/>
      </c>
      <c r="AJ46" s="39" t="str">
        <f>IF(B46="","",ROUND(GEOMEAN((L46,R46,X46)),0))</f>
        <v/>
      </c>
      <c r="AK46" s="40" t="str">
        <f t="shared" si="1"/>
        <v/>
      </c>
      <c r="AL46" s="40" t="str">
        <f t="shared" si="2"/>
        <v/>
      </c>
      <c r="AM46" s="42" t="e">
        <f t="shared" si="25"/>
        <v>#DIV/0!</v>
      </c>
      <c r="AN46" s="42" t="e">
        <f t="shared" si="3"/>
        <v>#DIV/0!</v>
      </c>
      <c r="AO46" s="39" t="str">
        <f t="shared" si="26"/>
        <v/>
      </c>
      <c r="AP46" s="39" t="str">
        <f t="shared" si="27"/>
        <v/>
      </c>
      <c r="AQ46" s="40" t="str">
        <f t="shared" si="28"/>
        <v/>
      </c>
      <c r="AR46" s="41" t="str">
        <f t="shared" si="29"/>
        <v/>
      </c>
      <c r="AS46" s="39" t="str">
        <f>IF(L46="","",ROUND(GEOMEAN((J46,P46,V46,AB46)),0))</f>
        <v/>
      </c>
      <c r="AT46" s="39" t="str">
        <f>IF(L46="","",ROUND(GEOMEAN((L46,R46,X46,AD46)),0))</f>
        <v/>
      </c>
      <c r="AU46" s="40" t="str">
        <f t="shared" si="30"/>
        <v/>
      </c>
      <c r="AV46" s="40" t="str">
        <f t="shared" si="31"/>
        <v/>
      </c>
      <c r="AW46" s="42">
        <f t="shared" si="32"/>
        <v>0</v>
      </c>
      <c r="AX46" s="42">
        <f t="shared" si="4"/>
        <v>0</v>
      </c>
      <c r="AY46" s="5"/>
      <c r="BC46" s="471" t="s">
        <v>236</v>
      </c>
      <c r="BD46" s="472"/>
      <c r="BE46" s="472"/>
      <c r="BF46" s="472"/>
      <c r="BG46" s="472"/>
      <c r="BH46" s="472"/>
      <c r="BI46" s="472"/>
      <c r="BJ46" s="473"/>
      <c r="BK46" s="483" t="s">
        <v>237</v>
      </c>
      <c r="BL46" s="476" t="e">
        <f>SUM(AP98,BN37)</f>
        <v>#DIV/0!</v>
      </c>
      <c r="BM46" s="477"/>
      <c r="CN46" s="7">
        <v>36</v>
      </c>
    </row>
    <row r="47" spans="1:92" s="7" customFormat="1" ht="14.45" customHeight="1" x14ac:dyDescent="0.25">
      <c r="A47" s="6" t="str">
        <f t="shared" si="5"/>
        <v/>
      </c>
      <c r="B47" s="43"/>
      <c r="C47" s="6"/>
      <c r="D47" s="6"/>
      <c r="E47" s="43"/>
      <c r="F47" s="44"/>
      <c r="G47" s="22"/>
      <c r="H47" s="23"/>
      <c r="I47" s="47">
        <f t="shared" si="6"/>
        <v>0</v>
      </c>
      <c r="J47" s="47">
        <f t="shared" si="7"/>
        <v>0</v>
      </c>
      <c r="K47" s="58" t="str">
        <f t="shared" si="8"/>
        <v/>
      </c>
      <c r="L47" s="58" t="str">
        <f t="shared" si="9"/>
        <v/>
      </c>
      <c r="M47" s="24"/>
      <c r="N47" s="25"/>
      <c r="O47" s="26">
        <f t="shared" si="10"/>
        <v>0</v>
      </c>
      <c r="P47" s="26">
        <f t="shared" si="11"/>
        <v>0</v>
      </c>
      <c r="Q47" s="27" t="str">
        <f t="shared" si="12"/>
        <v/>
      </c>
      <c r="R47" s="27" t="str">
        <f t="shared" si="13"/>
        <v/>
      </c>
      <c r="S47" s="29"/>
      <c r="T47" s="30"/>
      <c r="U47" s="31">
        <f t="shared" si="14"/>
        <v>0</v>
      </c>
      <c r="V47" s="31">
        <f t="shared" si="15"/>
        <v>0</v>
      </c>
      <c r="W47" s="32" t="str">
        <f t="shared" si="16"/>
        <v/>
      </c>
      <c r="X47" s="32" t="str">
        <f t="shared" si="17"/>
        <v/>
      </c>
      <c r="Y47" s="24"/>
      <c r="Z47" s="24"/>
      <c r="AA47" s="25">
        <f t="shared" si="18"/>
        <v>0</v>
      </c>
      <c r="AB47" s="26">
        <f t="shared" si="19"/>
        <v>0</v>
      </c>
      <c r="AC47" s="26" t="str">
        <f t="shared" si="20"/>
        <v/>
      </c>
      <c r="AD47" s="27" t="str">
        <f t="shared" si="21"/>
        <v/>
      </c>
      <c r="AE47" s="39" t="str">
        <f t="shared" si="22"/>
        <v/>
      </c>
      <c r="AF47" s="39" t="str">
        <f t="shared" si="23"/>
        <v/>
      </c>
      <c r="AG47" s="40" t="str">
        <f t="shared" si="24"/>
        <v/>
      </c>
      <c r="AH47" s="41" t="str">
        <f t="shared" si="0"/>
        <v/>
      </c>
      <c r="AI47" s="39" t="str">
        <f>IF(B47="","",ROUND(GEOMEAN((J47,P47,V47)),0))</f>
        <v/>
      </c>
      <c r="AJ47" s="39" t="str">
        <f>IF(B47="","",ROUND(GEOMEAN((L47,R47,X47)),0))</f>
        <v/>
      </c>
      <c r="AK47" s="40" t="str">
        <f t="shared" si="1"/>
        <v/>
      </c>
      <c r="AL47" s="40" t="str">
        <f t="shared" si="2"/>
        <v/>
      </c>
      <c r="AM47" s="42" t="e">
        <f t="shared" si="25"/>
        <v>#DIV/0!</v>
      </c>
      <c r="AN47" s="42" t="e">
        <f t="shared" si="3"/>
        <v>#DIV/0!</v>
      </c>
      <c r="AO47" s="39" t="str">
        <f t="shared" si="26"/>
        <v/>
      </c>
      <c r="AP47" s="39" t="str">
        <f t="shared" si="27"/>
        <v/>
      </c>
      <c r="AQ47" s="40" t="str">
        <f t="shared" si="28"/>
        <v/>
      </c>
      <c r="AR47" s="41" t="str">
        <f t="shared" si="29"/>
        <v/>
      </c>
      <c r="AS47" s="39" t="str">
        <f>IF(L47="","",ROUND(GEOMEAN((J47,P47,V47,AB47)),0))</f>
        <v/>
      </c>
      <c r="AT47" s="39" t="str">
        <f>IF(L47="","",ROUND(GEOMEAN((L47,R47,X47,AD47)),0))</f>
        <v/>
      </c>
      <c r="AU47" s="40" t="str">
        <f t="shared" si="30"/>
        <v/>
      </c>
      <c r="AV47" s="40" t="str">
        <f t="shared" si="31"/>
        <v/>
      </c>
      <c r="AW47" s="42">
        <f t="shared" si="32"/>
        <v>0</v>
      </c>
      <c r="AX47" s="42">
        <f t="shared" si="4"/>
        <v>0</v>
      </c>
      <c r="AY47" s="5"/>
      <c r="BC47" s="482" t="s">
        <v>241</v>
      </c>
      <c r="BD47" s="482"/>
      <c r="BE47" s="482"/>
      <c r="BF47" s="482"/>
      <c r="BG47" s="482"/>
      <c r="BH47" s="482"/>
      <c r="BI47" s="482"/>
      <c r="BJ47" s="482"/>
      <c r="BK47" s="484"/>
      <c r="BL47" s="478"/>
      <c r="BM47" s="479"/>
      <c r="CN47" s="7">
        <v>37</v>
      </c>
    </row>
    <row r="48" spans="1:92" s="7" customFormat="1" ht="14.45" customHeight="1" x14ac:dyDescent="0.25">
      <c r="A48" s="6" t="str">
        <f t="shared" si="5"/>
        <v/>
      </c>
      <c r="B48" s="43"/>
      <c r="C48" s="6"/>
      <c r="D48" s="6"/>
      <c r="E48" s="43"/>
      <c r="F48" s="44"/>
      <c r="G48" s="22"/>
      <c r="H48" s="23"/>
      <c r="I48" s="47">
        <f t="shared" si="6"/>
        <v>0</v>
      </c>
      <c r="J48" s="47">
        <f t="shared" si="7"/>
        <v>0</v>
      </c>
      <c r="K48" s="58" t="str">
        <f t="shared" si="8"/>
        <v/>
      </c>
      <c r="L48" s="58" t="str">
        <f t="shared" si="9"/>
        <v/>
      </c>
      <c r="M48" s="24"/>
      <c r="N48" s="25"/>
      <c r="O48" s="26">
        <f t="shared" si="10"/>
        <v>0</v>
      </c>
      <c r="P48" s="26">
        <f t="shared" si="11"/>
        <v>0</v>
      </c>
      <c r="Q48" s="27" t="str">
        <f t="shared" si="12"/>
        <v/>
      </c>
      <c r="R48" s="27" t="str">
        <f t="shared" si="13"/>
        <v/>
      </c>
      <c r="S48" s="29"/>
      <c r="T48" s="30"/>
      <c r="U48" s="31">
        <f t="shared" si="14"/>
        <v>0</v>
      </c>
      <c r="V48" s="31">
        <f t="shared" si="15"/>
        <v>0</v>
      </c>
      <c r="W48" s="32" t="str">
        <f t="shared" si="16"/>
        <v/>
      </c>
      <c r="X48" s="32" t="str">
        <f t="shared" si="17"/>
        <v/>
      </c>
      <c r="Y48" s="24"/>
      <c r="Z48" s="24"/>
      <c r="AA48" s="25">
        <f t="shared" si="18"/>
        <v>0</v>
      </c>
      <c r="AB48" s="26">
        <f t="shared" si="19"/>
        <v>0</v>
      </c>
      <c r="AC48" s="26" t="str">
        <f t="shared" si="20"/>
        <v/>
      </c>
      <c r="AD48" s="27" t="str">
        <f t="shared" si="21"/>
        <v/>
      </c>
      <c r="AE48" s="39" t="str">
        <f t="shared" si="22"/>
        <v/>
      </c>
      <c r="AF48" s="39" t="str">
        <f t="shared" si="23"/>
        <v/>
      </c>
      <c r="AG48" s="40" t="str">
        <f t="shared" si="24"/>
        <v/>
      </c>
      <c r="AH48" s="41" t="str">
        <f t="shared" si="0"/>
        <v/>
      </c>
      <c r="AI48" s="39" t="str">
        <f>IF(B48="","",ROUND(GEOMEAN((J48,P48,V48)),0))</f>
        <v/>
      </c>
      <c r="AJ48" s="39" t="str">
        <f>IF(B48="","",ROUND(GEOMEAN((L48,R48,X48)),0))</f>
        <v/>
      </c>
      <c r="AK48" s="40" t="str">
        <f t="shared" si="1"/>
        <v/>
      </c>
      <c r="AL48" s="40" t="str">
        <f t="shared" si="2"/>
        <v/>
      </c>
      <c r="AM48" s="42" t="e">
        <f t="shared" si="25"/>
        <v>#DIV/0!</v>
      </c>
      <c r="AN48" s="42" t="e">
        <f t="shared" si="3"/>
        <v>#DIV/0!</v>
      </c>
      <c r="AO48" s="39" t="str">
        <f t="shared" si="26"/>
        <v/>
      </c>
      <c r="AP48" s="39" t="str">
        <f t="shared" si="27"/>
        <v/>
      </c>
      <c r="AQ48" s="40" t="str">
        <f t="shared" si="28"/>
        <v/>
      </c>
      <c r="AR48" s="41" t="str">
        <f t="shared" si="29"/>
        <v/>
      </c>
      <c r="AS48" s="39" t="str">
        <f>IF(L48="","",ROUND(GEOMEAN((J48,P48,V48,AB48)),0))</f>
        <v/>
      </c>
      <c r="AT48" s="39" t="str">
        <f>IF(L48="","",ROUND(GEOMEAN((L48,R48,X48,AD48)),0))</f>
        <v/>
      </c>
      <c r="AU48" s="40" t="str">
        <f t="shared" si="30"/>
        <v/>
      </c>
      <c r="AV48" s="40" t="str">
        <f t="shared" si="31"/>
        <v/>
      </c>
      <c r="AW48" s="42">
        <f t="shared" si="32"/>
        <v>0</v>
      </c>
      <c r="AX48" s="42">
        <f t="shared" si="4"/>
        <v>0</v>
      </c>
      <c r="AY48" s="5"/>
      <c r="BC48" s="482"/>
      <c r="BD48" s="482"/>
      <c r="BE48" s="482"/>
      <c r="BF48" s="482"/>
      <c r="BG48" s="482"/>
      <c r="BH48" s="482"/>
      <c r="BI48" s="482"/>
      <c r="BJ48" s="482"/>
      <c r="BK48" s="484"/>
      <c r="BL48" s="478"/>
      <c r="BM48" s="479"/>
      <c r="CN48" s="7">
        <v>38</v>
      </c>
    </row>
    <row r="49" spans="1:92" s="7" customFormat="1" ht="14.45" customHeight="1" x14ac:dyDescent="0.25">
      <c r="A49" s="6" t="str">
        <f t="shared" si="5"/>
        <v/>
      </c>
      <c r="B49" s="43"/>
      <c r="C49" s="6"/>
      <c r="D49" s="6"/>
      <c r="E49" s="43"/>
      <c r="F49" s="44"/>
      <c r="G49" s="22"/>
      <c r="H49" s="23"/>
      <c r="I49" s="47">
        <f t="shared" si="6"/>
        <v>0</v>
      </c>
      <c r="J49" s="47">
        <f t="shared" si="7"/>
        <v>0</v>
      </c>
      <c r="K49" s="58" t="str">
        <f t="shared" si="8"/>
        <v/>
      </c>
      <c r="L49" s="58" t="str">
        <f t="shared" si="9"/>
        <v/>
      </c>
      <c r="M49" s="24"/>
      <c r="N49" s="25"/>
      <c r="O49" s="26">
        <f t="shared" si="10"/>
        <v>0</v>
      </c>
      <c r="P49" s="26">
        <f t="shared" si="11"/>
        <v>0</v>
      </c>
      <c r="Q49" s="27" t="str">
        <f t="shared" si="12"/>
        <v/>
      </c>
      <c r="R49" s="27" t="str">
        <f t="shared" si="13"/>
        <v/>
      </c>
      <c r="S49" s="29"/>
      <c r="T49" s="30"/>
      <c r="U49" s="31">
        <f t="shared" si="14"/>
        <v>0</v>
      </c>
      <c r="V49" s="31">
        <f t="shared" si="15"/>
        <v>0</v>
      </c>
      <c r="W49" s="32" t="str">
        <f t="shared" si="16"/>
        <v/>
      </c>
      <c r="X49" s="32" t="str">
        <f t="shared" si="17"/>
        <v/>
      </c>
      <c r="Y49" s="24"/>
      <c r="Z49" s="24"/>
      <c r="AA49" s="25">
        <f t="shared" si="18"/>
        <v>0</v>
      </c>
      <c r="AB49" s="26">
        <f t="shared" si="19"/>
        <v>0</v>
      </c>
      <c r="AC49" s="26" t="str">
        <f t="shared" si="20"/>
        <v/>
      </c>
      <c r="AD49" s="27" t="str">
        <f t="shared" si="21"/>
        <v/>
      </c>
      <c r="AE49" s="39" t="str">
        <f t="shared" si="22"/>
        <v/>
      </c>
      <c r="AF49" s="39" t="str">
        <f t="shared" si="23"/>
        <v/>
      </c>
      <c r="AG49" s="40" t="str">
        <f t="shared" si="24"/>
        <v/>
      </c>
      <c r="AH49" s="41" t="str">
        <f t="shared" si="0"/>
        <v/>
      </c>
      <c r="AI49" s="39" t="str">
        <f>IF(B49="","",ROUND(GEOMEAN((J49,P49,V49)),0))</f>
        <v/>
      </c>
      <c r="AJ49" s="39" t="str">
        <f>IF(B49="","",ROUND(GEOMEAN((L49,R49,X49)),0))</f>
        <v/>
      </c>
      <c r="AK49" s="40" t="str">
        <f t="shared" si="1"/>
        <v/>
      </c>
      <c r="AL49" s="40" t="str">
        <f t="shared" si="2"/>
        <v/>
      </c>
      <c r="AM49" s="42" t="e">
        <f t="shared" si="25"/>
        <v>#DIV/0!</v>
      </c>
      <c r="AN49" s="42" t="e">
        <f t="shared" si="3"/>
        <v>#DIV/0!</v>
      </c>
      <c r="AO49" s="39" t="str">
        <f t="shared" si="26"/>
        <v/>
      </c>
      <c r="AP49" s="39" t="str">
        <f t="shared" si="27"/>
        <v/>
      </c>
      <c r="AQ49" s="40" t="str">
        <f t="shared" si="28"/>
        <v/>
      </c>
      <c r="AR49" s="41" t="str">
        <f t="shared" si="29"/>
        <v/>
      </c>
      <c r="AS49" s="39" t="str">
        <f>IF(L49="","",ROUND(GEOMEAN((J49,P49,V49,AB49)),0))</f>
        <v/>
      </c>
      <c r="AT49" s="39" t="str">
        <f>IF(L49="","",ROUND(GEOMEAN((L49,R49,X49,AD49)),0))</f>
        <v/>
      </c>
      <c r="AU49" s="40" t="str">
        <f t="shared" si="30"/>
        <v/>
      </c>
      <c r="AV49" s="40" t="str">
        <f t="shared" si="31"/>
        <v/>
      </c>
      <c r="AW49" s="42">
        <f t="shared" si="32"/>
        <v>0</v>
      </c>
      <c r="AX49" s="42">
        <f t="shared" si="4"/>
        <v>0</v>
      </c>
      <c r="AY49" s="5"/>
      <c r="BC49" s="482"/>
      <c r="BD49" s="482"/>
      <c r="BE49" s="482"/>
      <c r="BF49" s="482"/>
      <c r="BG49" s="482"/>
      <c r="BH49" s="482"/>
      <c r="BI49" s="482"/>
      <c r="BJ49" s="482"/>
      <c r="BK49" s="484"/>
      <c r="BL49" s="478"/>
      <c r="BM49" s="479"/>
      <c r="CN49" s="7">
        <v>39</v>
      </c>
    </row>
    <row r="50" spans="1:92" s="7" customFormat="1" ht="14.45" customHeight="1" x14ac:dyDescent="0.25">
      <c r="A50" s="6" t="str">
        <f t="shared" si="5"/>
        <v/>
      </c>
      <c r="B50" s="43"/>
      <c r="C50" s="6"/>
      <c r="D50" s="6"/>
      <c r="E50" s="43"/>
      <c r="F50" s="44"/>
      <c r="G50" s="22"/>
      <c r="H50" s="23"/>
      <c r="I50" s="47">
        <f t="shared" si="6"/>
        <v>0</v>
      </c>
      <c r="J50" s="47">
        <f t="shared" si="7"/>
        <v>0</v>
      </c>
      <c r="K50" s="58" t="str">
        <f t="shared" si="8"/>
        <v/>
      </c>
      <c r="L50" s="58" t="str">
        <f t="shared" si="9"/>
        <v/>
      </c>
      <c r="M50" s="24"/>
      <c r="N50" s="25"/>
      <c r="O50" s="26">
        <f t="shared" si="10"/>
        <v>0</v>
      </c>
      <c r="P50" s="26">
        <f t="shared" si="11"/>
        <v>0</v>
      </c>
      <c r="Q50" s="27" t="str">
        <f t="shared" si="12"/>
        <v/>
      </c>
      <c r="R50" s="27" t="str">
        <f t="shared" si="13"/>
        <v/>
      </c>
      <c r="S50" s="29"/>
      <c r="T50" s="30"/>
      <c r="U50" s="31">
        <f t="shared" si="14"/>
        <v>0</v>
      </c>
      <c r="V50" s="31">
        <f t="shared" si="15"/>
        <v>0</v>
      </c>
      <c r="W50" s="32" t="str">
        <f t="shared" si="16"/>
        <v/>
      </c>
      <c r="X50" s="32" t="str">
        <f t="shared" si="17"/>
        <v/>
      </c>
      <c r="Y50" s="24"/>
      <c r="Z50" s="24"/>
      <c r="AA50" s="25">
        <f t="shared" si="18"/>
        <v>0</v>
      </c>
      <c r="AB50" s="26">
        <f t="shared" si="19"/>
        <v>0</v>
      </c>
      <c r="AC50" s="26" t="str">
        <f t="shared" si="20"/>
        <v/>
      </c>
      <c r="AD50" s="27" t="str">
        <f t="shared" si="21"/>
        <v/>
      </c>
      <c r="AE50" s="39" t="str">
        <f t="shared" si="22"/>
        <v/>
      </c>
      <c r="AF50" s="39" t="str">
        <f t="shared" si="23"/>
        <v/>
      </c>
      <c r="AG50" s="40" t="str">
        <f t="shared" si="24"/>
        <v/>
      </c>
      <c r="AH50" s="41" t="str">
        <f t="shared" si="0"/>
        <v/>
      </c>
      <c r="AI50" s="39" t="str">
        <f>IF(B50="","",ROUND(GEOMEAN((J50,P50,V50)),0))</f>
        <v/>
      </c>
      <c r="AJ50" s="39" t="str">
        <f>IF(B50="","",ROUND(GEOMEAN((L50,R50,X50)),0))</f>
        <v/>
      </c>
      <c r="AK50" s="40" t="str">
        <f t="shared" si="1"/>
        <v/>
      </c>
      <c r="AL50" s="40" t="str">
        <f t="shared" si="2"/>
        <v/>
      </c>
      <c r="AM50" s="42" t="e">
        <f t="shared" si="25"/>
        <v>#DIV/0!</v>
      </c>
      <c r="AN50" s="42" t="e">
        <f t="shared" si="3"/>
        <v>#DIV/0!</v>
      </c>
      <c r="AO50" s="39" t="str">
        <f t="shared" si="26"/>
        <v/>
      </c>
      <c r="AP50" s="39" t="str">
        <f t="shared" si="27"/>
        <v/>
      </c>
      <c r="AQ50" s="40" t="str">
        <f t="shared" si="28"/>
        <v/>
      </c>
      <c r="AR50" s="41" t="str">
        <f t="shared" si="29"/>
        <v/>
      </c>
      <c r="AS50" s="39" t="str">
        <f>IF(L50="","",ROUND(GEOMEAN((J50,P50,V50,AB50)),0))</f>
        <v/>
      </c>
      <c r="AT50" s="39" t="str">
        <f>IF(L50="","",ROUND(GEOMEAN((L50,R50,X50,AD50)),0))</f>
        <v/>
      </c>
      <c r="AU50" s="40" t="str">
        <f t="shared" si="30"/>
        <v/>
      </c>
      <c r="AV50" s="40" t="str">
        <f t="shared" si="31"/>
        <v/>
      </c>
      <c r="AW50" s="42">
        <f t="shared" si="32"/>
        <v>0</v>
      </c>
      <c r="AX50" s="42">
        <f t="shared" si="4"/>
        <v>0</v>
      </c>
      <c r="AY50" s="5"/>
      <c r="BC50" s="482"/>
      <c r="BD50" s="482"/>
      <c r="BE50" s="482"/>
      <c r="BF50" s="482"/>
      <c r="BG50" s="482"/>
      <c r="BH50" s="482"/>
      <c r="BI50" s="482"/>
      <c r="BJ50" s="482"/>
      <c r="BK50" s="484"/>
      <c r="BL50" s="478"/>
      <c r="BM50" s="479"/>
      <c r="CN50" s="7">
        <v>40</v>
      </c>
    </row>
    <row r="51" spans="1:92" s="7" customFormat="1" ht="14.45" customHeight="1" x14ac:dyDescent="0.25">
      <c r="A51" s="6" t="str">
        <f t="shared" si="5"/>
        <v/>
      </c>
      <c r="B51" s="43"/>
      <c r="C51" s="6"/>
      <c r="D51" s="6"/>
      <c r="E51" s="43"/>
      <c r="F51" s="44"/>
      <c r="G51" s="22"/>
      <c r="H51" s="23"/>
      <c r="I51" s="47">
        <f t="shared" si="6"/>
        <v>0</v>
      </c>
      <c r="J51" s="47">
        <f t="shared" si="7"/>
        <v>0</v>
      </c>
      <c r="K51" s="58" t="str">
        <f t="shared" si="8"/>
        <v/>
      </c>
      <c r="L51" s="58" t="str">
        <f t="shared" si="9"/>
        <v/>
      </c>
      <c r="M51" s="24"/>
      <c r="N51" s="25"/>
      <c r="O51" s="26">
        <f t="shared" si="10"/>
        <v>0</v>
      </c>
      <c r="P51" s="26">
        <f t="shared" si="11"/>
        <v>0</v>
      </c>
      <c r="Q51" s="27" t="str">
        <f t="shared" si="12"/>
        <v/>
      </c>
      <c r="R51" s="27" t="str">
        <f t="shared" si="13"/>
        <v/>
      </c>
      <c r="S51" s="29"/>
      <c r="T51" s="30"/>
      <c r="U51" s="31">
        <f t="shared" si="14"/>
        <v>0</v>
      </c>
      <c r="V51" s="31">
        <f t="shared" si="15"/>
        <v>0</v>
      </c>
      <c r="W51" s="32" t="str">
        <f t="shared" si="16"/>
        <v/>
      </c>
      <c r="X51" s="32" t="str">
        <f t="shared" si="17"/>
        <v/>
      </c>
      <c r="Y51" s="24"/>
      <c r="Z51" s="24"/>
      <c r="AA51" s="25">
        <f t="shared" si="18"/>
        <v>0</v>
      </c>
      <c r="AB51" s="26">
        <f t="shared" si="19"/>
        <v>0</v>
      </c>
      <c r="AC51" s="26" t="str">
        <f t="shared" si="20"/>
        <v/>
      </c>
      <c r="AD51" s="27" t="str">
        <f t="shared" si="21"/>
        <v/>
      </c>
      <c r="AE51" s="39" t="str">
        <f t="shared" si="22"/>
        <v/>
      </c>
      <c r="AF51" s="39" t="str">
        <f t="shared" si="23"/>
        <v/>
      </c>
      <c r="AG51" s="40" t="str">
        <f t="shared" si="24"/>
        <v/>
      </c>
      <c r="AH51" s="41" t="str">
        <f t="shared" si="0"/>
        <v/>
      </c>
      <c r="AI51" s="39" t="str">
        <f>IF(B51="","",ROUND(GEOMEAN((J51,P51,V51)),0))</f>
        <v/>
      </c>
      <c r="AJ51" s="39" t="str">
        <f>IF(B51="","",ROUND(GEOMEAN((L51,R51,X51)),0))</f>
        <v/>
      </c>
      <c r="AK51" s="40" t="str">
        <f t="shared" si="1"/>
        <v/>
      </c>
      <c r="AL51" s="40" t="str">
        <f t="shared" si="2"/>
        <v/>
      </c>
      <c r="AM51" s="42" t="e">
        <f t="shared" si="25"/>
        <v>#DIV/0!</v>
      </c>
      <c r="AN51" s="42" t="e">
        <f t="shared" si="3"/>
        <v>#DIV/0!</v>
      </c>
      <c r="AO51" s="39" t="str">
        <f t="shared" si="26"/>
        <v/>
      </c>
      <c r="AP51" s="39" t="str">
        <f t="shared" si="27"/>
        <v/>
      </c>
      <c r="AQ51" s="40" t="str">
        <f t="shared" si="28"/>
        <v/>
      </c>
      <c r="AR51" s="41" t="str">
        <f t="shared" si="29"/>
        <v/>
      </c>
      <c r="AS51" s="39" t="str">
        <f>IF(L51="","",ROUND(GEOMEAN((J51,P51,V51,AB51)),0))</f>
        <v/>
      </c>
      <c r="AT51" s="39" t="str">
        <f>IF(L51="","",ROUND(GEOMEAN((L51,R51,X51,AD51)),0))</f>
        <v/>
      </c>
      <c r="AU51" s="40" t="str">
        <f t="shared" si="30"/>
        <v/>
      </c>
      <c r="AV51" s="40" t="str">
        <f t="shared" si="31"/>
        <v/>
      </c>
      <c r="AW51" s="42">
        <f t="shared" si="32"/>
        <v>0</v>
      </c>
      <c r="AX51" s="42">
        <f t="shared" si="4"/>
        <v>0</v>
      </c>
      <c r="AY51" s="5"/>
      <c r="BC51" s="482"/>
      <c r="BD51" s="482"/>
      <c r="BE51" s="482"/>
      <c r="BF51" s="482"/>
      <c r="BG51" s="482"/>
      <c r="BH51" s="482"/>
      <c r="BI51" s="482"/>
      <c r="BJ51" s="482"/>
      <c r="BK51" s="484"/>
      <c r="BL51" s="478"/>
      <c r="BM51" s="479"/>
      <c r="CN51" s="7">
        <v>41</v>
      </c>
    </row>
    <row r="52" spans="1:92" s="7" customFormat="1" ht="14.45" customHeight="1" x14ac:dyDescent="0.25">
      <c r="A52" s="6" t="str">
        <f t="shared" si="5"/>
        <v/>
      </c>
      <c r="B52" s="43"/>
      <c r="C52" s="6"/>
      <c r="D52" s="6"/>
      <c r="E52" s="43"/>
      <c r="F52" s="44"/>
      <c r="G52" s="22"/>
      <c r="H52" s="23"/>
      <c r="I52" s="47">
        <f t="shared" si="6"/>
        <v>0</v>
      </c>
      <c r="J52" s="47">
        <f t="shared" si="7"/>
        <v>0</v>
      </c>
      <c r="K52" s="58" t="str">
        <f t="shared" si="8"/>
        <v/>
      </c>
      <c r="L52" s="58" t="str">
        <f t="shared" si="9"/>
        <v/>
      </c>
      <c r="M52" s="24"/>
      <c r="N52" s="25"/>
      <c r="O52" s="26">
        <f t="shared" si="10"/>
        <v>0</v>
      </c>
      <c r="P52" s="26">
        <f t="shared" si="11"/>
        <v>0</v>
      </c>
      <c r="Q52" s="27" t="str">
        <f t="shared" si="12"/>
        <v/>
      </c>
      <c r="R52" s="27" t="str">
        <f t="shared" si="13"/>
        <v/>
      </c>
      <c r="S52" s="29"/>
      <c r="T52" s="30"/>
      <c r="U52" s="31">
        <f t="shared" si="14"/>
        <v>0</v>
      </c>
      <c r="V52" s="31">
        <f t="shared" si="15"/>
        <v>0</v>
      </c>
      <c r="W52" s="32" t="str">
        <f t="shared" si="16"/>
        <v/>
      </c>
      <c r="X52" s="32" t="str">
        <f t="shared" si="17"/>
        <v/>
      </c>
      <c r="Y52" s="24"/>
      <c r="Z52" s="24"/>
      <c r="AA52" s="25">
        <f t="shared" si="18"/>
        <v>0</v>
      </c>
      <c r="AB52" s="26">
        <f t="shared" si="19"/>
        <v>0</v>
      </c>
      <c r="AC52" s="26" t="str">
        <f t="shared" si="20"/>
        <v/>
      </c>
      <c r="AD52" s="27" t="str">
        <f t="shared" si="21"/>
        <v/>
      </c>
      <c r="AE52" s="39" t="str">
        <f t="shared" si="22"/>
        <v/>
      </c>
      <c r="AF52" s="39" t="str">
        <f t="shared" si="23"/>
        <v/>
      </c>
      <c r="AG52" s="40" t="str">
        <f t="shared" si="24"/>
        <v/>
      </c>
      <c r="AH52" s="41" t="str">
        <f t="shared" si="0"/>
        <v/>
      </c>
      <c r="AI52" s="39" t="str">
        <f>IF(B52="","",ROUND(GEOMEAN((J52,P52,V52)),0))</f>
        <v/>
      </c>
      <c r="AJ52" s="39" t="str">
        <f>IF(B52="","",ROUND(GEOMEAN((L52,R52,X52)),0))</f>
        <v/>
      </c>
      <c r="AK52" s="40" t="str">
        <f t="shared" si="1"/>
        <v/>
      </c>
      <c r="AL52" s="40" t="str">
        <f t="shared" si="2"/>
        <v/>
      </c>
      <c r="AM52" s="42" t="e">
        <f t="shared" si="25"/>
        <v>#DIV/0!</v>
      </c>
      <c r="AN52" s="42" t="e">
        <f t="shared" si="3"/>
        <v>#DIV/0!</v>
      </c>
      <c r="AO52" s="39" t="str">
        <f t="shared" si="26"/>
        <v/>
      </c>
      <c r="AP52" s="39" t="str">
        <f t="shared" si="27"/>
        <v/>
      </c>
      <c r="AQ52" s="40" t="str">
        <f t="shared" si="28"/>
        <v/>
      </c>
      <c r="AR52" s="41" t="str">
        <f t="shared" si="29"/>
        <v/>
      </c>
      <c r="AS52" s="39" t="str">
        <f>IF(L52="","",ROUND(GEOMEAN((J52,P52,V52,AB52)),0))</f>
        <v/>
      </c>
      <c r="AT52" s="39" t="str">
        <f>IF(L52="","",ROUND(GEOMEAN((L52,R52,X52,AD52)),0))</f>
        <v/>
      </c>
      <c r="AU52" s="40" t="str">
        <f t="shared" si="30"/>
        <v/>
      </c>
      <c r="AV52" s="40" t="str">
        <f t="shared" si="31"/>
        <v/>
      </c>
      <c r="AW52" s="42">
        <f t="shared" si="32"/>
        <v>0</v>
      </c>
      <c r="AX52" s="42">
        <f t="shared" si="4"/>
        <v>0</v>
      </c>
      <c r="AY52" s="5"/>
      <c r="BC52" s="482"/>
      <c r="BD52" s="482"/>
      <c r="BE52" s="482"/>
      <c r="BF52" s="482"/>
      <c r="BG52" s="482"/>
      <c r="BH52" s="482"/>
      <c r="BI52" s="482"/>
      <c r="BJ52" s="482"/>
      <c r="BK52" s="484"/>
      <c r="BL52" s="478"/>
      <c r="BM52" s="479"/>
      <c r="CN52" s="7">
        <v>42</v>
      </c>
    </row>
    <row r="53" spans="1:92" s="7" customFormat="1" ht="14.45" customHeight="1" x14ac:dyDescent="0.25">
      <c r="A53" s="6" t="str">
        <f t="shared" si="5"/>
        <v/>
      </c>
      <c r="B53" s="43"/>
      <c r="C53" s="6"/>
      <c r="D53" s="6"/>
      <c r="E53" s="43"/>
      <c r="F53" s="44"/>
      <c r="G53" s="22"/>
      <c r="H53" s="23"/>
      <c r="I53" s="47">
        <f t="shared" si="6"/>
        <v>0</v>
      </c>
      <c r="J53" s="47">
        <f t="shared" si="7"/>
        <v>0</v>
      </c>
      <c r="K53" s="58" t="str">
        <f t="shared" si="8"/>
        <v/>
      </c>
      <c r="L53" s="58" t="str">
        <f t="shared" si="9"/>
        <v/>
      </c>
      <c r="M53" s="24"/>
      <c r="N53" s="25"/>
      <c r="O53" s="26">
        <f t="shared" si="10"/>
        <v>0</v>
      </c>
      <c r="P53" s="26">
        <f t="shared" si="11"/>
        <v>0</v>
      </c>
      <c r="Q53" s="27" t="str">
        <f t="shared" si="12"/>
        <v/>
      </c>
      <c r="R53" s="27" t="str">
        <f t="shared" si="13"/>
        <v/>
      </c>
      <c r="S53" s="29"/>
      <c r="T53" s="30"/>
      <c r="U53" s="31">
        <f t="shared" si="14"/>
        <v>0</v>
      </c>
      <c r="V53" s="31">
        <f t="shared" si="15"/>
        <v>0</v>
      </c>
      <c r="W53" s="32" t="str">
        <f t="shared" si="16"/>
        <v/>
      </c>
      <c r="X53" s="32" t="str">
        <f t="shared" si="17"/>
        <v/>
      </c>
      <c r="Y53" s="24"/>
      <c r="Z53" s="24"/>
      <c r="AA53" s="25">
        <f t="shared" si="18"/>
        <v>0</v>
      </c>
      <c r="AB53" s="26">
        <f t="shared" si="19"/>
        <v>0</v>
      </c>
      <c r="AC53" s="26" t="str">
        <f t="shared" si="20"/>
        <v/>
      </c>
      <c r="AD53" s="27" t="str">
        <f t="shared" si="21"/>
        <v/>
      </c>
      <c r="AE53" s="39" t="str">
        <f t="shared" si="22"/>
        <v/>
      </c>
      <c r="AF53" s="39" t="str">
        <f t="shared" si="23"/>
        <v/>
      </c>
      <c r="AG53" s="40" t="str">
        <f t="shared" si="24"/>
        <v/>
      </c>
      <c r="AH53" s="41" t="str">
        <f t="shared" si="0"/>
        <v/>
      </c>
      <c r="AI53" s="39" t="str">
        <f>IF(B53="","",ROUND(GEOMEAN((J53,P53,V53)),0))</f>
        <v/>
      </c>
      <c r="AJ53" s="39" t="str">
        <f>IF(B53="","",ROUND(GEOMEAN((L53,R53,X53)),0))</f>
        <v/>
      </c>
      <c r="AK53" s="40" t="str">
        <f t="shared" si="1"/>
        <v/>
      </c>
      <c r="AL53" s="40" t="str">
        <f t="shared" si="2"/>
        <v/>
      </c>
      <c r="AM53" s="42" t="e">
        <f t="shared" si="25"/>
        <v>#DIV/0!</v>
      </c>
      <c r="AN53" s="42" t="e">
        <f t="shared" si="3"/>
        <v>#DIV/0!</v>
      </c>
      <c r="AO53" s="39" t="str">
        <f t="shared" si="26"/>
        <v/>
      </c>
      <c r="AP53" s="39" t="str">
        <f t="shared" si="27"/>
        <v/>
      </c>
      <c r="AQ53" s="40" t="str">
        <f t="shared" si="28"/>
        <v/>
      </c>
      <c r="AR53" s="41" t="str">
        <f t="shared" si="29"/>
        <v/>
      </c>
      <c r="AS53" s="39" t="str">
        <f>IF(L53="","",ROUND(GEOMEAN((J53,P53,V53,AB53)),0))</f>
        <v/>
      </c>
      <c r="AT53" s="39" t="str">
        <f>IF(L53="","",ROUND(GEOMEAN((L53,R53,X53,AD53)),0))</f>
        <v/>
      </c>
      <c r="AU53" s="40" t="str">
        <f t="shared" si="30"/>
        <v/>
      </c>
      <c r="AV53" s="40" t="str">
        <f t="shared" si="31"/>
        <v/>
      </c>
      <c r="AW53" s="42">
        <f t="shared" si="32"/>
        <v>0</v>
      </c>
      <c r="AX53" s="42">
        <f t="shared" si="4"/>
        <v>0</v>
      </c>
      <c r="AY53" s="5"/>
      <c r="BC53" s="482"/>
      <c r="BD53" s="482"/>
      <c r="BE53" s="482"/>
      <c r="BF53" s="482"/>
      <c r="BG53" s="482"/>
      <c r="BH53" s="482"/>
      <c r="BI53" s="482"/>
      <c r="BJ53" s="482"/>
      <c r="BK53" s="484"/>
      <c r="BL53" s="478"/>
      <c r="BM53" s="479"/>
      <c r="CN53" s="7">
        <v>43</v>
      </c>
    </row>
    <row r="54" spans="1:92" s="7" customFormat="1" ht="14.45" customHeight="1" x14ac:dyDescent="0.25">
      <c r="A54" s="6" t="str">
        <f t="shared" si="5"/>
        <v/>
      </c>
      <c r="B54" s="43"/>
      <c r="C54" s="6"/>
      <c r="D54" s="6"/>
      <c r="E54" s="43"/>
      <c r="F54" s="44"/>
      <c r="G54" s="22"/>
      <c r="H54" s="23"/>
      <c r="I54" s="47">
        <f t="shared" si="6"/>
        <v>0</v>
      </c>
      <c r="J54" s="47">
        <f t="shared" si="7"/>
        <v>0</v>
      </c>
      <c r="K54" s="58" t="str">
        <f t="shared" si="8"/>
        <v/>
      </c>
      <c r="L54" s="58" t="str">
        <f t="shared" si="9"/>
        <v/>
      </c>
      <c r="M54" s="24"/>
      <c r="N54" s="25"/>
      <c r="O54" s="26">
        <f t="shared" si="10"/>
        <v>0</v>
      </c>
      <c r="P54" s="26">
        <f t="shared" si="11"/>
        <v>0</v>
      </c>
      <c r="Q54" s="27" t="str">
        <f t="shared" si="12"/>
        <v/>
      </c>
      <c r="R54" s="27" t="str">
        <f t="shared" si="13"/>
        <v/>
      </c>
      <c r="S54" s="29"/>
      <c r="T54" s="30"/>
      <c r="U54" s="31">
        <f t="shared" si="14"/>
        <v>0</v>
      </c>
      <c r="V54" s="31">
        <f t="shared" si="15"/>
        <v>0</v>
      </c>
      <c r="W54" s="32" t="str">
        <f t="shared" si="16"/>
        <v/>
      </c>
      <c r="X54" s="32" t="str">
        <f t="shared" si="17"/>
        <v/>
      </c>
      <c r="Y54" s="24"/>
      <c r="Z54" s="24"/>
      <c r="AA54" s="25">
        <f t="shared" si="18"/>
        <v>0</v>
      </c>
      <c r="AB54" s="26">
        <f t="shared" si="19"/>
        <v>0</v>
      </c>
      <c r="AC54" s="26" t="str">
        <f t="shared" si="20"/>
        <v/>
      </c>
      <c r="AD54" s="27" t="str">
        <f t="shared" si="21"/>
        <v/>
      </c>
      <c r="AE54" s="39" t="str">
        <f t="shared" si="22"/>
        <v/>
      </c>
      <c r="AF54" s="39" t="str">
        <f t="shared" si="23"/>
        <v/>
      </c>
      <c r="AG54" s="40" t="str">
        <f t="shared" si="24"/>
        <v/>
      </c>
      <c r="AH54" s="41" t="str">
        <f t="shared" si="0"/>
        <v/>
      </c>
      <c r="AI54" s="39" t="str">
        <f>IF(B54="","",ROUND(GEOMEAN((J54,P54,V54)),0))</f>
        <v/>
      </c>
      <c r="AJ54" s="39" t="str">
        <f>IF(B54="","",ROUND(GEOMEAN((L54,R54,X54)),0))</f>
        <v/>
      </c>
      <c r="AK54" s="40" t="str">
        <f t="shared" si="1"/>
        <v/>
      </c>
      <c r="AL54" s="40" t="str">
        <f t="shared" si="2"/>
        <v/>
      </c>
      <c r="AM54" s="42" t="e">
        <f t="shared" si="25"/>
        <v>#DIV/0!</v>
      </c>
      <c r="AN54" s="42" t="e">
        <f t="shared" si="3"/>
        <v>#DIV/0!</v>
      </c>
      <c r="AO54" s="39" t="str">
        <f t="shared" si="26"/>
        <v/>
      </c>
      <c r="AP54" s="39" t="str">
        <f t="shared" si="27"/>
        <v/>
      </c>
      <c r="AQ54" s="40" t="str">
        <f t="shared" si="28"/>
        <v/>
      </c>
      <c r="AR54" s="41" t="str">
        <f t="shared" si="29"/>
        <v/>
      </c>
      <c r="AS54" s="39" t="str">
        <f>IF(L54="","",ROUND(GEOMEAN((J54,P54,V54,AB54)),0))</f>
        <v/>
      </c>
      <c r="AT54" s="39" t="str">
        <f>IF(L54="","",ROUND(GEOMEAN((L54,R54,X54,AD54)),0))</f>
        <v/>
      </c>
      <c r="AU54" s="40" t="str">
        <f t="shared" si="30"/>
        <v/>
      </c>
      <c r="AV54" s="40" t="str">
        <f t="shared" si="31"/>
        <v/>
      </c>
      <c r="AW54" s="42">
        <f t="shared" si="32"/>
        <v>0</v>
      </c>
      <c r="AX54" s="42">
        <f t="shared" si="4"/>
        <v>0</v>
      </c>
      <c r="AY54" s="5"/>
      <c r="BC54" s="482"/>
      <c r="BD54" s="482"/>
      <c r="BE54" s="482"/>
      <c r="BF54" s="482"/>
      <c r="BG54" s="482"/>
      <c r="BH54" s="482"/>
      <c r="BI54" s="482"/>
      <c r="BJ54" s="482"/>
      <c r="BK54" s="484"/>
      <c r="BL54" s="478"/>
      <c r="BM54" s="479"/>
      <c r="CN54" s="7">
        <v>44</v>
      </c>
    </row>
    <row r="55" spans="1:92" s="7" customFormat="1" ht="14.45" customHeight="1" x14ac:dyDescent="0.25">
      <c r="A55" s="6" t="str">
        <f t="shared" si="5"/>
        <v/>
      </c>
      <c r="B55" s="43"/>
      <c r="C55" s="6"/>
      <c r="D55" s="6"/>
      <c r="E55" s="43"/>
      <c r="F55" s="44"/>
      <c r="G55" s="22"/>
      <c r="H55" s="23"/>
      <c r="I55" s="47">
        <f t="shared" si="6"/>
        <v>0</v>
      </c>
      <c r="J55" s="47">
        <f t="shared" si="7"/>
        <v>0</v>
      </c>
      <c r="K55" s="58" t="str">
        <f t="shared" si="8"/>
        <v/>
      </c>
      <c r="L55" s="58" t="str">
        <f t="shared" si="9"/>
        <v/>
      </c>
      <c r="M55" s="24"/>
      <c r="N55" s="25"/>
      <c r="O55" s="26">
        <f t="shared" si="10"/>
        <v>0</v>
      </c>
      <c r="P55" s="26">
        <f t="shared" si="11"/>
        <v>0</v>
      </c>
      <c r="Q55" s="27" t="str">
        <f t="shared" si="12"/>
        <v/>
      </c>
      <c r="R55" s="27" t="str">
        <f t="shared" si="13"/>
        <v/>
      </c>
      <c r="S55" s="29"/>
      <c r="T55" s="30"/>
      <c r="U55" s="31">
        <f t="shared" si="14"/>
        <v>0</v>
      </c>
      <c r="V55" s="31">
        <f t="shared" si="15"/>
        <v>0</v>
      </c>
      <c r="W55" s="32" t="str">
        <f t="shared" si="16"/>
        <v/>
      </c>
      <c r="X55" s="32" t="str">
        <f t="shared" si="17"/>
        <v/>
      </c>
      <c r="Y55" s="24"/>
      <c r="Z55" s="24"/>
      <c r="AA55" s="25">
        <f t="shared" si="18"/>
        <v>0</v>
      </c>
      <c r="AB55" s="26">
        <f t="shared" si="19"/>
        <v>0</v>
      </c>
      <c r="AC55" s="26" t="str">
        <f t="shared" si="20"/>
        <v/>
      </c>
      <c r="AD55" s="27" t="str">
        <f t="shared" si="21"/>
        <v/>
      </c>
      <c r="AE55" s="39" t="str">
        <f t="shared" si="22"/>
        <v/>
      </c>
      <c r="AF55" s="39" t="str">
        <f t="shared" si="23"/>
        <v/>
      </c>
      <c r="AG55" s="40" t="str">
        <f t="shared" si="24"/>
        <v/>
      </c>
      <c r="AH55" s="41" t="str">
        <f t="shared" si="0"/>
        <v/>
      </c>
      <c r="AI55" s="39" t="str">
        <f>IF(B55="","",ROUND(GEOMEAN((J55,P55,V55)),0))</f>
        <v/>
      </c>
      <c r="AJ55" s="39" t="str">
        <f>IF(B55="","",ROUND(GEOMEAN((L55,R55,X55)),0))</f>
        <v/>
      </c>
      <c r="AK55" s="40" t="str">
        <f t="shared" si="1"/>
        <v/>
      </c>
      <c r="AL55" s="40" t="str">
        <f t="shared" si="2"/>
        <v/>
      </c>
      <c r="AM55" s="42" t="e">
        <f t="shared" si="25"/>
        <v>#DIV/0!</v>
      </c>
      <c r="AN55" s="42" t="e">
        <f t="shared" si="3"/>
        <v>#DIV/0!</v>
      </c>
      <c r="AO55" s="39" t="str">
        <f t="shared" si="26"/>
        <v/>
      </c>
      <c r="AP55" s="39" t="str">
        <f t="shared" si="27"/>
        <v/>
      </c>
      <c r="AQ55" s="40" t="str">
        <f t="shared" si="28"/>
        <v/>
      </c>
      <c r="AR55" s="41" t="str">
        <f t="shared" si="29"/>
        <v/>
      </c>
      <c r="AS55" s="39" t="str">
        <f>IF(L55="","",ROUND(GEOMEAN((J55,P55,V55,AB55)),0))</f>
        <v/>
      </c>
      <c r="AT55" s="39" t="str">
        <f>IF(L55="","",ROUND(GEOMEAN((L55,R55,X55,AD55)),0))</f>
        <v/>
      </c>
      <c r="AU55" s="40" t="str">
        <f t="shared" si="30"/>
        <v/>
      </c>
      <c r="AV55" s="40" t="str">
        <f t="shared" si="31"/>
        <v/>
      </c>
      <c r="AW55" s="42">
        <f t="shared" si="32"/>
        <v>0</v>
      </c>
      <c r="AX55" s="42">
        <f t="shared" si="4"/>
        <v>0</v>
      </c>
      <c r="AY55" s="5"/>
      <c r="BC55" s="482"/>
      <c r="BD55" s="482"/>
      <c r="BE55" s="482"/>
      <c r="BF55" s="482"/>
      <c r="BG55" s="482"/>
      <c r="BH55" s="482"/>
      <c r="BI55" s="482"/>
      <c r="BJ55" s="482"/>
      <c r="BK55" s="484"/>
      <c r="BL55" s="478"/>
      <c r="BM55" s="479"/>
      <c r="CN55" s="7">
        <v>45</v>
      </c>
    </row>
    <row r="56" spans="1:92" s="7" customFormat="1" ht="14.45" customHeight="1" x14ac:dyDescent="0.25">
      <c r="A56" s="6" t="str">
        <f t="shared" si="5"/>
        <v/>
      </c>
      <c r="B56" s="43"/>
      <c r="C56" s="6"/>
      <c r="D56" s="6"/>
      <c r="E56" s="43"/>
      <c r="F56" s="44"/>
      <c r="G56" s="22"/>
      <c r="H56" s="23"/>
      <c r="I56" s="47">
        <f t="shared" si="6"/>
        <v>0</v>
      </c>
      <c r="J56" s="47">
        <f t="shared" si="7"/>
        <v>0</v>
      </c>
      <c r="K56" s="58" t="str">
        <f t="shared" si="8"/>
        <v/>
      </c>
      <c r="L56" s="58" t="str">
        <f t="shared" si="9"/>
        <v/>
      </c>
      <c r="M56" s="24"/>
      <c r="N56" s="25"/>
      <c r="O56" s="26">
        <f t="shared" si="10"/>
        <v>0</v>
      </c>
      <c r="P56" s="26">
        <f t="shared" si="11"/>
        <v>0</v>
      </c>
      <c r="Q56" s="27" t="str">
        <f t="shared" si="12"/>
        <v/>
      </c>
      <c r="R56" s="27" t="str">
        <f t="shared" si="13"/>
        <v/>
      </c>
      <c r="S56" s="29"/>
      <c r="T56" s="30"/>
      <c r="U56" s="31">
        <f t="shared" si="14"/>
        <v>0</v>
      </c>
      <c r="V56" s="31">
        <f t="shared" si="15"/>
        <v>0</v>
      </c>
      <c r="W56" s="32" t="str">
        <f t="shared" si="16"/>
        <v/>
      </c>
      <c r="X56" s="32" t="str">
        <f t="shared" si="17"/>
        <v/>
      </c>
      <c r="Y56" s="24"/>
      <c r="Z56" s="24"/>
      <c r="AA56" s="25">
        <f t="shared" si="18"/>
        <v>0</v>
      </c>
      <c r="AB56" s="26">
        <f t="shared" si="19"/>
        <v>0</v>
      </c>
      <c r="AC56" s="26" t="str">
        <f t="shared" si="20"/>
        <v/>
      </c>
      <c r="AD56" s="27" t="str">
        <f t="shared" si="21"/>
        <v/>
      </c>
      <c r="AE56" s="39" t="str">
        <f t="shared" si="22"/>
        <v/>
      </c>
      <c r="AF56" s="39" t="str">
        <f t="shared" si="23"/>
        <v/>
      </c>
      <c r="AG56" s="40" t="str">
        <f t="shared" si="24"/>
        <v/>
      </c>
      <c r="AH56" s="41" t="str">
        <f t="shared" si="0"/>
        <v/>
      </c>
      <c r="AI56" s="39" t="str">
        <f>IF(B56="","",ROUND(GEOMEAN((J56,P56,V56)),0))</f>
        <v/>
      </c>
      <c r="AJ56" s="39" t="str">
        <f>IF(B56="","",ROUND(GEOMEAN((L56,R56,X56)),0))</f>
        <v/>
      </c>
      <c r="AK56" s="40" t="str">
        <f t="shared" si="1"/>
        <v/>
      </c>
      <c r="AL56" s="40" t="str">
        <f t="shared" si="2"/>
        <v/>
      </c>
      <c r="AM56" s="42" t="e">
        <f t="shared" si="25"/>
        <v>#DIV/0!</v>
      </c>
      <c r="AN56" s="42" t="e">
        <f t="shared" si="3"/>
        <v>#DIV/0!</v>
      </c>
      <c r="AO56" s="39" t="str">
        <f t="shared" si="26"/>
        <v/>
      </c>
      <c r="AP56" s="39" t="str">
        <f t="shared" si="27"/>
        <v/>
      </c>
      <c r="AQ56" s="40" t="str">
        <f t="shared" si="28"/>
        <v/>
      </c>
      <c r="AR56" s="41" t="str">
        <f t="shared" si="29"/>
        <v/>
      </c>
      <c r="AS56" s="39" t="str">
        <f>IF(L56="","",ROUND(GEOMEAN((J56,P56,V56,AB56)),0))</f>
        <v/>
      </c>
      <c r="AT56" s="39" t="str">
        <f>IF(L56="","",ROUND(GEOMEAN((L56,R56,X56,AD56)),0))</f>
        <v/>
      </c>
      <c r="AU56" s="40" t="str">
        <f t="shared" si="30"/>
        <v/>
      </c>
      <c r="AV56" s="40" t="str">
        <f t="shared" si="31"/>
        <v/>
      </c>
      <c r="AW56" s="42">
        <f t="shared" si="32"/>
        <v>0</v>
      </c>
      <c r="AX56" s="42">
        <f t="shared" si="4"/>
        <v>0</v>
      </c>
      <c r="AY56" s="5"/>
      <c r="BC56" s="482"/>
      <c r="BD56" s="482"/>
      <c r="BE56" s="482"/>
      <c r="BF56" s="482"/>
      <c r="BG56" s="482"/>
      <c r="BH56" s="482"/>
      <c r="BI56" s="482"/>
      <c r="BJ56" s="482"/>
      <c r="BK56" s="484"/>
      <c r="BL56" s="478"/>
      <c r="BM56" s="479"/>
      <c r="CN56" s="7">
        <v>46</v>
      </c>
    </row>
    <row r="57" spans="1:92" s="7" customFormat="1" ht="14.45" customHeight="1" x14ac:dyDescent="0.25">
      <c r="A57" s="6" t="str">
        <f t="shared" si="5"/>
        <v/>
      </c>
      <c r="B57" s="43"/>
      <c r="C57" s="6"/>
      <c r="D57" s="6"/>
      <c r="E57" s="43"/>
      <c r="F57" s="44"/>
      <c r="G57" s="22"/>
      <c r="H57" s="23"/>
      <c r="I57" s="47">
        <f t="shared" si="6"/>
        <v>0</v>
      </c>
      <c r="J57" s="47">
        <f t="shared" si="7"/>
        <v>0</v>
      </c>
      <c r="K57" s="58" t="str">
        <f t="shared" si="8"/>
        <v/>
      </c>
      <c r="L57" s="58" t="str">
        <f t="shared" si="9"/>
        <v/>
      </c>
      <c r="M57" s="24"/>
      <c r="N57" s="25"/>
      <c r="O57" s="26">
        <f t="shared" si="10"/>
        <v>0</v>
      </c>
      <c r="P57" s="26">
        <f t="shared" si="11"/>
        <v>0</v>
      </c>
      <c r="Q57" s="27" t="str">
        <f t="shared" si="12"/>
        <v/>
      </c>
      <c r="R57" s="27" t="str">
        <f t="shared" si="13"/>
        <v/>
      </c>
      <c r="S57" s="29"/>
      <c r="T57" s="30"/>
      <c r="U57" s="31">
        <f t="shared" si="14"/>
        <v>0</v>
      </c>
      <c r="V57" s="31">
        <f t="shared" si="15"/>
        <v>0</v>
      </c>
      <c r="W57" s="32" t="str">
        <f t="shared" si="16"/>
        <v/>
      </c>
      <c r="X57" s="32" t="str">
        <f t="shared" si="17"/>
        <v/>
      </c>
      <c r="Y57" s="24"/>
      <c r="Z57" s="24"/>
      <c r="AA57" s="25">
        <f t="shared" si="18"/>
        <v>0</v>
      </c>
      <c r="AB57" s="26">
        <f t="shared" si="19"/>
        <v>0</v>
      </c>
      <c r="AC57" s="26" t="str">
        <f t="shared" si="20"/>
        <v/>
      </c>
      <c r="AD57" s="27" t="str">
        <f t="shared" si="21"/>
        <v/>
      </c>
      <c r="AE57" s="39" t="str">
        <f t="shared" si="22"/>
        <v/>
      </c>
      <c r="AF57" s="39" t="str">
        <f t="shared" si="23"/>
        <v/>
      </c>
      <c r="AG57" s="40" t="str">
        <f t="shared" si="24"/>
        <v/>
      </c>
      <c r="AH57" s="41" t="str">
        <f t="shared" si="0"/>
        <v/>
      </c>
      <c r="AI57" s="39" t="str">
        <f>IF(B57="","",ROUND(GEOMEAN((J57,P57,V57)),0))</f>
        <v/>
      </c>
      <c r="AJ57" s="39" t="str">
        <f>IF(B57="","",ROUND(GEOMEAN((L57,R57,X57)),0))</f>
        <v/>
      </c>
      <c r="AK57" s="40" t="str">
        <f t="shared" si="1"/>
        <v/>
      </c>
      <c r="AL57" s="40" t="str">
        <f t="shared" si="2"/>
        <v/>
      </c>
      <c r="AM57" s="42" t="e">
        <f t="shared" si="25"/>
        <v>#DIV/0!</v>
      </c>
      <c r="AN57" s="42" t="e">
        <f t="shared" si="3"/>
        <v>#DIV/0!</v>
      </c>
      <c r="AO57" s="39" t="str">
        <f t="shared" si="26"/>
        <v/>
      </c>
      <c r="AP57" s="39" t="str">
        <f t="shared" si="27"/>
        <v/>
      </c>
      <c r="AQ57" s="40" t="str">
        <f t="shared" si="28"/>
        <v/>
      </c>
      <c r="AR57" s="41" t="str">
        <f t="shared" si="29"/>
        <v/>
      </c>
      <c r="AS57" s="39" t="str">
        <f>IF(L57="","",ROUND(GEOMEAN((J57,P57,V57,AB57)),0))</f>
        <v/>
      </c>
      <c r="AT57" s="39" t="str">
        <f>IF(L57="","",ROUND(GEOMEAN((L57,R57,X57,AD57)),0))</f>
        <v/>
      </c>
      <c r="AU57" s="40" t="str">
        <f t="shared" si="30"/>
        <v/>
      </c>
      <c r="AV57" s="40" t="str">
        <f t="shared" si="31"/>
        <v/>
      </c>
      <c r="AW57" s="42">
        <f t="shared" si="32"/>
        <v>0</v>
      </c>
      <c r="AX57" s="42">
        <f t="shared" si="4"/>
        <v>0</v>
      </c>
      <c r="AY57" s="5"/>
      <c r="BC57" s="482"/>
      <c r="BD57" s="482"/>
      <c r="BE57" s="482"/>
      <c r="BF57" s="482"/>
      <c r="BG57" s="482"/>
      <c r="BH57" s="482"/>
      <c r="BI57" s="482"/>
      <c r="BJ57" s="482"/>
      <c r="BK57" s="484"/>
      <c r="BL57" s="478"/>
      <c r="BM57" s="479"/>
      <c r="CN57" s="7">
        <v>47</v>
      </c>
    </row>
    <row r="58" spans="1:92" s="7" customFormat="1" ht="14.45" customHeight="1" x14ac:dyDescent="0.25">
      <c r="A58" s="6" t="str">
        <f t="shared" si="5"/>
        <v/>
      </c>
      <c r="B58" s="43"/>
      <c r="C58" s="6"/>
      <c r="D58" s="6"/>
      <c r="E58" s="43"/>
      <c r="F58" s="44"/>
      <c r="G58" s="22"/>
      <c r="H58" s="23"/>
      <c r="I58" s="47">
        <f t="shared" si="6"/>
        <v>0</v>
      </c>
      <c r="J58" s="47">
        <f t="shared" si="7"/>
        <v>0</v>
      </c>
      <c r="K58" s="58" t="str">
        <f t="shared" si="8"/>
        <v/>
      </c>
      <c r="L58" s="58" t="str">
        <f t="shared" si="9"/>
        <v/>
      </c>
      <c r="M58" s="24"/>
      <c r="N58" s="25"/>
      <c r="O58" s="26">
        <f t="shared" si="10"/>
        <v>0</v>
      </c>
      <c r="P58" s="26">
        <f t="shared" si="11"/>
        <v>0</v>
      </c>
      <c r="Q58" s="27" t="str">
        <f t="shared" si="12"/>
        <v/>
      </c>
      <c r="R58" s="27" t="str">
        <f t="shared" si="13"/>
        <v/>
      </c>
      <c r="S58" s="29"/>
      <c r="T58" s="30"/>
      <c r="U58" s="31">
        <f t="shared" si="14"/>
        <v>0</v>
      </c>
      <c r="V58" s="31">
        <f t="shared" si="15"/>
        <v>0</v>
      </c>
      <c r="W58" s="32" t="str">
        <f t="shared" si="16"/>
        <v/>
      </c>
      <c r="X58" s="32" t="str">
        <f t="shared" si="17"/>
        <v/>
      </c>
      <c r="Y58" s="24"/>
      <c r="Z58" s="24"/>
      <c r="AA58" s="25">
        <f t="shared" si="18"/>
        <v>0</v>
      </c>
      <c r="AB58" s="26">
        <f t="shared" si="19"/>
        <v>0</v>
      </c>
      <c r="AC58" s="26" t="str">
        <f t="shared" si="20"/>
        <v/>
      </c>
      <c r="AD58" s="27" t="str">
        <f t="shared" si="21"/>
        <v/>
      </c>
      <c r="AE58" s="39" t="str">
        <f t="shared" si="22"/>
        <v/>
      </c>
      <c r="AF58" s="39" t="str">
        <f t="shared" si="23"/>
        <v/>
      </c>
      <c r="AG58" s="40" t="str">
        <f t="shared" si="24"/>
        <v/>
      </c>
      <c r="AH58" s="41" t="str">
        <f t="shared" si="0"/>
        <v/>
      </c>
      <c r="AI58" s="39" t="str">
        <f>IF(B58="","",ROUND(GEOMEAN((J58,P58,V58)),0))</f>
        <v/>
      </c>
      <c r="AJ58" s="39" t="str">
        <f>IF(B58="","",ROUND(GEOMEAN((L58,R58,X58)),0))</f>
        <v/>
      </c>
      <c r="AK58" s="40" t="str">
        <f t="shared" si="1"/>
        <v/>
      </c>
      <c r="AL58" s="40" t="str">
        <f t="shared" si="2"/>
        <v/>
      </c>
      <c r="AM58" s="42" t="e">
        <f t="shared" si="25"/>
        <v>#DIV/0!</v>
      </c>
      <c r="AN58" s="42" t="e">
        <f t="shared" si="3"/>
        <v>#DIV/0!</v>
      </c>
      <c r="AO58" s="39" t="str">
        <f t="shared" si="26"/>
        <v/>
      </c>
      <c r="AP58" s="39" t="str">
        <f t="shared" si="27"/>
        <v/>
      </c>
      <c r="AQ58" s="40" t="str">
        <f t="shared" si="28"/>
        <v/>
      </c>
      <c r="AR58" s="41" t="str">
        <f t="shared" si="29"/>
        <v/>
      </c>
      <c r="AS58" s="39" t="str">
        <f>IF(L58="","",ROUND(GEOMEAN((J58,P58,V58,AB58)),0))</f>
        <v/>
      </c>
      <c r="AT58" s="39" t="str">
        <f>IF(L58="","",ROUND(GEOMEAN((L58,R58,X58,AD58)),0))</f>
        <v/>
      </c>
      <c r="AU58" s="40" t="str">
        <f t="shared" si="30"/>
        <v/>
      </c>
      <c r="AV58" s="40" t="str">
        <f t="shared" si="31"/>
        <v/>
      </c>
      <c r="AW58" s="42">
        <f t="shared" si="32"/>
        <v>0</v>
      </c>
      <c r="AX58" s="42">
        <f t="shared" si="4"/>
        <v>0</v>
      </c>
      <c r="AY58" s="5"/>
      <c r="BC58" s="482"/>
      <c r="BD58" s="482"/>
      <c r="BE58" s="482"/>
      <c r="BF58" s="482"/>
      <c r="BG58" s="482"/>
      <c r="BH58" s="482"/>
      <c r="BI58" s="482"/>
      <c r="BJ58" s="482"/>
      <c r="BK58" s="484"/>
      <c r="BL58" s="478"/>
      <c r="BM58" s="479"/>
      <c r="CN58" s="7">
        <v>48</v>
      </c>
    </row>
    <row r="59" spans="1:92" s="7" customFormat="1" ht="14.45" customHeight="1" x14ac:dyDescent="0.25">
      <c r="A59" s="6" t="str">
        <f t="shared" si="5"/>
        <v/>
      </c>
      <c r="B59" s="43"/>
      <c r="C59" s="6"/>
      <c r="D59" s="6"/>
      <c r="E59" s="43"/>
      <c r="F59" s="44"/>
      <c r="G59" s="22"/>
      <c r="H59" s="23"/>
      <c r="I59" s="47">
        <f t="shared" si="6"/>
        <v>0</v>
      </c>
      <c r="J59" s="47">
        <f t="shared" si="7"/>
        <v>0</v>
      </c>
      <c r="K59" s="58" t="str">
        <f t="shared" si="8"/>
        <v/>
      </c>
      <c r="L59" s="58" t="str">
        <f t="shared" si="9"/>
        <v/>
      </c>
      <c r="M59" s="24"/>
      <c r="N59" s="25"/>
      <c r="O59" s="26">
        <f t="shared" si="10"/>
        <v>0</v>
      </c>
      <c r="P59" s="26">
        <f t="shared" si="11"/>
        <v>0</v>
      </c>
      <c r="Q59" s="27" t="str">
        <f t="shared" si="12"/>
        <v/>
      </c>
      <c r="R59" s="27" t="str">
        <f t="shared" si="13"/>
        <v/>
      </c>
      <c r="S59" s="29"/>
      <c r="T59" s="30"/>
      <c r="U59" s="31">
        <f t="shared" si="14"/>
        <v>0</v>
      </c>
      <c r="V59" s="31">
        <f t="shared" si="15"/>
        <v>0</v>
      </c>
      <c r="W59" s="32" t="str">
        <f t="shared" si="16"/>
        <v/>
      </c>
      <c r="X59" s="32" t="str">
        <f t="shared" si="17"/>
        <v/>
      </c>
      <c r="Y59" s="24"/>
      <c r="Z59" s="24"/>
      <c r="AA59" s="25">
        <f t="shared" si="18"/>
        <v>0</v>
      </c>
      <c r="AB59" s="26">
        <f t="shared" si="19"/>
        <v>0</v>
      </c>
      <c r="AC59" s="26" t="str">
        <f t="shared" si="20"/>
        <v/>
      </c>
      <c r="AD59" s="27" t="str">
        <f t="shared" si="21"/>
        <v/>
      </c>
      <c r="AE59" s="39" t="str">
        <f t="shared" si="22"/>
        <v/>
      </c>
      <c r="AF59" s="39" t="str">
        <f t="shared" si="23"/>
        <v/>
      </c>
      <c r="AG59" s="40" t="str">
        <f t="shared" si="24"/>
        <v/>
      </c>
      <c r="AH59" s="41" t="str">
        <f t="shared" si="0"/>
        <v/>
      </c>
      <c r="AI59" s="39" t="str">
        <f>IF(B59="","",ROUND(GEOMEAN((J59,P59,V59)),0))</f>
        <v/>
      </c>
      <c r="AJ59" s="39" t="str">
        <f>IF(B59="","",ROUND(GEOMEAN((L59,R59,X59)),0))</f>
        <v/>
      </c>
      <c r="AK59" s="40" t="str">
        <f t="shared" si="1"/>
        <v/>
      </c>
      <c r="AL59" s="40" t="str">
        <f t="shared" si="2"/>
        <v/>
      </c>
      <c r="AM59" s="42" t="e">
        <f t="shared" si="25"/>
        <v>#DIV/0!</v>
      </c>
      <c r="AN59" s="42" t="e">
        <f t="shared" si="3"/>
        <v>#DIV/0!</v>
      </c>
      <c r="AO59" s="39" t="str">
        <f t="shared" si="26"/>
        <v/>
      </c>
      <c r="AP59" s="39" t="str">
        <f t="shared" si="27"/>
        <v/>
      </c>
      <c r="AQ59" s="40" t="str">
        <f t="shared" si="28"/>
        <v/>
      </c>
      <c r="AR59" s="41" t="str">
        <f t="shared" si="29"/>
        <v/>
      </c>
      <c r="AS59" s="39" t="str">
        <f>IF(L59="","",ROUND(GEOMEAN((J59,P59,V59,AB59)),0))</f>
        <v/>
      </c>
      <c r="AT59" s="39" t="str">
        <f>IF(L59="","",ROUND(GEOMEAN((L59,R59,X59,AD59)),0))</f>
        <v/>
      </c>
      <c r="AU59" s="40" t="str">
        <f t="shared" si="30"/>
        <v/>
      </c>
      <c r="AV59" s="40" t="str">
        <f t="shared" si="31"/>
        <v/>
      </c>
      <c r="AW59" s="42">
        <f t="shared" si="32"/>
        <v>0</v>
      </c>
      <c r="AX59" s="42">
        <f t="shared" si="4"/>
        <v>0</v>
      </c>
      <c r="AY59" s="5"/>
      <c r="BC59" s="482"/>
      <c r="BD59" s="482"/>
      <c r="BE59" s="482"/>
      <c r="BF59" s="482"/>
      <c r="BG59" s="482"/>
      <c r="BH59" s="482"/>
      <c r="BI59" s="482"/>
      <c r="BJ59" s="482"/>
      <c r="BK59" s="485"/>
      <c r="BL59" s="480"/>
      <c r="BM59" s="481"/>
      <c r="CN59" s="7">
        <v>49</v>
      </c>
    </row>
    <row r="60" spans="1:92" s="7" customFormat="1" x14ac:dyDescent="0.25">
      <c r="A60" s="6" t="str">
        <f t="shared" si="5"/>
        <v/>
      </c>
      <c r="B60" s="43"/>
      <c r="C60" s="6"/>
      <c r="D60" s="6"/>
      <c r="E60" s="43"/>
      <c r="F60" s="44"/>
      <c r="G60" s="22"/>
      <c r="H60" s="23"/>
      <c r="I60" s="47">
        <f t="shared" si="6"/>
        <v>0</v>
      </c>
      <c r="J60" s="47">
        <f t="shared" si="7"/>
        <v>0</v>
      </c>
      <c r="K60" s="58" t="str">
        <f t="shared" si="8"/>
        <v/>
      </c>
      <c r="L60" s="58" t="str">
        <f t="shared" si="9"/>
        <v/>
      </c>
      <c r="M60" s="24"/>
      <c r="N60" s="25"/>
      <c r="O60" s="26">
        <f t="shared" si="10"/>
        <v>0</v>
      </c>
      <c r="P60" s="26">
        <f t="shared" si="11"/>
        <v>0</v>
      </c>
      <c r="Q60" s="27" t="str">
        <f t="shared" si="12"/>
        <v/>
      </c>
      <c r="R60" s="27" t="str">
        <f t="shared" si="13"/>
        <v/>
      </c>
      <c r="S60" s="29"/>
      <c r="T60" s="30"/>
      <c r="U60" s="31">
        <f t="shared" si="14"/>
        <v>0</v>
      </c>
      <c r="V60" s="31">
        <f t="shared" si="15"/>
        <v>0</v>
      </c>
      <c r="W60" s="32" t="str">
        <f t="shared" si="16"/>
        <v/>
      </c>
      <c r="X60" s="32" t="str">
        <f t="shared" si="17"/>
        <v/>
      </c>
      <c r="Y60" s="24"/>
      <c r="Z60" s="24"/>
      <c r="AA60" s="25">
        <f t="shared" si="18"/>
        <v>0</v>
      </c>
      <c r="AB60" s="26">
        <f t="shared" si="19"/>
        <v>0</v>
      </c>
      <c r="AC60" s="26" t="str">
        <f t="shared" si="20"/>
        <v/>
      </c>
      <c r="AD60" s="27" t="str">
        <f t="shared" si="21"/>
        <v/>
      </c>
      <c r="AE60" s="39" t="str">
        <f t="shared" si="22"/>
        <v/>
      </c>
      <c r="AF60" s="39" t="str">
        <f t="shared" si="23"/>
        <v/>
      </c>
      <c r="AG60" s="40" t="str">
        <f t="shared" si="24"/>
        <v/>
      </c>
      <c r="AH60" s="41" t="str">
        <f t="shared" si="0"/>
        <v/>
      </c>
      <c r="AI60" s="39" t="str">
        <f>IF(B60="","",ROUND(GEOMEAN((J60,P60,V60)),0))</f>
        <v/>
      </c>
      <c r="AJ60" s="39" t="str">
        <f>IF(B60="","",ROUND(GEOMEAN((L60,R60,X60)),0))</f>
        <v/>
      </c>
      <c r="AK60" s="40" t="str">
        <f t="shared" si="1"/>
        <v/>
      </c>
      <c r="AL60" s="40" t="str">
        <f t="shared" si="2"/>
        <v/>
      </c>
      <c r="AM60" s="42" t="e">
        <f t="shared" si="25"/>
        <v>#DIV/0!</v>
      </c>
      <c r="AN60" s="42" t="e">
        <f t="shared" si="3"/>
        <v>#DIV/0!</v>
      </c>
      <c r="AO60" s="39" t="str">
        <f t="shared" si="26"/>
        <v/>
      </c>
      <c r="AP60" s="39" t="str">
        <f t="shared" si="27"/>
        <v/>
      </c>
      <c r="AQ60" s="40" t="str">
        <f t="shared" si="28"/>
        <v/>
      </c>
      <c r="AR60" s="41" t="str">
        <f t="shared" si="29"/>
        <v/>
      </c>
      <c r="AS60" s="39" t="str">
        <f>IF(L60="","",ROUND(GEOMEAN((J60,P60,V60,AB60)),0))</f>
        <v/>
      </c>
      <c r="AT60" s="39" t="str">
        <f>IF(L60="","",ROUND(GEOMEAN((L60,R60,X60,AD60)),0))</f>
        <v/>
      </c>
      <c r="AU60" s="40" t="str">
        <f t="shared" si="30"/>
        <v/>
      </c>
      <c r="AV60" s="40" t="str">
        <f t="shared" si="31"/>
        <v/>
      </c>
      <c r="AW60" s="42">
        <f t="shared" si="32"/>
        <v>0</v>
      </c>
      <c r="AX60" s="42">
        <f t="shared" si="4"/>
        <v>0</v>
      </c>
      <c r="AY60" s="5"/>
      <c r="CN60" s="7">
        <v>50</v>
      </c>
    </row>
    <row r="61" spans="1:92" s="7" customFormat="1" x14ac:dyDescent="0.25">
      <c r="A61" s="6" t="str">
        <f t="shared" si="5"/>
        <v/>
      </c>
      <c r="B61" s="43"/>
      <c r="C61" s="6"/>
      <c r="D61" s="6"/>
      <c r="E61" s="43"/>
      <c r="F61" s="44"/>
      <c r="G61" s="22"/>
      <c r="H61" s="23"/>
      <c r="I61" s="47">
        <f t="shared" si="6"/>
        <v>0</v>
      </c>
      <c r="J61" s="47">
        <f t="shared" si="7"/>
        <v>0</v>
      </c>
      <c r="K61" s="58" t="str">
        <f t="shared" si="8"/>
        <v/>
      </c>
      <c r="L61" s="58" t="str">
        <f t="shared" si="9"/>
        <v/>
      </c>
      <c r="M61" s="24"/>
      <c r="N61" s="25"/>
      <c r="O61" s="26">
        <f t="shared" si="10"/>
        <v>0</v>
      </c>
      <c r="P61" s="26">
        <f t="shared" si="11"/>
        <v>0</v>
      </c>
      <c r="Q61" s="27" t="str">
        <f t="shared" si="12"/>
        <v/>
      </c>
      <c r="R61" s="27" t="str">
        <f t="shared" si="13"/>
        <v/>
      </c>
      <c r="S61" s="29"/>
      <c r="T61" s="30"/>
      <c r="U61" s="31">
        <f t="shared" si="14"/>
        <v>0</v>
      </c>
      <c r="V61" s="31">
        <f t="shared" si="15"/>
        <v>0</v>
      </c>
      <c r="W61" s="32" t="str">
        <f t="shared" si="16"/>
        <v/>
      </c>
      <c r="X61" s="32" t="str">
        <f t="shared" si="17"/>
        <v/>
      </c>
      <c r="Y61" s="24"/>
      <c r="Z61" s="24"/>
      <c r="AA61" s="25">
        <f t="shared" si="18"/>
        <v>0</v>
      </c>
      <c r="AB61" s="26">
        <f t="shared" si="19"/>
        <v>0</v>
      </c>
      <c r="AC61" s="26" t="str">
        <f t="shared" si="20"/>
        <v/>
      </c>
      <c r="AD61" s="27" t="str">
        <f t="shared" si="21"/>
        <v/>
      </c>
      <c r="AE61" s="39" t="str">
        <f t="shared" si="22"/>
        <v/>
      </c>
      <c r="AF61" s="39" t="str">
        <f t="shared" si="23"/>
        <v/>
      </c>
      <c r="AG61" s="40" t="str">
        <f t="shared" si="24"/>
        <v/>
      </c>
      <c r="AH61" s="41" t="str">
        <f t="shared" si="0"/>
        <v/>
      </c>
      <c r="AI61" s="39" t="str">
        <f>IF(B61="","",ROUND(GEOMEAN((J61,P61,V61)),0))</f>
        <v/>
      </c>
      <c r="AJ61" s="39" t="str">
        <f>IF(B61="","",ROUND(GEOMEAN((L61,R61,X61)),0))</f>
        <v/>
      </c>
      <c r="AK61" s="40" t="str">
        <f t="shared" si="1"/>
        <v/>
      </c>
      <c r="AL61" s="40" t="str">
        <f t="shared" si="2"/>
        <v/>
      </c>
      <c r="AM61" s="42" t="e">
        <f t="shared" si="25"/>
        <v>#DIV/0!</v>
      </c>
      <c r="AN61" s="42" t="e">
        <f t="shared" si="3"/>
        <v>#DIV/0!</v>
      </c>
      <c r="AO61" s="39" t="str">
        <f t="shared" si="26"/>
        <v/>
      </c>
      <c r="AP61" s="39" t="str">
        <f t="shared" si="27"/>
        <v/>
      </c>
      <c r="AQ61" s="40" t="str">
        <f t="shared" si="28"/>
        <v/>
      </c>
      <c r="AR61" s="41" t="str">
        <f t="shared" si="29"/>
        <v/>
      </c>
      <c r="AS61" s="39" t="str">
        <f>IF(L61="","",ROUND(GEOMEAN((J61,P61,V61,AB61)),0))</f>
        <v/>
      </c>
      <c r="AT61" s="39" t="str">
        <f>IF(L61="","",ROUND(GEOMEAN((L61,R61,X61,AD61)),0))</f>
        <v/>
      </c>
      <c r="AU61" s="40" t="str">
        <f t="shared" si="30"/>
        <v/>
      </c>
      <c r="AV61" s="40" t="str">
        <f t="shared" si="31"/>
        <v/>
      </c>
      <c r="AW61" s="42">
        <f t="shared" si="32"/>
        <v>0</v>
      </c>
      <c r="AX61" s="42">
        <f t="shared" si="4"/>
        <v>0</v>
      </c>
      <c r="AY61" s="5"/>
      <c r="CN61" s="7">
        <v>51</v>
      </c>
    </row>
    <row r="62" spans="1:92" s="7" customFormat="1" x14ac:dyDescent="0.25">
      <c r="A62" s="6" t="str">
        <f t="shared" si="5"/>
        <v/>
      </c>
      <c r="B62" s="43"/>
      <c r="C62" s="6"/>
      <c r="D62" s="6"/>
      <c r="E62" s="43"/>
      <c r="F62" s="44"/>
      <c r="G62" s="22"/>
      <c r="H62" s="23"/>
      <c r="I62" s="47">
        <f t="shared" si="6"/>
        <v>0</v>
      </c>
      <c r="J62" s="47">
        <f t="shared" si="7"/>
        <v>0</v>
      </c>
      <c r="K62" s="58" t="str">
        <f t="shared" si="8"/>
        <v/>
      </c>
      <c r="L62" s="58" t="str">
        <f t="shared" si="9"/>
        <v/>
      </c>
      <c r="M62" s="24"/>
      <c r="N62" s="25"/>
      <c r="O62" s="26">
        <f t="shared" si="10"/>
        <v>0</v>
      </c>
      <c r="P62" s="26">
        <f t="shared" si="11"/>
        <v>0</v>
      </c>
      <c r="Q62" s="27" t="str">
        <f t="shared" si="12"/>
        <v/>
      </c>
      <c r="R62" s="27" t="str">
        <f t="shared" si="13"/>
        <v/>
      </c>
      <c r="S62" s="29"/>
      <c r="T62" s="30"/>
      <c r="U62" s="31">
        <f t="shared" si="14"/>
        <v>0</v>
      </c>
      <c r="V62" s="31">
        <f t="shared" si="15"/>
        <v>0</v>
      </c>
      <c r="W62" s="32" t="str">
        <f t="shared" si="16"/>
        <v/>
      </c>
      <c r="X62" s="32" t="str">
        <f t="shared" si="17"/>
        <v/>
      </c>
      <c r="Y62" s="24"/>
      <c r="Z62" s="24"/>
      <c r="AA62" s="25">
        <f t="shared" si="18"/>
        <v>0</v>
      </c>
      <c r="AB62" s="26">
        <f t="shared" si="19"/>
        <v>0</v>
      </c>
      <c r="AC62" s="26" t="str">
        <f t="shared" si="20"/>
        <v/>
      </c>
      <c r="AD62" s="27" t="str">
        <f t="shared" si="21"/>
        <v/>
      </c>
      <c r="AE62" s="39" t="str">
        <f t="shared" si="22"/>
        <v/>
      </c>
      <c r="AF62" s="39" t="str">
        <f t="shared" si="23"/>
        <v/>
      </c>
      <c r="AG62" s="40" t="str">
        <f t="shared" si="24"/>
        <v/>
      </c>
      <c r="AH62" s="41" t="str">
        <f t="shared" si="0"/>
        <v/>
      </c>
      <c r="AI62" s="39" t="str">
        <f>IF(B62="","",ROUND(GEOMEAN((J62,P62,V62)),0))</f>
        <v/>
      </c>
      <c r="AJ62" s="39" t="str">
        <f>IF(B62="","",ROUND(GEOMEAN((L62,R62,X62)),0))</f>
        <v/>
      </c>
      <c r="AK62" s="40" t="str">
        <f t="shared" si="1"/>
        <v/>
      </c>
      <c r="AL62" s="40" t="str">
        <f t="shared" si="2"/>
        <v/>
      </c>
      <c r="AM62" s="42" t="e">
        <f t="shared" si="25"/>
        <v>#DIV/0!</v>
      </c>
      <c r="AN62" s="42" t="e">
        <f t="shared" si="3"/>
        <v>#DIV/0!</v>
      </c>
      <c r="AO62" s="39" t="str">
        <f t="shared" si="26"/>
        <v/>
      </c>
      <c r="AP62" s="39" t="str">
        <f t="shared" si="27"/>
        <v/>
      </c>
      <c r="AQ62" s="40" t="str">
        <f t="shared" si="28"/>
        <v/>
      </c>
      <c r="AR62" s="41" t="str">
        <f t="shared" si="29"/>
        <v/>
      </c>
      <c r="AS62" s="39" t="str">
        <f>IF(L62="","",ROUND(GEOMEAN((J62,P62,V62,AB62)),0))</f>
        <v/>
      </c>
      <c r="AT62" s="39" t="str">
        <f>IF(L62="","",ROUND(GEOMEAN((L62,R62,X62,AD62)),0))</f>
        <v/>
      </c>
      <c r="AU62" s="40" t="str">
        <f t="shared" si="30"/>
        <v/>
      </c>
      <c r="AV62" s="40" t="str">
        <f t="shared" si="31"/>
        <v/>
      </c>
      <c r="AW62" s="42">
        <f t="shared" si="32"/>
        <v>0</v>
      </c>
      <c r="AX62" s="42">
        <f t="shared" si="4"/>
        <v>0</v>
      </c>
      <c r="AY62" s="5"/>
      <c r="CN62" s="7">
        <v>52</v>
      </c>
    </row>
    <row r="63" spans="1:92" s="7" customFormat="1" x14ac:dyDescent="0.25">
      <c r="A63" s="6" t="str">
        <f t="shared" si="5"/>
        <v/>
      </c>
      <c r="B63" s="43"/>
      <c r="C63" s="6"/>
      <c r="D63" s="6"/>
      <c r="E63" s="43"/>
      <c r="F63" s="44"/>
      <c r="G63" s="22"/>
      <c r="H63" s="23"/>
      <c r="I63" s="47">
        <f t="shared" si="6"/>
        <v>0</v>
      </c>
      <c r="J63" s="47">
        <f t="shared" si="7"/>
        <v>0</v>
      </c>
      <c r="K63" s="58" t="str">
        <f t="shared" si="8"/>
        <v/>
      </c>
      <c r="L63" s="58" t="str">
        <f t="shared" si="9"/>
        <v/>
      </c>
      <c r="M63" s="24"/>
      <c r="N63" s="25"/>
      <c r="O63" s="26">
        <f t="shared" si="10"/>
        <v>0</v>
      </c>
      <c r="P63" s="26">
        <f t="shared" si="11"/>
        <v>0</v>
      </c>
      <c r="Q63" s="27" t="str">
        <f t="shared" si="12"/>
        <v/>
      </c>
      <c r="R63" s="27" t="str">
        <f t="shared" si="13"/>
        <v/>
      </c>
      <c r="S63" s="29"/>
      <c r="T63" s="30"/>
      <c r="U63" s="31">
        <f t="shared" si="14"/>
        <v>0</v>
      </c>
      <c r="V63" s="31">
        <f t="shared" si="15"/>
        <v>0</v>
      </c>
      <c r="W63" s="32" t="str">
        <f t="shared" si="16"/>
        <v/>
      </c>
      <c r="X63" s="32" t="str">
        <f t="shared" si="17"/>
        <v/>
      </c>
      <c r="Y63" s="24"/>
      <c r="Z63" s="24"/>
      <c r="AA63" s="25">
        <f t="shared" si="18"/>
        <v>0</v>
      </c>
      <c r="AB63" s="26">
        <f t="shared" si="19"/>
        <v>0</v>
      </c>
      <c r="AC63" s="26" t="str">
        <f t="shared" si="20"/>
        <v/>
      </c>
      <c r="AD63" s="27" t="str">
        <f t="shared" si="21"/>
        <v/>
      </c>
      <c r="AE63" s="39" t="str">
        <f t="shared" si="22"/>
        <v/>
      </c>
      <c r="AF63" s="39" t="str">
        <f t="shared" si="23"/>
        <v/>
      </c>
      <c r="AG63" s="40" t="str">
        <f t="shared" si="24"/>
        <v/>
      </c>
      <c r="AH63" s="41" t="str">
        <f t="shared" si="0"/>
        <v/>
      </c>
      <c r="AI63" s="39" t="str">
        <f>IF(B63="","",ROUND(GEOMEAN((J63,P63,V63)),0))</f>
        <v/>
      </c>
      <c r="AJ63" s="39" t="str">
        <f>IF(B63="","",ROUND(GEOMEAN((L63,R63,X63)),0))</f>
        <v/>
      </c>
      <c r="AK63" s="40" t="str">
        <f t="shared" si="1"/>
        <v/>
      </c>
      <c r="AL63" s="40" t="str">
        <f t="shared" si="2"/>
        <v/>
      </c>
      <c r="AM63" s="42" t="e">
        <f t="shared" si="25"/>
        <v>#DIV/0!</v>
      </c>
      <c r="AN63" s="42" t="e">
        <f t="shared" si="3"/>
        <v>#DIV/0!</v>
      </c>
      <c r="AO63" s="39" t="str">
        <f t="shared" si="26"/>
        <v/>
      </c>
      <c r="AP63" s="39" t="str">
        <f t="shared" si="27"/>
        <v/>
      </c>
      <c r="AQ63" s="40" t="str">
        <f t="shared" si="28"/>
        <v/>
      </c>
      <c r="AR63" s="41" t="str">
        <f t="shared" si="29"/>
        <v/>
      </c>
      <c r="AS63" s="39" t="str">
        <f>IF(L63="","",ROUND(GEOMEAN((J63,P63,V63,AB63)),0))</f>
        <v/>
      </c>
      <c r="AT63" s="39" t="str">
        <f>IF(L63="","",ROUND(GEOMEAN((L63,R63,X63,AD63)),0))</f>
        <v/>
      </c>
      <c r="AU63" s="40" t="str">
        <f t="shared" si="30"/>
        <v/>
      </c>
      <c r="AV63" s="40" t="str">
        <f t="shared" si="31"/>
        <v/>
      </c>
      <c r="AW63" s="42">
        <f t="shared" si="32"/>
        <v>0</v>
      </c>
      <c r="AX63" s="42">
        <f t="shared" si="4"/>
        <v>0</v>
      </c>
      <c r="AY63" s="5"/>
      <c r="CN63" s="7">
        <v>53</v>
      </c>
    </row>
    <row r="64" spans="1:92" s="7" customFormat="1" x14ac:dyDescent="0.25">
      <c r="A64" s="6" t="str">
        <f t="shared" si="5"/>
        <v/>
      </c>
      <c r="B64" s="43"/>
      <c r="C64" s="6"/>
      <c r="D64" s="6"/>
      <c r="E64" s="43"/>
      <c r="F64" s="44"/>
      <c r="G64" s="22"/>
      <c r="H64" s="23"/>
      <c r="I64" s="47">
        <f t="shared" si="6"/>
        <v>0</v>
      </c>
      <c r="J64" s="47">
        <f t="shared" si="7"/>
        <v>0</v>
      </c>
      <c r="K64" s="58" t="str">
        <f t="shared" si="8"/>
        <v/>
      </c>
      <c r="L64" s="58" t="str">
        <f t="shared" si="9"/>
        <v/>
      </c>
      <c r="M64" s="24"/>
      <c r="N64" s="25"/>
      <c r="O64" s="26">
        <f t="shared" si="10"/>
        <v>0</v>
      </c>
      <c r="P64" s="26">
        <f t="shared" si="11"/>
        <v>0</v>
      </c>
      <c r="Q64" s="27" t="str">
        <f t="shared" si="12"/>
        <v/>
      </c>
      <c r="R64" s="27" t="str">
        <f t="shared" si="13"/>
        <v/>
      </c>
      <c r="S64" s="29"/>
      <c r="T64" s="30"/>
      <c r="U64" s="31">
        <f t="shared" si="14"/>
        <v>0</v>
      </c>
      <c r="V64" s="31">
        <f t="shared" si="15"/>
        <v>0</v>
      </c>
      <c r="W64" s="32" t="str">
        <f t="shared" si="16"/>
        <v/>
      </c>
      <c r="X64" s="32" t="str">
        <f t="shared" si="17"/>
        <v/>
      </c>
      <c r="Y64" s="24"/>
      <c r="Z64" s="24"/>
      <c r="AA64" s="25">
        <f t="shared" si="18"/>
        <v>0</v>
      </c>
      <c r="AB64" s="26">
        <f t="shared" si="19"/>
        <v>0</v>
      </c>
      <c r="AC64" s="26" t="str">
        <f t="shared" si="20"/>
        <v/>
      </c>
      <c r="AD64" s="27" t="str">
        <f t="shared" si="21"/>
        <v/>
      </c>
      <c r="AE64" s="39" t="str">
        <f t="shared" si="22"/>
        <v/>
      </c>
      <c r="AF64" s="39" t="str">
        <f t="shared" si="23"/>
        <v/>
      </c>
      <c r="AG64" s="40" t="str">
        <f t="shared" si="24"/>
        <v/>
      </c>
      <c r="AH64" s="41" t="str">
        <f t="shared" si="0"/>
        <v/>
      </c>
      <c r="AI64" s="39" t="str">
        <f>IF(B64="","",ROUND(GEOMEAN((J64,P64,V64)),0))</f>
        <v/>
      </c>
      <c r="AJ64" s="39" t="str">
        <f>IF(B64="","",ROUND(GEOMEAN((L64,R64,X64)),0))</f>
        <v/>
      </c>
      <c r="AK64" s="40" t="str">
        <f t="shared" si="1"/>
        <v/>
      </c>
      <c r="AL64" s="40" t="str">
        <f t="shared" si="2"/>
        <v/>
      </c>
      <c r="AM64" s="42" t="e">
        <f t="shared" si="25"/>
        <v>#DIV/0!</v>
      </c>
      <c r="AN64" s="42" t="e">
        <f t="shared" si="3"/>
        <v>#DIV/0!</v>
      </c>
      <c r="AO64" s="39" t="str">
        <f t="shared" si="26"/>
        <v/>
      </c>
      <c r="AP64" s="39" t="str">
        <f t="shared" si="27"/>
        <v/>
      </c>
      <c r="AQ64" s="40" t="str">
        <f t="shared" si="28"/>
        <v/>
      </c>
      <c r="AR64" s="41" t="str">
        <f t="shared" si="29"/>
        <v/>
      </c>
      <c r="AS64" s="39" t="str">
        <f>IF(L64="","",ROUND(GEOMEAN((J64,P64,V64,AB64)),0))</f>
        <v/>
      </c>
      <c r="AT64" s="39" t="str">
        <f>IF(L64="","",ROUND(GEOMEAN((L64,R64,X64,AD64)),0))</f>
        <v/>
      </c>
      <c r="AU64" s="40" t="str">
        <f t="shared" si="30"/>
        <v/>
      </c>
      <c r="AV64" s="40" t="str">
        <f t="shared" si="31"/>
        <v/>
      </c>
      <c r="AW64" s="42">
        <f t="shared" si="32"/>
        <v>0</v>
      </c>
      <c r="AX64" s="42">
        <f t="shared" si="4"/>
        <v>0</v>
      </c>
      <c r="AY64" s="5"/>
      <c r="CN64" s="7">
        <v>54</v>
      </c>
    </row>
    <row r="65" spans="1:92" s="7" customFormat="1" x14ac:dyDescent="0.25">
      <c r="A65" s="6" t="str">
        <f t="shared" si="5"/>
        <v/>
      </c>
      <c r="B65" s="43"/>
      <c r="C65" s="6"/>
      <c r="D65" s="6"/>
      <c r="E65" s="43"/>
      <c r="F65" s="44"/>
      <c r="G65" s="22"/>
      <c r="H65" s="23"/>
      <c r="I65" s="47">
        <f t="shared" si="6"/>
        <v>0</v>
      </c>
      <c r="J65" s="47">
        <f t="shared" si="7"/>
        <v>0</v>
      </c>
      <c r="K65" s="58" t="str">
        <f t="shared" si="8"/>
        <v/>
      </c>
      <c r="L65" s="58" t="str">
        <f t="shared" si="9"/>
        <v/>
      </c>
      <c r="M65" s="24"/>
      <c r="N65" s="25"/>
      <c r="O65" s="26">
        <f t="shared" si="10"/>
        <v>0</v>
      </c>
      <c r="P65" s="26">
        <f t="shared" si="11"/>
        <v>0</v>
      </c>
      <c r="Q65" s="27" t="str">
        <f t="shared" si="12"/>
        <v/>
      </c>
      <c r="R65" s="27" t="str">
        <f t="shared" si="13"/>
        <v/>
      </c>
      <c r="S65" s="29"/>
      <c r="T65" s="30"/>
      <c r="U65" s="31">
        <f t="shared" si="14"/>
        <v>0</v>
      </c>
      <c r="V65" s="31">
        <f t="shared" si="15"/>
        <v>0</v>
      </c>
      <c r="W65" s="32" t="str">
        <f t="shared" si="16"/>
        <v/>
      </c>
      <c r="X65" s="32" t="str">
        <f t="shared" si="17"/>
        <v/>
      </c>
      <c r="Y65" s="24"/>
      <c r="Z65" s="24"/>
      <c r="AA65" s="25">
        <f t="shared" si="18"/>
        <v>0</v>
      </c>
      <c r="AB65" s="26">
        <f t="shared" si="19"/>
        <v>0</v>
      </c>
      <c r="AC65" s="26" t="str">
        <f t="shared" si="20"/>
        <v/>
      </c>
      <c r="AD65" s="27" t="str">
        <f t="shared" si="21"/>
        <v/>
      </c>
      <c r="AE65" s="39" t="str">
        <f t="shared" si="22"/>
        <v/>
      </c>
      <c r="AF65" s="39" t="str">
        <f t="shared" si="23"/>
        <v/>
      </c>
      <c r="AG65" s="40" t="str">
        <f t="shared" si="24"/>
        <v/>
      </c>
      <c r="AH65" s="41" t="str">
        <f t="shared" si="0"/>
        <v/>
      </c>
      <c r="AI65" s="39" t="str">
        <f>IF(B65="","",ROUND(GEOMEAN((J65,P65,V65)),0))</f>
        <v/>
      </c>
      <c r="AJ65" s="39" t="str">
        <f>IF(B65="","",ROUND(GEOMEAN((L65,R65,X65)),0))</f>
        <v/>
      </c>
      <c r="AK65" s="40" t="str">
        <f t="shared" si="1"/>
        <v/>
      </c>
      <c r="AL65" s="40" t="str">
        <f t="shared" si="2"/>
        <v/>
      </c>
      <c r="AM65" s="42" t="e">
        <f t="shared" si="25"/>
        <v>#DIV/0!</v>
      </c>
      <c r="AN65" s="42" t="e">
        <f t="shared" si="3"/>
        <v>#DIV/0!</v>
      </c>
      <c r="AO65" s="39" t="str">
        <f t="shared" si="26"/>
        <v/>
      </c>
      <c r="AP65" s="39" t="str">
        <f t="shared" si="27"/>
        <v/>
      </c>
      <c r="AQ65" s="40" t="str">
        <f t="shared" si="28"/>
        <v/>
      </c>
      <c r="AR65" s="41" t="str">
        <f t="shared" si="29"/>
        <v/>
      </c>
      <c r="AS65" s="39" t="str">
        <f>IF(L65="","",ROUND(GEOMEAN((J65,P65,V65,AB65)),0))</f>
        <v/>
      </c>
      <c r="AT65" s="39" t="str">
        <f>IF(L65="","",ROUND(GEOMEAN((L65,R65,X65,AD65)),0))</f>
        <v/>
      </c>
      <c r="AU65" s="40" t="str">
        <f t="shared" si="30"/>
        <v/>
      </c>
      <c r="AV65" s="40" t="str">
        <f t="shared" si="31"/>
        <v/>
      </c>
      <c r="AW65" s="42">
        <f t="shared" si="32"/>
        <v>0</v>
      </c>
      <c r="AX65" s="42">
        <f t="shared" si="4"/>
        <v>0</v>
      </c>
      <c r="AY65" s="5"/>
      <c r="CN65" s="7">
        <v>55</v>
      </c>
    </row>
    <row r="66" spans="1:92" s="7" customFormat="1" x14ac:dyDescent="0.25">
      <c r="A66" s="6" t="str">
        <f t="shared" si="5"/>
        <v/>
      </c>
      <c r="B66" s="43"/>
      <c r="C66" s="6"/>
      <c r="D66" s="6"/>
      <c r="E66" s="43"/>
      <c r="F66" s="44"/>
      <c r="G66" s="22"/>
      <c r="H66" s="23"/>
      <c r="I66" s="47">
        <f t="shared" si="6"/>
        <v>0</v>
      </c>
      <c r="J66" s="47">
        <f t="shared" si="7"/>
        <v>0</v>
      </c>
      <c r="K66" s="58" t="str">
        <f t="shared" si="8"/>
        <v/>
      </c>
      <c r="L66" s="58" t="str">
        <f t="shared" si="9"/>
        <v/>
      </c>
      <c r="M66" s="24"/>
      <c r="N66" s="25"/>
      <c r="O66" s="26">
        <f t="shared" si="10"/>
        <v>0</v>
      </c>
      <c r="P66" s="26">
        <f t="shared" si="11"/>
        <v>0</v>
      </c>
      <c r="Q66" s="27" t="str">
        <f t="shared" si="12"/>
        <v/>
      </c>
      <c r="R66" s="27" t="str">
        <f t="shared" si="13"/>
        <v/>
      </c>
      <c r="S66" s="29"/>
      <c r="T66" s="30"/>
      <c r="U66" s="31">
        <f t="shared" si="14"/>
        <v>0</v>
      </c>
      <c r="V66" s="31">
        <f t="shared" si="15"/>
        <v>0</v>
      </c>
      <c r="W66" s="32" t="str">
        <f t="shared" si="16"/>
        <v/>
      </c>
      <c r="X66" s="32" t="str">
        <f t="shared" si="17"/>
        <v/>
      </c>
      <c r="Y66" s="24"/>
      <c r="Z66" s="24"/>
      <c r="AA66" s="25">
        <f t="shared" si="18"/>
        <v>0</v>
      </c>
      <c r="AB66" s="26">
        <f t="shared" si="19"/>
        <v>0</v>
      </c>
      <c r="AC66" s="26" t="str">
        <f t="shared" si="20"/>
        <v/>
      </c>
      <c r="AD66" s="27" t="str">
        <f t="shared" si="21"/>
        <v/>
      </c>
      <c r="AE66" s="39" t="str">
        <f t="shared" si="22"/>
        <v/>
      </c>
      <c r="AF66" s="39" t="str">
        <f t="shared" si="23"/>
        <v/>
      </c>
      <c r="AG66" s="40" t="str">
        <f t="shared" si="24"/>
        <v/>
      </c>
      <c r="AH66" s="41" t="str">
        <f t="shared" si="0"/>
        <v/>
      </c>
      <c r="AI66" s="39" t="str">
        <f>IF(B66="","",ROUND(GEOMEAN((J66,P66,V66)),0))</f>
        <v/>
      </c>
      <c r="AJ66" s="39" t="str">
        <f>IF(B66="","",ROUND(GEOMEAN((L66,R66,X66)),0))</f>
        <v/>
      </c>
      <c r="AK66" s="40" t="str">
        <f t="shared" si="1"/>
        <v/>
      </c>
      <c r="AL66" s="40" t="str">
        <f t="shared" si="2"/>
        <v/>
      </c>
      <c r="AM66" s="42" t="e">
        <f t="shared" si="25"/>
        <v>#DIV/0!</v>
      </c>
      <c r="AN66" s="42" t="e">
        <f t="shared" si="3"/>
        <v>#DIV/0!</v>
      </c>
      <c r="AO66" s="39" t="str">
        <f t="shared" si="26"/>
        <v/>
      </c>
      <c r="AP66" s="39" t="str">
        <f t="shared" si="27"/>
        <v/>
      </c>
      <c r="AQ66" s="40" t="str">
        <f t="shared" si="28"/>
        <v/>
      </c>
      <c r="AR66" s="41" t="str">
        <f t="shared" si="29"/>
        <v/>
      </c>
      <c r="AS66" s="39" t="str">
        <f>IF(L66="","",ROUND(GEOMEAN((J66,P66,V66,AB66)),0))</f>
        <v/>
      </c>
      <c r="AT66" s="39" t="str">
        <f>IF(L66="","",ROUND(GEOMEAN((L66,R66,X66,AD66)),0))</f>
        <v/>
      </c>
      <c r="AU66" s="40" t="str">
        <f t="shared" si="30"/>
        <v/>
      </c>
      <c r="AV66" s="40" t="str">
        <f t="shared" si="31"/>
        <v/>
      </c>
      <c r="AW66" s="42">
        <f t="shared" si="32"/>
        <v>0</v>
      </c>
      <c r="AX66" s="42">
        <f t="shared" si="4"/>
        <v>0</v>
      </c>
      <c r="AY66" s="5"/>
      <c r="CN66" s="7">
        <v>56</v>
      </c>
    </row>
    <row r="67" spans="1:92" s="7" customFormat="1" x14ac:dyDescent="0.25">
      <c r="A67" s="6" t="str">
        <f t="shared" si="5"/>
        <v/>
      </c>
      <c r="B67" s="43"/>
      <c r="C67" s="6"/>
      <c r="D67" s="6"/>
      <c r="E67" s="43"/>
      <c r="F67" s="44"/>
      <c r="G67" s="22"/>
      <c r="H67" s="23"/>
      <c r="I67" s="47">
        <f t="shared" si="6"/>
        <v>0</v>
      </c>
      <c r="J67" s="47">
        <f t="shared" si="7"/>
        <v>0</v>
      </c>
      <c r="K67" s="58" t="str">
        <f t="shared" si="8"/>
        <v/>
      </c>
      <c r="L67" s="58" t="str">
        <f t="shared" si="9"/>
        <v/>
      </c>
      <c r="M67" s="24"/>
      <c r="N67" s="25"/>
      <c r="O67" s="26">
        <f t="shared" si="10"/>
        <v>0</v>
      </c>
      <c r="P67" s="26">
        <f t="shared" si="11"/>
        <v>0</v>
      </c>
      <c r="Q67" s="27" t="str">
        <f t="shared" si="12"/>
        <v/>
      </c>
      <c r="R67" s="27" t="str">
        <f t="shared" si="13"/>
        <v/>
      </c>
      <c r="S67" s="29"/>
      <c r="T67" s="30"/>
      <c r="U67" s="31">
        <f t="shared" si="14"/>
        <v>0</v>
      </c>
      <c r="V67" s="31">
        <f t="shared" si="15"/>
        <v>0</v>
      </c>
      <c r="W67" s="32" t="str">
        <f t="shared" si="16"/>
        <v/>
      </c>
      <c r="X67" s="32" t="str">
        <f t="shared" si="17"/>
        <v/>
      </c>
      <c r="Y67" s="24"/>
      <c r="Z67" s="24"/>
      <c r="AA67" s="25">
        <f t="shared" si="18"/>
        <v>0</v>
      </c>
      <c r="AB67" s="26">
        <f t="shared" si="19"/>
        <v>0</v>
      </c>
      <c r="AC67" s="26" t="str">
        <f t="shared" si="20"/>
        <v/>
      </c>
      <c r="AD67" s="27" t="str">
        <f t="shared" si="21"/>
        <v/>
      </c>
      <c r="AE67" s="39" t="str">
        <f t="shared" si="22"/>
        <v/>
      </c>
      <c r="AF67" s="39" t="str">
        <f t="shared" si="23"/>
        <v/>
      </c>
      <c r="AG67" s="40" t="str">
        <f t="shared" si="24"/>
        <v/>
      </c>
      <c r="AH67" s="41" t="str">
        <f t="shared" si="0"/>
        <v/>
      </c>
      <c r="AI67" s="39" t="str">
        <f>IF(B67="","",ROUND(GEOMEAN((J67,P67,V67)),0))</f>
        <v/>
      </c>
      <c r="AJ67" s="39" t="str">
        <f>IF(B67="","",ROUND(GEOMEAN((L67,R67,X67)),0))</f>
        <v/>
      </c>
      <c r="AK67" s="40" t="str">
        <f t="shared" si="1"/>
        <v/>
      </c>
      <c r="AL67" s="40" t="str">
        <f t="shared" si="2"/>
        <v/>
      </c>
      <c r="AM67" s="42" t="e">
        <f t="shared" si="25"/>
        <v>#DIV/0!</v>
      </c>
      <c r="AN67" s="42" t="e">
        <f t="shared" si="3"/>
        <v>#DIV/0!</v>
      </c>
      <c r="AO67" s="39" t="str">
        <f t="shared" si="26"/>
        <v/>
      </c>
      <c r="AP67" s="39" t="str">
        <f t="shared" si="27"/>
        <v/>
      </c>
      <c r="AQ67" s="40" t="str">
        <f t="shared" si="28"/>
        <v/>
      </c>
      <c r="AR67" s="41" t="str">
        <f t="shared" si="29"/>
        <v/>
      </c>
      <c r="AS67" s="39" t="str">
        <f>IF(L67="","",ROUND(GEOMEAN((J67,P67,V67,AB67)),0))</f>
        <v/>
      </c>
      <c r="AT67" s="39" t="str">
        <f>IF(L67="","",ROUND(GEOMEAN((L67,R67,X67,AD67)),0))</f>
        <v/>
      </c>
      <c r="AU67" s="40" t="str">
        <f t="shared" si="30"/>
        <v/>
      </c>
      <c r="AV67" s="40" t="str">
        <f t="shared" si="31"/>
        <v/>
      </c>
      <c r="AW67" s="42">
        <f t="shared" si="32"/>
        <v>0</v>
      </c>
      <c r="AX67" s="42">
        <f t="shared" si="4"/>
        <v>0</v>
      </c>
      <c r="AY67" s="5"/>
      <c r="CN67" s="7">
        <v>57</v>
      </c>
    </row>
    <row r="68" spans="1:92" s="7" customFormat="1" ht="14.45" customHeight="1" x14ac:dyDescent="0.25">
      <c r="A68" s="6" t="str">
        <f t="shared" si="5"/>
        <v/>
      </c>
      <c r="B68" s="43"/>
      <c r="C68" s="6"/>
      <c r="D68" s="6"/>
      <c r="E68" s="43"/>
      <c r="F68" s="44"/>
      <c r="G68" s="22"/>
      <c r="H68" s="23"/>
      <c r="I68" s="47">
        <f t="shared" si="6"/>
        <v>0</v>
      </c>
      <c r="J68" s="47">
        <f t="shared" si="7"/>
        <v>0</v>
      </c>
      <c r="K68" s="58" t="str">
        <f t="shared" si="8"/>
        <v/>
      </c>
      <c r="L68" s="58" t="str">
        <f t="shared" si="9"/>
        <v/>
      </c>
      <c r="M68" s="24"/>
      <c r="N68" s="25"/>
      <c r="O68" s="26">
        <f t="shared" si="10"/>
        <v>0</v>
      </c>
      <c r="P68" s="26">
        <f t="shared" si="11"/>
        <v>0</v>
      </c>
      <c r="Q68" s="27" t="str">
        <f t="shared" si="12"/>
        <v/>
      </c>
      <c r="R68" s="27" t="str">
        <f t="shared" si="13"/>
        <v/>
      </c>
      <c r="S68" s="29"/>
      <c r="T68" s="30"/>
      <c r="U68" s="31">
        <f t="shared" si="14"/>
        <v>0</v>
      </c>
      <c r="V68" s="31">
        <f t="shared" si="15"/>
        <v>0</v>
      </c>
      <c r="W68" s="32" t="str">
        <f t="shared" si="16"/>
        <v/>
      </c>
      <c r="X68" s="32" t="str">
        <f t="shared" si="17"/>
        <v/>
      </c>
      <c r="Y68" s="24"/>
      <c r="Z68" s="24"/>
      <c r="AA68" s="25">
        <f t="shared" si="18"/>
        <v>0</v>
      </c>
      <c r="AB68" s="26">
        <f t="shared" si="19"/>
        <v>0</v>
      </c>
      <c r="AC68" s="26" t="str">
        <f t="shared" si="20"/>
        <v/>
      </c>
      <c r="AD68" s="27" t="str">
        <f t="shared" si="21"/>
        <v/>
      </c>
      <c r="AE68" s="39" t="str">
        <f t="shared" si="22"/>
        <v/>
      </c>
      <c r="AF68" s="39" t="str">
        <f t="shared" si="23"/>
        <v/>
      </c>
      <c r="AG68" s="40" t="str">
        <f t="shared" si="24"/>
        <v/>
      </c>
      <c r="AH68" s="41" t="str">
        <f t="shared" si="0"/>
        <v/>
      </c>
      <c r="AI68" s="39" t="str">
        <f>IF(B68="","",ROUND(GEOMEAN((J68,P68,V68)),0))</f>
        <v/>
      </c>
      <c r="AJ68" s="39" t="str">
        <f>IF(B68="","",ROUND(GEOMEAN((L68,R68,X68)),0))</f>
        <v/>
      </c>
      <c r="AK68" s="40" t="str">
        <f t="shared" si="1"/>
        <v/>
      </c>
      <c r="AL68" s="40" t="str">
        <f t="shared" si="2"/>
        <v/>
      </c>
      <c r="AM68" s="42" t="e">
        <f t="shared" si="25"/>
        <v>#DIV/0!</v>
      </c>
      <c r="AN68" s="42" t="e">
        <f t="shared" si="3"/>
        <v>#DIV/0!</v>
      </c>
      <c r="AO68" s="39" t="str">
        <f t="shared" si="26"/>
        <v/>
      </c>
      <c r="AP68" s="39" t="str">
        <f t="shared" si="27"/>
        <v/>
      </c>
      <c r="AQ68" s="40" t="str">
        <f t="shared" si="28"/>
        <v/>
      </c>
      <c r="AR68" s="41" t="str">
        <f t="shared" si="29"/>
        <v/>
      </c>
      <c r="AS68" s="39" t="str">
        <f>IF(L68="","",ROUND(GEOMEAN((J68,P68,V68,AB68)),0))</f>
        <v/>
      </c>
      <c r="AT68" s="39" t="str">
        <f>IF(L68="","",ROUND(GEOMEAN((L68,R68,X68,AD68)),0))</f>
        <v/>
      </c>
      <c r="AU68" s="40" t="str">
        <f t="shared" si="30"/>
        <v/>
      </c>
      <c r="AV68" s="40" t="str">
        <f t="shared" si="31"/>
        <v/>
      </c>
      <c r="AW68" s="42">
        <f t="shared" si="32"/>
        <v>0</v>
      </c>
      <c r="AX68" s="42">
        <f t="shared" si="4"/>
        <v>0</v>
      </c>
      <c r="AY68" s="5"/>
      <c r="CN68" s="7">
        <v>58</v>
      </c>
    </row>
    <row r="69" spans="1:92" s="7" customFormat="1" ht="14.45" customHeight="1" x14ac:dyDescent="0.25">
      <c r="A69" s="6" t="str">
        <f t="shared" si="5"/>
        <v/>
      </c>
      <c r="B69" s="43"/>
      <c r="C69" s="6"/>
      <c r="D69" s="6"/>
      <c r="E69" s="43"/>
      <c r="F69" s="44"/>
      <c r="G69" s="22"/>
      <c r="H69" s="23"/>
      <c r="I69" s="47">
        <f t="shared" si="6"/>
        <v>0</v>
      </c>
      <c r="J69" s="47">
        <f t="shared" si="7"/>
        <v>0</v>
      </c>
      <c r="K69" s="58" t="str">
        <f t="shared" si="8"/>
        <v/>
      </c>
      <c r="L69" s="58" t="str">
        <f t="shared" si="9"/>
        <v/>
      </c>
      <c r="M69" s="24"/>
      <c r="N69" s="25"/>
      <c r="O69" s="26">
        <f t="shared" si="10"/>
        <v>0</v>
      </c>
      <c r="P69" s="26">
        <f t="shared" si="11"/>
        <v>0</v>
      </c>
      <c r="Q69" s="27" t="str">
        <f t="shared" si="12"/>
        <v/>
      </c>
      <c r="R69" s="27" t="str">
        <f t="shared" si="13"/>
        <v/>
      </c>
      <c r="S69" s="29"/>
      <c r="T69" s="30"/>
      <c r="U69" s="31">
        <f t="shared" si="14"/>
        <v>0</v>
      </c>
      <c r="V69" s="31">
        <f t="shared" si="15"/>
        <v>0</v>
      </c>
      <c r="W69" s="32" t="str">
        <f t="shared" si="16"/>
        <v/>
      </c>
      <c r="X69" s="32" t="str">
        <f t="shared" si="17"/>
        <v/>
      </c>
      <c r="Y69" s="24"/>
      <c r="Z69" s="24"/>
      <c r="AA69" s="25">
        <f t="shared" si="18"/>
        <v>0</v>
      </c>
      <c r="AB69" s="26">
        <f t="shared" si="19"/>
        <v>0</v>
      </c>
      <c r="AC69" s="26" t="str">
        <f t="shared" si="20"/>
        <v/>
      </c>
      <c r="AD69" s="27" t="str">
        <f t="shared" si="21"/>
        <v/>
      </c>
      <c r="AE69" s="39" t="str">
        <f t="shared" si="22"/>
        <v/>
      </c>
      <c r="AF69" s="39" t="str">
        <f t="shared" si="23"/>
        <v/>
      </c>
      <c r="AG69" s="40" t="str">
        <f t="shared" si="24"/>
        <v/>
      </c>
      <c r="AH69" s="41" t="str">
        <f t="shared" si="0"/>
        <v/>
      </c>
      <c r="AI69" s="39" t="str">
        <f>IF(B69="","",ROUND(GEOMEAN((J69,P69,V69)),0))</f>
        <v/>
      </c>
      <c r="AJ69" s="39" t="str">
        <f>IF(B69="","",ROUND(GEOMEAN((L69,R69,X69)),0))</f>
        <v/>
      </c>
      <c r="AK69" s="40" t="str">
        <f t="shared" si="1"/>
        <v/>
      </c>
      <c r="AL69" s="40" t="str">
        <f t="shared" si="2"/>
        <v/>
      </c>
      <c r="AM69" s="42" t="e">
        <f t="shared" si="25"/>
        <v>#DIV/0!</v>
      </c>
      <c r="AN69" s="42" t="e">
        <f t="shared" si="3"/>
        <v>#DIV/0!</v>
      </c>
      <c r="AO69" s="39" t="str">
        <f t="shared" si="26"/>
        <v/>
      </c>
      <c r="AP69" s="39" t="str">
        <f t="shared" si="27"/>
        <v/>
      </c>
      <c r="AQ69" s="40" t="str">
        <f t="shared" si="28"/>
        <v/>
      </c>
      <c r="AR69" s="41" t="str">
        <f t="shared" si="29"/>
        <v/>
      </c>
      <c r="AS69" s="39" t="str">
        <f>IF(L69="","",ROUND(GEOMEAN((J69,P69,V69,AB69)),0))</f>
        <v/>
      </c>
      <c r="AT69" s="39" t="str">
        <f>IF(L69="","",ROUND(GEOMEAN((L69,R69,X69,AD69)),0))</f>
        <v/>
      </c>
      <c r="AU69" s="40" t="str">
        <f t="shared" si="30"/>
        <v/>
      </c>
      <c r="AV69" s="40" t="str">
        <f t="shared" si="31"/>
        <v/>
      </c>
      <c r="AW69" s="42">
        <f t="shared" si="32"/>
        <v>0</v>
      </c>
      <c r="AX69" s="42">
        <f t="shared" si="4"/>
        <v>0</v>
      </c>
      <c r="AY69" s="5"/>
      <c r="BY69" s="471" t="s">
        <v>236</v>
      </c>
      <c r="BZ69" s="472"/>
      <c r="CA69" s="472"/>
      <c r="CB69" s="472"/>
      <c r="CC69" s="472"/>
      <c r="CD69" s="472"/>
      <c r="CE69" s="472"/>
      <c r="CF69" s="473"/>
      <c r="CG69" s="483" t="s">
        <v>237</v>
      </c>
      <c r="CH69" s="476">
        <f>SUM(AF120,BN59)</f>
        <v>0</v>
      </c>
      <c r="CI69" s="477"/>
      <c r="CN69" s="7">
        <v>59</v>
      </c>
    </row>
    <row r="70" spans="1:92" s="7" customFormat="1" ht="14.45" customHeight="1" x14ac:dyDescent="0.25">
      <c r="A70" s="6" t="str">
        <f t="shared" si="5"/>
        <v/>
      </c>
      <c r="B70" s="43"/>
      <c r="C70" s="6"/>
      <c r="D70" s="6"/>
      <c r="E70" s="43"/>
      <c r="F70" s="44"/>
      <c r="G70" s="22"/>
      <c r="H70" s="23"/>
      <c r="I70" s="47">
        <f t="shared" si="6"/>
        <v>0</v>
      </c>
      <c r="J70" s="47">
        <f t="shared" si="7"/>
        <v>0</v>
      </c>
      <c r="K70" s="58" t="str">
        <f t="shared" si="8"/>
        <v/>
      </c>
      <c r="L70" s="58" t="str">
        <f t="shared" si="9"/>
        <v/>
      </c>
      <c r="M70" s="24"/>
      <c r="N70" s="25"/>
      <c r="O70" s="26">
        <f t="shared" si="10"/>
        <v>0</v>
      </c>
      <c r="P70" s="26">
        <f t="shared" si="11"/>
        <v>0</v>
      </c>
      <c r="Q70" s="27" t="str">
        <f t="shared" si="12"/>
        <v/>
      </c>
      <c r="R70" s="27" t="str">
        <f t="shared" si="13"/>
        <v/>
      </c>
      <c r="S70" s="29"/>
      <c r="T70" s="30"/>
      <c r="U70" s="31">
        <f t="shared" si="14"/>
        <v>0</v>
      </c>
      <c r="V70" s="31">
        <f t="shared" si="15"/>
        <v>0</v>
      </c>
      <c r="W70" s="32" t="str">
        <f t="shared" si="16"/>
        <v/>
      </c>
      <c r="X70" s="32" t="str">
        <f t="shared" si="17"/>
        <v/>
      </c>
      <c r="Y70" s="24"/>
      <c r="Z70" s="24"/>
      <c r="AA70" s="25">
        <f t="shared" si="18"/>
        <v>0</v>
      </c>
      <c r="AB70" s="26">
        <f t="shared" si="19"/>
        <v>0</v>
      </c>
      <c r="AC70" s="26" t="str">
        <f t="shared" si="20"/>
        <v/>
      </c>
      <c r="AD70" s="27" t="str">
        <f t="shared" si="21"/>
        <v/>
      </c>
      <c r="AE70" s="39" t="str">
        <f t="shared" si="22"/>
        <v/>
      </c>
      <c r="AF70" s="39" t="str">
        <f t="shared" si="23"/>
        <v/>
      </c>
      <c r="AG70" s="40" t="str">
        <f t="shared" si="24"/>
        <v/>
      </c>
      <c r="AH70" s="41" t="str">
        <f t="shared" si="0"/>
        <v/>
      </c>
      <c r="AI70" s="39" t="str">
        <f>IF(B70="","",ROUND(GEOMEAN((J70,P70,V70)),0))</f>
        <v/>
      </c>
      <c r="AJ70" s="39" t="str">
        <f>IF(B70="","",ROUND(GEOMEAN((L70,R70,X70)),0))</f>
        <v/>
      </c>
      <c r="AK70" s="40" t="str">
        <f t="shared" si="1"/>
        <v/>
      </c>
      <c r="AL70" s="40" t="str">
        <f t="shared" si="2"/>
        <v/>
      </c>
      <c r="AM70" s="42" t="e">
        <f t="shared" si="25"/>
        <v>#DIV/0!</v>
      </c>
      <c r="AN70" s="42" t="e">
        <f t="shared" si="3"/>
        <v>#DIV/0!</v>
      </c>
      <c r="AO70" s="39" t="str">
        <f t="shared" si="26"/>
        <v/>
      </c>
      <c r="AP70" s="39" t="str">
        <f t="shared" si="27"/>
        <v/>
      </c>
      <c r="AQ70" s="40" t="str">
        <f t="shared" si="28"/>
        <v/>
      </c>
      <c r="AR70" s="41" t="str">
        <f t="shared" si="29"/>
        <v/>
      </c>
      <c r="AS70" s="39" t="str">
        <f>IF(L70="","",ROUND(GEOMEAN((J70,P70,V70,AB70)),0))</f>
        <v/>
      </c>
      <c r="AT70" s="39" t="str">
        <f>IF(L70="","",ROUND(GEOMEAN((L70,R70,X70,AD70)),0))</f>
        <v/>
      </c>
      <c r="AU70" s="40" t="str">
        <f t="shared" si="30"/>
        <v/>
      </c>
      <c r="AV70" s="40" t="str">
        <f t="shared" si="31"/>
        <v/>
      </c>
      <c r="AW70" s="42">
        <f t="shared" si="32"/>
        <v>0</v>
      </c>
      <c r="AX70" s="42">
        <f t="shared" si="4"/>
        <v>0</v>
      </c>
      <c r="AY70" s="5"/>
      <c r="BY70" s="482" t="s">
        <v>241</v>
      </c>
      <c r="BZ70" s="482"/>
      <c r="CA70" s="482"/>
      <c r="CB70" s="482"/>
      <c r="CC70" s="482"/>
      <c r="CD70" s="482"/>
      <c r="CE70" s="482"/>
      <c r="CF70" s="482"/>
      <c r="CG70" s="484"/>
      <c r="CH70" s="478"/>
      <c r="CI70" s="479"/>
      <c r="CN70" s="7">
        <v>60</v>
      </c>
    </row>
    <row r="71" spans="1:92" s="7" customFormat="1" ht="14.45" customHeight="1" x14ac:dyDescent="0.25">
      <c r="A71" s="6" t="str">
        <f t="shared" si="5"/>
        <v/>
      </c>
      <c r="B71" s="43"/>
      <c r="C71" s="6"/>
      <c r="D71" s="6"/>
      <c r="E71" s="43"/>
      <c r="F71" s="44"/>
      <c r="G71" s="22"/>
      <c r="H71" s="23"/>
      <c r="I71" s="47">
        <f t="shared" si="6"/>
        <v>0</v>
      </c>
      <c r="J71" s="47">
        <f t="shared" si="7"/>
        <v>0</v>
      </c>
      <c r="K71" s="58" t="str">
        <f t="shared" si="8"/>
        <v/>
      </c>
      <c r="L71" s="58" t="str">
        <f t="shared" si="9"/>
        <v/>
      </c>
      <c r="M71" s="24"/>
      <c r="N71" s="25"/>
      <c r="O71" s="26">
        <f t="shared" si="10"/>
        <v>0</v>
      </c>
      <c r="P71" s="26">
        <f t="shared" si="11"/>
        <v>0</v>
      </c>
      <c r="Q71" s="27" t="str">
        <f t="shared" si="12"/>
        <v/>
      </c>
      <c r="R71" s="27" t="str">
        <f t="shared" si="13"/>
        <v/>
      </c>
      <c r="S71" s="29"/>
      <c r="T71" s="30"/>
      <c r="U71" s="31">
        <f t="shared" si="14"/>
        <v>0</v>
      </c>
      <c r="V71" s="31">
        <f t="shared" si="15"/>
        <v>0</v>
      </c>
      <c r="W71" s="32" t="str">
        <f t="shared" si="16"/>
        <v/>
      </c>
      <c r="X71" s="32" t="str">
        <f t="shared" si="17"/>
        <v/>
      </c>
      <c r="Y71" s="24"/>
      <c r="Z71" s="24"/>
      <c r="AA71" s="25">
        <f t="shared" si="18"/>
        <v>0</v>
      </c>
      <c r="AB71" s="26">
        <f t="shared" si="19"/>
        <v>0</v>
      </c>
      <c r="AC71" s="26" t="str">
        <f t="shared" si="20"/>
        <v/>
      </c>
      <c r="AD71" s="27" t="str">
        <f t="shared" si="21"/>
        <v/>
      </c>
      <c r="AE71" s="39" t="str">
        <f t="shared" si="22"/>
        <v/>
      </c>
      <c r="AF71" s="39" t="str">
        <f t="shared" si="23"/>
        <v/>
      </c>
      <c r="AG71" s="40" t="str">
        <f t="shared" si="24"/>
        <v/>
      </c>
      <c r="AH71" s="41" t="str">
        <f t="shared" si="0"/>
        <v/>
      </c>
      <c r="AI71" s="39" t="str">
        <f>IF(B71="","",ROUND(GEOMEAN((J71,P71,V71)),0))</f>
        <v/>
      </c>
      <c r="AJ71" s="39" t="str">
        <f>IF(B71="","",ROUND(GEOMEAN((L71,R71,X71)),0))</f>
        <v/>
      </c>
      <c r="AK71" s="40" t="str">
        <f t="shared" si="1"/>
        <v/>
      </c>
      <c r="AL71" s="40" t="str">
        <f t="shared" si="2"/>
        <v/>
      </c>
      <c r="AM71" s="42" t="e">
        <f t="shared" si="25"/>
        <v>#DIV/0!</v>
      </c>
      <c r="AN71" s="42" t="e">
        <f t="shared" si="3"/>
        <v>#DIV/0!</v>
      </c>
      <c r="AO71" s="39" t="str">
        <f t="shared" si="26"/>
        <v/>
      </c>
      <c r="AP71" s="39" t="str">
        <f t="shared" si="27"/>
        <v/>
      </c>
      <c r="AQ71" s="40" t="str">
        <f t="shared" si="28"/>
        <v/>
      </c>
      <c r="AR71" s="41" t="str">
        <f t="shared" si="29"/>
        <v/>
      </c>
      <c r="AS71" s="39" t="str">
        <f>IF(L71="","",ROUND(GEOMEAN((J71,P71,V71,AB71)),0))</f>
        <v/>
      </c>
      <c r="AT71" s="39" t="str">
        <f>IF(L71="","",ROUND(GEOMEAN((L71,R71,X71,AD71)),0))</f>
        <v/>
      </c>
      <c r="AU71" s="40" t="str">
        <f t="shared" si="30"/>
        <v/>
      </c>
      <c r="AV71" s="40" t="str">
        <f t="shared" si="31"/>
        <v/>
      </c>
      <c r="AW71" s="42">
        <f t="shared" si="32"/>
        <v>0</v>
      </c>
      <c r="AX71" s="42">
        <f t="shared" si="4"/>
        <v>0</v>
      </c>
      <c r="AY71" s="5"/>
      <c r="BY71" s="482"/>
      <c r="BZ71" s="482"/>
      <c r="CA71" s="482"/>
      <c r="CB71" s="482"/>
      <c r="CC71" s="482"/>
      <c r="CD71" s="482"/>
      <c r="CE71" s="482"/>
      <c r="CF71" s="482"/>
      <c r="CG71" s="484"/>
      <c r="CH71" s="478"/>
      <c r="CI71" s="479"/>
      <c r="CN71" s="7">
        <v>61</v>
      </c>
    </row>
    <row r="72" spans="1:92" s="7" customFormat="1" ht="14.45" customHeight="1" x14ac:dyDescent="0.25">
      <c r="A72" s="6" t="str">
        <f t="shared" si="5"/>
        <v/>
      </c>
      <c r="B72" s="43"/>
      <c r="C72" s="6"/>
      <c r="D72" s="6"/>
      <c r="E72" s="43"/>
      <c r="F72" s="44"/>
      <c r="G72" s="22"/>
      <c r="H72" s="23"/>
      <c r="I72" s="47">
        <f t="shared" si="6"/>
        <v>0</v>
      </c>
      <c r="J72" s="47">
        <f t="shared" si="7"/>
        <v>0</v>
      </c>
      <c r="K72" s="58" t="str">
        <f t="shared" si="8"/>
        <v/>
      </c>
      <c r="L72" s="58" t="str">
        <f t="shared" si="9"/>
        <v/>
      </c>
      <c r="M72" s="24"/>
      <c r="N72" s="25"/>
      <c r="O72" s="26">
        <f t="shared" si="10"/>
        <v>0</v>
      </c>
      <c r="P72" s="26">
        <f t="shared" si="11"/>
        <v>0</v>
      </c>
      <c r="Q72" s="27" t="str">
        <f t="shared" si="12"/>
        <v/>
      </c>
      <c r="R72" s="27" t="str">
        <f t="shared" si="13"/>
        <v/>
      </c>
      <c r="S72" s="29"/>
      <c r="T72" s="30"/>
      <c r="U72" s="31">
        <f t="shared" si="14"/>
        <v>0</v>
      </c>
      <c r="V72" s="31">
        <f t="shared" si="15"/>
        <v>0</v>
      </c>
      <c r="W72" s="32" t="str">
        <f t="shared" si="16"/>
        <v/>
      </c>
      <c r="X72" s="32" t="str">
        <f t="shared" si="17"/>
        <v/>
      </c>
      <c r="Y72" s="24"/>
      <c r="Z72" s="24"/>
      <c r="AA72" s="25">
        <f t="shared" si="18"/>
        <v>0</v>
      </c>
      <c r="AB72" s="26">
        <f t="shared" si="19"/>
        <v>0</v>
      </c>
      <c r="AC72" s="26" t="str">
        <f t="shared" si="20"/>
        <v/>
      </c>
      <c r="AD72" s="27" t="str">
        <f t="shared" si="21"/>
        <v/>
      </c>
      <c r="AE72" s="39" t="str">
        <f t="shared" si="22"/>
        <v/>
      </c>
      <c r="AF72" s="39" t="str">
        <f t="shared" si="23"/>
        <v/>
      </c>
      <c r="AG72" s="40" t="str">
        <f t="shared" si="24"/>
        <v/>
      </c>
      <c r="AH72" s="41" t="str">
        <f t="shared" si="0"/>
        <v/>
      </c>
      <c r="AI72" s="39" t="str">
        <f>IF(B72="","",ROUND(GEOMEAN((J72,P72,V72)),0))</f>
        <v/>
      </c>
      <c r="AJ72" s="39" t="str">
        <f>IF(B72="","",ROUND(GEOMEAN((L72,R72,X72)),0))</f>
        <v/>
      </c>
      <c r="AK72" s="40" t="str">
        <f t="shared" si="1"/>
        <v/>
      </c>
      <c r="AL72" s="40" t="str">
        <f t="shared" si="2"/>
        <v/>
      </c>
      <c r="AM72" s="42" t="e">
        <f t="shared" si="25"/>
        <v>#DIV/0!</v>
      </c>
      <c r="AN72" s="42" t="e">
        <f t="shared" si="3"/>
        <v>#DIV/0!</v>
      </c>
      <c r="AO72" s="39" t="str">
        <f t="shared" si="26"/>
        <v/>
      </c>
      <c r="AP72" s="39" t="str">
        <f t="shared" si="27"/>
        <v/>
      </c>
      <c r="AQ72" s="40" t="str">
        <f t="shared" si="28"/>
        <v/>
      </c>
      <c r="AR72" s="41" t="str">
        <f t="shared" si="29"/>
        <v/>
      </c>
      <c r="AS72" s="39" t="str">
        <f>IF(L72="","",ROUND(GEOMEAN((J72,P72,V72,AB72)),0))</f>
        <v/>
      </c>
      <c r="AT72" s="39" t="str">
        <f>IF(L72="","",ROUND(GEOMEAN((L72,R72,X72,AD72)),0))</f>
        <v/>
      </c>
      <c r="AU72" s="40" t="str">
        <f t="shared" si="30"/>
        <v/>
      </c>
      <c r="AV72" s="40" t="str">
        <f t="shared" si="31"/>
        <v/>
      </c>
      <c r="AW72" s="42">
        <f t="shared" si="32"/>
        <v>0</v>
      </c>
      <c r="AX72" s="42">
        <f t="shared" si="4"/>
        <v>0</v>
      </c>
      <c r="AY72" s="5"/>
      <c r="BY72" s="482"/>
      <c r="BZ72" s="482"/>
      <c r="CA72" s="482"/>
      <c r="CB72" s="482"/>
      <c r="CC72" s="482"/>
      <c r="CD72" s="482"/>
      <c r="CE72" s="482"/>
      <c r="CF72" s="482"/>
      <c r="CG72" s="484"/>
      <c r="CH72" s="478"/>
      <c r="CI72" s="479"/>
      <c r="CN72" s="7">
        <v>62</v>
      </c>
    </row>
    <row r="73" spans="1:92" s="7" customFormat="1" ht="14.45" customHeight="1" x14ac:dyDescent="0.25">
      <c r="A73" s="6" t="str">
        <f t="shared" si="5"/>
        <v/>
      </c>
      <c r="B73" s="43"/>
      <c r="C73" s="6"/>
      <c r="D73" s="6"/>
      <c r="E73" s="43"/>
      <c r="F73" s="44"/>
      <c r="G73" s="22"/>
      <c r="H73" s="23"/>
      <c r="I73" s="47">
        <f t="shared" si="6"/>
        <v>0</v>
      </c>
      <c r="J73" s="47">
        <f t="shared" si="7"/>
        <v>0</v>
      </c>
      <c r="K73" s="58" t="str">
        <f t="shared" si="8"/>
        <v/>
      </c>
      <c r="L73" s="58" t="str">
        <f t="shared" si="9"/>
        <v/>
      </c>
      <c r="M73" s="24"/>
      <c r="N73" s="25"/>
      <c r="O73" s="26">
        <f t="shared" si="10"/>
        <v>0</v>
      </c>
      <c r="P73" s="26">
        <f t="shared" si="11"/>
        <v>0</v>
      </c>
      <c r="Q73" s="27" t="str">
        <f t="shared" si="12"/>
        <v/>
      </c>
      <c r="R73" s="27" t="str">
        <f t="shared" si="13"/>
        <v/>
      </c>
      <c r="S73" s="29"/>
      <c r="T73" s="30"/>
      <c r="U73" s="31">
        <f t="shared" si="14"/>
        <v>0</v>
      </c>
      <c r="V73" s="31">
        <f t="shared" si="15"/>
        <v>0</v>
      </c>
      <c r="W73" s="32" t="str">
        <f t="shared" si="16"/>
        <v/>
      </c>
      <c r="X73" s="32" t="str">
        <f t="shared" si="17"/>
        <v/>
      </c>
      <c r="Y73" s="24"/>
      <c r="Z73" s="24"/>
      <c r="AA73" s="25">
        <f t="shared" si="18"/>
        <v>0</v>
      </c>
      <c r="AB73" s="26">
        <f t="shared" si="19"/>
        <v>0</v>
      </c>
      <c r="AC73" s="26" t="str">
        <f t="shared" si="20"/>
        <v/>
      </c>
      <c r="AD73" s="27" t="str">
        <f t="shared" si="21"/>
        <v/>
      </c>
      <c r="AE73" s="39" t="str">
        <f t="shared" si="22"/>
        <v/>
      </c>
      <c r="AF73" s="39" t="str">
        <f t="shared" si="23"/>
        <v/>
      </c>
      <c r="AG73" s="40" t="str">
        <f t="shared" si="24"/>
        <v/>
      </c>
      <c r="AH73" s="41" t="str">
        <f t="shared" si="0"/>
        <v/>
      </c>
      <c r="AI73" s="39" t="str">
        <f>IF(B73="","",ROUND(GEOMEAN((J73,P73,V73)),0))</f>
        <v/>
      </c>
      <c r="AJ73" s="39" t="str">
        <f>IF(B73="","",ROUND(GEOMEAN((L73,R73,X73)),0))</f>
        <v/>
      </c>
      <c r="AK73" s="40" t="str">
        <f t="shared" si="1"/>
        <v/>
      </c>
      <c r="AL73" s="40" t="str">
        <f t="shared" si="2"/>
        <v/>
      </c>
      <c r="AM73" s="42" t="e">
        <f t="shared" si="25"/>
        <v>#DIV/0!</v>
      </c>
      <c r="AN73" s="42" t="e">
        <f t="shared" si="3"/>
        <v>#DIV/0!</v>
      </c>
      <c r="AO73" s="39" t="str">
        <f t="shared" si="26"/>
        <v/>
      </c>
      <c r="AP73" s="39" t="str">
        <f t="shared" si="27"/>
        <v/>
      </c>
      <c r="AQ73" s="40" t="str">
        <f t="shared" si="28"/>
        <v/>
      </c>
      <c r="AR73" s="41" t="str">
        <f t="shared" si="29"/>
        <v/>
      </c>
      <c r="AS73" s="39" t="str">
        <f>IF(L73="","",ROUND(GEOMEAN((J73,P73,V73,AB73)),0))</f>
        <v/>
      </c>
      <c r="AT73" s="39" t="str">
        <f>IF(L73="","",ROUND(GEOMEAN((L73,R73,X73,AD73)),0))</f>
        <v/>
      </c>
      <c r="AU73" s="40" t="str">
        <f t="shared" si="30"/>
        <v/>
      </c>
      <c r="AV73" s="40" t="str">
        <f t="shared" si="31"/>
        <v/>
      </c>
      <c r="AW73" s="42">
        <f t="shared" si="32"/>
        <v>0</v>
      </c>
      <c r="AX73" s="42">
        <f t="shared" si="4"/>
        <v>0</v>
      </c>
      <c r="AY73" s="5"/>
      <c r="BY73" s="482"/>
      <c r="BZ73" s="482"/>
      <c r="CA73" s="482"/>
      <c r="CB73" s="482"/>
      <c r="CC73" s="482"/>
      <c r="CD73" s="482"/>
      <c r="CE73" s="482"/>
      <c r="CF73" s="482"/>
      <c r="CG73" s="484"/>
      <c r="CH73" s="478"/>
      <c r="CI73" s="479"/>
      <c r="CN73" s="7">
        <v>63</v>
      </c>
    </row>
    <row r="74" spans="1:92" s="7" customFormat="1" ht="14.45" customHeight="1" x14ac:dyDescent="0.25">
      <c r="A74" s="6" t="str">
        <f t="shared" si="5"/>
        <v/>
      </c>
      <c r="B74" s="43"/>
      <c r="C74" s="6"/>
      <c r="D74" s="6"/>
      <c r="E74" s="43"/>
      <c r="F74" s="44"/>
      <c r="G74" s="22"/>
      <c r="H74" s="23"/>
      <c r="I74" s="47">
        <f t="shared" si="6"/>
        <v>0</v>
      </c>
      <c r="J74" s="47">
        <f t="shared" si="7"/>
        <v>0</v>
      </c>
      <c r="K74" s="58" t="str">
        <f t="shared" si="8"/>
        <v/>
      </c>
      <c r="L74" s="58" t="str">
        <f t="shared" si="9"/>
        <v/>
      </c>
      <c r="M74" s="24"/>
      <c r="N74" s="25"/>
      <c r="O74" s="26">
        <f t="shared" si="10"/>
        <v>0</v>
      </c>
      <c r="P74" s="26">
        <f t="shared" si="11"/>
        <v>0</v>
      </c>
      <c r="Q74" s="27" t="str">
        <f t="shared" si="12"/>
        <v/>
      </c>
      <c r="R74" s="27" t="str">
        <f t="shared" si="13"/>
        <v/>
      </c>
      <c r="S74" s="29"/>
      <c r="T74" s="30"/>
      <c r="U74" s="31">
        <f t="shared" si="14"/>
        <v>0</v>
      </c>
      <c r="V74" s="31">
        <f t="shared" si="15"/>
        <v>0</v>
      </c>
      <c r="W74" s="32" t="str">
        <f t="shared" si="16"/>
        <v/>
      </c>
      <c r="X74" s="32" t="str">
        <f t="shared" si="17"/>
        <v/>
      </c>
      <c r="Y74" s="24"/>
      <c r="Z74" s="24"/>
      <c r="AA74" s="25">
        <f t="shared" si="18"/>
        <v>0</v>
      </c>
      <c r="AB74" s="26">
        <f t="shared" si="19"/>
        <v>0</v>
      </c>
      <c r="AC74" s="26" t="str">
        <f t="shared" si="20"/>
        <v/>
      </c>
      <c r="AD74" s="27" t="str">
        <f t="shared" si="21"/>
        <v/>
      </c>
      <c r="AE74" s="39" t="str">
        <f t="shared" si="22"/>
        <v/>
      </c>
      <c r="AF74" s="39" t="str">
        <f t="shared" si="23"/>
        <v/>
      </c>
      <c r="AG74" s="40" t="str">
        <f t="shared" si="24"/>
        <v/>
      </c>
      <c r="AH74" s="41" t="str">
        <f t="shared" si="0"/>
        <v/>
      </c>
      <c r="AI74" s="39" t="str">
        <f>IF(B74="","",ROUND(GEOMEAN((J74,P74,V74)),0))</f>
        <v/>
      </c>
      <c r="AJ74" s="39" t="str">
        <f>IF(B74="","",ROUND(GEOMEAN((L74,R74,X74)),0))</f>
        <v/>
      </c>
      <c r="AK74" s="40" t="str">
        <f t="shared" si="1"/>
        <v/>
      </c>
      <c r="AL74" s="40" t="str">
        <f t="shared" si="2"/>
        <v/>
      </c>
      <c r="AM74" s="42" t="e">
        <f t="shared" si="25"/>
        <v>#DIV/0!</v>
      </c>
      <c r="AN74" s="42" t="e">
        <f t="shared" si="3"/>
        <v>#DIV/0!</v>
      </c>
      <c r="AO74" s="39" t="str">
        <f t="shared" si="26"/>
        <v/>
      </c>
      <c r="AP74" s="39" t="str">
        <f t="shared" si="27"/>
        <v/>
      </c>
      <c r="AQ74" s="40" t="str">
        <f t="shared" si="28"/>
        <v/>
      </c>
      <c r="AR74" s="41" t="str">
        <f t="shared" si="29"/>
        <v/>
      </c>
      <c r="AS74" s="39" t="str">
        <f>IF(L74="","",ROUND(GEOMEAN((J74,P74,V74,AB74)),0))</f>
        <v/>
      </c>
      <c r="AT74" s="39" t="str">
        <f>IF(L74="","",ROUND(GEOMEAN((L74,R74,X74,AD74)),0))</f>
        <v/>
      </c>
      <c r="AU74" s="40" t="str">
        <f t="shared" si="30"/>
        <v/>
      </c>
      <c r="AV74" s="40" t="str">
        <f t="shared" si="31"/>
        <v/>
      </c>
      <c r="AW74" s="42">
        <f t="shared" si="32"/>
        <v>0</v>
      </c>
      <c r="AX74" s="42">
        <f t="shared" si="4"/>
        <v>0</v>
      </c>
      <c r="AY74" s="5"/>
      <c r="BY74" s="482"/>
      <c r="BZ74" s="482"/>
      <c r="CA74" s="482"/>
      <c r="CB74" s="482"/>
      <c r="CC74" s="482"/>
      <c r="CD74" s="482"/>
      <c r="CE74" s="482"/>
      <c r="CF74" s="482"/>
      <c r="CG74" s="484"/>
      <c r="CH74" s="478"/>
      <c r="CI74" s="479"/>
      <c r="CN74" s="7">
        <v>64</v>
      </c>
    </row>
    <row r="75" spans="1:92" s="7" customFormat="1" ht="14.45" customHeight="1" x14ac:dyDescent="0.25">
      <c r="A75" s="6" t="str">
        <f t="shared" si="5"/>
        <v/>
      </c>
      <c r="B75" s="43"/>
      <c r="C75" s="6"/>
      <c r="D75" s="6"/>
      <c r="E75" s="43"/>
      <c r="F75" s="44"/>
      <c r="G75" s="22"/>
      <c r="H75" s="23"/>
      <c r="I75" s="47">
        <f t="shared" si="6"/>
        <v>0</v>
      </c>
      <c r="J75" s="47">
        <f t="shared" si="7"/>
        <v>0</v>
      </c>
      <c r="K75" s="58" t="str">
        <f t="shared" si="8"/>
        <v/>
      </c>
      <c r="L75" s="58" t="str">
        <f t="shared" si="9"/>
        <v/>
      </c>
      <c r="M75" s="24"/>
      <c r="N75" s="25"/>
      <c r="O75" s="26">
        <f t="shared" si="10"/>
        <v>0</v>
      </c>
      <c r="P75" s="26">
        <f t="shared" si="11"/>
        <v>0</v>
      </c>
      <c r="Q75" s="27" t="str">
        <f t="shared" si="12"/>
        <v/>
      </c>
      <c r="R75" s="27" t="str">
        <f t="shared" si="13"/>
        <v/>
      </c>
      <c r="S75" s="29"/>
      <c r="T75" s="30"/>
      <c r="U75" s="31">
        <f t="shared" si="14"/>
        <v>0</v>
      </c>
      <c r="V75" s="31">
        <f t="shared" si="15"/>
        <v>0</v>
      </c>
      <c r="W75" s="32" t="str">
        <f t="shared" si="16"/>
        <v/>
      </c>
      <c r="X75" s="32" t="str">
        <f t="shared" si="17"/>
        <v/>
      </c>
      <c r="Y75" s="24"/>
      <c r="Z75" s="24"/>
      <c r="AA75" s="25">
        <f t="shared" si="18"/>
        <v>0</v>
      </c>
      <c r="AB75" s="26">
        <f t="shared" si="19"/>
        <v>0</v>
      </c>
      <c r="AC75" s="26" t="str">
        <f t="shared" si="20"/>
        <v/>
      </c>
      <c r="AD75" s="27" t="str">
        <f t="shared" si="21"/>
        <v/>
      </c>
      <c r="AE75" s="39" t="str">
        <f t="shared" si="22"/>
        <v/>
      </c>
      <c r="AF75" s="39" t="str">
        <f t="shared" si="23"/>
        <v/>
      </c>
      <c r="AG75" s="40" t="str">
        <f t="shared" si="24"/>
        <v/>
      </c>
      <c r="AH75" s="41" t="str">
        <f t="shared" ref="AH75:AH97" si="35">IF(B75="","",(AG75/AF75))</f>
        <v/>
      </c>
      <c r="AI75" s="39" t="str">
        <f>IF(B75="","",ROUND(GEOMEAN((J75,P75,V75)),0))</f>
        <v/>
      </c>
      <c r="AJ75" s="39" t="str">
        <f>IF(B75="","",ROUND(GEOMEAN((L75,R75,X75)),0))</f>
        <v/>
      </c>
      <c r="AK75" s="40" t="str">
        <f t="shared" ref="AK75:AK97" si="36">IF(B75="","",(AF75-AG75))</f>
        <v/>
      </c>
      <c r="AL75" s="40" t="str">
        <f t="shared" ref="AL75:AL97" si="37">IF(B75="","",(AF75+AG75))</f>
        <v/>
      </c>
      <c r="AM75" s="42" t="e">
        <f t="shared" si="25"/>
        <v>#DIV/0!</v>
      </c>
      <c r="AN75" s="42" t="e">
        <f t="shared" ref="AN75:AN97" si="38">AM75*F75</f>
        <v>#DIV/0!</v>
      </c>
      <c r="AO75" s="39" t="str">
        <f t="shared" si="26"/>
        <v/>
      </c>
      <c r="AP75" s="39" t="str">
        <f t="shared" si="27"/>
        <v/>
      </c>
      <c r="AQ75" s="40" t="str">
        <f t="shared" si="28"/>
        <v/>
      </c>
      <c r="AR75" s="41" t="str">
        <f t="shared" si="29"/>
        <v/>
      </c>
      <c r="AS75" s="39" t="str">
        <f>IF(L75="","",ROUND(GEOMEAN((J75,P75,V75,AB75)),0))</f>
        <v/>
      </c>
      <c r="AT75" s="39" t="str">
        <f>IF(L75="","",ROUND(GEOMEAN((L75,R75,X75,AD75)),0))</f>
        <v/>
      </c>
      <c r="AU75" s="40" t="str">
        <f t="shared" si="30"/>
        <v/>
      </c>
      <c r="AV75" s="40" t="str">
        <f t="shared" si="31"/>
        <v/>
      </c>
      <c r="AW75" s="42">
        <f t="shared" si="32"/>
        <v>0</v>
      </c>
      <c r="AX75" s="42">
        <f t="shared" ref="AX75:AX97" si="39">AW75*F75</f>
        <v>0</v>
      </c>
      <c r="AY75" s="5"/>
      <c r="BY75" s="482"/>
      <c r="BZ75" s="482"/>
      <c r="CA75" s="482"/>
      <c r="CB75" s="482"/>
      <c r="CC75" s="482"/>
      <c r="CD75" s="482"/>
      <c r="CE75" s="482"/>
      <c r="CF75" s="482"/>
      <c r="CG75" s="484"/>
      <c r="CH75" s="478"/>
      <c r="CI75" s="479"/>
      <c r="CN75" s="7">
        <v>65</v>
      </c>
    </row>
    <row r="76" spans="1:92" s="7" customFormat="1" ht="14.45" customHeight="1" x14ac:dyDescent="0.25">
      <c r="A76" s="6" t="str">
        <f t="shared" ref="A76:A97" si="40">IF(B76&lt;&gt;"",CN76,"")</f>
        <v/>
      </c>
      <c r="B76" s="43"/>
      <c r="C76" s="6"/>
      <c r="D76" s="6"/>
      <c r="E76" s="43"/>
      <c r="F76" s="44"/>
      <c r="G76" s="22"/>
      <c r="H76" s="23"/>
      <c r="I76" s="47">
        <f t="shared" ref="I76:I97" si="41">H76*19%</f>
        <v>0</v>
      </c>
      <c r="J76" s="47">
        <f t="shared" ref="J76:J97" si="42">H76+I76</f>
        <v>0</v>
      </c>
      <c r="K76" s="58" t="str">
        <f t="shared" ref="K76:K97" si="43">IF(B76="","",(H76*F76))</f>
        <v/>
      </c>
      <c r="L76" s="58" t="str">
        <f t="shared" ref="L76:L97" si="44">IF(B76="","",(J76*F76))</f>
        <v/>
      </c>
      <c r="M76" s="24"/>
      <c r="N76" s="25"/>
      <c r="O76" s="26">
        <f t="shared" ref="O76:O97" si="45">N76*19%</f>
        <v>0</v>
      </c>
      <c r="P76" s="26">
        <f t="shared" ref="P76:P97" si="46">N76+O76</f>
        <v>0</v>
      </c>
      <c r="Q76" s="27" t="str">
        <f t="shared" ref="Q76:Q97" si="47">IF(B76="","",(N76*F76))</f>
        <v/>
      </c>
      <c r="R76" s="27" t="str">
        <f t="shared" ref="R76:R97" si="48">IF(B76="","",(P76*F76))</f>
        <v/>
      </c>
      <c r="S76" s="29"/>
      <c r="T76" s="30"/>
      <c r="U76" s="31">
        <f t="shared" ref="U76:U97" si="49">T76*19%</f>
        <v>0</v>
      </c>
      <c r="V76" s="31">
        <f t="shared" ref="V76:V97" si="50">T76+U76</f>
        <v>0</v>
      </c>
      <c r="W76" s="32" t="str">
        <f t="shared" ref="W76:W97" si="51">IF(B76="","",(T76*F76))</f>
        <v/>
      </c>
      <c r="X76" s="32" t="str">
        <f t="shared" ref="X76:X97" si="52">IF(B76="","",(V76*F76))</f>
        <v/>
      </c>
      <c r="Y76" s="24"/>
      <c r="Z76" s="24"/>
      <c r="AA76" s="25">
        <f t="shared" ref="AA76:AA97" si="53">Z76*19%</f>
        <v>0</v>
      </c>
      <c r="AB76" s="26">
        <f t="shared" ref="AB76:AB97" si="54">Z76+AA76</f>
        <v>0</v>
      </c>
      <c r="AC76" s="26" t="str">
        <f t="shared" ref="AC76:AC97" si="55">IF(E76="","",(Z76*F76))</f>
        <v/>
      </c>
      <c r="AD76" s="27" t="str">
        <f t="shared" ref="AD76:AD97" si="56">IF(E76="","",(AB76*F76))</f>
        <v/>
      </c>
      <c r="AE76" s="39" t="str">
        <f t="shared" ref="AE76:AE97" si="57">IF(A76="","",ROUND(AVERAGE(J76,P76,V76),0))</f>
        <v/>
      </c>
      <c r="AF76" s="39" t="str">
        <f t="shared" ref="AF76:AF97" si="58">IF(B76="","",ROUND(AVERAGE(L76,R76,X76),0))</f>
        <v/>
      </c>
      <c r="AG76" s="40" t="str">
        <f t="shared" ref="AG76:AG97" si="59">IF(B76="","",ROUND(STDEV(L76,R76,X76),0))</f>
        <v/>
      </c>
      <c r="AH76" s="41" t="str">
        <f t="shared" si="35"/>
        <v/>
      </c>
      <c r="AI76" s="39" t="str">
        <f>IF(B76="","",ROUND(GEOMEAN((J76,P76,V76)),0))</f>
        <v/>
      </c>
      <c r="AJ76" s="39" t="str">
        <f>IF(B76="","",ROUND(GEOMEAN((L76,R76,X76)),0))</f>
        <v/>
      </c>
      <c r="AK76" s="40" t="str">
        <f t="shared" si="36"/>
        <v/>
      </c>
      <c r="AL76" s="40" t="str">
        <f t="shared" si="37"/>
        <v/>
      </c>
      <c r="AM76" s="42" t="e">
        <f t="shared" ref="AM76:AM97" si="60">ROUND(AVERAGE(L76,R76,X76),0)</f>
        <v>#DIV/0!</v>
      </c>
      <c r="AN76" s="42" t="e">
        <f t="shared" si="38"/>
        <v>#DIV/0!</v>
      </c>
      <c r="AO76" s="39" t="str">
        <f t="shared" ref="AO76:AO97" si="61">IF(A76="","",ROUND(AVERAGE(J76,P76,V76,AB76),0))</f>
        <v/>
      </c>
      <c r="AP76" s="39" t="str">
        <f t="shared" ref="AP76:AP97" si="62">IF(B76="","",ROUND(AVERAGE(L76,R76,X76,AD76),0))</f>
        <v/>
      </c>
      <c r="AQ76" s="40" t="str">
        <f t="shared" ref="AQ76:AQ97" si="63">IF(B76="","",ROUND(STDEV(L76,R76,X76,AD76),0))</f>
        <v/>
      </c>
      <c r="AR76" s="41" t="str">
        <f t="shared" ref="AR76:AR97" si="64">IF(B76="","",(AQ76/AP76))</f>
        <v/>
      </c>
      <c r="AS76" s="39" t="str">
        <f>IF(L76="","",ROUND(GEOMEAN((J76,P76,V76,AB76)),0))</f>
        <v/>
      </c>
      <c r="AT76" s="39" t="str">
        <f>IF(L76="","",ROUND(GEOMEAN((L76,R76,X76,AD76)),0))</f>
        <v/>
      </c>
      <c r="AU76" s="40" t="str">
        <f t="shared" ref="AU76:AU97" si="65">IF(B76="","",(AP76-AQ76))</f>
        <v/>
      </c>
      <c r="AV76" s="40" t="str">
        <f t="shared" ref="AV76:AV97" si="66">IF(B76="","",(AP76+AQ76))</f>
        <v/>
      </c>
      <c r="AW76" s="42">
        <f t="shared" ref="AW76:AW97" si="67">ROUND(AVERAGE(L76,R76,X76,AB76),0)</f>
        <v>0</v>
      </c>
      <c r="AX76" s="42">
        <f t="shared" si="39"/>
        <v>0</v>
      </c>
      <c r="AY76" s="5"/>
      <c r="BY76" s="482"/>
      <c r="BZ76" s="482"/>
      <c r="CA76" s="482"/>
      <c r="CB76" s="482"/>
      <c r="CC76" s="482"/>
      <c r="CD76" s="482"/>
      <c r="CE76" s="482"/>
      <c r="CF76" s="482"/>
      <c r="CG76" s="484"/>
      <c r="CH76" s="478"/>
      <c r="CI76" s="479"/>
      <c r="CN76" s="7">
        <v>66</v>
      </c>
    </row>
    <row r="77" spans="1:92" s="7" customFormat="1" ht="14.45" customHeight="1" x14ac:dyDescent="0.25">
      <c r="A77" s="6" t="str">
        <f t="shared" si="40"/>
        <v/>
      </c>
      <c r="B77" s="43"/>
      <c r="C77" s="6"/>
      <c r="D77" s="6"/>
      <c r="E77" s="43"/>
      <c r="F77" s="44"/>
      <c r="G77" s="22"/>
      <c r="H77" s="23"/>
      <c r="I77" s="47">
        <f t="shared" si="41"/>
        <v>0</v>
      </c>
      <c r="J77" s="47">
        <f t="shared" si="42"/>
        <v>0</v>
      </c>
      <c r="K77" s="58" t="str">
        <f t="shared" si="43"/>
        <v/>
      </c>
      <c r="L77" s="58" t="str">
        <f t="shared" si="44"/>
        <v/>
      </c>
      <c r="M77" s="24"/>
      <c r="N77" s="25"/>
      <c r="O77" s="26">
        <f t="shared" si="45"/>
        <v>0</v>
      </c>
      <c r="P77" s="26">
        <f t="shared" si="46"/>
        <v>0</v>
      </c>
      <c r="Q77" s="27" t="str">
        <f t="shared" si="47"/>
        <v/>
      </c>
      <c r="R77" s="27" t="str">
        <f t="shared" si="48"/>
        <v/>
      </c>
      <c r="S77" s="29"/>
      <c r="T77" s="30"/>
      <c r="U77" s="31">
        <f t="shared" si="49"/>
        <v>0</v>
      </c>
      <c r="V77" s="31">
        <f t="shared" si="50"/>
        <v>0</v>
      </c>
      <c r="W77" s="32" t="str">
        <f t="shared" si="51"/>
        <v/>
      </c>
      <c r="X77" s="32" t="str">
        <f t="shared" si="52"/>
        <v/>
      </c>
      <c r="Y77" s="24"/>
      <c r="Z77" s="24"/>
      <c r="AA77" s="25">
        <f t="shared" si="53"/>
        <v>0</v>
      </c>
      <c r="AB77" s="26">
        <f t="shared" si="54"/>
        <v>0</v>
      </c>
      <c r="AC77" s="26" t="str">
        <f t="shared" si="55"/>
        <v/>
      </c>
      <c r="AD77" s="27" t="str">
        <f t="shared" si="56"/>
        <v/>
      </c>
      <c r="AE77" s="39" t="str">
        <f t="shared" si="57"/>
        <v/>
      </c>
      <c r="AF77" s="39" t="str">
        <f t="shared" si="58"/>
        <v/>
      </c>
      <c r="AG77" s="40" t="str">
        <f t="shared" si="59"/>
        <v/>
      </c>
      <c r="AH77" s="41" t="str">
        <f t="shared" si="35"/>
        <v/>
      </c>
      <c r="AI77" s="39" t="str">
        <f>IF(B77="","",ROUND(GEOMEAN((J77,P77,V77)),0))</f>
        <v/>
      </c>
      <c r="AJ77" s="39" t="str">
        <f>IF(B77="","",ROUND(GEOMEAN((L77,R77,X77)),0))</f>
        <v/>
      </c>
      <c r="AK77" s="40" t="str">
        <f t="shared" si="36"/>
        <v/>
      </c>
      <c r="AL77" s="40" t="str">
        <f t="shared" si="37"/>
        <v/>
      </c>
      <c r="AM77" s="42" t="e">
        <f t="shared" si="60"/>
        <v>#DIV/0!</v>
      </c>
      <c r="AN77" s="42" t="e">
        <f t="shared" si="38"/>
        <v>#DIV/0!</v>
      </c>
      <c r="AO77" s="39" t="str">
        <f t="shared" si="61"/>
        <v/>
      </c>
      <c r="AP77" s="39" t="str">
        <f t="shared" si="62"/>
        <v/>
      </c>
      <c r="AQ77" s="40" t="str">
        <f t="shared" si="63"/>
        <v/>
      </c>
      <c r="AR77" s="41" t="str">
        <f t="shared" si="64"/>
        <v/>
      </c>
      <c r="AS77" s="39" t="str">
        <f>IF(L77="","",ROUND(GEOMEAN((J77,P77,V77,AB77)),0))</f>
        <v/>
      </c>
      <c r="AT77" s="39" t="str">
        <f>IF(L77="","",ROUND(GEOMEAN((L77,R77,X77,AD77)),0))</f>
        <v/>
      </c>
      <c r="AU77" s="40" t="str">
        <f t="shared" si="65"/>
        <v/>
      </c>
      <c r="AV77" s="40" t="str">
        <f t="shared" si="66"/>
        <v/>
      </c>
      <c r="AW77" s="42">
        <f t="shared" si="67"/>
        <v>0</v>
      </c>
      <c r="AX77" s="42">
        <f t="shared" si="39"/>
        <v>0</v>
      </c>
      <c r="AY77" s="5"/>
      <c r="BY77" s="482"/>
      <c r="BZ77" s="482"/>
      <c r="CA77" s="482"/>
      <c r="CB77" s="482"/>
      <c r="CC77" s="482"/>
      <c r="CD77" s="482"/>
      <c r="CE77" s="482"/>
      <c r="CF77" s="482"/>
      <c r="CG77" s="484"/>
      <c r="CH77" s="478"/>
      <c r="CI77" s="479"/>
      <c r="CN77" s="7">
        <v>67</v>
      </c>
    </row>
    <row r="78" spans="1:92" s="7" customFormat="1" ht="14.45" customHeight="1" x14ac:dyDescent="0.25">
      <c r="A78" s="6" t="str">
        <f t="shared" si="40"/>
        <v/>
      </c>
      <c r="B78" s="43"/>
      <c r="C78" s="6"/>
      <c r="D78" s="6"/>
      <c r="E78" s="43"/>
      <c r="F78" s="44"/>
      <c r="G78" s="22"/>
      <c r="H78" s="23"/>
      <c r="I78" s="47">
        <f t="shared" si="41"/>
        <v>0</v>
      </c>
      <c r="J78" s="47">
        <f t="shared" si="42"/>
        <v>0</v>
      </c>
      <c r="K78" s="58" t="str">
        <f t="shared" si="43"/>
        <v/>
      </c>
      <c r="L78" s="58" t="str">
        <f t="shared" si="44"/>
        <v/>
      </c>
      <c r="M78" s="24"/>
      <c r="N78" s="25"/>
      <c r="O78" s="26">
        <f t="shared" si="45"/>
        <v>0</v>
      </c>
      <c r="P78" s="26">
        <f t="shared" si="46"/>
        <v>0</v>
      </c>
      <c r="Q78" s="27" t="str">
        <f t="shared" si="47"/>
        <v/>
      </c>
      <c r="R78" s="27" t="str">
        <f t="shared" si="48"/>
        <v/>
      </c>
      <c r="S78" s="29"/>
      <c r="T78" s="30"/>
      <c r="U78" s="31">
        <f t="shared" si="49"/>
        <v>0</v>
      </c>
      <c r="V78" s="31">
        <f t="shared" si="50"/>
        <v>0</v>
      </c>
      <c r="W78" s="32" t="str">
        <f t="shared" si="51"/>
        <v/>
      </c>
      <c r="X78" s="32" t="str">
        <f t="shared" si="52"/>
        <v/>
      </c>
      <c r="Y78" s="24"/>
      <c r="Z78" s="24"/>
      <c r="AA78" s="25">
        <f t="shared" si="53"/>
        <v>0</v>
      </c>
      <c r="AB78" s="26">
        <f t="shared" si="54"/>
        <v>0</v>
      </c>
      <c r="AC78" s="26" t="str">
        <f t="shared" si="55"/>
        <v/>
      </c>
      <c r="AD78" s="27" t="str">
        <f t="shared" si="56"/>
        <v/>
      </c>
      <c r="AE78" s="39" t="str">
        <f t="shared" si="57"/>
        <v/>
      </c>
      <c r="AF78" s="39" t="str">
        <f t="shared" si="58"/>
        <v/>
      </c>
      <c r="AG78" s="40" t="str">
        <f t="shared" si="59"/>
        <v/>
      </c>
      <c r="AH78" s="41" t="str">
        <f t="shared" si="35"/>
        <v/>
      </c>
      <c r="AI78" s="39" t="str">
        <f>IF(B78="","",ROUND(GEOMEAN((J78,P78,V78)),0))</f>
        <v/>
      </c>
      <c r="AJ78" s="39" t="str">
        <f>IF(B78="","",ROUND(GEOMEAN((L78,R78,X78)),0))</f>
        <v/>
      </c>
      <c r="AK78" s="40" t="str">
        <f t="shared" si="36"/>
        <v/>
      </c>
      <c r="AL78" s="40" t="str">
        <f t="shared" si="37"/>
        <v/>
      </c>
      <c r="AM78" s="42" t="e">
        <f t="shared" si="60"/>
        <v>#DIV/0!</v>
      </c>
      <c r="AN78" s="42" t="e">
        <f t="shared" si="38"/>
        <v>#DIV/0!</v>
      </c>
      <c r="AO78" s="39" t="str">
        <f t="shared" si="61"/>
        <v/>
      </c>
      <c r="AP78" s="39" t="str">
        <f t="shared" si="62"/>
        <v/>
      </c>
      <c r="AQ78" s="40" t="str">
        <f t="shared" si="63"/>
        <v/>
      </c>
      <c r="AR78" s="41" t="str">
        <f t="shared" si="64"/>
        <v/>
      </c>
      <c r="AS78" s="39" t="str">
        <f>IF(L78="","",ROUND(GEOMEAN((J78,P78,V78,AB78)),0))</f>
        <v/>
      </c>
      <c r="AT78" s="39" t="str">
        <f>IF(L78="","",ROUND(GEOMEAN((L78,R78,X78,AD78)),0))</f>
        <v/>
      </c>
      <c r="AU78" s="40" t="str">
        <f t="shared" si="65"/>
        <v/>
      </c>
      <c r="AV78" s="40" t="str">
        <f t="shared" si="66"/>
        <v/>
      </c>
      <c r="AW78" s="42">
        <f t="shared" si="67"/>
        <v>0</v>
      </c>
      <c r="AX78" s="42">
        <f t="shared" si="39"/>
        <v>0</v>
      </c>
      <c r="AY78" s="5"/>
      <c r="BY78" s="482"/>
      <c r="BZ78" s="482"/>
      <c r="CA78" s="482"/>
      <c r="CB78" s="482"/>
      <c r="CC78" s="482"/>
      <c r="CD78" s="482"/>
      <c r="CE78" s="482"/>
      <c r="CF78" s="482"/>
      <c r="CG78" s="484"/>
      <c r="CH78" s="478"/>
      <c r="CI78" s="479"/>
      <c r="CN78" s="7">
        <v>68</v>
      </c>
    </row>
    <row r="79" spans="1:92" s="7" customFormat="1" ht="14.45" customHeight="1" x14ac:dyDescent="0.25">
      <c r="A79" s="6" t="str">
        <f t="shared" si="40"/>
        <v/>
      </c>
      <c r="B79" s="43"/>
      <c r="C79" s="6"/>
      <c r="D79" s="6"/>
      <c r="E79" s="43"/>
      <c r="F79" s="44"/>
      <c r="G79" s="22"/>
      <c r="H79" s="23"/>
      <c r="I79" s="47">
        <f t="shared" si="41"/>
        <v>0</v>
      </c>
      <c r="J79" s="47">
        <f t="shared" si="42"/>
        <v>0</v>
      </c>
      <c r="K79" s="58" t="str">
        <f t="shared" si="43"/>
        <v/>
      </c>
      <c r="L79" s="58" t="str">
        <f t="shared" si="44"/>
        <v/>
      </c>
      <c r="M79" s="24"/>
      <c r="N79" s="25"/>
      <c r="O79" s="26">
        <f t="shared" si="45"/>
        <v>0</v>
      </c>
      <c r="P79" s="26">
        <f t="shared" si="46"/>
        <v>0</v>
      </c>
      <c r="Q79" s="27" t="str">
        <f t="shared" si="47"/>
        <v/>
      </c>
      <c r="R79" s="27" t="str">
        <f t="shared" si="48"/>
        <v/>
      </c>
      <c r="S79" s="29"/>
      <c r="T79" s="30"/>
      <c r="U79" s="31">
        <f t="shared" si="49"/>
        <v>0</v>
      </c>
      <c r="V79" s="31">
        <f t="shared" si="50"/>
        <v>0</v>
      </c>
      <c r="W79" s="32" t="str">
        <f t="shared" si="51"/>
        <v/>
      </c>
      <c r="X79" s="32" t="str">
        <f t="shared" si="52"/>
        <v/>
      </c>
      <c r="Y79" s="24"/>
      <c r="Z79" s="24"/>
      <c r="AA79" s="25">
        <f t="shared" si="53"/>
        <v>0</v>
      </c>
      <c r="AB79" s="26">
        <f t="shared" si="54"/>
        <v>0</v>
      </c>
      <c r="AC79" s="26" t="str">
        <f t="shared" si="55"/>
        <v/>
      </c>
      <c r="AD79" s="27" t="str">
        <f t="shared" si="56"/>
        <v/>
      </c>
      <c r="AE79" s="39" t="str">
        <f t="shared" si="57"/>
        <v/>
      </c>
      <c r="AF79" s="39" t="str">
        <f t="shared" si="58"/>
        <v/>
      </c>
      <c r="AG79" s="40" t="str">
        <f t="shared" si="59"/>
        <v/>
      </c>
      <c r="AH79" s="41" t="str">
        <f t="shared" si="35"/>
        <v/>
      </c>
      <c r="AI79" s="39" t="str">
        <f>IF(B79="","",ROUND(GEOMEAN((J79,P79,V79)),0))</f>
        <v/>
      </c>
      <c r="AJ79" s="39" t="str">
        <f>IF(B79="","",ROUND(GEOMEAN((L79,R79,X79)),0))</f>
        <v/>
      </c>
      <c r="AK79" s="40" t="str">
        <f t="shared" si="36"/>
        <v/>
      </c>
      <c r="AL79" s="40" t="str">
        <f t="shared" si="37"/>
        <v/>
      </c>
      <c r="AM79" s="42" t="e">
        <f t="shared" si="60"/>
        <v>#DIV/0!</v>
      </c>
      <c r="AN79" s="42" t="e">
        <f t="shared" si="38"/>
        <v>#DIV/0!</v>
      </c>
      <c r="AO79" s="39" t="str">
        <f t="shared" si="61"/>
        <v/>
      </c>
      <c r="AP79" s="39" t="str">
        <f t="shared" si="62"/>
        <v/>
      </c>
      <c r="AQ79" s="40" t="str">
        <f t="shared" si="63"/>
        <v/>
      </c>
      <c r="AR79" s="41" t="str">
        <f t="shared" si="64"/>
        <v/>
      </c>
      <c r="AS79" s="39" t="str">
        <f>IF(L79="","",ROUND(GEOMEAN((J79,P79,V79,AB79)),0))</f>
        <v/>
      </c>
      <c r="AT79" s="39" t="str">
        <f>IF(L79="","",ROUND(GEOMEAN((L79,R79,X79,AD79)),0))</f>
        <v/>
      </c>
      <c r="AU79" s="40" t="str">
        <f t="shared" si="65"/>
        <v/>
      </c>
      <c r="AV79" s="40" t="str">
        <f t="shared" si="66"/>
        <v/>
      </c>
      <c r="AW79" s="42">
        <f t="shared" si="67"/>
        <v>0</v>
      </c>
      <c r="AX79" s="42">
        <f t="shared" si="39"/>
        <v>0</v>
      </c>
      <c r="AY79" s="5"/>
      <c r="BY79" s="482"/>
      <c r="BZ79" s="482"/>
      <c r="CA79" s="482"/>
      <c r="CB79" s="482"/>
      <c r="CC79" s="482"/>
      <c r="CD79" s="482"/>
      <c r="CE79" s="482"/>
      <c r="CF79" s="482"/>
      <c r="CG79" s="484"/>
      <c r="CH79" s="478"/>
      <c r="CI79" s="479"/>
      <c r="CN79" s="7">
        <v>69</v>
      </c>
    </row>
    <row r="80" spans="1:92" s="7" customFormat="1" ht="14.45" customHeight="1" x14ac:dyDescent="0.25">
      <c r="A80" s="6" t="str">
        <f t="shared" si="40"/>
        <v/>
      </c>
      <c r="B80" s="43"/>
      <c r="C80" s="6"/>
      <c r="D80" s="6"/>
      <c r="E80" s="43"/>
      <c r="F80" s="44"/>
      <c r="G80" s="22"/>
      <c r="H80" s="23"/>
      <c r="I80" s="47">
        <f t="shared" si="41"/>
        <v>0</v>
      </c>
      <c r="J80" s="47">
        <f t="shared" si="42"/>
        <v>0</v>
      </c>
      <c r="K80" s="58" t="str">
        <f t="shared" si="43"/>
        <v/>
      </c>
      <c r="L80" s="58" t="str">
        <f t="shared" si="44"/>
        <v/>
      </c>
      <c r="M80" s="24"/>
      <c r="N80" s="25"/>
      <c r="O80" s="26">
        <f t="shared" si="45"/>
        <v>0</v>
      </c>
      <c r="P80" s="26">
        <f t="shared" si="46"/>
        <v>0</v>
      </c>
      <c r="Q80" s="27" t="str">
        <f t="shared" si="47"/>
        <v/>
      </c>
      <c r="R80" s="27" t="str">
        <f t="shared" si="48"/>
        <v/>
      </c>
      <c r="S80" s="29"/>
      <c r="T80" s="30"/>
      <c r="U80" s="31">
        <f t="shared" si="49"/>
        <v>0</v>
      </c>
      <c r="V80" s="31">
        <f t="shared" si="50"/>
        <v>0</v>
      </c>
      <c r="W80" s="32" t="str">
        <f t="shared" si="51"/>
        <v/>
      </c>
      <c r="X80" s="32" t="str">
        <f t="shared" si="52"/>
        <v/>
      </c>
      <c r="Y80" s="24"/>
      <c r="Z80" s="24"/>
      <c r="AA80" s="25">
        <f t="shared" si="53"/>
        <v>0</v>
      </c>
      <c r="AB80" s="26">
        <f t="shared" si="54"/>
        <v>0</v>
      </c>
      <c r="AC80" s="26" t="str">
        <f t="shared" si="55"/>
        <v/>
      </c>
      <c r="AD80" s="27" t="str">
        <f t="shared" si="56"/>
        <v/>
      </c>
      <c r="AE80" s="39" t="str">
        <f t="shared" si="57"/>
        <v/>
      </c>
      <c r="AF80" s="39" t="str">
        <f t="shared" si="58"/>
        <v/>
      </c>
      <c r="AG80" s="40" t="str">
        <f t="shared" si="59"/>
        <v/>
      </c>
      <c r="AH80" s="41" t="str">
        <f t="shared" si="35"/>
        <v/>
      </c>
      <c r="AI80" s="39" t="str">
        <f>IF(B80="","",ROUND(GEOMEAN((J80,P80,V80)),0))</f>
        <v/>
      </c>
      <c r="AJ80" s="39" t="str">
        <f>IF(B80="","",ROUND(GEOMEAN((L80,R80,X80)),0))</f>
        <v/>
      </c>
      <c r="AK80" s="40" t="str">
        <f t="shared" si="36"/>
        <v/>
      </c>
      <c r="AL80" s="40" t="str">
        <f t="shared" si="37"/>
        <v/>
      </c>
      <c r="AM80" s="42" t="e">
        <f t="shared" si="60"/>
        <v>#DIV/0!</v>
      </c>
      <c r="AN80" s="42" t="e">
        <f t="shared" si="38"/>
        <v>#DIV/0!</v>
      </c>
      <c r="AO80" s="39" t="str">
        <f t="shared" si="61"/>
        <v/>
      </c>
      <c r="AP80" s="39" t="str">
        <f t="shared" si="62"/>
        <v/>
      </c>
      <c r="AQ80" s="40" t="str">
        <f t="shared" si="63"/>
        <v/>
      </c>
      <c r="AR80" s="41" t="str">
        <f t="shared" si="64"/>
        <v/>
      </c>
      <c r="AS80" s="39" t="str">
        <f>IF(L80="","",ROUND(GEOMEAN((J80,P80,V80,AB80)),0))</f>
        <v/>
      </c>
      <c r="AT80" s="39" t="str">
        <f>IF(L80="","",ROUND(GEOMEAN((L80,R80,X80,AD80)),0))</f>
        <v/>
      </c>
      <c r="AU80" s="40" t="str">
        <f t="shared" si="65"/>
        <v/>
      </c>
      <c r="AV80" s="40" t="str">
        <f t="shared" si="66"/>
        <v/>
      </c>
      <c r="AW80" s="42">
        <f t="shared" si="67"/>
        <v>0</v>
      </c>
      <c r="AX80" s="42">
        <f t="shared" si="39"/>
        <v>0</v>
      </c>
      <c r="AY80" s="5"/>
      <c r="BY80" s="482"/>
      <c r="BZ80" s="482"/>
      <c r="CA80" s="482"/>
      <c r="CB80" s="482"/>
      <c r="CC80" s="482"/>
      <c r="CD80" s="482"/>
      <c r="CE80" s="482"/>
      <c r="CF80" s="482"/>
      <c r="CG80" s="484"/>
      <c r="CH80" s="478"/>
      <c r="CI80" s="479"/>
      <c r="CN80" s="7">
        <v>70</v>
      </c>
    </row>
    <row r="81" spans="1:92" s="7" customFormat="1" x14ac:dyDescent="0.25">
      <c r="A81" s="6" t="str">
        <f t="shared" si="40"/>
        <v/>
      </c>
      <c r="B81" s="43"/>
      <c r="C81" s="6"/>
      <c r="D81" s="6"/>
      <c r="E81" s="43"/>
      <c r="F81" s="44"/>
      <c r="G81" s="22"/>
      <c r="H81" s="23"/>
      <c r="I81" s="47">
        <f t="shared" si="41"/>
        <v>0</v>
      </c>
      <c r="J81" s="47">
        <f t="shared" si="42"/>
        <v>0</v>
      </c>
      <c r="K81" s="58" t="str">
        <f t="shared" si="43"/>
        <v/>
      </c>
      <c r="L81" s="58" t="str">
        <f t="shared" si="44"/>
        <v/>
      </c>
      <c r="M81" s="24"/>
      <c r="N81" s="25"/>
      <c r="O81" s="26">
        <f t="shared" si="45"/>
        <v>0</v>
      </c>
      <c r="P81" s="26">
        <f t="shared" si="46"/>
        <v>0</v>
      </c>
      <c r="Q81" s="27" t="str">
        <f t="shared" si="47"/>
        <v/>
      </c>
      <c r="R81" s="27" t="str">
        <f t="shared" si="48"/>
        <v/>
      </c>
      <c r="S81" s="29"/>
      <c r="T81" s="30"/>
      <c r="U81" s="31">
        <f t="shared" si="49"/>
        <v>0</v>
      </c>
      <c r="V81" s="31">
        <f t="shared" si="50"/>
        <v>0</v>
      </c>
      <c r="W81" s="32" t="str">
        <f t="shared" si="51"/>
        <v/>
      </c>
      <c r="X81" s="32" t="str">
        <f t="shared" si="52"/>
        <v/>
      </c>
      <c r="Y81" s="24"/>
      <c r="Z81" s="24"/>
      <c r="AA81" s="25">
        <f t="shared" si="53"/>
        <v>0</v>
      </c>
      <c r="AB81" s="26">
        <f t="shared" si="54"/>
        <v>0</v>
      </c>
      <c r="AC81" s="26" t="str">
        <f t="shared" si="55"/>
        <v/>
      </c>
      <c r="AD81" s="27" t="str">
        <f t="shared" si="56"/>
        <v/>
      </c>
      <c r="AE81" s="39" t="str">
        <f t="shared" si="57"/>
        <v/>
      </c>
      <c r="AF81" s="39" t="str">
        <f t="shared" si="58"/>
        <v/>
      </c>
      <c r="AG81" s="40" t="str">
        <f t="shared" si="59"/>
        <v/>
      </c>
      <c r="AH81" s="41" t="str">
        <f t="shared" si="35"/>
        <v/>
      </c>
      <c r="AI81" s="39" t="str">
        <f>IF(B81="","",ROUND(GEOMEAN((J81,P81,V81)),0))</f>
        <v/>
      </c>
      <c r="AJ81" s="39" t="str">
        <f>IF(B81="","",ROUND(GEOMEAN((L81,R81,X81)),0))</f>
        <v/>
      </c>
      <c r="AK81" s="40" t="str">
        <f t="shared" si="36"/>
        <v/>
      </c>
      <c r="AL81" s="40" t="str">
        <f t="shared" si="37"/>
        <v/>
      </c>
      <c r="AM81" s="42" t="e">
        <f t="shared" si="60"/>
        <v>#DIV/0!</v>
      </c>
      <c r="AN81" s="42" t="e">
        <f t="shared" si="38"/>
        <v>#DIV/0!</v>
      </c>
      <c r="AO81" s="39" t="str">
        <f t="shared" si="61"/>
        <v/>
      </c>
      <c r="AP81" s="39" t="str">
        <f t="shared" si="62"/>
        <v/>
      </c>
      <c r="AQ81" s="40" t="str">
        <f t="shared" si="63"/>
        <v/>
      </c>
      <c r="AR81" s="41" t="str">
        <f t="shared" si="64"/>
        <v/>
      </c>
      <c r="AS81" s="39" t="str">
        <f>IF(L81="","",ROUND(GEOMEAN((J81,P81,V81,AB81)),0))</f>
        <v/>
      </c>
      <c r="AT81" s="39" t="str">
        <f>IF(L81="","",ROUND(GEOMEAN((L81,R81,X81,AD81)),0))</f>
        <v/>
      </c>
      <c r="AU81" s="40" t="str">
        <f t="shared" si="65"/>
        <v/>
      </c>
      <c r="AV81" s="40" t="str">
        <f t="shared" si="66"/>
        <v/>
      </c>
      <c r="AW81" s="42">
        <f t="shared" si="67"/>
        <v>0</v>
      </c>
      <c r="AX81" s="42">
        <f t="shared" si="39"/>
        <v>0</v>
      </c>
      <c r="AY81" s="5"/>
      <c r="BY81" s="482"/>
      <c r="BZ81" s="482"/>
      <c r="CA81" s="482"/>
      <c r="CB81" s="482"/>
      <c r="CC81" s="482"/>
      <c r="CD81" s="482"/>
      <c r="CE81" s="482"/>
      <c r="CF81" s="482"/>
      <c r="CG81" s="484"/>
      <c r="CH81" s="478"/>
      <c r="CI81" s="479"/>
      <c r="CN81" s="7">
        <v>71</v>
      </c>
    </row>
    <row r="82" spans="1:92" s="7" customFormat="1" x14ac:dyDescent="0.25">
      <c r="A82" s="6" t="str">
        <f t="shared" si="40"/>
        <v/>
      </c>
      <c r="B82" s="43"/>
      <c r="C82" s="6"/>
      <c r="D82" s="6"/>
      <c r="E82" s="43"/>
      <c r="F82" s="44"/>
      <c r="G82" s="22"/>
      <c r="H82" s="23"/>
      <c r="I82" s="47">
        <f t="shared" si="41"/>
        <v>0</v>
      </c>
      <c r="J82" s="47">
        <f t="shared" si="42"/>
        <v>0</v>
      </c>
      <c r="K82" s="58" t="str">
        <f t="shared" si="43"/>
        <v/>
      </c>
      <c r="L82" s="58" t="str">
        <f t="shared" si="44"/>
        <v/>
      </c>
      <c r="M82" s="24"/>
      <c r="N82" s="25"/>
      <c r="O82" s="26">
        <f t="shared" si="45"/>
        <v>0</v>
      </c>
      <c r="P82" s="26">
        <f t="shared" si="46"/>
        <v>0</v>
      </c>
      <c r="Q82" s="27" t="str">
        <f t="shared" si="47"/>
        <v/>
      </c>
      <c r="R82" s="27" t="str">
        <f t="shared" si="48"/>
        <v/>
      </c>
      <c r="S82" s="29"/>
      <c r="T82" s="30"/>
      <c r="U82" s="31">
        <f t="shared" si="49"/>
        <v>0</v>
      </c>
      <c r="V82" s="31">
        <f t="shared" si="50"/>
        <v>0</v>
      </c>
      <c r="W82" s="32" t="str">
        <f t="shared" si="51"/>
        <v/>
      </c>
      <c r="X82" s="32" t="str">
        <f t="shared" si="52"/>
        <v/>
      </c>
      <c r="Y82" s="24"/>
      <c r="Z82" s="24"/>
      <c r="AA82" s="25">
        <f t="shared" si="53"/>
        <v>0</v>
      </c>
      <c r="AB82" s="26">
        <f t="shared" si="54"/>
        <v>0</v>
      </c>
      <c r="AC82" s="26" t="str">
        <f t="shared" si="55"/>
        <v/>
      </c>
      <c r="AD82" s="27" t="str">
        <f t="shared" si="56"/>
        <v/>
      </c>
      <c r="AE82" s="39" t="str">
        <f t="shared" si="57"/>
        <v/>
      </c>
      <c r="AF82" s="39" t="str">
        <f t="shared" si="58"/>
        <v/>
      </c>
      <c r="AG82" s="40" t="str">
        <f t="shared" si="59"/>
        <v/>
      </c>
      <c r="AH82" s="41" t="str">
        <f t="shared" si="35"/>
        <v/>
      </c>
      <c r="AI82" s="39" t="str">
        <f>IF(B82="","",ROUND(GEOMEAN((J82,P82,V82)),0))</f>
        <v/>
      </c>
      <c r="AJ82" s="39" t="str">
        <f>IF(B82="","",ROUND(GEOMEAN((L82,R82,X82)),0))</f>
        <v/>
      </c>
      <c r="AK82" s="40" t="str">
        <f t="shared" si="36"/>
        <v/>
      </c>
      <c r="AL82" s="40" t="str">
        <f t="shared" si="37"/>
        <v/>
      </c>
      <c r="AM82" s="42" t="e">
        <f t="shared" si="60"/>
        <v>#DIV/0!</v>
      </c>
      <c r="AN82" s="42" t="e">
        <f t="shared" si="38"/>
        <v>#DIV/0!</v>
      </c>
      <c r="AO82" s="39" t="str">
        <f t="shared" si="61"/>
        <v/>
      </c>
      <c r="AP82" s="39" t="str">
        <f t="shared" si="62"/>
        <v/>
      </c>
      <c r="AQ82" s="40" t="str">
        <f t="shared" si="63"/>
        <v/>
      </c>
      <c r="AR82" s="41" t="str">
        <f t="shared" si="64"/>
        <v/>
      </c>
      <c r="AS82" s="39" t="str">
        <f>IF(L82="","",ROUND(GEOMEAN((J82,P82,V82,AB82)),0))</f>
        <v/>
      </c>
      <c r="AT82" s="39" t="str">
        <f>IF(L82="","",ROUND(GEOMEAN((L82,R82,X82,AD82)),0))</f>
        <v/>
      </c>
      <c r="AU82" s="40" t="str">
        <f t="shared" si="65"/>
        <v/>
      </c>
      <c r="AV82" s="40" t="str">
        <f t="shared" si="66"/>
        <v/>
      </c>
      <c r="AW82" s="42">
        <f t="shared" si="67"/>
        <v>0</v>
      </c>
      <c r="AX82" s="42">
        <f t="shared" si="39"/>
        <v>0</v>
      </c>
      <c r="AY82" s="5"/>
      <c r="BY82" s="482"/>
      <c r="BZ82" s="482"/>
      <c r="CA82" s="482"/>
      <c r="CB82" s="482"/>
      <c r="CC82" s="482"/>
      <c r="CD82" s="482"/>
      <c r="CE82" s="482"/>
      <c r="CF82" s="482"/>
      <c r="CG82" s="485"/>
      <c r="CH82" s="480"/>
      <c r="CI82" s="481"/>
      <c r="CN82" s="7">
        <v>72</v>
      </c>
    </row>
    <row r="83" spans="1:92" s="7" customFormat="1" x14ac:dyDescent="0.25">
      <c r="A83" s="6" t="str">
        <f t="shared" si="40"/>
        <v/>
      </c>
      <c r="B83" s="43"/>
      <c r="C83" s="6"/>
      <c r="D83" s="6"/>
      <c r="E83" s="43"/>
      <c r="F83" s="44"/>
      <c r="G83" s="22"/>
      <c r="H83" s="23"/>
      <c r="I83" s="47">
        <f t="shared" si="41"/>
        <v>0</v>
      </c>
      <c r="J83" s="47">
        <f t="shared" si="42"/>
        <v>0</v>
      </c>
      <c r="K83" s="58" t="str">
        <f t="shared" si="43"/>
        <v/>
      </c>
      <c r="L83" s="58" t="str">
        <f t="shared" si="44"/>
        <v/>
      </c>
      <c r="M83" s="24"/>
      <c r="N83" s="25"/>
      <c r="O83" s="26">
        <f t="shared" si="45"/>
        <v>0</v>
      </c>
      <c r="P83" s="26">
        <f t="shared" si="46"/>
        <v>0</v>
      </c>
      <c r="Q83" s="27" t="str">
        <f t="shared" si="47"/>
        <v/>
      </c>
      <c r="R83" s="27" t="str">
        <f t="shared" si="48"/>
        <v/>
      </c>
      <c r="S83" s="29"/>
      <c r="T83" s="30"/>
      <c r="U83" s="31">
        <f t="shared" si="49"/>
        <v>0</v>
      </c>
      <c r="V83" s="31">
        <f t="shared" si="50"/>
        <v>0</v>
      </c>
      <c r="W83" s="32" t="str">
        <f t="shared" si="51"/>
        <v/>
      </c>
      <c r="X83" s="32" t="str">
        <f t="shared" si="52"/>
        <v/>
      </c>
      <c r="Y83" s="24"/>
      <c r="Z83" s="24"/>
      <c r="AA83" s="25">
        <f t="shared" si="53"/>
        <v>0</v>
      </c>
      <c r="AB83" s="26">
        <f t="shared" si="54"/>
        <v>0</v>
      </c>
      <c r="AC83" s="26" t="str">
        <f t="shared" si="55"/>
        <v/>
      </c>
      <c r="AD83" s="27" t="str">
        <f t="shared" si="56"/>
        <v/>
      </c>
      <c r="AE83" s="39" t="str">
        <f t="shared" si="57"/>
        <v/>
      </c>
      <c r="AF83" s="39" t="str">
        <f t="shared" si="58"/>
        <v/>
      </c>
      <c r="AG83" s="40" t="str">
        <f t="shared" si="59"/>
        <v/>
      </c>
      <c r="AH83" s="41" t="str">
        <f t="shared" si="35"/>
        <v/>
      </c>
      <c r="AI83" s="39" t="str">
        <f>IF(B83="","",ROUND(GEOMEAN((J83,P83,V83)),0))</f>
        <v/>
      </c>
      <c r="AJ83" s="39" t="str">
        <f>IF(B83="","",ROUND(GEOMEAN((L83,R83,X83)),0))</f>
        <v/>
      </c>
      <c r="AK83" s="40" t="str">
        <f t="shared" si="36"/>
        <v/>
      </c>
      <c r="AL83" s="40" t="str">
        <f t="shared" si="37"/>
        <v/>
      </c>
      <c r="AM83" s="42" t="e">
        <f t="shared" si="60"/>
        <v>#DIV/0!</v>
      </c>
      <c r="AN83" s="42" t="e">
        <f t="shared" si="38"/>
        <v>#DIV/0!</v>
      </c>
      <c r="AO83" s="39" t="str">
        <f t="shared" si="61"/>
        <v/>
      </c>
      <c r="AP83" s="39" t="str">
        <f t="shared" si="62"/>
        <v/>
      </c>
      <c r="AQ83" s="40" t="str">
        <f t="shared" si="63"/>
        <v/>
      </c>
      <c r="AR83" s="41" t="str">
        <f t="shared" si="64"/>
        <v/>
      </c>
      <c r="AS83" s="39" t="str">
        <f>IF(L83="","",ROUND(GEOMEAN((J83,P83,V83,AB83)),0))</f>
        <v/>
      </c>
      <c r="AT83" s="39" t="str">
        <f>IF(L83="","",ROUND(GEOMEAN((L83,R83,X83,AD83)),0))</f>
        <v/>
      </c>
      <c r="AU83" s="40" t="str">
        <f t="shared" si="65"/>
        <v/>
      </c>
      <c r="AV83" s="40" t="str">
        <f t="shared" si="66"/>
        <v/>
      </c>
      <c r="AW83" s="42">
        <f t="shared" si="67"/>
        <v>0</v>
      </c>
      <c r="AX83" s="42">
        <f t="shared" si="39"/>
        <v>0</v>
      </c>
      <c r="AY83" s="5"/>
      <c r="CN83" s="7">
        <v>73</v>
      </c>
    </row>
    <row r="84" spans="1:92" s="7" customFormat="1" x14ac:dyDescent="0.25">
      <c r="A84" s="6" t="str">
        <f t="shared" si="40"/>
        <v/>
      </c>
      <c r="B84" s="43"/>
      <c r="C84" s="6"/>
      <c r="D84" s="6"/>
      <c r="E84" s="43"/>
      <c r="F84" s="44"/>
      <c r="G84" s="22"/>
      <c r="H84" s="23"/>
      <c r="I84" s="47">
        <f t="shared" si="41"/>
        <v>0</v>
      </c>
      <c r="J84" s="47">
        <f t="shared" si="42"/>
        <v>0</v>
      </c>
      <c r="K84" s="58" t="str">
        <f t="shared" si="43"/>
        <v/>
      </c>
      <c r="L84" s="58" t="str">
        <f t="shared" si="44"/>
        <v/>
      </c>
      <c r="M84" s="24"/>
      <c r="N84" s="25"/>
      <c r="O84" s="26">
        <f t="shared" si="45"/>
        <v>0</v>
      </c>
      <c r="P84" s="26">
        <f t="shared" si="46"/>
        <v>0</v>
      </c>
      <c r="Q84" s="27" t="str">
        <f t="shared" si="47"/>
        <v/>
      </c>
      <c r="R84" s="27" t="str">
        <f t="shared" si="48"/>
        <v/>
      </c>
      <c r="S84" s="29"/>
      <c r="T84" s="30"/>
      <c r="U84" s="31">
        <f t="shared" si="49"/>
        <v>0</v>
      </c>
      <c r="V84" s="31">
        <f t="shared" si="50"/>
        <v>0</v>
      </c>
      <c r="W84" s="32" t="str">
        <f t="shared" si="51"/>
        <v/>
      </c>
      <c r="X84" s="32" t="str">
        <f t="shared" si="52"/>
        <v/>
      </c>
      <c r="Y84" s="24"/>
      <c r="Z84" s="24"/>
      <c r="AA84" s="25">
        <f t="shared" si="53"/>
        <v>0</v>
      </c>
      <c r="AB84" s="26">
        <f t="shared" si="54"/>
        <v>0</v>
      </c>
      <c r="AC84" s="26" t="str">
        <f t="shared" si="55"/>
        <v/>
      </c>
      <c r="AD84" s="27" t="str">
        <f t="shared" si="56"/>
        <v/>
      </c>
      <c r="AE84" s="39" t="str">
        <f t="shared" si="57"/>
        <v/>
      </c>
      <c r="AF84" s="39" t="str">
        <f t="shared" si="58"/>
        <v/>
      </c>
      <c r="AG84" s="40" t="str">
        <f t="shared" si="59"/>
        <v/>
      </c>
      <c r="AH84" s="41" t="str">
        <f t="shared" si="35"/>
        <v/>
      </c>
      <c r="AI84" s="39" t="str">
        <f>IF(B84="","",ROUND(GEOMEAN((J84,P84,V84)),0))</f>
        <v/>
      </c>
      <c r="AJ84" s="39" t="str">
        <f>IF(B84="","",ROUND(GEOMEAN((L84,R84,X84)),0))</f>
        <v/>
      </c>
      <c r="AK84" s="40" t="str">
        <f t="shared" si="36"/>
        <v/>
      </c>
      <c r="AL84" s="40" t="str">
        <f t="shared" si="37"/>
        <v/>
      </c>
      <c r="AM84" s="42" t="e">
        <f t="shared" si="60"/>
        <v>#DIV/0!</v>
      </c>
      <c r="AN84" s="42" t="e">
        <f t="shared" si="38"/>
        <v>#DIV/0!</v>
      </c>
      <c r="AO84" s="39" t="str">
        <f t="shared" si="61"/>
        <v/>
      </c>
      <c r="AP84" s="39" t="str">
        <f t="shared" si="62"/>
        <v/>
      </c>
      <c r="AQ84" s="40" t="str">
        <f t="shared" si="63"/>
        <v/>
      </c>
      <c r="AR84" s="41" t="str">
        <f t="shared" si="64"/>
        <v/>
      </c>
      <c r="AS84" s="39" t="str">
        <f>IF(L84="","",ROUND(GEOMEAN((J84,P84,V84,AB84)),0))</f>
        <v/>
      </c>
      <c r="AT84" s="39" t="str">
        <f>IF(L84="","",ROUND(GEOMEAN((L84,R84,X84,AD84)),0))</f>
        <v/>
      </c>
      <c r="AU84" s="40" t="str">
        <f t="shared" si="65"/>
        <v/>
      </c>
      <c r="AV84" s="40" t="str">
        <f t="shared" si="66"/>
        <v/>
      </c>
      <c r="AW84" s="42">
        <f t="shared" si="67"/>
        <v>0</v>
      </c>
      <c r="AX84" s="42">
        <f t="shared" si="39"/>
        <v>0</v>
      </c>
      <c r="AY84" s="5"/>
      <c r="CN84" s="7">
        <v>74</v>
      </c>
    </row>
    <row r="85" spans="1:92" s="7" customFormat="1" x14ac:dyDescent="0.25">
      <c r="A85" s="6" t="str">
        <f t="shared" si="40"/>
        <v/>
      </c>
      <c r="B85" s="43"/>
      <c r="C85" s="6"/>
      <c r="D85" s="6"/>
      <c r="E85" s="43"/>
      <c r="F85" s="44"/>
      <c r="G85" s="22"/>
      <c r="H85" s="23"/>
      <c r="I85" s="47">
        <f t="shared" si="41"/>
        <v>0</v>
      </c>
      <c r="J85" s="47">
        <f t="shared" si="42"/>
        <v>0</v>
      </c>
      <c r="K85" s="58" t="str">
        <f t="shared" si="43"/>
        <v/>
      </c>
      <c r="L85" s="58" t="str">
        <f t="shared" si="44"/>
        <v/>
      </c>
      <c r="M85" s="24"/>
      <c r="N85" s="25"/>
      <c r="O85" s="26">
        <f t="shared" si="45"/>
        <v>0</v>
      </c>
      <c r="P85" s="26">
        <f t="shared" si="46"/>
        <v>0</v>
      </c>
      <c r="Q85" s="27" t="str">
        <f t="shared" si="47"/>
        <v/>
      </c>
      <c r="R85" s="27" t="str">
        <f t="shared" si="48"/>
        <v/>
      </c>
      <c r="S85" s="29"/>
      <c r="T85" s="30"/>
      <c r="U85" s="31">
        <f t="shared" si="49"/>
        <v>0</v>
      </c>
      <c r="V85" s="31">
        <f t="shared" si="50"/>
        <v>0</v>
      </c>
      <c r="W85" s="32" t="str">
        <f t="shared" si="51"/>
        <v/>
      </c>
      <c r="X85" s="32" t="str">
        <f t="shared" si="52"/>
        <v/>
      </c>
      <c r="Y85" s="24"/>
      <c r="Z85" s="24"/>
      <c r="AA85" s="25">
        <f t="shared" si="53"/>
        <v>0</v>
      </c>
      <c r="AB85" s="26">
        <f t="shared" si="54"/>
        <v>0</v>
      </c>
      <c r="AC85" s="26" t="str">
        <f t="shared" si="55"/>
        <v/>
      </c>
      <c r="AD85" s="27" t="str">
        <f t="shared" si="56"/>
        <v/>
      </c>
      <c r="AE85" s="39" t="str">
        <f t="shared" si="57"/>
        <v/>
      </c>
      <c r="AF85" s="39" t="str">
        <f t="shared" si="58"/>
        <v/>
      </c>
      <c r="AG85" s="40" t="str">
        <f t="shared" si="59"/>
        <v/>
      </c>
      <c r="AH85" s="41" t="str">
        <f t="shared" si="35"/>
        <v/>
      </c>
      <c r="AI85" s="39" t="str">
        <f>IF(B85="","",ROUND(GEOMEAN((J85,P85,V85)),0))</f>
        <v/>
      </c>
      <c r="AJ85" s="39" t="str">
        <f>IF(B85="","",ROUND(GEOMEAN((L85,R85,X85)),0))</f>
        <v/>
      </c>
      <c r="AK85" s="40" t="str">
        <f t="shared" si="36"/>
        <v/>
      </c>
      <c r="AL85" s="40" t="str">
        <f t="shared" si="37"/>
        <v/>
      </c>
      <c r="AM85" s="42" t="e">
        <f t="shared" si="60"/>
        <v>#DIV/0!</v>
      </c>
      <c r="AN85" s="42" t="e">
        <f t="shared" si="38"/>
        <v>#DIV/0!</v>
      </c>
      <c r="AO85" s="39" t="str">
        <f t="shared" si="61"/>
        <v/>
      </c>
      <c r="AP85" s="39" t="str">
        <f t="shared" si="62"/>
        <v/>
      </c>
      <c r="AQ85" s="40" t="str">
        <f t="shared" si="63"/>
        <v/>
      </c>
      <c r="AR85" s="41" t="str">
        <f t="shared" si="64"/>
        <v/>
      </c>
      <c r="AS85" s="39" t="str">
        <f>IF(L85="","",ROUND(GEOMEAN((J85,P85,V85,AB85)),0))</f>
        <v/>
      </c>
      <c r="AT85" s="39" t="str">
        <f>IF(L85="","",ROUND(GEOMEAN((L85,R85,X85,AD85)),0))</f>
        <v/>
      </c>
      <c r="AU85" s="40" t="str">
        <f t="shared" si="65"/>
        <v/>
      </c>
      <c r="AV85" s="40" t="str">
        <f t="shared" si="66"/>
        <v/>
      </c>
      <c r="AW85" s="42">
        <f t="shared" si="67"/>
        <v>0</v>
      </c>
      <c r="AX85" s="42">
        <f t="shared" si="39"/>
        <v>0</v>
      </c>
      <c r="AY85" s="5"/>
      <c r="CN85" s="7">
        <v>75</v>
      </c>
    </row>
    <row r="86" spans="1:92" s="7" customFormat="1" x14ac:dyDescent="0.25">
      <c r="A86" s="6" t="str">
        <f t="shared" si="40"/>
        <v/>
      </c>
      <c r="B86" s="43"/>
      <c r="C86" s="6"/>
      <c r="D86" s="6"/>
      <c r="E86" s="43"/>
      <c r="F86" s="44"/>
      <c r="G86" s="22"/>
      <c r="H86" s="23"/>
      <c r="I86" s="47">
        <f t="shared" si="41"/>
        <v>0</v>
      </c>
      <c r="J86" s="47">
        <f t="shared" si="42"/>
        <v>0</v>
      </c>
      <c r="K86" s="58" t="str">
        <f t="shared" si="43"/>
        <v/>
      </c>
      <c r="L86" s="58" t="str">
        <f t="shared" si="44"/>
        <v/>
      </c>
      <c r="M86" s="24"/>
      <c r="N86" s="25"/>
      <c r="O86" s="26">
        <f t="shared" si="45"/>
        <v>0</v>
      </c>
      <c r="P86" s="26">
        <f t="shared" si="46"/>
        <v>0</v>
      </c>
      <c r="Q86" s="27" t="str">
        <f t="shared" si="47"/>
        <v/>
      </c>
      <c r="R86" s="27" t="str">
        <f t="shared" si="48"/>
        <v/>
      </c>
      <c r="S86" s="29"/>
      <c r="T86" s="30"/>
      <c r="U86" s="31">
        <f t="shared" si="49"/>
        <v>0</v>
      </c>
      <c r="V86" s="31">
        <f t="shared" si="50"/>
        <v>0</v>
      </c>
      <c r="W86" s="32" t="str">
        <f t="shared" si="51"/>
        <v/>
      </c>
      <c r="X86" s="32" t="str">
        <f t="shared" si="52"/>
        <v/>
      </c>
      <c r="Y86" s="24"/>
      <c r="Z86" s="24"/>
      <c r="AA86" s="25">
        <f t="shared" si="53"/>
        <v>0</v>
      </c>
      <c r="AB86" s="26">
        <f t="shared" si="54"/>
        <v>0</v>
      </c>
      <c r="AC86" s="26" t="str">
        <f t="shared" si="55"/>
        <v/>
      </c>
      <c r="AD86" s="27" t="str">
        <f t="shared" si="56"/>
        <v/>
      </c>
      <c r="AE86" s="39" t="str">
        <f t="shared" si="57"/>
        <v/>
      </c>
      <c r="AF86" s="39" t="str">
        <f t="shared" si="58"/>
        <v/>
      </c>
      <c r="AG86" s="40" t="str">
        <f t="shared" si="59"/>
        <v/>
      </c>
      <c r="AH86" s="41" t="str">
        <f t="shared" si="35"/>
        <v/>
      </c>
      <c r="AI86" s="39" t="str">
        <f>IF(B86="","",ROUND(GEOMEAN((J86,P86,V86)),0))</f>
        <v/>
      </c>
      <c r="AJ86" s="39" t="str">
        <f>IF(B86="","",ROUND(GEOMEAN((L86,R86,X86)),0))</f>
        <v/>
      </c>
      <c r="AK86" s="40" t="str">
        <f t="shared" si="36"/>
        <v/>
      </c>
      <c r="AL86" s="40" t="str">
        <f t="shared" si="37"/>
        <v/>
      </c>
      <c r="AM86" s="42" t="e">
        <f t="shared" si="60"/>
        <v>#DIV/0!</v>
      </c>
      <c r="AN86" s="42" t="e">
        <f t="shared" si="38"/>
        <v>#DIV/0!</v>
      </c>
      <c r="AO86" s="39" t="str">
        <f t="shared" si="61"/>
        <v/>
      </c>
      <c r="AP86" s="39" t="str">
        <f t="shared" si="62"/>
        <v/>
      </c>
      <c r="AQ86" s="40" t="str">
        <f t="shared" si="63"/>
        <v/>
      </c>
      <c r="AR86" s="41" t="str">
        <f t="shared" si="64"/>
        <v/>
      </c>
      <c r="AS86" s="39" t="str">
        <f>IF(L86="","",ROUND(GEOMEAN((J86,P86,V86,AB86)),0))</f>
        <v/>
      </c>
      <c r="AT86" s="39" t="str">
        <f>IF(L86="","",ROUND(GEOMEAN((L86,R86,X86,AD86)),0))</f>
        <v/>
      </c>
      <c r="AU86" s="40" t="str">
        <f t="shared" si="65"/>
        <v/>
      </c>
      <c r="AV86" s="40" t="str">
        <f t="shared" si="66"/>
        <v/>
      </c>
      <c r="AW86" s="42">
        <f t="shared" si="67"/>
        <v>0</v>
      </c>
      <c r="AX86" s="42">
        <f t="shared" si="39"/>
        <v>0</v>
      </c>
      <c r="AY86" s="5"/>
      <c r="CN86" s="7">
        <v>76</v>
      </c>
    </row>
    <row r="87" spans="1:92" s="7" customFormat="1" x14ac:dyDescent="0.25">
      <c r="A87" s="6" t="str">
        <f t="shared" si="40"/>
        <v/>
      </c>
      <c r="B87" s="43"/>
      <c r="C87" s="6"/>
      <c r="D87" s="6"/>
      <c r="E87" s="43"/>
      <c r="F87" s="44"/>
      <c r="G87" s="22"/>
      <c r="H87" s="23"/>
      <c r="I87" s="47">
        <f t="shared" si="41"/>
        <v>0</v>
      </c>
      <c r="J87" s="47">
        <f t="shared" si="42"/>
        <v>0</v>
      </c>
      <c r="K87" s="58" t="str">
        <f t="shared" si="43"/>
        <v/>
      </c>
      <c r="L87" s="58" t="str">
        <f t="shared" si="44"/>
        <v/>
      </c>
      <c r="M87" s="24"/>
      <c r="N87" s="25"/>
      <c r="O87" s="26">
        <f t="shared" si="45"/>
        <v>0</v>
      </c>
      <c r="P87" s="26">
        <f t="shared" si="46"/>
        <v>0</v>
      </c>
      <c r="Q87" s="27" t="str">
        <f t="shared" si="47"/>
        <v/>
      </c>
      <c r="R87" s="27" t="str">
        <f t="shared" si="48"/>
        <v/>
      </c>
      <c r="S87" s="29"/>
      <c r="T87" s="30"/>
      <c r="U87" s="31">
        <f t="shared" si="49"/>
        <v>0</v>
      </c>
      <c r="V87" s="31">
        <f t="shared" si="50"/>
        <v>0</v>
      </c>
      <c r="W87" s="32" t="str">
        <f t="shared" si="51"/>
        <v/>
      </c>
      <c r="X87" s="32" t="str">
        <f t="shared" si="52"/>
        <v/>
      </c>
      <c r="Y87" s="24"/>
      <c r="Z87" s="24"/>
      <c r="AA87" s="25">
        <f t="shared" si="53"/>
        <v>0</v>
      </c>
      <c r="AB87" s="26">
        <f t="shared" si="54"/>
        <v>0</v>
      </c>
      <c r="AC87" s="26" t="str">
        <f t="shared" si="55"/>
        <v/>
      </c>
      <c r="AD87" s="27" t="str">
        <f t="shared" si="56"/>
        <v/>
      </c>
      <c r="AE87" s="39" t="str">
        <f t="shared" si="57"/>
        <v/>
      </c>
      <c r="AF87" s="39" t="str">
        <f t="shared" si="58"/>
        <v/>
      </c>
      <c r="AG87" s="40" t="str">
        <f t="shared" si="59"/>
        <v/>
      </c>
      <c r="AH87" s="41" t="str">
        <f t="shared" si="35"/>
        <v/>
      </c>
      <c r="AI87" s="39" t="str">
        <f>IF(B87="","",ROUND(GEOMEAN((J87,P87,V87)),0))</f>
        <v/>
      </c>
      <c r="AJ87" s="39" t="str">
        <f>IF(B87="","",ROUND(GEOMEAN((L87,R87,X87)),0))</f>
        <v/>
      </c>
      <c r="AK87" s="40" t="str">
        <f t="shared" si="36"/>
        <v/>
      </c>
      <c r="AL87" s="40" t="str">
        <f t="shared" si="37"/>
        <v/>
      </c>
      <c r="AM87" s="42" t="e">
        <f t="shared" si="60"/>
        <v>#DIV/0!</v>
      </c>
      <c r="AN87" s="42" t="e">
        <f t="shared" si="38"/>
        <v>#DIV/0!</v>
      </c>
      <c r="AO87" s="39" t="str">
        <f t="shared" si="61"/>
        <v/>
      </c>
      <c r="AP87" s="39" t="str">
        <f t="shared" si="62"/>
        <v/>
      </c>
      <c r="AQ87" s="40" t="str">
        <f t="shared" si="63"/>
        <v/>
      </c>
      <c r="AR87" s="41" t="str">
        <f t="shared" si="64"/>
        <v/>
      </c>
      <c r="AS87" s="39" t="str">
        <f>IF(L87="","",ROUND(GEOMEAN((J87,P87,V87,AB87)),0))</f>
        <v/>
      </c>
      <c r="AT87" s="39" t="str">
        <f>IF(L87="","",ROUND(GEOMEAN((L87,R87,X87,AD87)),0))</f>
        <v/>
      </c>
      <c r="AU87" s="40" t="str">
        <f t="shared" si="65"/>
        <v/>
      </c>
      <c r="AV87" s="40" t="str">
        <f t="shared" si="66"/>
        <v/>
      </c>
      <c r="AW87" s="42">
        <f t="shared" si="67"/>
        <v>0</v>
      </c>
      <c r="AX87" s="42">
        <f t="shared" si="39"/>
        <v>0</v>
      </c>
      <c r="AY87" s="5"/>
      <c r="CN87" s="7">
        <v>77</v>
      </c>
    </row>
    <row r="88" spans="1:92" s="7" customFormat="1" x14ac:dyDescent="0.25">
      <c r="A88" s="6" t="str">
        <f t="shared" si="40"/>
        <v/>
      </c>
      <c r="B88" s="43"/>
      <c r="C88" s="6"/>
      <c r="D88" s="6"/>
      <c r="E88" s="43"/>
      <c r="F88" s="44"/>
      <c r="G88" s="22"/>
      <c r="H88" s="23"/>
      <c r="I88" s="47">
        <f t="shared" si="41"/>
        <v>0</v>
      </c>
      <c r="J88" s="47">
        <f t="shared" si="42"/>
        <v>0</v>
      </c>
      <c r="K88" s="58" t="str">
        <f t="shared" si="43"/>
        <v/>
      </c>
      <c r="L88" s="58" t="str">
        <f t="shared" si="44"/>
        <v/>
      </c>
      <c r="M88" s="24"/>
      <c r="N88" s="25"/>
      <c r="O88" s="26">
        <f t="shared" si="45"/>
        <v>0</v>
      </c>
      <c r="P88" s="26">
        <f t="shared" si="46"/>
        <v>0</v>
      </c>
      <c r="Q88" s="27" t="str">
        <f t="shared" si="47"/>
        <v/>
      </c>
      <c r="R88" s="27" t="str">
        <f t="shared" si="48"/>
        <v/>
      </c>
      <c r="S88" s="29"/>
      <c r="T88" s="30"/>
      <c r="U88" s="31">
        <f t="shared" si="49"/>
        <v>0</v>
      </c>
      <c r="V88" s="31">
        <f t="shared" si="50"/>
        <v>0</v>
      </c>
      <c r="W88" s="32" t="str">
        <f t="shared" si="51"/>
        <v/>
      </c>
      <c r="X88" s="32" t="str">
        <f t="shared" si="52"/>
        <v/>
      </c>
      <c r="Y88" s="24"/>
      <c r="Z88" s="24"/>
      <c r="AA88" s="25">
        <f t="shared" si="53"/>
        <v>0</v>
      </c>
      <c r="AB88" s="26">
        <f t="shared" si="54"/>
        <v>0</v>
      </c>
      <c r="AC88" s="26" t="str">
        <f t="shared" si="55"/>
        <v/>
      </c>
      <c r="AD88" s="27" t="str">
        <f t="shared" si="56"/>
        <v/>
      </c>
      <c r="AE88" s="39" t="str">
        <f t="shared" si="57"/>
        <v/>
      </c>
      <c r="AF88" s="39" t="str">
        <f t="shared" si="58"/>
        <v/>
      </c>
      <c r="AG88" s="40" t="str">
        <f t="shared" si="59"/>
        <v/>
      </c>
      <c r="AH88" s="41" t="str">
        <f t="shared" si="35"/>
        <v/>
      </c>
      <c r="AI88" s="39" t="str">
        <f>IF(B88="","",ROUND(GEOMEAN((J88,P88,V88)),0))</f>
        <v/>
      </c>
      <c r="AJ88" s="39" t="str">
        <f>IF(B88="","",ROUND(GEOMEAN((L88,R88,X88)),0))</f>
        <v/>
      </c>
      <c r="AK88" s="40" t="str">
        <f t="shared" si="36"/>
        <v/>
      </c>
      <c r="AL88" s="40" t="str">
        <f t="shared" si="37"/>
        <v/>
      </c>
      <c r="AM88" s="42" t="e">
        <f t="shared" si="60"/>
        <v>#DIV/0!</v>
      </c>
      <c r="AN88" s="42" t="e">
        <f t="shared" si="38"/>
        <v>#DIV/0!</v>
      </c>
      <c r="AO88" s="39" t="str">
        <f t="shared" si="61"/>
        <v/>
      </c>
      <c r="AP88" s="39" t="str">
        <f t="shared" si="62"/>
        <v/>
      </c>
      <c r="AQ88" s="40" t="str">
        <f t="shared" si="63"/>
        <v/>
      </c>
      <c r="AR88" s="41" t="str">
        <f t="shared" si="64"/>
        <v/>
      </c>
      <c r="AS88" s="39" t="str">
        <f>IF(L88="","",ROUND(GEOMEAN((J88,P88,V88,AB88)),0))</f>
        <v/>
      </c>
      <c r="AT88" s="39" t="str">
        <f>IF(L88="","",ROUND(GEOMEAN((L88,R88,X88,AD88)),0))</f>
        <v/>
      </c>
      <c r="AU88" s="40" t="str">
        <f t="shared" si="65"/>
        <v/>
      </c>
      <c r="AV88" s="40" t="str">
        <f t="shared" si="66"/>
        <v/>
      </c>
      <c r="AW88" s="42">
        <f t="shared" si="67"/>
        <v>0</v>
      </c>
      <c r="AX88" s="42">
        <f t="shared" si="39"/>
        <v>0</v>
      </c>
      <c r="AY88" s="5"/>
      <c r="CN88" s="7">
        <v>78</v>
      </c>
    </row>
    <row r="89" spans="1:92" s="7" customFormat="1" x14ac:dyDescent="0.25">
      <c r="A89" s="6" t="str">
        <f t="shared" si="40"/>
        <v/>
      </c>
      <c r="B89" s="43"/>
      <c r="C89" s="6"/>
      <c r="D89" s="6"/>
      <c r="E89" s="43"/>
      <c r="F89" s="44"/>
      <c r="G89" s="22"/>
      <c r="H89" s="23"/>
      <c r="I89" s="47">
        <f t="shared" si="41"/>
        <v>0</v>
      </c>
      <c r="J89" s="47">
        <f t="shared" si="42"/>
        <v>0</v>
      </c>
      <c r="K89" s="58" t="str">
        <f t="shared" si="43"/>
        <v/>
      </c>
      <c r="L89" s="58" t="str">
        <f t="shared" si="44"/>
        <v/>
      </c>
      <c r="M89" s="24"/>
      <c r="N89" s="25"/>
      <c r="O89" s="26">
        <f t="shared" si="45"/>
        <v>0</v>
      </c>
      <c r="P89" s="26">
        <f t="shared" si="46"/>
        <v>0</v>
      </c>
      <c r="Q89" s="27" t="str">
        <f t="shared" si="47"/>
        <v/>
      </c>
      <c r="R89" s="27" t="str">
        <f t="shared" si="48"/>
        <v/>
      </c>
      <c r="S89" s="29"/>
      <c r="T89" s="30"/>
      <c r="U89" s="31">
        <f t="shared" si="49"/>
        <v>0</v>
      </c>
      <c r="V89" s="31">
        <f t="shared" si="50"/>
        <v>0</v>
      </c>
      <c r="W89" s="32" t="str">
        <f t="shared" si="51"/>
        <v/>
      </c>
      <c r="X89" s="32" t="str">
        <f t="shared" si="52"/>
        <v/>
      </c>
      <c r="Y89" s="24"/>
      <c r="Z89" s="24"/>
      <c r="AA89" s="25">
        <f t="shared" si="53"/>
        <v>0</v>
      </c>
      <c r="AB89" s="26">
        <f t="shared" si="54"/>
        <v>0</v>
      </c>
      <c r="AC89" s="26" t="str">
        <f t="shared" si="55"/>
        <v/>
      </c>
      <c r="AD89" s="27" t="str">
        <f t="shared" si="56"/>
        <v/>
      </c>
      <c r="AE89" s="39" t="str">
        <f t="shared" si="57"/>
        <v/>
      </c>
      <c r="AF89" s="39" t="str">
        <f t="shared" si="58"/>
        <v/>
      </c>
      <c r="AG89" s="40" t="str">
        <f t="shared" si="59"/>
        <v/>
      </c>
      <c r="AH89" s="41" t="str">
        <f t="shared" si="35"/>
        <v/>
      </c>
      <c r="AI89" s="39" t="str">
        <f>IF(B89="","",ROUND(GEOMEAN((J89,P89,V89)),0))</f>
        <v/>
      </c>
      <c r="AJ89" s="39" t="str">
        <f>IF(B89="","",ROUND(GEOMEAN((L89,R89,X89)),0))</f>
        <v/>
      </c>
      <c r="AK89" s="40" t="str">
        <f t="shared" si="36"/>
        <v/>
      </c>
      <c r="AL89" s="40" t="str">
        <f t="shared" si="37"/>
        <v/>
      </c>
      <c r="AM89" s="42" t="e">
        <f t="shared" si="60"/>
        <v>#DIV/0!</v>
      </c>
      <c r="AN89" s="42" t="e">
        <f t="shared" si="38"/>
        <v>#DIV/0!</v>
      </c>
      <c r="AO89" s="39" t="str">
        <f t="shared" si="61"/>
        <v/>
      </c>
      <c r="AP89" s="39" t="str">
        <f t="shared" si="62"/>
        <v/>
      </c>
      <c r="AQ89" s="40" t="str">
        <f t="shared" si="63"/>
        <v/>
      </c>
      <c r="AR89" s="41" t="str">
        <f t="shared" si="64"/>
        <v/>
      </c>
      <c r="AS89" s="39" t="str">
        <f>IF(L89="","",ROUND(GEOMEAN((J89,P89,V89,AB89)),0))</f>
        <v/>
      </c>
      <c r="AT89" s="39" t="str">
        <f>IF(L89="","",ROUND(GEOMEAN((L89,R89,X89,AD89)),0))</f>
        <v/>
      </c>
      <c r="AU89" s="40" t="str">
        <f t="shared" si="65"/>
        <v/>
      </c>
      <c r="AV89" s="40" t="str">
        <f t="shared" si="66"/>
        <v/>
      </c>
      <c r="AW89" s="42">
        <f t="shared" si="67"/>
        <v>0</v>
      </c>
      <c r="AX89" s="42">
        <f t="shared" si="39"/>
        <v>0</v>
      </c>
      <c r="AY89" s="5"/>
      <c r="CN89" s="7">
        <v>79</v>
      </c>
    </row>
    <row r="90" spans="1:92" s="7" customFormat="1" x14ac:dyDescent="0.25">
      <c r="A90" s="6" t="str">
        <f t="shared" si="40"/>
        <v/>
      </c>
      <c r="B90" s="43"/>
      <c r="C90" s="6"/>
      <c r="D90" s="6"/>
      <c r="E90" s="43"/>
      <c r="F90" s="44"/>
      <c r="G90" s="22"/>
      <c r="H90" s="23"/>
      <c r="I90" s="47">
        <f t="shared" si="41"/>
        <v>0</v>
      </c>
      <c r="J90" s="47">
        <f t="shared" si="42"/>
        <v>0</v>
      </c>
      <c r="K90" s="58" t="str">
        <f t="shared" si="43"/>
        <v/>
      </c>
      <c r="L90" s="58" t="str">
        <f t="shared" si="44"/>
        <v/>
      </c>
      <c r="M90" s="24"/>
      <c r="N90" s="25"/>
      <c r="O90" s="26">
        <f t="shared" si="45"/>
        <v>0</v>
      </c>
      <c r="P90" s="26">
        <f t="shared" si="46"/>
        <v>0</v>
      </c>
      <c r="Q90" s="27" t="str">
        <f t="shared" si="47"/>
        <v/>
      </c>
      <c r="R90" s="27" t="str">
        <f t="shared" si="48"/>
        <v/>
      </c>
      <c r="S90" s="29"/>
      <c r="T90" s="30"/>
      <c r="U90" s="31">
        <f t="shared" si="49"/>
        <v>0</v>
      </c>
      <c r="V90" s="31">
        <f t="shared" si="50"/>
        <v>0</v>
      </c>
      <c r="W90" s="32" t="str">
        <f t="shared" si="51"/>
        <v/>
      </c>
      <c r="X90" s="32" t="str">
        <f t="shared" si="52"/>
        <v/>
      </c>
      <c r="Y90" s="24"/>
      <c r="Z90" s="24"/>
      <c r="AA90" s="25">
        <f t="shared" si="53"/>
        <v>0</v>
      </c>
      <c r="AB90" s="26">
        <f t="shared" si="54"/>
        <v>0</v>
      </c>
      <c r="AC90" s="26" t="str">
        <f t="shared" si="55"/>
        <v/>
      </c>
      <c r="AD90" s="27" t="str">
        <f t="shared" si="56"/>
        <v/>
      </c>
      <c r="AE90" s="39" t="str">
        <f t="shared" si="57"/>
        <v/>
      </c>
      <c r="AF90" s="39" t="str">
        <f t="shared" si="58"/>
        <v/>
      </c>
      <c r="AG90" s="40" t="str">
        <f t="shared" si="59"/>
        <v/>
      </c>
      <c r="AH90" s="41" t="str">
        <f t="shared" si="35"/>
        <v/>
      </c>
      <c r="AI90" s="39" t="str">
        <f>IF(B90="","",ROUND(GEOMEAN((J90,P90,V90)),0))</f>
        <v/>
      </c>
      <c r="AJ90" s="39" t="str">
        <f>IF(B90="","",ROUND(GEOMEAN((L90,R90,X90)),0))</f>
        <v/>
      </c>
      <c r="AK90" s="40" t="str">
        <f t="shared" si="36"/>
        <v/>
      </c>
      <c r="AL90" s="40" t="str">
        <f t="shared" si="37"/>
        <v/>
      </c>
      <c r="AM90" s="42" t="e">
        <f t="shared" si="60"/>
        <v>#DIV/0!</v>
      </c>
      <c r="AN90" s="42" t="e">
        <f t="shared" si="38"/>
        <v>#DIV/0!</v>
      </c>
      <c r="AO90" s="39" t="str">
        <f t="shared" si="61"/>
        <v/>
      </c>
      <c r="AP90" s="39" t="str">
        <f t="shared" si="62"/>
        <v/>
      </c>
      <c r="AQ90" s="40" t="str">
        <f t="shared" si="63"/>
        <v/>
      </c>
      <c r="AR90" s="41" t="str">
        <f t="shared" si="64"/>
        <v/>
      </c>
      <c r="AS90" s="39" t="str">
        <f>IF(L90="","",ROUND(GEOMEAN((J90,P90,V90,AB90)),0))</f>
        <v/>
      </c>
      <c r="AT90" s="39" t="str">
        <f>IF(L90="","",ROUND(GEOMEAN((L90,R90,X90,AD90)),0))</f>
        <v/>
      </c>
      <c r="AU90" s="40" t="str">
        <f t="shared" si="65"/>
        <v/>
      </c>
      <c r="AV90" s="40" t="str">
        <f t="shared" si="66"/>
        <v/>
      </c>
      <c r="AW90" s="42">
        <f t="shared" si="67"/>
        <v>0</v>
      </c>
      <c r="AX90" s="42">
        <f t="shared" si="39"/>
        <v>0</v>
      </c>
      <c r="AY90" s="5"/>
      <c r="CN90" s="7">
        <v>80</v>
      </c>
    </row>
    <row r="91" spans="1:92" s="7" customFormat="1" x14ac:dyDescent="0.25">
      <c r="A91" s="6" t="str">
        <f t="shared" si="40"/>
        <v/>
      </c>
      <c r="B91" s="43"/>
      <c r="C91" s="6"/>
      <c r="D91" s="6"/>
      <c r="E91" s="43"/>
      <c r="F91" s="44"/>
      <c r="G91" s="22"/>
      <c r="H91" s="23"/>
      <c r="I91" s="47">
        <f t="shared" si="41"/>
        <v>0</v>
      </c>
      <c r="J91" s="47">
        <f t="shared" si="42"/>
        <v>0</v>
      </c>
      <c r="K91" s="58" t="str">
        <f t="shared" si="43"/>
        <v/>
      </c>
      <c r="L91" s="58" t="str">
        <f t="shared" si="44"/>
        <v/>
      </c>
      <c r="M91" s="24"/>
      <c r="N91" s="25"/>
      <c r="O91" s="26">
        <f t="shared" si="45"/>
        <v>0</v>
      </c>
      <c r="P91" s="26">
        <f t="shared" si="46"/>
        <v>0</v>
      </c>
      <c r="Q91" s="27" t="str">
        <f t="shared" si="47"/>
        <v/>
      </c>
      <c r="R91" s="27" t="str">
        <f t="shared" si="48"/>
        <v/>
      </c>
      <c r="S91" s="29"/>
      <c r="T91" s="30"/>
      <c r="U91" s="31">
        <f t="shared" si="49"/>
        <v>0</v>
      </c>
      <c r="V91" s="31">
        <f t="shared" si="50"/>
        <v>0</v>
      </c>
      <c r="W91" s="32" t="str">
        <f t="shared" si="51"/>
        <v/>
      </c>
      <c r="X91" s="32" t="str">
        <f t="shared" si="52"/>
        <v/>
      </c>
      <c r="Y91" s="24"/>
      <c r="Z91" s="24"/>
      <c r="AA91" s="25">
        <f t="shared" si="53"/>
        <v>0</v>
      </c>
      <c r="AB91" s="26">
        <f t="shared" si="54"/>
        <v>0</v>
      </c>
      <c r="AC91" s="26" t="str">
        <f t="shared" si="55"/>
        <v/>
      </c>
      <c r="AD91" s="27" t="str">
        <f t="shared" si="56"/>
        <v/>
      </c>
      <c r="AE91" s="39" t="str">
        <f t="shared" si="57"/>
        <v/>
      </c>
      <c r="AF91" s="39" t="str">
        <f t="shared" si="58"/>
        <v/>
      </c>
      <c r="AG91" s="40" t="str">
        <f t="shared" si="59"/>
        <v/>
      </c>
      <c r="AH91" s="41" t="str">
        <f t="shared" si="35"/>
        <v/>
      </c>
      <c r="AI91" s="39" t="str">
        <f>IF(B91="","",ROUND(GEOMEAN((J91,P91,V91)),0))</f>
        <v/>
      </c>
      <c r="AJ91" s="39" t="str">
        <f>IF(B91="","",ROUND(GEOMEAN((L91,R91,X91)),0))</f>
        <v/>
      </c>
      <c r="AK91" s="40" t="str">
        <f t="shared" si="36"/>
        <v/>
      </c>
      <c r="AL91" s="40" t="str">
        <f t="shared" si="37"/>
        <v/>
      </c>
      <c r="AM91" s="42" t="e">
        <f t="shared" si="60"/>
        <v>#DIV/0!</v>
      </c>
      <c r="AN91" s="42" t="e">
        <f t="shared" si="38"/>
        <v>#DIV/0!</v>
      </c>
      <c r="AO91" s="39" t="str">
        <f t="shared" si="61"/>
        <v/>
      </c>
      <c r="AP91" s="39" t="str">
        <f t="shared" si="62"/>
        <v/>
      </c>
      <c r="AQ91" s="40" t="str">
        <f t="shared" si="63"/>
        <v/>
      </c>
      <c r="AR91" s="41" t="str">
        <f t="shared" si="64"/>
        <v/>
      </c>
      <c r="AS91" s="39" t="str">
        <f>IF(L91="","",ROUND(GEOMEAN((J91,P91,V91,AB91)),0))</f>
        <v/>
      </c>
      <c r="AT91" s="39" t="str">
        <f>IF(L91="","",ROUND(GEOMEAN((L91,R91,X91,AD91)),0))</f>
        <v/>
      </c>
      <c r="AU91" s="40" t="str">
        <f t="shared" si="65"/>
        <v/>
      </c>
      <c r="AV91" s="40" t="str">
        <f t="shared" si="66"/>
        <v/>
      </c>
      <c r="AW91" s="42">
        <f t="shared" si="67"/>
        <v>0</v>
      </c>
      <c r="AX91" s="42">
        <f t="shared" si="39"/>
        <v>0</v>
      </c>
      <c r="AY91" s="5"/>
      <c r="CN91" s="7">
        <v>81</v>
      </c>
    </row>
    <row r="92" spans="1:92" s="7" customFormat="1" x14ac:dyDescent="0.25">
      <c r="A92" s="6" t="str">
        <f t="shared" si="40"/>
        <v/>
      </c>
      <c r="B92" s="43"/>
      <c r="C92" s="6"/>
      <c r="D92" s="6"/>
      <c r="E92" s="43"/>
      <c r="F92" s="44"/>
      <c r="G92" s="22"/>
      <c r="H92" s="23"/>
      <c r="I92" s="47">
        <f t="shared" si="41"/>
        <v>0</v>
      </c>
      <c r="J92" s="47">
        <f t="shared" si="42"/>
        <v>0</v>
      </c>
      <c r="K92" s="58" t="str">
        <f t="shared" si="43"/>
        <v/>
      </c>
      <c r="L92" s="58" t="str">
        <f t="shared" si="44"/>
        <v/>
      </c>
      <c r="M92" s="24"/>
      <c r="N92" s="25"/>
      <c r="O92" s="26">
        <f t="shared" si="45"/>
        <v>0</v>
      </c>
      <c r="P92" s="26">
        <f t="shared" si="46"/>
        <v>0</v>
      </c>
      <c r="Q92" s="27" t="str">
        <f t="shared" si="47"/>
        <v/>
      </c>
      <c r="R92" s="27" t="str">
        <f t="shared" si="48"/>
        <v/>
      </c>
      <c r="S92" s="29"/>
      <c r="T92" s="30"/>
      <c r="U92" s="31">
        <f t="shared" si="49"/>
        <v>0</v>
      </c>
      <c r="V92" s="31">
        <f t="shared" si="50"/>
        <v>0</v>
      </c>
      <c r="W92" s="32" t="str">
        <f t="shared" si="51"/>
        <v/>
      </c>
      <c r="X92" s="32" t="str">
        <f t="shared" si="52"/>
        <v/>
      </c>
      <c r="Y92" s="24"/>
      <c r="Z92" s="24"/>
      <c r="AA92" s="25">
        <f t="shared" si="53"/>
        <v>0</v>
      </c>
      <c r="AB92" s="26">
        <f t="shared" si="54"/>
        <v>0</v>
      </c>
      <c r="AC92" s="26" t="str">
        <f t="shared" si="55"/>
        <v/>
      </c>
      <c r="AD92" s="27" t="str">
        <f t="shared" si="56"/>
        <v/>
      </c>
      <c r="AE92" s="39" t="str">
        <f t="shared" si="57"/>
        <v/>
      </c>
      <c r="AF92" s="39" t="str">
        <f t="shared" si="58"/>
        <v/>
      </c>
      <c r="AG92" s="40" t="str">
        <f t="shared" si="59"/>
        <v/>
      </c>
      <c r="AH92" s="41" t="str">
        <f t="shared" si="35"/>
        <v/>
      </c>
      <c r="AI92" s="39" t="str">
        <f>IF(B92="","",ROUND(GEOMEAN((J92,P92,V92)),0))</f>
        <v/>
      </c>
      <c r="AJ92" s="39" t="str">
        <f>IF(B92="","",ROUND(GEOMEAN((L92,R92,X92)),0))</f>
        <v/>
      </c>
      <c r="AK92" s="40" t="str">
        <f t="shared" si="36"/>
        <v/>
      </c>
      <c r="AL92" s="40" t="str">
        <f t="shared" si="37"/>
        <v/>
      </c>
      <c r="AM92" s="42" t="e">
        <f t="shared" si="60"/>
        <v>#DIV/0!</v>
      </c>
      <c r="AN92" s="42" t="e">
        <f t="shared" si="38"/>
        <v>#DIV/0!</v>
      </c>
      <c r="AO92" s="39" t="str">
        <f t="shared" si="61"/>
        <v/>
      </c>
      <c r="AP92" s="39" t="str">
        <f t="shared" si="62"/>
        <v/>
      </c>
      <c r="AQ92" s="40" t="str">
        <f t="shared" si="63"/>
        <v/>
      </c>
      <c r="AR92" s="41" t="str">
        <f t="shared" si="64"/>
        <v/>
      </c>
      <c r="AS92" s="39" t="str">
        <f>IF(L92="","",ROUND(GEOMEAN((J92,P92,V92,AB92)),0))</f>
        <v/>
      </c>
      <c r="AT92" s="39" t="str">
        <f>IF(L92="","",ROUND(GEOMEAN((L92,R92,X92,AD92)),0))</f>
        <v/>
      </c>
      <c r="AU92" s="40" t="str">
        <f t="shared" si="65"/>
        <v/>
      </c>
      <c r="AV92" s="40" t="str">
        <f t="shared" si="66"/>
        <v/>
      </c>
      <c r="AW92" s="42">
        <f t="shared" si="67"/>
        <v>0</v>
      </c>
      <c r="AX92" s="42">
        <f t="shared" si="39"/>
        <v>0</v>
      </c>
      <c r="AY92" s="5"/>
      <c r="CN92" s="7">
        <v>82</v>
      </c>
    </row>
    <row r="93" spans="1:92" s="7" customFormat="1" x14ac:dyDescent="0.25">
      <c r="A93" s="6" t="str">
        <f t="shared" si="40"/>
        <v/>
      </c>
      <c r="B93" s="43"/>
      <c r="C93" s="6"/>
      <c r="D93" s="6"/>
      <c r="E93" s="43"/>
      <c r="F93" s="44"/>
      <c r="G93" s="22"/>
      <c r="H93" s="23"/>
      <c r="I93" s="47">
        <f t="shared" si="41"/>
        <v>0</v>
      </c>
      <c r="J93" s="47">
        <f t="shared" si="42"/>
        <v>0</v>
      </c>
      <c r="K93" s="58" t="str">
        <f t="shared" si="43"/>
        <v/>
      </c>
      <c r="L93" s="58" t="str">
        <f t="shared" si="44"/>
        <v/>
      </c>
      <c r="M93" s="24"/>
      <c r="N93" s="25"/>
      <c r="O93" s="26">
        <f t="shared" si="45"/>
        <v>0</v>
      </c>
      <c r="P93" s="26">
        <f t="shared" si="46"/>
        <v>0</v>
      </c>
      <c r="Q93" s="27" t="str">
        <f t="shared" si="47"/>
        <v/>
      </c>
      <c r="R93" s="27" t="str">
        <f t="shared" si="48"/>
        <v/>
      </c>
      <c r="S93" s="29"/>
      <c r="T93" s="30"/>
      <c r="U93" s="31">
        <f t="shared" si="49"/>
        <v>0</v>
      </c>
      <c r="V93" s="31">
        <f t="shared" si="50"/>
        <v>0</v>
      </c>
      <c r="W93" s="32" t="str">
        <f t="shared" si="51"/>
        <v/>
      </c>
      <c r="X93" s="32" t="str">
        <f t="shared" si="52"/>
        <v/>
      </c>
      <c r="Y93" s="24"/>
      <c r="Z93" s="24"/>
      <c r="AA93" s="25">
        <f t="shared" si="53"/>
        <v>0</v>
      </c>
      <c r="AB93" s="26">
        <f t="shared" si="54"/>
        <v>0</v>
      </c>
      <c r="AC93" s="26" t="str">
        <f t="shared" si="55"/>
        <v/>
      </c>
      <c r="AD93" s="27" t="str">
        <f t="shared" si="56"/>
        <v/>
      </c>
      <c r="AE93" s="39" t="str">
        <f t="shared" si="57"/>
        <v/>
      </c>
      <c r="AF93" s="39" t="str">
        <f t="shared" si="58"/>
        <v/>
      </c>
      <c r="AG93" s="40" t="str">
        <f t="shared" si="59"/>
        <v/>
      </c>
      <c r="AH93" s="41" t="str">
        <f t="shared" si="35"/>
        <v/>
      </c>
      <c r="AI93" s="39" t="str">
        <f>IF(B93="","",ROUND(GEOMEAN((J93,P93,V93)),0))</f>
        <v/>
      </c>
      <c r="AJ93" s="39" t="str">
        <f>IF(B93="","",ROUND(GEOMEAN((L93,R93,X93)),0))</f>
        <v/>
      </c>
      <c r="AK93" s="40" t="str">
        <f t="shared" si="36"/>
        <v/>
      </c>
      <c r="AL93" s="40" t="str">
        <f t="shared" si="37"/>
        <v/>
      </c>
      <c r="AM93" s="42" t="e">
        <f t="shared" si="60"/>
        <v>#DIV/0!</v>
      </c>
      <c r="AN93" s="42" t="e">
        <f t="shared" si="38"/>
        <v>#DIV/0!</v>
      </c>
      <c r="AO93" s="39" t="str">
        <f t="shared" si="61"/>
        <v/>
      </c>
      <c r="AP93" s="39" t="str">
        <f t="shared" si="62"/>
        <v/>
      </c>
      <c r="AQ93" s="40" t="str">
        <f t="shared" si="63"/>
        <v/>
      </c>
      <c r="AR93" s="41" t="str">
        <f t="shared" si="64"/>
        <v/>
      </c>
      <c r="AS93" s="39" t="str">
        <f>IF(L93="","",ROUND(GEOMEAN((J93,P93,V93,AB93)),0))</f>
        <v/>
      </c>
      <c r="AT93" s="39" t="str">
        <f>IF(L93="","",ROUND(GEOMEAN((L93,R93,X93,AD93)),0))</f>
        <v/>
      </c>
      <c r="AU93" s="40" t="str">
        <f t="shared" si="65"/>
        <v/>
      </c>
      <c r="AV93" s="40" t="str">
        <f t="shared" si="66"/>
        <v/>
      </c>
      <c r="AW93" s="42">
        <f t="shared" si="67"/>
        <v>0</v>
      </c>
      <c r="AX93" s="42">
        <f t="shared" si="39"/>
        <v>0</v>
      </c>
      <c r="AY93" s="5"/>
      <c r="CN93" s="7">
        <v>83</v>
      </c>
    </row>
    <row r="94" spans="1:92" s="7" customFormat="1" x14ac:dyDescent="0.25">
      <c r="A94" s="6" t="str">
        <f t="shared" si="40"/>
        <v/>
      </c>
      <c r="B94" s="43"/>
      <c r="C94" s="6"/>
      <c r="D94" s="6"/>
      <c r="E94" s="43"/>
      <c r="F94" s="44"/>
      <c r="G94" s="22"/>
      <c r="H94" s="23"/>
      <c r="I94" s="47">
        <f t="shared" si="41"/>
        <v>0</v>
      </c>
      <c r="J94" s="47">
        <f t="shared" si="42"/>
        <v>0</v>
      </c>
      <c r="K94" s="58" t="str">
        <f t="shared" si="43"/>
        <v/>
      </c>
      <c r="L94" s="58" t="str">
        <f t="shared" si="44"/>
        <v/>
      </c>
      <c r="M94" s="24"/>
      <c r="N94" s="25"/>
      <c r="O94" s="26">
        <f t="shared" si="45"/>
        <v>0</v>
      </c>
      <c r="P94" s="26">
        <f t="shared" si="46"/>
        <v>0</v>
      </c>
      <c r="Q94" s="27" t="str">
        <f t="shared" si="47"/>
        <v/>
      </c>
      <c r="R94" s="27" t="str">
        <f t="shared" si="48"/>
        <v/>
      </c>
      <c r="S94" s="29"/>
      <c r="T94" s="30"/>
      <c r="U94" s="31">
        <f t="shared" si="49"/>
        <v>0</v>
      </c>
      <c r="V94" s="31">
        <f t="shared" si="50"/>
        <v>0</v>
      </c>
      <c r="W94" s="32" t="str">
        <f t="shared" si="51"/>
        <v/>
      </c>
      <c r="X94" s="32" t="str">
        <f t="shared" si="52"/>
        <v/>
      </c>
      <c r="Y94" s="24"/>
      <c r="Z94" s="24"/>
      <c r="AA94" s="25">
        <f t="shared" si="53"/>
        <v>0</v>
      </c>
      <c r="AB94" s="26">
        <f t="shared" si="54"/>
        <v>0</v>
      </c>
      <c r="AC94" s="26" t="str">
        <f t="shared" si="55"/>
        <v/>
      </c>
      <c r="AD94" s="27" t="str">
        <f t="shared" si="56"/>
        <v/>
      </c>
      <c r="AE94" s="39" t="str">
        <f t="shared" si="57"/>
        <v/>
      </c>
      <c r="AF94" s="39" t="str">
        <f t="shared" si="58"/>
        <v/>
      </c>
      <c r="AG94" s="40" t="str">
        <f t="shared" si="59"/>
        <v/>
      </c>
      <c r="AH94" s="41" t="str">
        <f t="shared" si="35"/>
        <v/>
      </c>
      <c r="AI94" s="39" t="str">
        <f>IF(B94="","",ROUND(GEOMEAN((J94,P94,V94)),0))</f>
        <v/>
      </c>
      <c r="AJ94" s="39" t="str">
        <f>IF(B94="","",ROUND(GEOMEAN((L94,R94,X94)),0))</f>
        <v/>
      </c>
      <c r="AK94" s="40" t="str">
        <f t="shared" si="36"/>
        <v/>
      </c>
      <c r="AL94" s="40" t="str">
        <f t="shared" si="37"/>
        <v/>
      </c>
      <c r="AM94" s="42" t="e">
        <f t="shared" si="60"/>
        <v>#DIV/0!</v>
      </c>
      <c r="AN94" s="42" t="e">
        <f t="shared" si="38"/>
        <v>#DIV/0!</v>
      </c>
      <c r="AO94" s="39" t="str">
        <f t="shared" si="61"/>
        <v/>
      </c>
      <c r="AP94" s="39" t="str">
        <f t="shared" si="62"/>
        <v/>
      </c>
      <c r="AQ94" s="40" t="str">
        <f t="shared" si="63"/>
        <v/>
      </c>
      <c r="AR94" s="41" t="str">
        <f t="shared" si="64"/>
        <v/>
      </c>
      <c r="AS94" s="39" t="str">
        <f>IF(L94="","",ROUND(GEOMEAN((J94,P94,V94,AB94)),0))</f>
        <v/>
      </c>
      <c r="AT94" s="39" t="str">
        <f>IF(L94="","",ROUND(GEOMEAN((L94,R94,X94,AD94)),0))</f>
        <v/>
      </c>
      <c r="AU94" s="40" t="str">
        <f t="shared" si="65"/>
        <v/>
      </c>
      <c r="AV94" s="40" t="str">
        <f t="shared" si="66"/>
        <v/>
      </c>
      <c r="AW94" s="42">
        <f t="shared" si="67"/>
        <v>0</v>
      </c>
      <c r="AX94" s="42">
        <f t="shared" si="39"/>
        <v>0</v>
      </c>
      <c r="AY94" s="5"/>
      <c r="CN94" s="7">
        <v>84</v>
      </c>
    </row>
    <row r="95" spans="1:92" s="7" customFormat="1" x14ac:dyDescent="0.25">
      <c r="A95" s="6" t="str">
        <f t="shared" si="40"/>
        <v/>
      </c>
      <c r="B95" s="43"/>
      <c r="C95" s="6"/>
      <c r="D95" s="6"/>
      <c r="E95" s="43"/>
      <c r="F95" s="44"/>
      <c r="G95" s="22"/>
      <c r="H95" s="23"/>
      <c r="I95" s="47">
        <f t="shared" si="41"/>
        <v>0</v>
      </c>
      <c r="J95" s="47">
        <f t="shared" si="42"/>
        <v>0</v>
      </c>
      <c r="K95" s="58" t="str">
        <f t="shared" si="43"/>
        <v/>
      </c>
      <c r="L95" s="58" t="str">
        <f t="shared" si="44"/>
        <v/>
      </c>
      <c r="M95" s="24"/>
      <c r="N95" s="25"/>
      <c r="O95" s="26">
        <f t="shared" si="45"/>
        <v>0</v>
      </c>
      <c r="P95" s="26">
        <f t="shared" si="46"/>
        <v>0</v>
      </c>
      <c r="Q95" s="27" t="str">
        <f t="shared" si="47"/>
        <v/>
      </c>
      <c r="R95" s="27" t="str">
        <f t="shared" si="48"/>
        <v/>
      </c>
      <c r="S95" s="29"/>
      <c r="T95" s="30"/>
      <c r="U95" s="31">
        <f t="shared" si="49"/>
        <v>0</v>
      </c>
      <c r="V95" s="31">
        <f t="shared" si="50"/>
        <v>0</v>
      </c>
      <c r="W95" s="32" t="str">
        <f t="shared" si="51"/>
        <v/>
      </c>
      <c r="X95" s="32" t="str">
        <f t="shared" si="52"/>
        <v/>
      </c>
      <c r="Y95" s="24"/>
      <c r="Z95" s="24"/>
      <c r="AA95" s="25">
        <f t="shared" si="53"/>
        <v>0</v>
      </c>
      <c r="AB95" s="26">
        <f t="shared" si="54"/>
        <v>0</v>
      </c>
      <c r="AC95" s="26" t="str">
        <f t="shared" si="55"/>
        <v/>
      </c>
      <c r="AD95" s="27" t="str">
        <f t="shared" si="56"/>
        <v/>
      </c>
      <c r="AE95" s="39" t="str">
        <f t="shared" si="57"/>
        <v/>
      </c>
      <c r="AF95" s="39" t="str">
        <f t="shared" si="58"/>
        <v/>
      </c>
      <c r="AG95" s="40" t="str">
        <f t="shared" si="59"/>
        <v/>
      </c>
      <c r="AH95" s="41" t="str">
        <f t="shared" si="35"/>
        <v/>
      </c>
      <c r="AI95" s="39" t="str">
        <f>IF(B95="","",ROUND(GEOMEAN((J95,P95,V95)),0))</f>
        <v/>
      </c>
      <c r="AJ95" s="39" t="str">
        <f>IF(B95="","",ROUND(GEOMEAN((L95,R95,X95)),0))</f>
        <v/>
      </c>
      <c r="AK95" s="40" t="str">
        <f t="shared" si="36"/>
        <v/>
      </c>
      <c r="AL95" s="40" t="str">
        <f t="shared" si="37"/>
        <v/>
      </c>
      <c r="AM95" s="42" t="e">
        <f t="shared" si="60"/>
        <v>#DIV/0!</v>
      </c>
      <c r="AN95" s="42" t="e">
        <f t="shared" si="38"/>
        <v>#DIV/0!</v>
      </c>
      <c r="AO95" s="39" t="str">
        <f t="shared" si="61"/>
        <v/>
      </c>
      <c r="AP95" s="39" t="str">
        <f t="shared" si="62"/>
        <v/>
      </c>
      <c r="AQ95" s="40" t="str">
        <f t="shared" si="63"/>
        <v/>
      </c>
      <c r="AR95" s="41" t="str">
        <f t="shared" si="64"/>
        <v/>
      </c>
      <c r="AS95" s="39" t="str">
        <f>IF(L95="","",ROUND(GEOMEAN((J95,P95,V95,AB95)),0))</f>
        <v/>
      </c>
      <c r="AT95" s="39" t="str">
        <f>IF(L95="","",ROUND(GEOMEAN((L95,R95,X95,AD95)),0))</f>
        <v/>
      </c>
      <c r="AU95" s="40" t="str">
        <f t="shared" si="65"/>
        <v/>
      </c>
      <c r="AV95" s="40" t="str">
        <f t="shared" si="66"/>
        <v/>
      </c>
      <c r="AW95" s="42">
        <f t="shared" si="67"/>
        <v>0</v>
      </c>
      <c r="AX95" s="42">
        <f t="shared" si="39"/>
        <v>0</v>
      </c>
      <c r="AY95" s="5"/>
      <c r="CN95" s="7">
        <v>85</v>
      </c>
    </row>
    <row r="96" spans="1:92" s="7" customFormat="1" x14ac:dyDescent="0.25">
      <c r="A96" s="6" t="str">
        <f t="shared" si="40"/>
        <v/>
      </c>
      <c r="B96" s="43"/>
      <c r="C96" s="6"/>
      <c r="D96" s="6"/>
      <c r="E96" s="43"/>
      <c r="F96" s="44"/>
      <c r="G96" s="22"/>
      <c r="H96" s="23"/>
      <c r="I96" s="47">
        <f t="shared" si="41"/>
        <v>0</v>
      </c>
      <c r="J96" s="47">
        <f t="shared" si="42"/>
        <v>0</v>
      </c>
      <c r="K96" s="58" t="str">
        <f t="shared" si="43"/>
        <v/>
      </c>
      <c r="L96" s="58" t="str">
        <f t="shared" si="44"/>
        <v/>
      </c>
      <c r="M96" s="24"/>
      <c r="N96" s="25"/>
      <c r="O96" s="26">
        <f t="shared" si="45"/>
        <v>0</v>
      </c>
      <c r="P96" s="26">
        <f t="shared" si="46"/>
        <v>0</v>
      </c>
      <c r="Q96" s="27" t="str">
        <f t="shared" si="47"/>
        <v/>
      </c>
      <c r="R96" s="27" t="str">
        <f t="shared" si="48"/>
        <v/>
      </c>
      <c r="S96" s="29"/>
      <c r="T96" s="30"/>
      <c r="U96" s="31">
        <f t="shared" si="49"/>
        <v>0</v>
      </c>
      <c r="V96" s="31">
        <f t="shared" si="50"/>
        <v>0</v>
      </c>
      <c r="W96" s="32" t="str">
        <f t="shared" si="51"/>
        <v/>
      </c>
      <c r="X96" s="32" t="str">
        <f t="shared" si="52"/>
        <v/>
      </c>
      <c r="Y96" s="24"/>
      <c r="Z96" s="24"/>
      <c r="AA96" s="25">
        <f t="shared" si="53"/>
        <v>0</v>
      </c>
      <c r="AB96" s="26">
        <f t="shared" si="54"/>
        <v>0</v>
      </c>
      <c r="AC96" s="26" t="str">
        <f t="shared" si="55"/>
        <v/>
      </c>
      <c r="AD96" s="27" t="str">
        <f t="shared" si="56"/>
        <v/>
      </c>
      <c r="AE96" s="39" t="str">
        <f t="shared" si="57"/>
        <v/>
      </c>
      <c r="AF96" s="39" t="str">
        <f t="shared" si="58"/>
        <v/>
      </c>
      <c r="AG96" s="40" t="str">
        <f t="shared" si="59"/>
        <v/>
      </c>
      <c r="AH96" s="41" t="str">
        <f t="shared" si="35"/>
        <v/>
      </c>
      <c r="AI96" s="39" t="str">
        <f>IF(B96="","",ROUND(GEOMEAN((J96,P96,V96)),0))</f>
        <v/>
      </c>
      <c r="AJ96" s="39" t="str">
        <f>IF(B96="","",ROUND(GEOMEAN((L96,R96,X96)),0))</f>
        <v/>
      </c>
      <c r="AK96" s="40" t="str">
        <f t="shared" si="36"/>
        <v/>
      </c>
      <c r="AL96" s="40" t="str">
        <f t="shared" si="37"/>
        <v/>
      </c>
      <c r="AM96" s="42" t="e">
        <f t="shared" si="60"/>
        <v>#DIV/0!</v>
      </c>
      <c r="AN96" s="42" t="e">
        <f t="shared" si="38"/>
        <v>#DIV/0!</v>
      </c>
      <c r="AO96" s="39" t="str">
        <f t="shared" si="61"/>
        <v/>
      </c>
      <c r="AP96" s="39" t="str">
        <f t="shared" si="62"/>
        <v/>
      </c>
      <c r="AQ96" s="40" t="str">
        <f t="shared" si="63"/>
        <v/>
      </c>
      <c r="AR96" s="41" t="str">
        <f t="shared" si="64"/>
        <v/>
      </c>
      <c r="AS96" s="39" t="str">
        <f>IF(L96="","",ROUND(GEOMEAN((J96,P96,V96,AB96)),0))</f>
        <v/>
      </c>
      <c r="AT96" s="39" t="str">
        <f>IF(L96="","",ROUND(GEOMEAN((L96,R96,X96,AD96)),0))</f>
        <v/>
      </c>
      <c r="AU96" s="40" t="str">
        <f t="shared" si="65"/>
        <v/>
      </c>
      <c r="AV96" s="40" t="str">
        <f t="shared" si="66"/>
        <v/>
      </c>
      <c r="AW96" s="42">
        <f t="shared" si="67"/>
        <v>0</v>
      </c>
      <c r="AX96" s="42">
        <f t="shared" si="39"/>
        <v>0</v>
      </c>
      <c r="AY96" s="5"/>
      <c r="CN96" s="7">
        <v>86</v>
      </c>
    </row>
    <row r="97" spans="1:92" s="7" customFormat="1" x14ac:dyDescent="0.25">
      <c r="A97" s="6" t="str">
        <f t="shared" si="40"/>
        <v/>
      </c>
      <c r="B97" s="43"/>
      <c r="C97" s="6"/>
      <c r="D97" s="6"/>
      <c r="E97" s="43"/>
      <c r="F97" s="44"/>
      <c r="G97" s="22"/>
      <c r="H97" s="23"/>
      <c r="I97" s="47">
        <f t="shared" si="41"/>
        <v>0</v>
      </c>
      <c r="J97" s="47">
        <f t="shared" si="42"/>
        <v>0</v>
      </c>
      <c r="K97" s="58" t="str">
        <f t="shared" si="43"/>
        <v/>
      </c>
      <c r="L97" s="58" t="str">
        <f t="shared" si="44"/>
        <v/>
      </c>
      <c r="M97" s="24"/>
      <c r="N97" s="25"/>
      <c r="O97" s="26">
        <f t="shared" si="45"/>
        <v>0</v>
      </c>
      <c r="P97" s="26">
        <f t="shared" si="46"/>
        <v>0</v>
      </c>
      <c r="Q97" s="27" t="str">
        <f t="shared" si="47"/>
        <v/>
      </c>
      <c r="R97" s="27" t="str">
        <f t="shared" si="48"/>
        <v/>
      </c>
      <c r="S97" s="29"/>
      <c r="T97" s="30"/>
      <c r="U97" s="31">
        <f t="shared" si="49"/>
        <v>0</v>
      </c>
      <c r="V97" s="31">
        <f t="shared" si="50"/>
        <v>0</v>
      </c>
      <c r="W97" s="32" t="str">
        <f t="shared" si="51"/>
        <v/>
      </c>
      <c r="X97" s="32" t="str">
        <f t="shared" si="52"/>
        <v/>
      </c>
      <c r="Y97" s="24"/>
      <c r="Z97" s="24"/>
      <c r="AA97" s="25">
        <f t="shared" si="53"/>
        <v>0</v>
      </c>
      <c r="AB97" s="26">
        <f t="shared" si="54"/>
        <v>0</v>
      </c>
      <c r="AC97" s="26" t="str">
        <f t="shared" si="55"/>
        <v/>
      </c>
      <c r="AD97" s="27" t="str">
        <f t="shared" si="56"/>
        <v/>
      </c>
      <c r="AE97" s="39" t="str">
        <f t="shared" si="57"/>
        <v/>
      </c>
      <c r="AF97" s="39" t="str">
        <f t="shared" si="58"/>
        <v/>
      </c>
      <c r="AG97" s="40" t="str">
        <f t="shared" si="59"/>
        <v/>
      </c>
      <c r="AH97" s="41" t="str">
        <f t="shared" si="35"/>
        <v/>
      </c>
      <c r="AI97" s="39" t="str">
        <f>IF(B97="","",ROUND(GEOMEAN((J97,P97,V97)),0))</f>
        <v/>
      </c>
      <c r="AJ97" s="39" t="str">
        <f>IF(B97="","",ROUND(GEOMEAN((L97,R97,X97)),0))</f>
        <v/>
      </c>
      <c r="AK97" s="40" t="str">
        <f t="shared" si="36"/>
        <v/>
      </c>
      <c r="AL97" s="40" t="str">
        <f t="shared" si="37"/>
        <v/>
      </c>
      <c r="AM97" s="42" t="e">
        <f t="shared" si="60"/>
        <v>#DIV/0!</v>
      </c>
      <c r="AN97" s="42" t="e">
        <f t="shared" si="38"/>
        <v>#DIV/0!</v>
      </c>
      <c r="AO97" s="39" t="str">
        <f t="shared" si="61"/>
        <v/>
      </c>
      <c r="AP97" s="39" t="str">
        <f t="shared" si="62"/>
        <v/>
      </c>
      <c r="AQ97" s="40" t="str">
        <f t="shared" si="63"/>
        <v/>
      </c>
      <c r="AR97" s="41" t="str">
        <f t="shared" si="64"/>
        <v/>
      </c>
      <c r="AS97" s="39" t="str">
        <f>IF(L97="","",ROUND(GEOMEAN((J97,P97,V97,AB97)),0))</f>
        <v/>
      </c>
      <c r="AT97" s="39" t="str">
        <f>IF(L97="","",ROUND(GEOMEAN((L97,R97,X97,AD97)),0))</f>
        <v/>
      </c>
      <c r="AU97" s="40" t="str">
        <f t="shared" si="65"/>
        <v/>
      </c>
      <c r="AV97" s="40" t="str">
        <f t="shared" si="66"/>
        <v/>
      </c>
      <c r="AW97" s="42">
        <f t="shared" si="67"/>
        <v>0</v>
      </c>
      <c r="AX97" s="42">
        <f t="shared" si="39"/>
        <v>0</v>
      </c>
      <c r="AY97" s="5"/>
      <c r="CN97" s="7">
        <v>87</v>
      </c>
    </row>
    <row r="98" spans="1:92" s="7" customFormat="1" ht="14.45" customHeight="1" x14ac:dyDescent="0.25">
      <c r="A98" s="513" t="s">
        <v>222</v>
      </c>
      <c r="B98" s="513"/>
      <c r="C98" s="513"/>
      <c r="D98" s="513"/>
      <c r="E98" s="513"/>
      <c r="F98" s="513"/>
      <c r="G98" s="513"/>
      <c r="H98" s="513"/>
      <c r="I98" s="513"/>
      <c r="J98" s="513"/>
      <c r="K98" s="513"/>
      <c r="L98" s="513"/>
      <c r="M98" s="513"/>
      <c r="N98" s="513"/>
      <c r="O98" s="513"/>
      <c r="P98" s="513"/>
      <c r="Q98" s="513"/>
      <c r="R98" s="513"/>
      <c r="S98" s="513"/>
      <c r="T98" s="513"/>
      <c r="U98" s="513"/>
      <c r="V98" s="513"/>
      <c r="W98" s="513"/>
      <c r="X98" s="513"/>
      <c r="Y98" s="513"/>
      <c r="Z98" s="513"/>
      <c r="AA98" s="513"/>
      <c r="AB98" s="513"/>
      <c r="AC98" s="513"/>
      <c r="AD98" s="513"/>
      <c r="AE98" s="513"/>
      <c r="AF98" s="60">
        <f>SUM(AF11:AF97)</f>
        <v>0</v>
      </c>
      <c r="AI98" s="60">
        <f>SUM(AI11:AI97)</f>
        <v>0</v>
      </c>
      <c r="AP98" s="60">
        <f>SUM(AP11:AP97)</f>
        <v>0</v>
      </c>
      <c r="AS98" s="60">
        <f>SUM(AS11:AS97)</f>
        <v>0</v>
      </c>
      <c r="CN98" s="7">
        <v>88</v>
      </c>
    </row>
    <row r="99" spans="1:92" s="7" customFormat="1" x14ac:dyDescent="0.25">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8"/>
      <c r="AG99" s="8"/>
      <c r="AO99" s="8"/>
      <c r="AP99" s="8"/>
      <c r="AQ99" s="8"/>
      <c r="CN99" s="7">
        <v>89</v>
      </c>
    </row>
    <row r="100" spans="1:92" s="10" customFormat="1" ht="18.75" x14ac:dyDescent="0.25">
      <c r="A100" s="520"/>
      <c r="B100" s="520"/>
      <c r="C100" s="520"/>
      <c r="D100" s="520"/>
      <c r="E100" s="520"/>
      <c r="F100" s="520"/>
      <c r="G100" s="520"/>
      <c r="H100" s="520"/>
      <c r="I100" s="520"/>
      <c r="J100" s="520"/>
      <c r="K100" s="520"/>
      <c r="L100" s="520"/>
      <c r="M100" s="520"/>
      <c r="N100" s="520"/>
      <c r="O100" s="520"/>
      <c r="P100" s="520"/>
      <c r="Q100" s="520"/>
      <c r="R100" s="520"/>
      <c r="S100" s="520"/>
      <c r="T100" s="520"/>
      <c r="U100" s="520"/>
      <c r="V100" s="520"/>
      <c r="W100" s="520"/>
      <c r="X100" s="520"/>
      <c r="Y100" s="520"/>
      <c r="Z100" s="520"/>
      <c r="AA100" s="520"/>
      <c r="AB100" s="520"/>
      <c r="AC100" s="520"/>
      <c r="AD100" s="520"/>
      <c r="AE100" s="520"/>
      <c r="AF100" s="520"/>
      <c r="AG100" s="520"/>
      <c r="AH100" s="69"/>
      <c r="AI100" s="69"/>
      <c r="AJ100" s="69"/>
      <c r="AK100" s="69"/>
      <c r="AL100" s="69"/>
      <c r="AM100" s="70"/>
      <c r="AN100" s="70"/>
      <c r="AO100" s="70"/>
      <c r="AP100" s="70"/>
      <c r="AQ100" s="70"/>
      <c r="AR100" s="70"/>
      <c r="AS100" s="70"/>
      <c r="AT100" s="70"/>
      <c r="AU100" s="70"/>
      <c r="AV100" s="70"/>
      <c r="AW100" s="70"/>
      <c r="AX100" s="70"/>
      <c r="AY100" s="70"/>
      <c r="AZ100" s="70"/>
      <c r="BA100" s="70"/>
      <c r="BB100" s="70"/>
      <c r="BC100" s="70"/>
      <c r="BD100" s="70"/>
      <c r="BE100" s="70"/>
      <c r="BF100" s="70"/>
      <c r="CN100" s="7">
        <v>90</v>
      </c>
    </row>
    <row r="101" spans="1:92" s="7" customFormat="1" x14ac:dyDescent="0.25">
      <c r="AN101" s="70"/>
      <c r="AO101" s="70"/>
      <c r="AP101" s="70"/>
      <c r="AQ101" s="70"/>
      <c r="AR101" s="70"/>
      <c r="AS101" s="70"/>
      <c r="AT101" s="70"/>
      <c r="AU101" s="70"/>
      <c r="AV101" s="70"/>
      <c r="AW101" s="70"/>
      <c r="AX101" s="70"/>
      <c r="AY101" s="70"/>
      <c r="AZ101" s="70"/>
      <c r="BA101" s="70"/>
      <c r="BB101" s="70"/>
      <c r="BC101" s="70"/>
      <c r="BD101" s="70"/>
      <c r="BE101" s="70"/>
      <c r="BF101" s="70"/>
      <c r="CN101" s="7">
        <v>91</v>
      </c>
    </row>
    <row r="102" spans="1:92" s="7" customFormat="1" ht="259.14999999999998" customHeight="1" x14ac:dyDescent="0.25">
      <c r="AN102" s="70"/>
      <c r="AO102" s="70"/>
      <c r="AP102" s="70"/>
      <c r="AQ102" s="70"/>
      <c r="AR102" s="70"/>
      <c r="AS102" s="70"/>
      <c r="AT102" s="70"/>
      <c r="AU102" s="70"/>
      <c r="AV102" s="70"/>
      <c r="AW102" s="70"/>
      <c r="AX102" s="70"/>
      <c r="AY102" s="70"/>
      <c r="AZ102" s="70"/>
      <c r="BA102" s="70"/>
      <c r="BB102" s="70"/>
      <c r="BC102" s="70"/>
      <c r="BD102" s="70"/>
      <c r="BE102" s="70"/>
      <c r="BF102" s="70"/>
      <c r="CN102" s="7">
        <v>92</v>
      </c>
    </row>
    <row r="103" spans="1:92" s="7" customFormat="1" ht="30.6" customHeight="1" x14ac:dyDescent="0.25">
      <c r="AL103" s="72"/>
      <c r="AM103" s="72"/>
      <c r="AN103" s="72"/>
      <c r="AO103" s="72"/>
      <c r="AP103" s="72"/>
      <c r="AQ103" s="72"/>
      <c r="AR103" s="72"/>
      <c r="CN103" s="7">
        <v>92</v>
      </c>
    </row>
    <row r="104" spans="1:92" s="7" customFormat="1" ht="30.6" customHeight="1" x14ac:dyDescent="0.25">
      <c r="AL104" s="72"/>
      <c r="AM104" s="72"/>
      <c r="AN104" s="72"/>
      <c r="AO104" s="72"/>
      <c r="AP104" s="72"/>
      <c r="AQ104" s="72"/>
      <c r="AR104" s="72"/>
      <c r="CN104" s="7">
        <v>92</v>
      </c>
    </row>
    <row r="105" spans="1:92" s="7" customFormat="1" ht="30.6" customHeight="1" x14ac:dyDescent="0.25">
      <c r="AL105" s="72"/>
      <c r="AM105" s="72"/>
      <c r="AN105" s="72"/>
      <c r="AO105" s="72"/>
      <c r="AP105" s="72"/>
      <c r="AQ105" s="72"/>
      <c r="AR105" s="72"/>
    </row>
    <row r="106" spans="1:92" s="7" customFormat="1" ht="30.6" customHeight="1" x14ac:dyDescent="0.25">
      <c r="A106" s="72"/>
      <c r="B106" s="72"/>
      <c r="C106" s="72"/>
      <c r="D106" s="72"/>
      <c r="E106" s="72"/>
      <c r="F106" s="72"/>
      <c r="G106" s="72"/>
    </row>
    <row r="107" spans="1:92" s="7" customFormat="1" ht="30.6" customHeight="1" x14ac:dyDescent="0.25">
      <c r="A107" s="72"/>
      <c r="B107" s="72"/>
      <c r="C107" s="72"/>
      <c r="D107" s="72"/>
      <c r="E107" s="72"/>
      <c r="F107" s="72"/>
      <c r="G107" s="72"/>
    </row>
    <row r="108" spans="1:92" s="7" customFormat="1" ht="30.6" customHeight="1" x14ac:dyDescent="0.25">
      <c r="A108" s="72"/>
      <c r="B108" s="72"/>
      <c r="C108" s="72"/>
      <c r="D108" s="72"/>
      <c r="E108" s="72"/>
      <c r="F108" s="72"/>
      <c r="G108" s="72"/>
      <c r="AO108" s="59"/>
    </row>
    <row r="109" spans="1:92" s="7" customFormat="1" ht="30.6" customHeight="1" x14ac:dyDescent="0.25">
      <c r="A109" s="72"/>
      <c r="B109" s="72"/>
      <c r="C109" s="72"/>
      <c r="D109" s="72"/>
      <c r="E109" s="72"/>
      <c r="F109" s="72"/>
      <c r="G109" s="72"/>
    </row>
    <row r="110" spans="1:92" s="7" customFormat="1" ht="30.6" customHeight="1" x14ac:dyDescent="0.25">
      <c r="A110" s="72"/>
      <c r="B110" s="72"/>
      <c r="C110" s="72"/>
      <c r="D110" s="72"/>
      <c r="E110" s="72"/>
      <c r="F110" s="72"/>
      <c r="G110" s="72"/>
    </row>
    <row r="111" spans="1:92" s="7" customFormat="1" ht="30.6" customHeight="1" x14ac:dyDescent="0.25">
      <c r="A111" s="72"/>
      <c r="B111" s="72"/>
      <c r="C111" s="72"/>
      <c r="D111" s="72"/>
      <c r="E111" s="72"/>
      <c r="F111" s="72"/>
      <c r="G111" s="72"/>
    </row>
    <row r="112" spans="1:92" s="7" customFormat="1" ht="30.6" customHeight="1" x14ac:dyDescent="0.25">
      <c r="A112" s="72"/>
      <c r="B112" s="72"/>
      <c r="C112" s="72"/>
      <c r="D112" s="72"/>
      <c r="E112" s="72"/>
      <c r="F112" s="72"/>
      <c r="G112" s="72"/>
    </row>
    <row r="113" spans="1:92" s="7" customFormat="1" ht="30.6" customHeight="1" x14ac:dyDescent="0.25">
      <c r="A113" s="72"/>
      <c r="B113" s="72"/>
      <c r="C113" s="72"/>
      <c r="D113" s="72"/>
      <c r="E113" s="72"/>
      <c r="F113" s="72"/>
      <c r="G113" s="72"/>
    </row>
    <row r="114" spans="1:92" s="7" customFormat="1" ht="30.6" customHeight="1" x14ac:dyDescent="0.25">
      <c r="A114" s="72"/>
      <c r="B114" s="72"/>
      <c r="C114" s="72"/>
      <c r="D114" s="72"/>
      <c r="E114" s="72"/>
      <c r="F114" s="72"/>
      <c r="G114" s="72"/>
    </row>
    <row r="115" spans="1:92" s="7" customFormat="1" ht="30.6" customHeight="1" x14ac:dyDescent="0.25">
      <c r="A115" s="72"/>
      <c r="B115" s="72"/>
      <c r="C115" s="72"/>
      <c r="D115" s="72"/>
      <c r="E115" s="72"/>
      <c r="F115" s="72"/>
      <c r="G115" s="72"/>
    </row>
    <row r="116" spans="1:92" s="7" customFormat="1" ht="30.6" customHeight="1" x14ac:dyDescent="0.25">
      <c r="A116" s="72"/>
      <c r="B116" s="72"/>
      <c r="C116" s="72"/>
      <c r="D116" s="72"/>
      <c r="E116" s="72"/>
      <c r="F116" s="72"/>
      <c r="G116" s="72"/>
    </row>
    <row r="117" spans="1:92" s="7" customFormat="1" ht="30.6" customHeight="1" x14ac:dyDescent="0.25">
      <c r="A117" s="72"/>
      <c r="B117" s="72"/>
      <c r="C117" s="72"/>
      <c r="D117" s="72"/>
      <c r="E117" s="72"/>
      <c r="F117" s="72"/>
      <c r="G117" s="72"/>
    </row>
    <row r="118" spans="1:92" s="7" customFormat="1" ht="30.6" customHeight="1" x14ac:dyDescent="0.25">
      <c r="A118" s="72"/>
      <c r="B118" s="72"/>
      <c r="C118" s="72"/>
      <c r="D118" s="72"/>
      <c r="E118" s="72"/>
      <c r="F118" s="72"/>
      <c r="G118" s="72"/>
    </row>
    <row r="119" spans="1:92" s="7" customFormat="1" ht="30.6" customHeight="1" x14ac:dyDescent="0.25">
      <c r="A119" s="72"/>
      <c r="B119" s="72"/>
      <c r="C119" s="72"/>
      <c r="D119" s="72"/>
      <c r="E119" s="72"/>
      <c r="F119" s="72"/>
      <c r="G119" s="72"/>
    </row>
    <row r="120" spans="1:92" s="7" customFormat="1" ht="30.6" customHeight="1" x14ac:dyDescent="0.25">
      <c r="A120" s="72"/>
      <c r="B120" s="72"/>
      <c r="C120" s="72"/>
      <c r="D120" s="72"/>
      <c r="E120" s="72"/>
      <c r="F120" s="72"/>
      <c r="G120" s="72"/>
    </row>
    <row r="121" spans="1:92" s="7" customFormat="1" ht="30.6" customHeight="1" x14ac:dyDescent="0.25">
      <c r="A121" s="72"/>
      <c r="B121" s="72"/>
      <c r="C121" s="72"/>
      <c r="D121" s="72"/>
      <c r="E121" s="72"/>
      <c r="F121" s="72"/>
      <c r="G121" s="72"/>
    </row>
    <row r="122" spans="1:92" s="7" customFormat="1" ht="30.6" customHeight="1" x14ac:dyDescent="0.25">
      <c r="A122" s="72"/>
      <c r="B122" s="72"/>
      <c r="C122" s="72"/>
      <c r="D122" s="72"/>
      <c r="E122" s="72"/>
      <c r="F122" s="72"/>
      <c r="G122" s="72"/>
    </row>
    <row r="123" spans="1:92" s="7" customFormat="1" ht="30.6" customHeight="1" x14ac:dyDescent="0.25">
      <c r="A123" s="72"/>
      <c r="B123" s="72"/>
      <c r="C123" s="72"/>
      <c r="D123" s="72"/>
      <c r="E123" s="72"/>
      <c r="F123" s="72"/>
      <c r="G123" s="72"/>
      <c r="CN123" s="7">
        <v>92</v>
      </c>
    </row>
    <row r="124" spans="1:92" s="7" customFormat="1" ht="30.6" customHeight="1" x14ac:dyDescent="0.25">
      <c r="A124" s="72"/>
      <c r="B124" s="72"/>
      <c r="C124" s="72"/>
      <c r="D124" s="72"/>
      <c r="E124" s="72"/>
      <c r="F124" s="72"/>
      <c r="G124" s="72"/>
      <c r="CN124" s="7">
        <v>93</v>
      </c>
    </row>
    <row r="125" spans="1:92" s="7" customFormat="1" ht="30.6" customHeight="1" x14ac:dyDescent="0.25">
      <c r="A125" s="72"/>
      <c r="B125" s="72"/>
      <c r="C125" s="72"/>
      <c r="D125" s="72"/>
      <c r="E125" s="72"/>
      <c r="F125" s="72"/>
      <c r="G125" s="72"/>
      <c r="CN125" s="7">
        <v>94</v>
      </c>
    </row>
    <row r="126" spans="1:92" s="7" customFormat="1" ht="30.6" customHeight="1" x14ac:dyDescent="0.25">
      <c r="A126" s="72"/>
      <c r="B126" s="72"/>
      <c r="C126" s="72"/>
      <c r="D126" s="72"/>
      <c r="E126" s="72"/>
      <c r="F126" s="72"/>
      <c r="G126" s="72"/>
      <c r="CN126" s="7">
        <v>95</v>
      </c>
    </row>
    <row r="127" spans="1:92" s="7" customFormat="1" ht="30.6" customHeight="1" x14ac:dyDescent="0.25">
      <c r="A127" s="72"/>
      <c r="B127" s="72"/>
      <c r="C127" s="72"/>
      <c r="D127" s="72"/>
      <c r="E127" s="72"/>
      <c r="F127" s="72"/>
      <c r="G127" s="72"/>
      <c r="CN127" s="7">
        <v>96</v>
      </c>
    </row>
    <row r="128" spans="1:92" s="7" customFormat="1" ht="30.6" customHeight="1" x14ac:dyDescent="0.25">
      <c r="A128" s="72"/>
      <c r="B128" s="72"/>
      <c r="C128" s="72"/>
      <c r="D128" s="72"/>
      <c r="E128" s="72"/>
      <c r="F128" s="72"/>
      <c r="G128" s="72"/>
      <c r="CN128" s="7">
        <v>97</v>
      </c>
    </row>
    <row r="129" spans="1:92" s="7" customFormat="1" ht="30.6" customHeight="1" x14ac:dyDescent="0.25">
      <c r="A129" s="72"/>
      <c r="B129" s="72"/>
      <c r="C129" s="72"/>
      <c r="D129" s="72"/>
      <c r="E129" s="72"/>
      <c r="F129" s="72"/>
      <c r="G129" s="72"/>
      <c r="CN129" s="7">
        <v>98</v>
      </c>
    </row>
    <row r="130" spans="1:92" x14ac:dyDescent="0.25">
      <c r="CN130" s="3">
        <v>101</v>
      </c>
    </row>
    <row r="131" spans="1:92" x14ac:dyDescent="0.25">
      <c r="CN131" s="3">
        <v>102</v>
      </c>
    </row>
    <row r="132" spans="1:92" ht="59.25" customHeight="1" x14ac:dyDescent="0.25">
      <c r="CN132" s="3">
        <v>103</v>
      </c>
    </row>
  </sheetData>
  <sheetProtection formatColumns="0" formatRows="0" insertColumns="0" insertRows="0"/>
  <mergeCells count="29">
    <mergeCell ref="A3:L3"/>
    <mergeCell ref="M3:V6"/>
    <mergeCell ref="A4:B6"/>
    <mergeCell ref="E4:F4"/>
    <mergeCell ref="G4:L4"/>
    <mergeCell ref="D5:F5"/>
    <mergeCell ref="D6:L6"/>
    <mergeCell ref="H5:I5"/>
    <mergeCell ref="K5:L5"/>
    <mergeCell ref="AI9:AJ9"/>
    <mergeCell ref="AO9:AR9"/>
    <mergeCell ref="AS9:AT9"/>
    <mergeCell ref="A100:AG100"/>
    <mergeCell ref="G9:L9"/>
    <mergeCell ref="M9:R9"/>
    <mergeCell ref="S9:X9"/>
    <mergeCell ref="Y9:AD9"/>
    <mergeCell ref="AE9:AH9"/>
    <mergeCell ref="BC6:BN6"/>
    <mergeCell ref="BF37:BM37"/>
    <mergeCell ref="BC46:BJ46"/>
    <mergeCell ref="BK46:BK59"/>
    <mergeCell ref="BL46:BM59"/>
    <mergeCell ref="BC47:BJ59"/>
    <mergeCell ref="BY69:CF69"/>
    <mergeCell ref="CG69:CG82"/>
    <mergeCell ref="CH69:CI82"/>
    <mergeCell ref="BY70:CF82"/>
    <mergeCell ref="A98:AE98"/>
  </mergeCells>
  <conditionalFormatting sqref="AH11:AH97">
    <cfRule type="cellIs" dxfId="1" priority="2" stopIfTrue="1" operator="greaterThan">
      <formula>0.2</formula>
    </cfRule>
  </conditionalFormatting>
  <conditionalFormatting sqref="AR11:AR97">
    <cfRule type="cellIs" dxfId="0" priority="1" stopIfTrue="1" operator="greaterThan">
      <formula>0.2</formula>
    </cfRule>
  </conditionalFormatting>
  <dataValidations count="1">
    <dataValidation type="list" allowBlank="1" showInputMessage="1" showErrorMessage="1" sqref="BG11:BG17 BG26:BG36" xr:uid="{B693B33E-2FC7-4FE8-93C9-7B17499AA16B}">
      <formula1>"Tabla,Cotizacion"</formula1>
    </dataValidation>
  </dataValidations>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DFA0837B-3053-47DF-9D89-2ACD3E8F368C}">
          <x14:formula1>
            <xm:f>Lista!$V$8:$V$14</xm:f>
          </x14:formula1>
          <xm:sqref>G4:L4</xm:sqref>
        </x14:dataValidation>
        <x14:dataValidation type="list" allowBlank="1" showInputMessage="1" showErrorMessage="1" xr:uid="{BB86A379-A618-463E-8A69-407C260AA612}">
          <x14:formula1>
            <xm:f>Lista!$L$8:$L$21</xm:f>
          </x14:formula1>
          <xm:sqref>D5:F5</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C2F3FD-DEF2-4B55-A6B7-BD363A9D6501}">
  <sheetPr codeName="Hoja7"/>
  <dimension ref="A3:C20"/>
  <sheetViews>
    <sheetView workbookViewId="0">
      <selection activeCell="C15" sqref="C15"/>
    </sheetView>
  </sheetViews>
  <sheetFormatPr baseColWidth="10" defaultColWidth="11.28515625" defaultRowHeight="15" x14ac:dyDescent="0.25"/>
  <sheetData>
    <row r="3" spans="1:3" x14ac:dyDescent="0.25">
      <c r="A3" s="49"/>
      <c r="B3" s="50"/>
      <c r="C3" s="51"/>
    </row>
    <row r="4" spans="1:3" x14ac:dyDescent="0.25">
      <c r="A4" s="52"/>
      <c r="B4" s="53"/>
      <c r="C4" s="54"/>
    </row>
    <row r="5" spans="1:3" x14ac:dyDescent="0.25">
      <c r="A5" s="52"/>
      <c r="B5" s="53"/>
      <c r="C5" s="54"/>
    </row>
    <row r="6" spans="1:3" x14ac:dyDescent="0.25">
      <c r="A6" s="52"/>
      <c r="B6" s="53"/>
      <c r="C6" s="54"/>
    </row>
    <row r="7" spans="1:3" x14ac:dyDescent="0.25">
      <c r="A7" s="52"/>
      <c r="B7" s="53"/>
      <c r="C7" s="54"/>
    </row>
    <row r="8" spans="1:3" x14ac:dyDescent="0.25">
      <c r="A8" s="52"/>
      <c r="B8" s="53"/>
      <c r="C8" s="54"/>
    </row>
    <row r="9" spans="1:3" x14ac:dyDescent="0.25">
      <c r="A9" s="52"/>
      <c r="B9" s="53"/>
      <c r="C9" s="54"/>
    </row>
    <row r="10" spans="1:3" x14ac:dyDescent="0.25">
      <c r="A10" s="52"/>
      <c r="B10" s="53"/>
      <c r="C10" s="54"/>
    </row>
    <row r="11" spans="1:3" x14ac:dyDescent="0.25">
      <c r="A11" s="52"/>
      <c r="B11" s="53"/>
      <c r="C11" s="54"/>
    </row>
    <row r="12" spans="1:3" x14ac:dyDescent="0.25">
      <c r="A12" s="52"/>
      <c r="B12" s="53"/>
      <c r="C12" s="54"/>
    </row>
    <row r="13" spans="1:3" x14ac:dyDescent="0.25">
      <c r="A13" s="52"/>
      <c r="B13" s="53"/>
      <c r="C13" s="54"/>
    </row>
    <row r="14" spans="1:3" x14ac:dyDescent="0.25">
      <c r="A14" s="52"/>
      <c r="B14" s="53"/>
      <c r="C14" s="54"/>
    </row>
    <row r="15" spans="1:3" x14ac:dyDescent="0.25">
      <c r="A15" s="52"/>
      <c r="B15" s="53"/>
      <c r="C15" s="54"/>
    </row>
    <row r="16" spans="1:3" x14ac:dyDescent="0.25">
      <c r="A16" s="52"/>
      <c r="B16" s="53"/>
      <c r="C16" s="54"/>
    </row>
    <row r="17" spans="1:3" x14ac:dyDescent="0.25">
      <c r="A17" s="52"/>
      <c r="B17" s="53"/>
      <c r="C17" s="54"/>
    </row>
    <row r="18" spans="1:3" x14ac:dyDescent="0.25">
      <c r="A18" s="52"/>
      <c r="B18" s="53"/>
      <c r="C18" s="54"/>
    </row>
    <row r="19" spans="1:3" x14ac:dyDescent="0.25">
      <c r="A19" s="52"/>
      <c r="B19" s="53"/>
      <c r="C19" s="54"/>
    </row>
    <row r="20" spans="1:3" x14ac:dyDescent="0.25">
      <c r="A20" s="55"/>
      <c r="B20" s="56"/>
      <c r="C20" s="57"/>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65880A-5759-4CBD-91C0-89EF055281C2}">
  <sheetPr codeName="Hoja2"/>
  <dimension ref="A2:V27"/>
  <sheetViews>
    <sheetView workbookViewId="0">
      <selection activeCell="L8" sqref="L8:L20"/>
    </sheetView>
  </sheetViews>
  <sheetFormatPr baseColWidth="10" defaultColWidth="11.28515625" defaultRowHeight="15" x14ac:dyDescent="0.25"/>
  <cols>
    <col min="12" max="12" width="36.28515625" customWidth="1"/>
    <col min="14" max="14" width="16.28515625" customWidth="1"/>
    <col min="16" max="16" width="49.28515625" customWidth="1"/>
  </cols>
  <sheetData>
    <row r="2" spans="1:22" x14ac:dyDescent="0.25">
      <c r="A2" t="s">
        <v>1367</v>
      </c>
      <c r="C2" t="s">
        <v>1368</v>
      </c>
    </row>
    <row r="3" spans="1:22" x14ac:dyDescent="0.25">
      <c r="A3" t="s">
        <v>1369</v>
      </c>
      <c r="C3" t="s">
        <v>1370</v>
      </c>
    </row>
    <row r="7" spans="1:22" ht="90" x14ac:dyDescent="0.25">
      <c r="A7" s="11" t="s">
        <v>1371</v>
      </c>
      <c r="C7" s="11" t="s">
        <v>1372</v>
      </c>
      <c r="F7" s="11" t="s">
        <v>1373</v>
      </c>
      <c r="H7" s="11" t="s">
        <v>1374</v>
      </c>
      <c r="J7" s="11" t="s">
        <v>1375</v>
      </c>
      <c r="L7" s="48" t="s">
        <v>1376</v>
      </c>
      <c r="N7" s="11" t="s">
        <v>1377</v>
      </c>
      <c r="P7" s="11" t="s">
        <v>1378</v>
      </c>
      <c r="R7" s="11" t="s">
        <v>1379</v>
      </c>
      <c r="T7" t="s">
        <v>1380</v>
      </c>
      <c r="V7" t="s">
        <v>1381</v>
      </c>
    </row>
    <row r="8" spans="1:22" x14ac:dyDescent="0.25">
      <c r="A8" t="s">
        <v>1382</v>
      </c>
      <c r="C8" t="s">
        <v>1383</v>
      </c>
      <c r="F8" t="s">
        <v>1384</v>
      </c>
      <c r="H8" t="s">
        <v>1385</v>
      </c>
      <c r="J8" t="s">
        <v>1386</v>
      </c>
      <c r="L8" s="14" t="s">
        <v>1387</v>
      </c>
      <c r="N8" t="s">
        <v>1388</v>
      </c>
      <c r="P8" s="13" t="s">
        <v>1389</v>
      </c>
      <c r="R8" t="s">
        <v>1390</v>
      </c>
      <c r="T8" t="s">
        <v>1391</v>
      </c>
      <c r="V8" t="s">
        <v>1392</v>
      </c>
    </row>
    <row r="9" spans="1:22" ht="30" x14ac:dyDescent="0.25">
      <c r="A9" t="s">
        <v>1393</v>
      </c>
      <c r="C9" t="s">
        <v>1394</v>
      </c>
      <c r="F9" t="s">
        <v>1395</v>
      </c>
      <c r="H9" t="s">
        <v>1396</v>
      </c>
      <c r="J9" t="s">
        <v>1397</v>
      </c>
      <c r="L9" s="14" t="s">
        <v>1398</v>
      </c>
      <c r="N9" t="s">
        <v>1399</v>
      </c>
      <c r="P9" s="13" t="s">
        <v>1400</v>
      </c>
      <c r="R9" t="s">
        <v>1401</v>
      </c>
      <c r="T9" t="s">
        <v>1402</v>
      </c>
      <c r="V9" t="s">
        <v>1403</v>
      </c>
    </row>
    <row r="10" spans="1:22" x14ac:dyDescent="0.25">
      <c r="A10" t="s">
        <v>1404</v>
      </c>
      <c r="C10" t="s">
        <v>1405</v>
      </c>
      <c r="H10" t="s">
        <v>1406</v>
      </c>
      <c r="J10" t="s">
        <v>1407</v>
      </c>
      <c r="L10" s="14" t="s">
        <v>1408</v>
      </c>
      <c r="N10" t="s">
        <v>1409</v>
      </c>
      <c r="P10" s="13" t="s">
        <v>1410</v>
      </c>
      <c r="R10" t="s">
        <v>1411</v>
      </c>
      <c r="T10" t="s">
        <v>1412</v>
      </c>
      <c r="V10" t="s">
        <v>4</v>
      </c>
    </row>
    <row r="11" spans="1:22" x14ac:dyDescent="0.25">
      <c r="A11" t="s">
        <v>1413</v>
      </c>
      <c r="C11" t="s">
        <v>1414</v>
      </c>
      <c r="H11" t="s">
        <v>1415</v>
      </c>
      <c r="J11" t="s">
        <v>1416</v>
      </c>
      <c r="L11" s="14" t="s">
        <v>1417</v>
      </c>
      <c r="T11" t="s">
        <v>1418</v>
      </c>
      <c r="V11" t="s">
        <v>1419</v>
      </c>
    </row>
    <row r="12" spans="1:22" ht="30" x14ac:dyDescent="0.25">
      <c r="C12" s="7"/>
      <c r="D12" s="7"/>
      <c r="E12" s="7"/>
      <c r="F12" s="7"/>
      <c r="G12" s="7"/>
      <c r="H12" s="7" t="s">
        <v>1420</v>
      </c>
      <c r="I12" s="7"/>
      <c r="J12" s="7" t="s">
        <v>1421</v>
      </c>
      <c r="K12" s="7"/>
      <c r="L12" s="14" t="s">
        <v>1422</v>
      </c>
      <c r="M12" s="7"/>
      <c r="N12" s="7"/>
      <c r="T12" t="s">
        <v>1423</v>
      </c>
      <c r="V12" t="s">
        <v>1424</v>
      </c>
    </row>
    <row r="13" spans="1:22" x14ac:dyDescent="0.25">
      <c r="H13" t="s">
        <v>1425</v>
      </c>
      <c r="I13" s="15"/>
      <c r="J13" s="15" t="s">
        <v>1426</v>
      </c>
      <c r="L13" s="14" t="s">
        <v>1427</v>
      </c>
      <c r="T13" t="s">
        <v>1428</v>
      </c>
      <c r="V13" t="s">
        <v>1429</v>
      </c>
    </row>
    <row r="14" spans="1:22" x14ac:dyDescent="0.25">
      <c r="H14" t="s">
        <v>1430</v>
      </c>
      <c r="I14" s="15"/>
      <c r="J14" s="15" t="s">
        <v>1431</v>
      </c>
      <c r="L14" s="14" t="s">
        <v>1432</v>
      </c>
      <c r="T14" t="s">
        <v>1433</v>
      </c>
      <c r="V14" t="s">
        <v>1434</v>
      </c>
    </row>
    <row r="15" spans="1:22" x14ac:dyDescent="0.25">
      <c r="G15" s="15"/>
      <c r="H15" s="15" t="s">
        <v>1435</v>
      </c>
      <c r="I15" s="15"/>
      <c r="J15" s="15" t="s">
        <v>1436</v>
      </c>
      <c r="K15" s="15"/>
      <c r="L15" s="14" t="s">
        <v>1437</v>
      </c>
      <c r="M15" s="15"/>
      <c r="N15" s="15"/>
      <c r="T15" t="s">
        <v>1438</v>
      </c>
    </row>
    <row r="16" spans="1:22" ht="60" x14ac:dyDescent="0.25">
      <c r="A16" s="11" t="s">
        <v>1439</v>
      </c>
      <c r="J16" t="s">
        <v>1440</v>
      </c>
      <c r="L16" s="14" t="s">
        <v>1441</v>
      </c>
      <c r="T16" t="s">
        <v>1442</v>
      </c>
    </row>
    <row r="17" spans="1:20" x14ac:dyDescent="0.25">
      <c r="A17" t="s">
        <v>1443</v>
      </c>
      <c r="J17" t="s">
        <v>1444</v>
      </c>
      <c r="L17" s="14" t="s">
        <v>1445</v>
      </c>
      <c r="T17" t="s">
        <v>1446</v>
      </c>
    </row>
    <row r="18" spans="1:20" x14ac:dyDescent="0.25">
      <c r="A18" t="s">
        <v>1447</v>
      </c>
      <c r="J18" t="s">
        <v>1448</v>
      </c>
      <c r="L18" s="14" t="s">
        <v>1449</v>
      </c>
      <c r="T18" t="s">
        <v>1450</v>
      </c>
    </row>
    <row r="19" spans="1:20" x14ac:dyDescent="0.25">
      <c r="J19" t="s">
        <v>1451</v>
      </c>
      <c r="L19" s="14" t="s">
        <v>1452</v>
      </c>
    </row>
    <row r="20" spans="1:20" x14ac:dyDescent="0.25">
      <c r="J20" t="s">
        <v>1453</v>
      </c>
      <c r="L20" s="14" t="s">
        <v>1454</v>
      </c>
    </row>
    <row r="21" spans="1:20" x14ac:dyDescent="0.25">
      <c r="J21" t="s">
        <v>1455</v>
      </c>
      <c r="L21" s="12"/>
    </row>
    <row r="22" spans="1:20" x14ac:dyDescent="0.25">
      <c r="J22" t="s">
        <v>1456</v>
      </c>
    </row>
    <row r="23" spans="1:20" x14ac:dyDescent="0.25">
      <c r="J23" t="s">
        <v>1457</v>
      </c>
    </row>
    <row r="24" spans="1:20" x14ac:dyDescent="0.25">
      <c r="J24" t="s">
        <v>1458</v>
      </c>
    </row>
    <row r="25" spans="1:20" x14ac:dyDescent="0.25">
      <c r="A25" t="s">
        <v>1459</v>
      </c>
      <c r="J25" t="s">
        <v>1460</v>
      </c>
    </row>
    <row r="26" spans="1:20" x14ac:dyDescent="0.25">
      <c r="J26" t="s">
        <v>1461</v>
      </c>
    </row>
    <row r="27" spans="1:20" x14ac:dyDescent="0.25">
      <c r="J27" t="s">
        <v>1462</v>
      </c>
    </row>
  </sheetData>
  <sortState xmlns:xlrd2="http://schemas.microsoft.com/office/spreadsheetml/2017/richdata2" ref="V8:V14">
    <sortCondition ref="V8:V14"/>
  </sortState>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4</vt:i4>
      </vt:variant>
    </vt:vector>
  </HeadingPairs>
  <TitlesOfParts>
    <vt:vector size="13" baseType="lpstr">
      <vt:lpstr>EstudioRecibido</vt:lpstr>
      <vt:lpstr>REV_Estudio</vt:lpstr>
      <vt:lpstr>TablaD_3Provedores</vt:lpstr>
      <vt:lpstr>VF_EstudioEntregado</vt:lpstr>
      <vt:lpstr>ITEMS_BolsaOperador</vt:lpstr>
      <vt:lpstr>FORMATO DE OFERTA ECONÓMICA</vt:lpstr>
      <vt:lpstr>Tres_Entidad</vt:lpstr>
      <vt:lpstr>TablaDinamicaTres_Entidad</vt:lpstr>
      <vt:lpstr>Lista</vt:lpstr>
      <vt:lpstr>EstudioRecibido!Área_de_impresión</vt:lpstr>
      <vt:lpstr>ITEMS_BolsaOperador!Área_de_impresión</vt:lpstr>
      <vt:lpstr>REV_Estudio!Área_de_impresión</vt:lpstr>
      <vt:lpstr>VF_EstudioEntregado!Área_de_impresión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Marcela Gonzalez</dc:creator>
  <cp:keywords/>
  <dc:description/>
  <cp:lastModifiedBy>Sarita Rico</cp:lastModifiedBy>
  <cp:revision/>
  <dcterms:created xsi:type="dcterms:W3CDTF">2025-03-14T01:33:22Z</dcterms:created>
  <dcterms:modified xsi:type="dcterms:W3CDTF">2026-07-29T21:27:20Z</dcterms:modified>
  <cp:category/>
  <cp:contentStatus/>
</cp:coreProperties>
</file>