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rporacioncvs-my.sharepoint.com/personal/gilma_cardenas_cvs_gov_co/Documents/Escritorio/4 ESTUDIOS PREVIOS/2026/PAPELERIA/PAPELERIA 1/ENVIAR CONTRATACION/"/>
    </mc:Choice>
  </mc:AlternateContent>
  <xr:revisionPtr revIDLastSave="78" documentId="13_ncr:1_{78CEF736-CD1A-4FA4-A009-0D00C5A7B60C}" xr6:coauthVersionLast="47" xr6:coauthVersionMax="47" xr10:uidLastSave="{FEBF26F2-6766-45BE-ADD9-4106BACBA8A1}"/>
  <bookViews>
    <workbookView xWindow="-120" yWindow="-120" windowWidth="29040" windowHeight="15720" xr2:uid="{00000000-000D-0000-FFFF-FFFF00000000}"/>
  </bookViews>
  <sheets>
    <sheet name="1" sheetId="2" r:id="rId1"/>
    <sheet name="Hoja1" sheetId="3" r:id="rId2"/>
  </sheets>
  <calcPr calcId="191029"/>
</workbook>
</file>

<file path=xl/calcChain.xml><?xml version="1.0" encoding="utf-8"?>
<calcChain xmlns="http://schemas.openxmlformats.org/spreadsheetml/2006/main">
  <c r="M32" i="3" l="1"/>
  <c r="N32" i="3" s="1"/>
  <c r="L32" i="3"/>
  <c r="K32" i="3"/>
  <c r="J32" i="3"/>
  <c r="I32" i="3"/>
  <c r="K31" i="3"/>
  <c r="L31" i="3" s="1"/>
  <c r="I31" i="3"/>
  <c r="J31" i="3" s="1"/>
  <c r="M30" i="3"/>
  <c r="N30" i="3" s="1"/>
  <c r="L30" i="3"/>
  <c r="K30" i="3"/>
  <c r="J30" i="3"/>
  <c r="I30" i="3"/>
  <c r="K29" i="3"/>
  <c r="L29" i="3" s="1"/>
  <c r="I29" i="3"/>
  <c r="J29" i="3" s="1"/>
  <c r="M28" i="3"/>
  <c r="N28" i="3" s="1"/>
  <c r="L28" i="3"/>
  <c r="K28" i="3"/>
  <c r="J28" i="3"/>
  <c r="I28" i="3"/>
  <c r="K27" i="3"/>
  <c r="L27" i="3" s="1"/>
  <c r="I27" i="3"/>
  <c r="J27" i="3" s="1"/>
  <c r="M26" i="3"/>
  <c r="N26" i="3" s="1"/>
  <c r="L26" i="3"/>
  <c r="K26" i="3"/>
  <c r="J26" i="3"/>
  <c r="I26" i="3"/>
  <c r="K25" i="3"/>
  <c r="L25" i="3" s="1"/>
  <c r="I25" i="3"/>
  <c r="J25" i="3" s="1"/>
  <c r="K23" i="3"/>
  <c r="L23" i="3" s="1"/>
  <c r="I23" i="3"/>
  <c r="J23" i="3" s="1"/>
  <c r="K22" i="3"/>
  <c r="L22" i="3" s="1"/>
  <c r="M22" i="3" s="1"/>
  <c r="N22" i="3" s="1"/>
  <c r="J22" i="3"/>
  <c r="I22" i="3"/>
  <c r="K21" i="3"/>
  <c r="L21" i="3" s="1"/>
  <c r="I21" i="3"/>
  <c r="J21" i="3" s="1"/>
  <c r="K20" i="3"/>
  <c r="L20" i="3" s="1"/>
  <c r="M20" i="3" s="1"/>
  <c r="N20" i="3" s="1"/>
  <c r="J20" i="3"/>
  <c r="I20" i="3"/>
  <c r="K19" i="3"/>
  <c r="L19" i="3" s="1"/>
  <c r="I19" i="3"/>
  <c r="J19" i="3" s="1"/>
  <c r="K18" i="3"/>
  <c r="L18" i="3" s="1"/>
  <c r="M18" i="3" s="1"/>
  <c r="N18" i="3" s="1"/>
  <c r="J18" i="3"/>
  <c r="I18" i="3"/>
  <c r="K17" i="3"/>
  <c r="L17" i="3" s="1"/>
  <c r="I17" i="3"/>
  <c r="J17" i="3" s="1"/>
  <c r="K16" i="3"/>
  <c r="L16" i="3" s="1"/>
  <c r="M16" i="3" s="1"/>
  <c r="N16" i="3" s="1"/>
  <c r="J16" i="3"/>
  <c r="I16" i="3"/>
  <c r="K15" i="3"/>
  <c r="L15" i="3" s="1"/>
  <c r="I15" i="3"/>
  <c r="J15" i="3" s="1"/>
  <c r="K14" i="3"/>
  <c r="L14" i="3" s="1"/>
  <c r="M14" i="3" s="1"/>
  <c r="N14" i="3" s="1"/>
  <c r="J14" i="3"/>
  <c r="I14" i="3"/>
  <c r="K13" i="3"/>
  <c r="L13" i="3" s="1"/>
  <c r="I13" i="3"/>
  <c r="J13" i="3" s="1"/>
  <c r="K12" i="3"/>
  <c r="L12" i="3" s="1"/>
  <c r="M12" i="3" s="1"/>
  <c r="N12" i="3" s="1"/>
  <c r="J12" i="3"/>
  <c r="I12" i="3"/>
  <c r="K11" i="3"/>
  <c r="L11" i="3" s="1"/>
  <c r="I11" i="3"/>
  <c r="J11" i="3" s="1"/>
  <c r="K10" i="3"/>
  <c r="L10" i="3" s="1"/>
  <c r="M10" i="3" s="1"/>
  <c r="N10" i="3" s="1"/>
  <c r="J10" i="3"/>
  <c r="I10" i="3"/>
  <c r="K9" i="3"/>
  <c r="L9" i="3" s="1"/>
  <c r="I9" i="3"/>
  <c r="J9" i="3" s="1"/>
  <c r="K8" i="3"/>
  <c r="L8" i="3" s="1"/>
  <c r="J8" i="3"/>
  <c r="I8" i="3"/>
  <c r="O7" i="3"/>
  <c r="K23" i="2"/>
  <c r="L23" i="2" s="1"/>
  <c r="K22" i="2"/>
  <c r="L22" i="2" s="1"/>
  <c r="K21" i="2"/>
  <c r="L21" i="2" s="1"/>
  <c r="K20" i="2"/>
  <c r="L20" i="2" s="1"/>
  <c r="K19" i="2"/>
  <c r="L19" i="2" s="1"/>
  <c r="K18" i="2"/>
  <c r="L18" i="2" s="1"/>
  <c r="K17" i="2"/>
  <c r="L17" i="2" s="1"/>
  <c r="K16" i="2"/>
  <c r="L16" i="2" s="1"/>
  <c r="K15" i="2"/>
  <c r="L15" i="2" s="1"/>
  <c r="K14" i="2"/>
  <c r="L14" i="2" s="1"/>
  <c r="K13" i="2"/>
  <c r="L13" i="2" s="1"/>
  <c r="K12" i="2"/>
  <c r="L12" i="2" s="1"/>
  <c r="K11" i="2"/>
  <c r="L11" i="2" s="1"/>
  <c r="K10" i="2"/>
  <c r="K9" i="2"/>
  <c r="K8" i="2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I9" i="2"/>
  <c r="I8" i="2"/>
  <c r="M29" i="3" l="1"/>
  <c r="N29" i="3" s="1"/>
  <c r="M11" i="3"/>
  <c r="N11" i="3" s="1"/>
  <c r="M21" i="3"/>
  <c r="N21" i="3" s="1"/>
  <c r="M31" i="3"/>
  <c r="N31" i="3" s="1"/>
  <c r="M27" i="3"/>
  <c r="N27" i="3" s="1"/>
  <c r="J7" i="3"/>
  <c r="M23" i="3"/>
  <c r="N23" i="3" s="1"/>
  <c r="M15" i="3"/>
  <c r="N15" i="3" s="1"/>
  <c r="M13" i="3"/>
  <c r="N13" i="3" s="1"/>
  <c r="M9" i="3"/>
  <c r="N9" i="3" s="1"/>
  <c r="J24" i="3"/>
  <c r="J36" i="3" s="1"/>
  <c r="M17" i="3"/>
  <c r="N17" i="3" s="1"/>
  <c r="M8" i="3"/>
  <c r="L7" i="3"/>
  <c r="M19" i="3"/>
  <c r="N19" i="3" s="1"/>
  <c r="M25" i="3"/>
  <c r="L24" i="3"/>
  <c r="M15" i="2"/>
  <c r="N15" i="2" s="1"/>
  <c r="M13" i="2"/>
  <c r="N13" i="2" s="1"/>
  <c r="M23" i="2"/>
  <c r="N23" i="2" s="1"/>
  <c r="M22" i="2"/>
  <c r="N22" i="2" s="1"/>
  <c r="M21" i="2"/>
  <c r="N21" i="2" s="1"/>
  <c r="M20" i="2"/>
  <c r="N20" i="2" s="1"/>
  <c r="M19" i="2"/>
  <c r="N19" i="2" s="1"/>
  <c r="M18" i="2"/>
  <c r="N18" i="2" s="1"/>
  <c r="M17" i="2"/>
  <c r="N17" i="2" s="1"/>
  <c r="M16" i="2"/>
  <c r="N16" i="2" s="1"/>
  <c r="M14" i="2"/>
  <c r="N14" i="2" s="1"/>
  <c r="M12" i="2"/>
  <c r="N12" i="2" s="1"/>
  <c r="M11" i="2"/>
  <c r="N11" i="2" s="1"/>
  <c r="N8" i="3" l="1"/>
  <c r="N7" i="3" s="1"/>
  <c r="P7" i="3" s="1"/>
  <c r="M7" i="3"/>
  <c r="J37" i="3"/>
  <c r="J38" i="3" s="1"/>
  <c r="L36" i="3"/>
  <c r="N25" i="3"/>
  <c r="N24" i="3" s="1"/>
  <c r="M24" i="3"/>
  <c r="M33" i="3" s="1"/>
  <c r="L37" i="3" l="1"/>
  <c r="L38" i="3" s="1"/>
  <c r="K39" i="3" s="1"/>
  <c r="J8" i="2"/>
  <c r="L10" i="2"/>
  <c r="L9" i="2"/>
  <c r="L8" i="2"/>
  <c r="L27" i="2" s="1"/>
  <c r="L28" i="2" s="1"/>
  <c r="L29" i="2" s="1"/>
  <c r="J10" i="2"/>
  <c r="J9" i="2"/>
  <c r="J27" i="2" l="1"/>
  <c r="L7" i="2"/>
  <c r="M10" i="2"/>
  <c r="N10" i="2" s="1"/>
  <c r="J7" i="2"/>
  <c r="M8" i="2"/>
  <c r="M9" i="2"/>
  <c r="N9" i="2" s="1"/>
  <c r="J28" i="2" l="1"/>
  <c r="J29" i="2" s="1"/>
  <c r="M24" i="2"/>
  <c r="M25" i="2" s="1"/>
  <c r="M26" i="2" s="1"/>
  <c r="N8" i="2"/>
  <c r="N7" i="2" s="1"/>
  <c r="M7" i="2"/>
  <c r="N24" i="2" l="1"/>
  <c r="K30" i="2" l="1"/>
</calcChain>
</file>

<file path=xl/sharedStrings.xml><?xml version="1.0" encoding="utf-8"?>
<sst xmlns="http://schemas.openxmlformats.org/spreadsheetml/2006/main" count="255" uniqueCount="79">
  <si>
    <t>CODIGO UNSPC</t>
  </si>
  <si>
    <t>UNIDAD DE MEDIDA</t>
  </si>
  <si>
    <t>ARTICULO</t>
  </si>
  <si>
    <t>UNIDAD</t>
  </si>
  <si>
    <t>Gancho legajador de plástico x20</t>
  </si>
  <si>
    <t>Bolígrafos desechables tinta color negro en pasta presentación con tapa</t>
  </si>
  <si>
    <t>Perforadora metálica  estándar  de  dos (2) perforaciones con trampilla para vaciar los confetis, sin sistema de bloqueo</t>
  </si>
  <si>
    <t>Paquete x 2</t>
  </si>
  <si>
    <t>Paquetex20</t>
  </si>
  <si>
    <t>Cantidad</t>
  </si>
  <si>
    <t>CPC DABE</t>
  </si>
  <si>
    <t xml:space="preserve">Código </t>
  </si>
  <si>
    <t>Clase o Subclase</t>
  </si>
  <si>
    <t>Sección</t>
  </si>
  <si>
    <t>Codigo Objeto de Gasto</t>
  </si>
  <si>
    <t>ROLLO</t>
  </si>
  <si>
    <t>Cinta pegante para empaque de 25 micras transparente 48mm x 40 mm</t>
  </si>
  <si>
    <t>Baterías de pilas</t>
  </si>
  <si>
    <t>2.1.2.02.01.003</t>
  </si>
  <si>
    <t>Otros bienes transportables excepto productos metálicos, maquinaria y equipos</t>
  </si>
  <si>
    <t>Ganchos legajadores plásticos</t>
  </si>
  <si>
    <t>Cintas pegantes (transparentes)</t>
  </si>
  <si>
    <t xml:space="preserve"> Cartuchos plásticos para impresora de computador</t>
  </si>
  <si>
    <t>Papel bond</t>
  </si>
  <si>
    <t>Bolígrafos</t>
  </si>
  <si>
    <t>Perforadoras</t>
  </si>
  <si>
    <t>SUBTOTAL</t>
  </si>
  <si>
    <t>IVA 19%</t>
  </si>
  <si>
    <t>TOTAL</t>
  </si>
  <si>
    <t>2.1.2.02.01.004.   PRODUCTOS METÁLICOS MAQUINARIA Y EQUIPO</t>
  </si>
  <si>
    <t>Productos metálicos, maquinaria y equipo</t>
  </si>
  <si>
    <t>2.1.2.02.01.004</t>
  </si>
  <si>
    <t>Cintas para impresora</t>
  </si>
  <si>
    <t>2.1.2.02.01.011</t>
  </si>
  <si>
    <t>PRECIO SIN IVA</t>
  </si>
  <si>
    <t>PRECIO  CANTIDAD</t>
  </si>
  <si>
    <t>PROMEDIO</t>
  </si>
  <si>
    <t xml:space="preserve">Papel bond blanco  tamaño carta 75 g/m2 </t>
  </si>
  <si>
    <t>Tonner LEXMARK original 24B6896</t>
  </si>
  <si>
    <t>Batería alcalinas de tamaño AA presentación tipo blíster de 2 unidades</t>
  </si>
  <si>
    <t>Baterías alcalinas, de tamaño AAA presentación tipo blíster de 2 unidades</t>
  </si>
  <si>
    <t>CORPORACIÓN AUTÓNOMA REGIONAL DE LOS VALLES DEL SINÚ Y DEL SAN JORGE CVS</t>
  </si>
  <si>
    <t>ESTUDIO DE MERCADO</t>
  </si>
  <si>
    <t>OBJETO: SUMINISTRO DE ELEMENTOS DE PAPELERÍA, ÚTILES DE ESCRITORIO Y DE OFICINA PARA LAS DIFERENTES DEPENDENCIAS DE LA CORPORACIÓN AUTÓNOMA REGIONAL DE LOS VALLES DEL SINÚ Y DEL SAN JORGE CVS</t>
  </si>
  <si>
    <t>Grapa estándar galvanizada</t>
  </si>
  <si>
    <t>caja x 5000</t>
  </si>
  <si>
    <t>Grapas de alambre para engrapadoras de oficina</t>
  </si>
  <si>
    <t>GILMA ELENA CARDENAS POMBO</t>
  </si>
  <si>
    <t>Técnico Operativo CVS</t>
  </si>
  <si>
    <t>Oficina de Almacén CVS</t>
  </si>
  <si>
    <t>Tonner genérico hp laserjet 136A impresora hp M236sdw</t>
  </si>
  <si>
    <t>Unidad de imagen Brother MFC-L6900DW</t>
  </si>
  <si>
    <t>Tonner hp laserjet 226a negro- Genérico</t>
  </si>
  <si>
    <t>Tinta para sellos color negro</t>
  </si>
  <si>
    <t>Cinta etiquetadora marca Epson ERC-38</t>
  </si>
  <si>
    <t>Tinta para sellos</t>
  </si>
  <si>
    <t>30 ML</t>
  </si>
  <si>
    <t>Pegante líquido</t>
  </si>
  <si>
    <t>125 gr</t>
  </si>
  <si>
    <t>Pegantes a base de caucho</t>
  </si>
  <si>
    <t>Bisturí metálico 18mm con bloqueo y corta cuchilla</t>
  </si>
  <si>
    <t>Hojas de afeitar-cuchillas</t>
  </si>
  <si>
    <t>Clip sencillo plastificado</t>
  </si>
  <si>
    <t>Clip mariposa metálico galvanizado</t>
  </si>
  <si>
    <t>Clips</t>
  </si>
  <si>
    <t>caja</t>
  </si>
  <si>
    <t>Engrapadora metálica capacidad 210 grpas estándar 26/6</t>
  </si>
  <si>
    <t>Engrapadoras para oficina</t>
  </si>
  <si>
    <t>EQUITECH&amp;CIA S.A.S.</t>
  </si>
  <si>
    <t>DAIRO DAVID DURANGO ESPITIA</t>
  </si>
  <si>
    <t>TN-890 Ultra High-Yield  Impresora Brother Modelo  MFC-L6900DW  -Genérico</t>
  </si>
  <si>
    <t>Tonner hp laserjet 17a negro Genérico</t>
  </si>
  <si>
    <t>Unidad de imagen CF219A Geneérico</t>
  </si>
  <si>
    <t>Tonner hp laserjet CF 230A negro Genérico</t>
  </si>
  <si>
    <t>Unidad de imagen CF232A Genérico</t>
  </si>
  <si>
    <t>2.1.2.02.01.003  OTROS BIENES TRANSPORTABLES (EXCEPTO PRODUCTOS METÁLICOS, MAQUINARIA Y EQUIPOS)</t>
  </si>
  <si>
    <t>Técnico Operativo 3132 CVS</t>
  </si>
  <si>
    <t>CPC DANE</t>
  </si>
  <si>
    <t>Otros bienes transportables (excepto productos metálicos, maquinaria y equipos)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</si>
</sst>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_-;\-* #,##0_-;_-* &quot;-&quot;??_-;_-@_-"/>
    <numFmt numFmtId="165" formatCode="00"/>
    <numFmt numFmtId="166" formatCode="_ * #,##0_ ;_ * \-#,##0_ ;_ * &quot;-&quot;??_ ;_ @_ "/>
    <numFmt numFmtId="167" formatCode="000"/>
    <numFmt numFmtId="168" formatCode="#,##0_ ;\-#,##0\ "/>
    <numFmt numFmtId="169" formatCode="_-* #,##0.0_-;\-* #,##0.0_-;_-* &quot;-&quot;??_-;_-@_-"/>
    <numFmt numFmtId="170" formatCode="_-* #,##0.0_-;\-* #,##0.0_-;_-* &quot;-&quot;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b/>
      <sz val="8"/>
      <name val="Arial Narrow"/>
      <family val="2"/>
    </font>
    <font>
      <b/>
      <sz val="18"/>
      <color theme="1"/>
      <name val="Arial Narrow"/>
      <family val="2"/>
    </font>
    <font>
      <b/>
      <sz val="9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2"/>
      <name val="Arial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 Narrow"/>
      <family val="2"/>
    </font>
    <font>
      <sz val="11"/>
      <name val="Arial Narrow"/>
      <family val="2"/>
    </font>
    <font>
      <sz val="8"/>
      <color theme="0"/>
      <name val="Arial"/>
      <family val="2"/>
    </font>
    <font>
      <sz val="11"/>
      <color rgb="FFFF0000"/>
      <name val="Arial"/>
      <family val="2"/>
    </font>
    <font>
      <sz val="8"/>
      <color rgb="FFFF0000"/>
      <name val="Arial"/>
      <family val="2"/>
    </font>
    <font>
      <sz val="10"/>
      <color rgb="FFFF0000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EFAB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2" fillId="0" borderId="0" applyFill="0">
      <alignment horizontal="center" vertical="center" wrapText="1"/>
    </xf>
    <xf numFmtId="37" fontId="3" fillId="0" borderId="0"/>
    <xf numFmtId="0" fontId="1" fillId="0" borderId="0"/>
    <xf numFmtId="43" fontId="4" fillId="0" borderId="0" applyFont="0" applyFill="0" applyBorder="0" applyAlignment="0" applyProtection="0"/>
    <xf numFmtId="0" fontId="4" fillId="0" borderId="0"/>
    <xf numFmtId="167" fontId="2" fillId="3" borderId="0" applyFill="0" applyProtection="0">
      <alignment horizontal="center" vertical="center"/>
    </xf>
    <xf numFmtId="0" fontId="1" fillId="0" borderId="0"/>
    <xf numFmtId="0" fontId="3" fillId="0" borderId="0"/>
    <xf numFmtId="0" fontId="3" fillId="0" borderId="0"/>
  </cellStyleXfs>
  <cellXfs count="156">
    <xf numFmtId="0" fontId="0" fillId="0" borderId="0" xfId="0"/>
    <xf numFmtId="0" fontId="5" fillId="0" borderId="0" xfId="0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166" fontId="7" fillId="0" borderId="0" xfId="1" applyNumberFormat="1" applyFont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 wrapText="1"/>
    </xf>
    <xf numFmtId="1" fontId="15" fillId="4" borderId="4" xfId="5" applyNumberFormat="1" applyFont="1" applyFill="1" applyBorder="1" applyAlignment="1">
      <alignment vertical="center" wrapText="1"/>
    </xf>
    <xf numFmtId="0" fontId="13" fillId="2" borderId="1" xfId="10" applyFont="1" applyFill="1" applyBorder="1" applyAlignment="1">
      <alignment horizontal="left" vertical="center"/>
    </xf>
    <xf numFmtId="0" fontId="13" fillId="2" borderId="2" xfId="9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2" xfId="10" applyFont="1" applyFill="1" applyBorder="1" applyAlignment="1">
      <alignment horizontal="left" vertical="center" wrapText="1"/>
    </xf>
    <xf numFmtId="0" fontId="13" fillId="2" borderId="2" xfId="10" applyFont="1" applyFill="1" applyBorder="1" applyAlignment="1">
      <alignment horizontal="left" vertical="center"/>
    </xf>
    <xf numFmtId="1" fontId="13" fillId="2" borderId="1" xfId="1" applyNumberFormat="1" applyFont="1" applyFill="1" applyBorder="1" applyAlignment="1">
      <alignment horizontal="center" vertical="center"/>
    </xf>
    <xf numFmtId="0" fontId="13" fillId="2" borderId="1" xfId="5" applyFont="1" applyFill="1" applyBorder="1" applyAlignment="1">
      <alignment horizontal="center" vertical="center"/>
    </xf>
    <xf numFmtId="1" fontId="13" fillId="2" borderId="1" xfId="1" applyNumberFormat="1" applyFont="1" applyFill="1" applyBorder="1" applyAlignment="1">
      <alignment horizontal="center" vertical="center" wrapText="1"/>
    </xf>
    <xf numFmtId="0" fontId="13" fillId="2" borderId="1" xfId="1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9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4" fillId="2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7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69" fontId="22" fillId="0" borderId="0" xfId="1" applyNumberFormat="1" applyFont="1" applyAlignment="1">
      <alignment horizontal="center" vertical="center"/>
    </xf>
    <xf numFmtId="0" fontId="13" fillId="2" borderId="1" xfId="10" applyFont="1" applyFill="1" applyBorder="1" applyAlignment="1">
      <alignment horizontal="left" vertical="center" wrapText="1"/>
    </xf>
    <xf numFmtId="169" fontId="16" fillId="5" borderId="6" xfId="1" applyNumberFormat="1" applyFont="1" applyFill="1" applyBorder="1" applyAlignment="1">
      <alignment horizontal="center" vertical="center" wrapText="1"/>
    </xf>
    <xf numFmtId="169" fontId="16" fillId="5" borderId="1" xfId="0" applyNumberFormat="1" applyFont="1" applyFill="1" applyBorder="1" applyAlignment="1">
      <alignment horizontal="center" vertical="center" wrapText="1"/>
    </xf>
    <xf numFmtId="169" fontId="15" fillId="4" borderId="1" xfId="1" applyNumberFormat="1" applyFont="1" applyFill="1" applyBorder="1" applyAlignment="1">
      <alignment vertical="center" wrapText="1"/>
    </xf>
    <xf numFmtId="169" fontId="14" fillId="2" borderId="1" xfId="1" applyNumberFormat="1" applyFont="1" applyFill="1" applyBorder="1" applyAlignment="1">
      <alignment vertical="center"/>
    </xf>
    <xf numFmtId="169" fontId="2" fillId="2" borderId="1" xfId="1" applyNumberFormat="1" applyFont="1" applyFill="1" applyBorder="1" applyAlignment="1">
      <alignment horizontal="center" vertical="center" wrapText="1"/>
    </xf>
    <xf numFmtId="169" fontId="6" fillId="0" borderId="0" xfId="1" applyNumberFormat="1" applyFont="1" applyAlignment="1">
      <alignment horizontal="center" vertical="center"/>
    </xf>
    <xf numFmtId="169" fontId="22" fillId="0" borderId="0" xfId="0" applyNumberFormat="1" applyFont="1" applyAlignment="1">
      <alignment vertical="center"/>
    </xf>
    <xf numFmtId="169" fontId="6" fillId="0" borderId="0" xfId="0" applyNumberFormat="1" applyFont="1" applyAlignment="1">
      <alignment vertical="center"/>
    </xf>
    <xf numFmtId="164" fontId="7" fillId="0" borderId="0" xfId="1" applyNumberFormat="1" applyFont="1" applyAlignment="1">
      <alignment vertical="center"/>
    </xf>
    <xf numFmtId="164" fontId="6" fillId="0" borderId="0" xfId="1" applyNumberFormat="1" applyFont="1" applyAlignment="1">
      <alignment vertical="center"/>
    </xf>
    <xf numFmtId="0" fontId="13" fillId="2" borderId="1" xfId="5" applyFont="1" applyFill="1" applyBorder="1" applyAlignment="1">
      <alignment horizontal="center" vertical="center" wrapText="1"/>
    </xf>
    <xf numFmtId="164" fontId="22" fillId="0" borderId="0" xfId="0" applyNumberFormat="1" applyFont="1" applyAlignment="1">
      <alignment vertical="center"/>
    </xf>
    <xf numFmtId="164" fontId="14" fillId="2" borderId="0" xfId="1" applyNumberFormat="1" applyFont="1" applyFill="1" applyAlignment="1">
      <alignment vertical="center"/>
    </xf>
    <xf numFmtId="164" fontId="14" fillId="0" borderId="0" xfId="1" applyNumberFormat="1" applyFont="1" applyAlignment="1">
      <alignment vertical="center"/>
    </xf>
    <xf numFmtId="164" fontId="16" fillId="5" borderId="6" xfId="1" applyNumberFormat="1" applyFont="1" applyFill="1" applyBorder="1" applyAlignment="1">
      <alignment horizontal="center" vertical="center" wrapText="1"/>
    </xf>
    <xf numFmtId="164" fontId="15" fillId="4" borderId="3" xfId="5" applyNumberFormat="1" applyFont="1" applyFill="1" applyBorder="1" applyAlignment="1">
      <alignment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13" fillId="2" borderId="2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164" fontId="15" fillId="4" borderId="3" xfId="1" applyNumberFormat="1" applyFont="1" applyFill="1" applyBorder="1" applyAlignment="1">
      <alignment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9" fontId="16" fillId="4" borderId="1" xfId="1" applyNumberFormat="1" applyFont="1" applyFill="1" applyBorder="1" applyAlignment="1">
      <alignment vertical="center"/>
    </xf>
    <xf numFmtId="164" fontId="6" fillId="0" borderId="0" xfId="0" applyNumberFormat="1" applyFont="1" applyAlignment="1">
      <alignment vertical="center"/>
    </xf>
    <xf numFmtId="0" fontId="13" fillId="2" borderId="2" xfId="0" applyFont="1" applyFill="1" applyBorder="1" applyAlignment="1">
      <alignment horizontal="left" vertical="center"/>
    </xf>
    <xf numFmtId="0" fontId="13" fillId="2" borderId="1" xfId="9" applyFont="1" applyFill="1" applyBorder="1" applyAlignment="1">
      <alignment horizontal="left" vertical="center"/>
    </xf>
    <xf numFmtId="0" fontId="13" fillId="2" borderId="1" xfId="9" applyFont="1" applyFill="1" applyBorder="1" applyAlignment="1">
      <alignment horizontal="left" vertical="center" wrapText="1"/>
    </xf>
    <xf numFmtId="164" fontId="14" fillId="2" borderId="1" xfId="1" applyNumberFormat="1" applyFont="1" applyFill="1" applyBorder="1" applyAlignment="1">
      <alignment vertical="center"/>
    </xf>
    <xf numFmtId="164" fontId="22" fillId="0" borderId="1" xfId="1" applyNumberFormat="1" applyFont="1" applyBorder="1" applyAlignment="1">
      <alignment vertical="center"/>
    </xf>
    <xf numFmtId="164" fontId="22" fillId="0" borderId="0" xfId="1" applyNumberFormat="1" applyFont="1" applyAlignment="1">
      <alignment vertical="center"/>
    </xf>
    <xf numFmtId="1" fontId="24" fillId="2" borderId="1" xfId="1" applyNumberFormat="1" applyFont="1" applyFill="1" applyBorder="1" applyAlignment="1">
      <alignment horizontal="center" vertical="center" wrapText="1"/>
    </xf>
    <xf numFmtId="1" fontId="24" fillId="2" borderId="4" xfId="1" applyNumberFormat="1" applyFont="1" applyFill="1" applyBorder="1" applyAlignment="1">
      <alignment horizontal="center" vertical="center" wrapText="1"/>
    </xf>
    <xf numFmtId="0" fontId="24" fillId="2" borderId="1" xfId="7" applyFont="1" applyFill="1" applyBorder="1" applyAlignment="1">
      <alignment vertical="center" wrapText="1"/>
    </xf>
    <xf numFmtId="0" fontId="24" fillId="2" borderId="1" xfId="7" applyFont="1" applyFill="1" applyBorder="1" applyAlignment="1">
      <alignment vertical="center"/>
    </xf>
    <xf numFmtId="169" fontId="25" fillId="0" borderId="0" xfId="0" applyNumberFormat="1" applyFont="1" applyAlignment="1">
      <alignment vertical="center"/>
    </xf>
    <xf numFmtId="164" fontId="25" fillId="0" borderId="0" xfId="1" applyNumberFormat="1" applyFont="1" applyAlignment="1">
      <alignment horizontal="center" vertical="center"/>
    </xf>
    <xf numFmtId="164" fontId="25" fillId="0" borderId="0" xfId="0" applyNumberFormat="1" applyFont="1" applyAlignment="1">
      <alignment vertical="center"/>
    </xf>
    <xf numFmtId="169" fontId="25" fillId="0" borderId="0" xfId="1" applyNumberFormat="1" applyFont="1" applyAlignment="1">
      <alignment horizontal="center" vertical="center"/>
    </xf>
    <xf numFmtId="164" fontId="26" fillId="0" borderId="0" xfId="1" applyNumberFormat="1" applyFont="1" applyAlignment="1">
      <alignment horizontal="center" vertical="center"/>
    </xf>
    <xf numFmtId="169" fontId="27" fillId="0" borderId="0" xfId="0" applyNumberFormat="1" applyFont="1" applyAlignment="1">
      <alignment vertical="center"/>
    </xf>
    <xf numFmtId="164" fontId="27" fillId="0" borderId="0" xfId="0" applyNumberFormat="1" applyFont="1" applyAlignment="1">
      <alignment vertical="center"/>
    </xf>
    <xf numFmtId="169" fontId="27" fillId="0" borderId="0" xfId="1" applyNumberFormat="1" applyFont="1" applyAlignment="1">
      <alignment horizontal="center" vertical="center"/>
    </xf>
    <xf numFmtId="0" fontId="13" fillId="2" borderId="7" xfId="9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164" fontId="12" fillId="0" borderId="0" xfId="1" applyNumberFormat="1" applyFont="1" applyAlignment="1">
      <alignment vertical="center"/>
    </xf>
    <xf numFmtId="164" fontId="17" fillId="2" borderId="0" xfId="1" applyNumberFormat="1" applyFont="1" applyFill="1" applyAlignment="1">
      <alignment vertical="center"/>
    </xf>
    <xf numFmtId="170" fontId="28" fillId="0" borderId="0" xfId="0" applyNumberFormat="1" applyFont="1" applyAlignment="1">
      <alignment vertical="center"/>
    </xf>
    <xf numFmtId="1" fontId="29" fillId="2" borderId="1" xfId="1" applyNumberFormat="1" applyFont="1" applyFill="1" applyBorder="1" applyAlignment="1">
      <alignment horizontal="center" vertical="center" wrapText="1"/>
    </xf>
    <xf numFmtId="164" fontId="29" fillId="2" borderId="2" xfId="1" applyNumberFormat="1" applyFont="1" applyFill="1" applyBorder="1" applyAlignment="1">
      <alignment horizontal="center" vertical="center" wrapText="1"/>
    </xf>
    <xf numFmtId="169" fontId="30" fillId="2" borderId="1" xfId="1" applyNumberFormat="1" applyFont="1" applyFill="1" applyBorder="1" applyAlignment="1">
      <alignment vertical="center"/>
    </xf>
    <xf numFmtId="169" fontId="29" fillId="2" borderId="1" xfId="1" applyNumberFormat="1" applyFont="1" applyFill="1" applyBorder="1" applyAlignment="1">
      <alignment horizontal="center" vertical="center" wrapText="1"/>
    </xf>
    <xf numFmtId="164" fontId="30" fillId="2" borderId="1" xfId="1" applyNumberFormat="1" applyFont="1" applyFill="1" applyBorder="1" applyAlignment="1">
      <alignment vertical="center"/>
    </xf>
    <xf numFmtId="0" fontId="11" fillId="5" borderId="13" xfId="0" applyFont="1" applyFill="1" applyBorder="1" applyAlignment="1">
      <alignment horizontal="center" vertical="center" wrapText="1"/>
    </xf>
    <xf numFmtId="169" fontId="16" fillId="4" borderId="14" xfId="1" applyNumberFormat="1" applyFont="1" applyFill="1" applyBorder="1" applyAlignment="1">
      <alignment vertical="center"/>
    </xf>
    <xf numFmtId="0" fontId="13" fillId="2" borderId="16" xfId="9" applyFont="1" applyFill="1" applyBorder="1" applyAlignment="1">
      <alignment horizontal="center" vertical="center"/>
    </xf>
    <xf numFmtId="164" fontId="30" fillId="2" borderId="14" xfId="1" applyNumberFormat="1" applyFont="1" applyFill="1" applyBorder="1" applyAlignment="1">
      <alignment vertical="center"/>
    </xf>
    <xf numFmtId="0" fontId="13" fillId="2" borderId="13" xfId="10" applyFont="1" applyFill="1" applyBorder="1" applyAlignment="1">
      <alignment horizontal="left" vertical="center"/>
    </xf>
    <xf numFmtId="0" fontId="13" fillId="2" borderId="13" xfId="10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 wrapText="1"/>
    </xf>
    <xf numFmtId="0" fontId="17" fillId="2" borderId="18" xfId="0" applyFont="1" applyFill="1" applyBorder="1" applyAlignment="1">
      <alignment horizontal="center" vertical="center"/>
    </xf>
    <xf numFmtId="1" fontId="13" fillId="2" borderId="18" xfId="1" applyNumberFormat="1" applyFont="1" applyFill="1" applyBorder="1" applyAlignment="1">
      <alignment horizontal="center" vertical="center" wrapText="1"/>
    </xf>
    <xf numFmtId="0" fontId="13" fillId="2" borderId="18" xfId="5" applyFont="1" applyFill="1" applyBorder="1" applyAlignment="1">
      <alignment horizontal="center" vertical="center"/>
    </xf>
    <xf numFmtId="0" fontId="24" fillId="2" borderId="18" xfId="7" applyFont="1" applyFill="1" applyBorder="1" applyAlignment="1">
      <alignment vertical="center" wrapText="1"/>
    </xf>
    <xf numFmtId="1" fontId="29" fillId="2" borderId="18" xfId="1" applyNumberFormat="1" applyFont="1" applyFill="1" applyBorder="1" applyAlignment="1">
      <alignment horizontal="center" vertical="center" wrapText="1"/>
    </xf>
    <xf numFmtId="164" fontId="29" fillId="2" borderId="19" xfId="1" applyNumberFormat="1" applyFont="1" applyFill="1" applyBorder="1" applyAlignment="1">
      <alignment horizontal="center" vertical="center" wrapText="1"/>
    </xf>
    <xf numFmtId="169" fontId="30" fillId="2" borderId="18" xfId="1" applyNumberFormat="1" applyFont="1" applyFill="1" applyBorder="1" applyAlignment="1">
      <alignment vertical="center"/>
    </xf>
    <xf numFmtId="169" fontId="29" fillId="2" borderId="18" xfId="1" applyNumberFormat="1" applyFont="1" applyFill="1" applyBorder="1" applyAlignment="1">
      <alignment horizontal="center" vertical="center" wrapText="1"/>
    </xf>
    <xf numFmtId="164" fontId="30" fillId="2" borderId="18" xfId="1" applyNumberFormat="1" applyFont="1" applyFill="1" applyBorder="1" applyAlignment="1">
      <alignment vertical="center"/>
    </xf>
    <xf numFmtId="164" fontId="30" fillId="2" borderId="20" xfId="1" applyNumberFormat="1" applyFont="1" applyFill="1" applyBorder="1" applyAlignment="1">
      <alignment vertical="center"/>
    </xf>
    <xf numFmtId="164" fontId="6" fillId="0" borderId="12" xfId="1" applyNumberFormat="1" applyFont="1" applyBorder="1" applyAlignment="1">
      <alignment vertical="center"/>
    </xf>
    <xf numFmtId="164" fontId="6" fillId="0" borderId="14" xfId="1" applyNumberFormat="1" applyFont="1" applyBorder="1" applyAlignment="1">
      <alignment vertical="center"/>
    </xf>
    <xf numFmtId="164" fontId="6" fillId="0" borderId="20" xfId="1" applyNumberFormat="1" applyFont="1" applyBorder="1" applyAlignment="1">
      <alignment vertical="center"/>
    </xf>
    <xf numFmtId="164" fontId="8" fillId="0" borderId="9" xfId="1" applyNumberFormat="1" applyFont="1" applyBorder="1" applyAlignment="1">
      <alignment vertical="center"/>
    </xf>
    <xf numFmtId="0" fontId="6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164" fontId="6" fillId="2" borderId="0" xfId="1" applyNumberFormat="1" applyFont="1" applyFill="1" applyAlignment="1">
      <alignment horizontal="center" vertical="center"/>
    </xf>
    <xf numFmtId="164" fontId="26" fillId="2" borderId="0" xfId="1" applyNumberFormat="1" applyFont="1" applyFill="1" applyAlignment="1">
      <alignment horizontal="center" vertical="center"/>
    </xf>
    <xf numFmtId="164" fontId="27" fillId="2" borderId="0" xfId="0" applyNumberFormat="1" applyFont="1" applyFill="1" applyAlignment="1">
      <alignment vertical="center"/>
    </xf>
    <xf numFmtId="164" fontId="6" fillId="2" borderId="0" xfId="0" applyNumberFormat="1" applyFont="1" applyFill="1" applyAlignment="1">
      <alignment vertical="center"/>
    </xf>
    <xf numFmtId="164" fontId="25" fillId="2" borderId="0" xfId="0" applyNumberFormat="1" applyFont="1" applyFill="1" applyAlignment="1">
      <alignment vertical="center"/>
    </xf>
    <xf numFmtId="164" fontId="25" fillId="2" borderId="0" xfId="1" applyNumberFormat="1" applyFont="1" applyFill="1" applyAlignment="1">
      <alignment horizontal="center" vertical="center"/>
    </xf>
    <xf numFmtId="169" fontId="27" fillId="2" borderId="0" xfId="0" applyNumberFormat="1" applyFont="1" applyFill="1" applyAlignment="1">
      <alignment vertical="center"/>
    </xf>
    <xf numFmtId="169" fontId="27" fillId="2" borderId="0" xfId="1" applyNumberFormat="1" applyFont="1" applyFill="1" applyAlignment="1">
      <alignment horizontal="center" vertical="center"/>
    </xf>
    <xf numFmtId="169" fontId="22" fillId="2" borderId="0" xfId="0" applyNumberFormat="1" applyFont="1" applyFill="1" applyAlignment="1">
      <alignment vertical="center"/>
    </xf>
    <xf numFmtId="169" fontId="22" fillId="2" borderId="0" xfId="1" applyNumberFormat="1" applyFont="1" applyFill="1" applyAlignment="1">
      <alignment horizontal="center" vertical="center"/>
    </xf>
    <xf numFmtId="164" fontId="22" fillId="2" borderId="0" xfId="0" applyNumberFormat="1" applyFont="1" applyFill="1" applyAlignment="1">
      <alignment vertical="center"/>
    </xf>
    <xf numFmtId="164" fontId="22" fillId="2" borderId="0" xfId="1" applyNumberFormat="1" applyFont="1" applyFill="1" applyAlignment="1">
      <alignment vertical="center"/>
    </xf>
    <xf numFmtId="166" fontId="20" fillId="0" borderId="0" xfId="1" applyNumberFormat="1" applyFont="1" applyAlignment="1">
      <alignment horizontal="center" vertical="center"/>
    </xf>
    <xf numFmtId="168" fontId="20" fillId="0" borderId="0" xfId="1" applyNumberFormat="1" applyFont="1" applyAlignment="1">
      <alignment horizontal="center" vertical="center"/>
    </xf>
    <xf numFmtId="166" fontId="20" fillId="0" borderId="0" xfId="1" applyNumberFormat="1" applyFont="1" applyAlignment="1">
      <alignment horizontal="left" vertical="center" wrapText="1"/>
    </xf>
    <xf numFmtId="0" fontId="19" fillId="5" borderId="10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center" vertical="center" wrapText="1"/>
    </xf>
    <xf numFmtId="169" fontId="16" fillId="5" borderId="11" xfId="1" applyNumberFormat="1" applyFont="1" applyFill="1" applyBorder="1" applyAlignment="1">
      <alignment horizontal="center" vertical="center" wrapText="1"/>
    </xf>
    <xf numFmtId="0" fontId="10" fillId="5" borderId="11" xfId="5" applyFont="1" applyFill="1" applyBorder="1" applyAlignment="1">
      <alignment horizontal="center" vertical="center" wrapText="1"/>
    </xf>
    <xf numFmtId="0" fontId="10" fillId="5" borderId="1" xfId="5" applyFont="1" applyFill="1" applyBorder="1" applyAlignment="1">
      <alignment horizontal="center" vertical="center" wrapText="1"/>
    </xf>
    <xf numFmtId="49" fontId="16" fillId="5" borderId="11" xfId="1" applyNumberFormat="1" applyFont="1" applyFill="1" applyBorder="1" applyAlignment="1">
      <alignment horizontal="center" vertical="center" textRotation="90" wrapText="1"/>
    </xf>
    <xf numFmtId="49" fontId="16" fillId="5" borderId="1" xfId="1" applyNumberFormat="1" applyFont="1" applyFill="1" applyBorder="1" applyAlignment="1">
      <alignment horizontal="center" vertical="center" textRotation="90" wrapText="1"/>
    </xf>
    <xf numFmtId="0" fontId="15" fillId="5" borderId="11" xfId="2" applyFont="1" applyFill="1" applyBorder="1" applyAlignment="1">
      <alignment horizontal="center" vertical="center" wrapText="1"/>
    </xf>
    <xf numFmtId="0" fontId="15" fillId="5" borderId="1" xfId="2" applyFont="1" applyFill="1" applyBorder="1" applyAlignment="1">
      <alignment horizontal="center" vertical="center" wrapText="1"/>
    </xf>
    <xf numFmtId="0" fontId="9" fillId="5" borderId="11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169" fontId="23" fillId="5" borderId="11" xfId="1" applyNumberFormat="1" applyFont="1" applyFill="1" applyBorder="1" applyAlignment="1">
      <alignment horizontal="center" vertical="center" wrapText="1"/>
    </xf>
    <xf numFmtId="164" fontId="18" fillId="5" borderId="11" xfId="0" applyNumberFormat="1" applyFont="1" applyFill="1" applyBorder="1" applyAlignment="1">
      <alignment horizontal="center" vertical="center"/>
    </xf>
    <xf numFmtId="164" fontId="18" fillId="5" borderId="1" xfId="0" applyNumberFormat="1" applyFont="1" applyFill="1" applyBorder="1" applyAlignment="1">
      <alignment horizontal="center" vertical="center"/>
    </xf>
    <xf numFmtId="164" fontId="18" fillId="5" borderId="12" xfId="0" applyNumberFormat="1" applyFont="1" applyFill="1" applyBorder="1" applyAlignment="1">
      <alignment horizontal="center" vertical="center"/>
    </xf>
    <xf numFmtId="164" fontId="18" fillId="5" borderId="14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5" fillId="4" borderId="15" xfId="5" applyFont="1" applyFill="1" applyBorder="1" applyAlignment="1">
      <alignment horizontal="left" vertical="center" wrapText="1"/>
    </xf>
    <xf numFmtId="0" fontId="15" fillId="4" borderId="3" xfId="5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169" fontId="16" fillId="5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9" fontId="23" fillId="5" borderId="1" xfId="1" applyNumberFormat="1" applyFont="1" applyFill="1" applyBorder="1" applyAlignment="1">
      <alignment horizontal="center" vertical="center" wrapText="1"/>
    </xf>
    <xf numFmtId="0" fontId="15" fillId="4" borderId="2" xfId="5" applyFont="1" applyFill="1" applyBorder="1" applyAlignment="1">
      <alignment horizontal="left" vertical="center" wrapText="1"/>
    </xf>
    <xf numFmtId="0" fontId="9" fillId="4" borderId="2" xfId="5" applyFont="1" applyFill="1" applyBorder="1" applyAlignment="1">
      <alignment horizontal="left" vertical="center" wrapText="1"/>
    </xf>
    <xf numFmtId="0" fontId="9" fillId="4" borderId="3" xfId="5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4" fillId="6" borderId="1" xfId="7" applyFont="1" applyFill="1" applyBorder="1" applyAlignment="1">
      <alignment vertical="center" wrapText="1"/>
    </xf>
  </cellXfs>
  <cellStyles count="12">
    <cellStyle name="Millares" xfId="1" builtinId="3"/>
    <cellStyle name="Millares 2" xfId="6" xr:uid="{00000000-0005-0000-0000-000001000000}"/>
    <cellStyle name="Nivel 1,2.3,5,6,9" xfId="3" xr:uid="{00000000-0005-0000-0000-000002000000}"/>
    <cellStyle name="Nivel 4" xfId="8" xr:uid="{8F1FCCDD-485A-4B5E-8DB1-DF97C70BE516}"/>
    <cellStyle name="Normal" xfId="0" builtinId="0"/>
    <cellStyle name="Normal 2" xfId="7" xr:uid="{00000000-0005-0000-0000-000004000000}"/>
    <cellStyle name="Normal 2 2" xfId="10" xr:uid="{AA8E6D15-1A09-4740-8A99-FE3122216414}"/>
    <cellStyle name="Normal 2 7" xfId="5" xr:uid="{00000000-0005-0000-0000-000005000000}"/>
    <cellStyle name="Normal 2 7 3" xfId="9" xr:uid="{A5537FFD-E73D-49BB-8CF8-F4B7E7563F37}"/>
    <cellStyle name="Normal 4" xfId="11" xr:uid="{33AA0A4F-9BFB-430B-A23A-9931338BCDCC}"/>
    <cellStyle name="Normal 8" xfId="4" xr:uid="{00000000-0005-0000-0000-000006000000}"/>
    <cellStyle name="Normal_PLAN DE COMPRAS 2010" xfId="2" xr:uid="{00000000-0005-0000-0000-000007000000}"/>
  </cellStyles>
  <dxfs count="0"/>
  <tableStyles count="0" defaultTableStyle="TableStyleMedium2" defaultPivotStyle="PivotStyleLight16"/>
  <colors>
    <mruColors>
      <color rgb="FFFEFAB2"/>
      <color rgb="FFCCFFFF"/>
      <color rgb="FFC3F2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abSelected="1" topLeftCell="A16" zoomScale="90" zoomScaleNormal="90" workbookViewId="0">
      <selection activeCell="E21" sqref="E21"/>
    </sheetView>
  </sheetViews>
  <sheetFormatPr baseColWidth="10" defaultRowHeight="14.25" x14ac:dyDescent="0.25"/>
  <cols>
    <col min="1" max="1" width="8.7109375" style="16" customWidth="1"/>
    <col min="2" max="2" width="10.85546875" style="16" customWidth="1"/>
    <col min="3" max="3" width="19.140625" style="16" customWidth="1"/>
    <col min="4" max="4" width="12.7109375" style="16" customWidth="1"/>
    <col min="5" max="5" width="10" style="23" customWidth="1"/>
    <col min="6" max="6" width="7.85546875" style="1" customWidth="1"/>
    <col min="7" max="7" width="24.5703125" style="23" customWidth="1"/>
    <col min="8" max="8" width="7.28515625" style="2" customWidth="1"/>
    <col min="9" max="9" width="11.7109375" style="2" customWidth="1"/>
    <col min="10" max="10" width="12.5703125" style="33" customWidth="1"/>
    <col min="11" max="11" width="13.28515625" style="31" customWidth="1"/>
    <col min="12" max="12" width="12.28515625" style="33" customWidth="1"/>
    <col min="13" max="13" width="13.5703125" style="48" customWidth="1"/>
    <col min="14" max="14" width="14.42578125" style="48" bestFit="1" customWidth="1"/>
    <col min="15" max="16384" width="11.42578125" style="16"/>
  </cols>
  <sheetData>
    <row r="1" spans="1:14" s="3" customFormat="1" ht="15.75" customHeight="1" x14ac:dyDescent="0.25">
      <c r="A1" s="116" t="s">
        <v>41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</row>
    <row r="2" spans="1:14" s="3" customFormat="1" ht="15.75" customHeight="1" x14ac:dyDescent="0.25">
      <c r="A2" s="116" t="s">
        <v>42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</row>
    <row r="3" spans="1:14" s="3" customFormat="1" ht="18" customHeight="1" x14ac:dyDescent="0.25">
      <c r="A3" s="117">
        <v>2026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</row>
    <row r="4" spans="1:14" s="3" customFormat="1" ht="35.25" customHeight="1" thickBot="1" x14ac:dyDescent="0.3">
      <c r="A4" s="118" t="s">
        <v>43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</row>
    <row r="5" spans="1:14" s="19" customFormat="1" ht="17.25" customHeight="1" x14ac:dyDescent="0.25">
      <c r="A5" s="119" t="s">
        <v>77</v>
      </c>
      <c r="B5" s="120"/>
      <c r="C5" s="120"/>
      <c r="D5" s="120"/>
      <c r="E5" s="126" t="s">
        <v>0</v>
      </c>
      <c r="F5" s="128" t="s">
        <v>1</v>
      </c>
      <c r="G5" s="122" t="s">
        <v>2</v>
      </c>
      <c r="H5" s="124" t="s">
        <v>9</v>
      </c>
      <c r="I5" s="121" t="s">
        <v>68</v>
      </c>
      <c r="J5" s="121"/>
      <c r="K5" s="130" t="s">
        <v>69</v>
      </c>
      <c r="L5" s="130"/>
      <c r="M5" s="131" t="s">
        <v>36</v>
      </c>
      <c r="N5" s="133" t="s">
        <v>28</v>
      </c>
    </row>
    <row r="6" spans="1:14" s="20" customFormat="1" ht="39.75" customHeight="1" x14ac:dyDescent="0.25">
      <c r="A6" s="78" t="s">
        <v>11</v>
      </c>
      <c r="B6" s="18" t="s">
        <v>12</v>
      </c>
      <c r="C6" s="17" t="s">
        <v>13</v>
      </c>
      <c r="D6" s="18" t="s">
        <v>14</v>
      </c>
      <c r="E6" s="127"/>
      <c r="F6" s="129"/>
      <c r="G6" s="123"/>
      <c r="H6" s="125"/>
      <c r="I6" s="40" t="s">
        <v>34</v>
      </c>
      <c r="J6" s="27" t="s">
        <v>35</v>
      </c>
      <c r="K6" s="26" t="s">
        <v>34</v>
      </c>
      <c r="L6" s="27" t="s">
        <v>35</v>
      </c>
      <c r="M6" s="132"/>
      <c r="N6" s="134"/>
    </row>
    <row r="7" spans="1:14" s="21" customFormat="1" ht="27.75" customHeight="1" x14ac:dyDescent="0.25">
      <c r="A7" s="138" t="s">
        <v>75</v>
      </c>
      <c r="B7" s="139"/>
      <c r="C7" s="139"/>
      <c r="D7" s="139"/>
      <c r="E7" s="139"/>
      <c r="F7" s="139"/>
      <c r="G7" s="139"/>
      <c r="H7" s="6"/>
      <c r="I7" s="41"/>
      <c r="J7" s="47">
        <f>SUM(J8:J23)</f>
        <v>15822689.075630253</v>
      </c>
      <c r="K7" s="28"/>
      <c r="L7" s="47">
        <f t="shared" ref="L7:N7" si="0">SUM(L8:L23)</f>
        <v>14073529.411764706</v>
      </c>
      <c r="M7" s="47">
        <f t="shared" si="0"/>
        <v>14948109.243697481</v>
      </c>
      <c r="N7" s="79">
        <f t="shared" si="0"/>
        <v>17788250</v>
      </c>
    </row>
    <row r="8" spans="1:14" s="20" customFormat="1" ht="50.25" customHeight="1" x14ac:dyDescent="0.25">
      <c r="A8" s="80">
        <v>3212801</v>
      </c>
      <c r="B8" s="8" t="s">
        <v>23</v>
      </c>
      <c r="C8" s="5" t="s">
        <v>78</v>
      </c>
      <c r="D8" s="4" t="s">
        <v>18</v>
      </c>
      <c r="E8" s="14">
        <v>14111507</v>
      </c>
      <c r="F8" s="13" t="s">
        <v>3</v>
      </c>
      <c r="G8" s="155" t="s">
        <v>37</v>
      </c>
      <c r="H8" s="73">
        <v>125</v>
      </c>
      <c r="I8" s="74">
        <f>22000/1.19</f>
        <v>18487.394957983193</v>
      </c>
      <c r="J8" s="75">
        <f t="shared" ref="J8" si="1">+H8*I8</f>
        <v>2310924.369747899</v>
      </c>
      <c r="K8" s="76">
        <f>19000/1.19</f>
        <v>15966.386554621849</v>
      </c>
      <c r="L8" s="75">
        <f>+K8*H8</f>
        <v>1995798.3193277312</v>
      </c>
      <c r="M8" s="77">
        <f>(L8+J8)/2</f>
        <v>2153361.3445378151</v>
      </c>
      <c r="N8" s="81">
        <f t="shared" ref="N8:N10" si="2">+M8*1.19</f>
        <v>2562500</v>
      </c>
    </row>
    <row r="9" spans="1:14" s="20" customFormat="1" ht="64.5" customHeight="1" x14ac:dyDescent="0.25">
      <c r="A9" s="82">
        <v>3699060</v>
      </c>
      <c r="B9" s="10" t="s">
        <v>22</v>
      </c>
      <c r="C9" s="5" t="s">
        <v>78</v>
      </c>
      <c r="D9" s="4" t="s">
        <v>18</v>
      </c>
      <c r="E9" s="12">
        <v>44103103</v>
      </c>
      <c r="F9" s="13" t="s">
        <v>3</v>
      </c>
      <c r="G9" s="155" t="s">
        <v>50</v>
      </c>
      <c r="H9" s="73">
        <v>1</v>
      </c>
      <c r="I9" s="74">
        <f>110000/1.19</f>
        <v>92436.97478991597</v>
      </c>
      <c r="J9" s="75">
        <f t="shared" ref="J9:J10" si="3">+H9*I9</f>
        <v>92436.97478991597</v>
      </c>
      <c r="K9" s="76">
        <f>90000/1.19</f>
        <v>75630.252100840342</v>
      </c>
      <c r="L9" s="75">
        <f t="shared" ref="L9:L10" si="4">+K9*H9</f>
        <v>75630.252100840342</v>
      </c>
      <c r="M9" s="77">
        <f t="shared" ref="M9:M10" si="5">(L9+J9)/2</f>
        <v>84033.613445378156</v>
      </c>
      <c r="N9" s="81">
        <f t="shared" si="2"/>
        <v>100000</v>
      </c>
    </row>
    <row r="10" spans="1:14" s="20" customFormat="1" ht="63.75" customHeight="1" x14ac:dyDescent="0.25">
      <c r="A10" s="82">
        <v>3699060</v>
      </c>
      <c r="B10" s="10" t="s">
        <v>22</v>
      </c>
      <c r="C10" s="5" t="s">
        <v>78</v>
      </c>
      <c r="D10" s="4" t="s">
        <v>18</v>
      </c>
      <c r="E10" s="12">
        <v>44103103</v>
      </c>
      <c r="F10" s="13" t="s">
        <v>3</v>
      </c>
      <c r="G10" s="155" t="s">
        <v>38</v>
      </c>
      <c r="H10" s="73">
        <v>4</v>
      </c>
      <c r="I10" s="74">
        <f>1450000/1.19</f>
        <v>1218487.3949579832</v>
      </c>
      <c r="J10" s="75">
        <f t="shared" si="3"/>
        <v>4873949.5798319327</v>
      </c>
      <c r="K10" s="76">
        <f>1350000/1.19</f>
        <v>1134453.781512605</v>
      </c>
      <c r="L10" s="75">
        <f t="shared" si="4"/>
        <v>4537815.1260504201</v>
      </c>
      <c r="M10" s="77">
        <f t="shared" si="5"/>
        <v>4705882.3529411759</v>
      </c>
      <c r="N10" s="81">
        <f t="shared" si="2"/>
        <v>5599999.9999999991</v>
      </c>
    </row>
    <row r="11" spans="1:14" s="20" customFormat="1" ht="63.75" customHeight="1" x14ac:dyDescent="0.25">
      <c r="A11" s="82">
        <v>3699060</v>
      </c>
      <c r="B11" s="10" t="s">
        <v>22</v>
      </c>
      <c r="C11" s="5" t="s">
        <v>78</v>
      </c>
      <c r="D11" s="4" t="s">
        <v>18</v>
      </c>
      <c r="E11" s="12">
        <v>44103103</v>
      </c>
      <c r="F11" s="13" t="s">
        <v>3</v>
      </c>
      <c r="G11" s="155" t="s">
        <v>70</v>
      </c>
      <c r="H11" s="73">
        <v>15</v>
      </c>
      <c r="I11" s="74">
        <f>350000/1.19</f>
        <v>294117.64705882355</v>
      </c>
      <c r="J11" s="75">
        <f t="shared" ref="J11:J23" si="6">+H11*I11</f>
        <v>4411764.7058823537</v>
      </c>
      <c r="K11" s="76">
        <f>250000</f>
        <v>250000</v>
      </c>
      <c r="L11" s="75">
        <f t="shared" ref="L11:L23" si="7">+K11*H11</f>
        <v>3750000</v>
      </c>
      <c r="M11" s="77">
        <f t="shared" ref="M11:M23" si="8">(L11+J11)/2</f>
        <v>4080882.3529411769</v>
      </c>
      <c r="N11" s="81">
        <f t="shared" ref="N11:N24" si="9">+M11*1.19</f>
        <v>4856250</v>
      </c>
    </row>
    <row r="12" spans="1:14" s="20" customFormat="1" ht="63.75" customHeight="1" x14ac:dyDescent="0.25">
      <c r="A12" s="82">
        <v>3699060</v>
      </c>
      <c r="B12" s="10" t="s">
        <v>22</v>
      </c>
      <c r="C12" s="5" t="s">
        <v>78</v>
      </c>
      <c r="D12" s="4" t="s">
        <v>18</v>
      </c>
      <c r="E12" s="12">
        <v>44103103</v>
      </c>
      <c r="F12" s="13" t="s">
        <v>3</v>
      </c>
      <c r="G12" s="155" t="s">
        <v>51</v>
      </c>
      <c r="H12" s="73">
        <v>4</v>
      </c>
      <c r="I12" s="74">
        <f>450000/1.19</f>
        <v>378151.26050420169</v>
      </c>
      <c r="J12" s="75">
        <f t="shared" si="6"/>
        <v>1512605.0420168068</v>
      </c>
      <c r="K12" s="76">
        <f>400000/1.19</f>
        <v>336134.45378151262</v>
      </c>
      <c r="L12" s="75">
        <f t="shared" si="7"/>
        <v>1344537.8151260505</v>
      </c>
      <c r="M12" s="77">
        <f t="shared" si="8"/>
        <v>1428571.4285714286</v>
      </c>
      <c r="N12" s="81">
        <f t="shared" si="9"/>
        <v>1700000</v>
      </c>
    </row>
    <row r="13" spans="1:14" s="20" customFormat="1" ht="66" customHeight="1" x14ac:dyDescent="0.25">
      <c r="A13" s="82">
        <v>3699060</v>
      </c>
      <c r="B13" s="10" t="s">
        <v>22</v>
      </c>
      <c r="C13" s="5" t="s">
        <v>78</v>
      </c>
      <c r="D13" s="4" t="s">
        <v>18</v>
      </c>
      <c r="E13" s="12">
        <v>44103103</v>
      </c>
      <c r="F13" s="13" t="s">
        <v>3</v>
      </c>
      <c r="G13" s="155" t="s">
        <v>52</v>
      </c>
      <c r="H13" s="73">
        <v>2</v>
      </c>
      <c r="I13" s="74">
        <f>140000/1.19</f>
        <v>117647.05882352941</v>
      </c>
      <c r="J13" s="75">
        <f t="shared" si="6"/>
        <v>235294.11764705883</v>
      </c>
      <c r="K13" s="76">
        <f>130000/1.19</f>
        <v>109243.6974789916</v>
      </c>
      <c r="L13" s="75">
        <f t="shared" si="7"/>
        <v>218487.3949579832</v>
      </c>
      <c r="M13" s="77">
        <f t="shared" si="8"/>
        <v>226890.75630252101</v>
      </c>
      <c r="N13" s="81">
        <f t="shared" si="9"/>
        <v>270000</v>
      </c>
    </row>
    <row r="14" spans="1:14" s="20" customFormat="1" ht="63.75" customHeight="1" x14ac:dyDescent="0.25">
      <c r="A14" s="82">
        <v>3699060</v>
      </c>
      <c r="B14" s="10" t="s">
        <v>22</v>
      </c>
      <c r="C14" s="5" t="s">
        <v>78</v>
      </c>
      <c r="D14" s="4" t="s">
        <v>18</v>
      </c>
      <c r="E14" s="12">
        <v>44103103</v>
      </c>
      <c r="F14" s="13" t="s">
        <v>3</v>
      </c>
      <c r="G14" s="155" t="s">
        <v>71</v>
      </c>
      <c r="H14" s="73">
        <v>3</v>
      </c>
      <c r="I14" s="74">
        <f>110000/1.19</f>
        <v>92436.97478991597</v>
      </c>
      <c r="J14" s="75">
        <f t="shared" si="6"/>
        <v>277310.92436974793</v>
      </c>
      <c r="K14" s="76">
        <f>90000/1.19</f>
        <v>75630.252100840342</v>
      </c>
      <c r="L14" s="75">
        <f t="shared" si="7"/>
        <v>226890.75630252104</v>
      </c>
      <c r="M14" s="77">
        <f t="shared" si="8"/>
        <v>252100.84033613448</v>
      </c>
      <c r="N14" s="81">
        <f t="shared" si="9"/>
        <v>300000</v>
      </c>
    </row>
    <row r="15" spans="1:14" s="20" customFormat="1" ht="67.5" customHeight="1" x14ac:dyDescent="0.25">
      <c r="A15" s="82">
        <v>3699060</v>
      </c>
      <c r="B15" s="10" t="s">
        <v>22</v>
      </c>
      <c r="C15" s="5" t="s">
        <v>78</v>
      </c>
      <c r="D15" s="4" t="s">
        <v>18</v>
      </c>
      <c r="E15" s="12">
        <v>44103103</v>
      </c>
      <c r="F15" s="13" t="s">
        <v>3</v>
      </c>
      <c r="G15" s="155" t="s">
        <v>72</v>
      </c>
      <c r="H15" s="73">
        <v>3</v>
      </c>
      <c r="I15" s="74">
        <f>140000/1.19</f>
        <v>117647.05882352941</v>
      </c>
      <c r="J15" s="75">
        <f t="shared" si="6"/>
        <v>352941.17647058825</v>
      </c>
      <c r="K15" s="76">
        <f>120000/1.19</f>
        <v>100840.33613445378</v>
      </c>
      <c r="L15" s="75">
        <f t="shared" si="7"/>
        <v>302521.00840336137</v>
      </c>
      <c r="M15" s="77">
        <f t="shared" si="8"/>
        <v>327731.09243697481</v>
      </c>
      <c r="N15" s="81">
        <f t="shared" si="9"/>
        <v>390000</v>
      </c>
    </row>
    <row r="16" spans="1:14" s="20" customFormat="1" ht="63" customHeight="1" x14ac:dyDescent="0.25">
      <c r="A16" s="82">
        <v>3699060</v>
      </c>
      <c r="B16" s="10" t="s">
        <v>22</v>
      </c>
      <c r="C16" s="5" t="s">
        <v>78</v>
      </c>
      <c r="D16" s="4" t="s">
        <v>18</v>
      </c>
      <c r="E16" s="12">
        <v>44103103</v>
      </c>
      <c r="F16" s="13" t="s">
        <v>3</v>
      </c>
      <c r="G16" s="155" t="s">
        <v>73</v>
      </c>
      <c r="H16" s="73">
        <v>4</v>
      </c>
      <c r="I16" s="74">
        <f>130000/1.19</f>
        <v>109243.6974789916</v>
      </c>
      <c r="J16" s="75">
        <f t="shared" si="6"/>
        <v>436974.78991596639</v>
      </c>
      <c r="K16" s="76">
        <f>110000/1.19</f>
        <v>92436.97478991597</v>
      </c>
      <c r="L16" s="75">
        <f t="shared" si="7"/>
        <v>369747.89915966388</v>
      </c>
      <c r="M16" s="77">
        <f t="shared" si="8"/>
        <v>403361.34453781514</v>
      </c>
      <c r="N16" s="81">
        <f t="shared" si="9"/>
        <v>480000</v>
      </c>
    </row>
    <row r="17" spans="1:14" s="20" customFormat="1" ht="65.25" customHeight="1" x14ac:dyDescent="0.25">
      <c r="A17" s="82">
        <v>3699060</v>
      </c>
      <c r="B17" s="10" t="s">
        <v>22</v>
      </c>
      <c r="C17" s="5" t="s">
        <v>78</v>
      </c>
      <c r="D17" s="4" t="s">
        <v>18</v>
      </c>
      <c r="E17" s="12">
        <v>44103103</v>
      </c>
      <c r="F17" s="13" t="s">
        <v>3</v>
      </c>
      <c r="G17" s="155" t="s">
        <v>74</v>
      </c>
      <c r="H17" s="73">
        <v>3</v>
      </c>
      <c r="I17" s="74">
        <f>230000/1.19</f>
        <v>193277.31092436975</v>
      </c>
      <c r="J17" s="75">
        <f t="shared" si="6"/>
        <v>579831.93277310929</v>
      </c>
      <c r="K17" s="76">
        <f>220000/1.19</f>
        <v>184873.94957983194</v>
      </c>
      <c r="L17" s="75">
        <f t="shared" si="7"/>
        <v>554621.84873949585</v>
      </c>
      <c r="M17" s="77">
        <f t="shared" si="8"/>
        <v>567226.89075630251</v>
      </c>
      <c r="N17" s="81">
        <f t="shared" si="9"/>
        <v>675000</v>
      </c>
    </row>
    <row r="18" spans="1:14" s="22" customFormat="1" ht="51.75" customHeight="1" x14ac:dyDescent="0.25">
      <c r="A18" s="83">
        <v>3891204</v>
      </c>
      <c r="B18" s="25" t="s">
        <v>32</v>
      </c>
      <c r="C18" s="5" t="s">
        <v>78</v>
      </c>
      <c r="D18" s="4" t="s">
        <v>18</v>
      </c>
      <c r="E18" s="12">
        <v>44103112</v>
      </c>
      <c r="F18" s="13" t="s">
        <v>3</v>
      </c>
      <c r="G18" s="155" t="s">
        <v>54</v>
      </c>
      <c r="H18" s="73">
        <v>2</v>
      </c>
      <c r="I18" s="74">
        <f>17000/1.19</f>
        <v>14285.714285714286</v>
      </c>
      <c r="J18" s="75">
        <f t="shared" si="6"/>
        <v>28571.428571428572</v>
      </c>
      <c r="K18" s="76">
        <f>15000/1.19</f>
        <v>12605.042016806723</v>
      </c>
      <c r="L18" s="75">
        <f t="shared" si="7"/>
        <v>25210.084033613446</v>
      </c>
      <c r="M18" s="77">
        <f t="shared" si="8"/>
        <v>26890.756302521011</v>
      </c>
      <c r="N18" s="81">
        <f t="shared" si="9"/>
        <v>32000</v>
      </c>
    </row>
    <row r="19" spans="1:14" s="20" customFormat="1" ht="47.25" customHeight="1" x14ac:dyDescent="0.25">
      <c r="A19" s="84">
        <v>3514007</v>
      </c>
      <c r="B19" s="69" t="s">
        <v>55</v>
      </c>
      <c r="C19" s="5" t="s">
        <v>78</v>
      </c>
      <c r="D19" s="4" t="s">
        <v>18</v>
      </c>
      <c r="E19" s="12">
        <v>12171703</v>
      </c>
      <c r="F19" s="13" t="s">
        <v>56</v>
      </c>
      <c r="G19" s="155" t="s">
        <v>53</v>
      </c>
      <c r="H19" s="73">
        <v>5</v>
      </c>
      <c r="I19" s="74">
        <f>9000/1.19</f>
        <v>7563.0252100840344</v>
      </c>
      <c r="J19" s="75">
        <f t="shared" si="6"/>
        <v>37815.126050420171</v>
      </c>
      <c r="K19" s="76">
        <f>8000/1.19</f>
        <v>6722.6890756302528</v>
      </c>
      <c r="L19" s="75">
        <f t="shared" si="7"/>
        <v>33613.445378151264</v>
      </c>
      <c r="M19" s="77">
        <f t="shared" si="8"/>
        <v>35714.285714285717</v>
      </c>
      <c r="N19" s="81">
        <f t="shared" si="9"/>
        <v>42500</v>
      </c>
    </row>
    <row r="20" spans="1:14" s="20" customFormat="1" ht="45.75" customHeight="1" x14ac:dyDescent="0.25">
      <c r="A20" s="82">
        <v>3699006</v>
      </c>
      <c r="B20" s="10" t="s">
        <v>20</v>
      </c>
      <c r="C20" s="5" t="s">
        <v>78</v>
      </c>
      <c r="D20" s="4" t="s">
        <v>18</v>
      </c>
      <c r="E20" s="14">
        <v>44122112</v>
      </c>
      <c r="F20" s="36" t="s">
        <v>8</v>
      </c>
      <c r="G20" s="155" t="s">
        <v>4</v>
      </c>
      <c r="H20" s="73">
        <v>60</v>
      </c>
      <c r="I20" s="74">
        <f>4000/1.19</f>
        <v>3361.3445378151264</v>
      </c>
      <c r="J20" s="75">
        <f t="shared" si="6"/>
        <v>201680.6722689076</v>
      </c>
      <c r="K20" s="76">
        <f>4000/1.19</f>
        <v>3361.3445378151264</v>
      </c>
      <c r="L20" s="75">
        <f t="shared" si="7"/>
        <v>201680.6722689076</v>
      </c>
      <c r="M20" s="77">
        <f t="shared" si="8"/>
        <v>201680.6722689076</v>
      </c>
      <c r="N20" s="81">
        <f t="shared" si="9"/>
        <v>240000.00000000003</v>
      </c>
    </row>
    <row r="21" spans="1:14" s="20" customFormat="1" ht="55.5" customHeight="1" x14ac:dyDescent="0.25">
      <c r="A21" s="82">
        <v>3692007</v>
      </c>
      <c r="B21" s="10" t="s">
        <v>21</v>
      </c>
      <c r="C21" s="5" t="s">
        <v>78</v>
      </c>
      <c r="D21" s="4" t="s">
        <v>18</v>
      </c>
      <c r="E21" s="12">
        <v>31201517</v>
      </c>
      <c r="F21" s="13" t="s">
        <v>15</v>
      </c>
      <c r="G21" s="155" t="s">
        <v>16</v>
      </c>
      <c r="H21" s="73">
        <v>40</v>
      </c>
      <c r="I21" s="74">
        <f>5000/1.19</f>
        <v>4201.680672268908</v>
      </c>
      <c r="J21" s="75">
        <f t="shared" si="6"/>
        <v>168067.22689075631</v>
      </c>
      <c r="K21" s="76">
        <f>4000/1.19</f>
        <v>3361.3445378151264</v>
      </c>
      <c r="L21" s="75">
        <f t="shared" si="7"/>
        <v>134453.78151260506</v>
      </c>
      <c r="M21" s="77">
        <f t="shared" si="8"/>
        <v>151260.50420168068</v>
      </c>
      <c r="N21" s="81">
        <f t="shared" si="9"/>
        <v>180000</v>
      </c>
    </row>
    <row r="22" spans="1:14" s="20" customFormat="1" ht="52.5" customHeight="1" x14ac:dyDescent="0.25">
      <c r="A22" s="82">
        <v>3891102</v>
      </c>
      <c r="B22" s="11" t="s">
        <v>24</v>
      </c>
      <c r="C22" s="5" t="s">
        <v>78</v>
      </c>
      <c r="D22" s="4" t="s">
        <v>18</v>
      </c>
      <c r="E22" s="14">
        <v>44121701</v>
      </c>
      <c r="F22" s="13" t="s">
        <v>3</v>
      </c>
      <c r="G22" s="155" t="s">
        <v>5</v>
      </c>
      <c r="H22" s="73">
        <v>200</v>
      </c>
      <c r="I22" s="74">
        <f>1000/1.19</f>
        <v>840.3361344537816</v>
      </c>
      <c r="J22" s="75">
        <f t="shared" si="6"/>
        <v>168067.22689075631</v>
      </c>
      <c r="K22" s="76">
        <f>1000/1.19</f>
        <v>840.3361344537816</v>
      </c>
      <c r="L22" s="75">
        <f t="shared" si="7"/>
        <v>168067.22689075631</v>
      </c>
      <c r="M22" s="77">
        <f t="shared" si="8"/>
        <v>168067.22689075631</v>
      </c>
      <c r="N22" s="81">
        <f t="shared" si="9"/>
        <v>200000</v>
      </c>
    </row>
    <row r="23" spans="1:14" s="20" customFormat="1" ht="52.5" customHeight="1" thickBot="1" x14ac:dyDescent="0.3">
      <c r="A23" s="85">
        <v>3542009</v>
      </c>
      <c r="B23" s="86" t="s">
        <v>59</v>
      </c>
      <c r="C23" s="5" t="s">
        <v>78</v>
      </c>
      <c r="D23" s="87" t="s">
        <v>18</v>
      </c>
      <c r="E23" s="88">
        <v>31201616</v>
      </c>
      <c r="F23" s="89" t="s">
        <v>58</v>
      </c>
      <c r="G23" s="90" t="s">
        <v>57</v>
      </c>
      <c r="H23" s="91">
        <v>40</v>
      </c>
      <c r="I23" s="92">
        <f>4000/1.19</f>
        <v>3361.3445378151264</v>
      </c>
      <c r="J23" s="93">
        <f t="shared" si="6"/>
        <v>134453.78151260506</v>
      </c>
      <c r="K23" s="94">
        <f>4000/1.19</f>
        <v>3361.3445378151264</v>
      </c>
      <c r="L23" s="93">
        <f t="shared" si="7"/>
        <v>134453.78151260506</v>
      </c>
      <c r="M23" s="95">
        <f t="shared" si="8"/>
        <v>134453.78151260506</v>
      </c>
      <c r="N23" s="96">
        <f t="shared" si="9"/>
        <v>160000</v>
      </c>
    </row>
    <row r="24" spans="1:14" ht="20.25" customHeight="1" thickBot="1" x14ac:dyDescent="0.3">
      <c r="A24" s="142" t="s">
        <v>26</v>
      </c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97">
        <f>SUM(M8:M23)</f>
        <v>14948109.243697481</v>
      </c>
      <c r="N24" s="100">
        <f t="shared" si="9"/>
        <v>17788250.000000004</v>
      </c>
    </row>
    <row r="25" spans="1:14" ht="20.25" customHeight="1" x14ac:dyDescent="0.25">
      <c r="A25" s="144" t="s">
        <v>27</v>
      </c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98">
        <f>+M24*19%</f>
        <v>2840140.7563025216</v>
      </c>
      <c r="N25" s="115"/>
    </row>
    <row r="26" spans="1:14" ht="20.25" customHeight="1" thickBot="1" x14ac:dyDescent="0.3">
      <c r="A26" s="140" t="s">
        <v>28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99">
        <f>+M24+M25</f>
        <v>17788250.000000004</v>
      </c>
      <c r="N26" s="115"/>
    </row>
    <row r="27" spans="1:14" x14ac:dyDescent="0.25">
      <c r="A27" s="101"/>
      <c r="B27" s="101"/>
      <c r="C27" s="101"/>
      <c r="D27" s="101"/>
      <c r="E27" s="102"/>
      <c r="F27" s="103"/>
      <c r="G27" s="102"/>
      <c r="H27" s="104"/>
      <c r="I27" s="105"/>
      <c r="J27" s="108">
        <f>SUM(J8:J23)</f>
        <v>15822689.075630253</v>
      </c>
      <c r="K27" s="109"/>
      <c r="L27" s="108">
        <f>SUM(L8:L23)</f>
        <v>14073529.411764706</v>
      </c>
      <c r="M27" s="106"/>
      <c r="N27" s="107"/>
    </row>
    <row r="28" spans="1:14" x14ac:dyDescent="0.25">
      <c r="A28" s="101"/>
      <c r="B28" s="101"/>
      <c r="C28" s="101"/>
      <c r="D28" s="101"/>
      <c r="E28" s="102"/>
      <c r="F28" s="103"/>
      <c r="G28" s="102"/>
      <c r="H28" s="104"/>
      <c r="I28" s="105"/>
      <c r="J28" s="108">
        <f>J27*19%</f>
        <v>3006310.9243697482</v>
      </c>
      <c r="K28" s="109"/>
      <c r="L28" s="108">
        <f>L27*19%</f>
        <v>2673970.588235294</v>
      </c>
      <c r="M28" s="106"/>
      <c r="N28" s="107"/>
    </row>
    <row r="29" spans="1:14" x14ac:dyDescent="0.25">
      <c r="A29" s="101"/>
      <c r="B29" s="101"/>
      <c r="C29" s="101"/>
      <c r="D29" s="101"/>
      <c r="E29" s="102"/>
      <c r="F29" s="103"/>
      <c r="G29" s="102"/>
      <c r="H29" s="104"/>
      <c r="I29" s="105"/>
      <c r="J29" s="108">
        <f>J27+J28</f>
        <v>18829000</v>
      </c>
      <c r="K29" s="109"/>
      <c r="L29" s="108">
        <f>L27+L28</f>
        <v>16747500</v>
      </c>
      <c r="M29" s="106"/>
      <c r="N29" s="107"/>
    </row>
    <row r="30" spans="1:14" x14ac:dyDescent="0.25">
      <c r="A30" s="101"/>
      <c r="B30" s="101"/>
      <c r="C30" s="101"/>
      <c r="D30" s="101"/>
      <c r="E30" s="102"/>
      <c r="F30" s="103"/>
      <c r="G30" s="102"/>
      <c r="H30" s="104"/>
      <c r="I30" s="105"/>
      <c r="J30" s="108"/>
      <c r="K30" s="109">
        <f>(J29+L29)/2</f>
        <v>17788250</v>
      </c>
      <c r="L30" s="108"/>
      <c r="M30" s="106"/>
      <c r="N30" s="107"/>
    </row>
    <row r="31" spans="1:14" x14ac:dyDescent="0.25">
      <c r="A31" s="101"/>
      <c r="B31" s="101"/>
      <c r="C31" s="101"/>
      <c r="D31" s="101"/>
      <c r="E31" s="102"/>
      <c r="F31" s="103"/>
      <c r="G31" s="102"/>
      <c r="H31" s="104"/>
      <c r="I31" s="105"/>
      <c r="J31" s="108"/>
      <c r="K31" s="109"/>
      <c r="L31" s="108"/>
      <c r="M31" s="106"/>
      <c r="N31" s="107"/>
    </row>
    <row r="32" spans="1:14" x14ac:dyDescent="0.25">
      <c r="A32" s="101"/>
      <c r="B32" s="101"/>
      <c r="C32" s="101"/>
      <c r="D32" s="101"/>
      <c r="E32" s="102"/>
      <c r="F32" s="103"/>
      <c r="G32" s="102"/>
      <c r="H32" s="104"/>
      <c r="I32" s="105"/>
      <c r="J32" s="110"/>
      <c r="K32" s="111"/>
      <c r="L32" s="110"/>
      <c r="M32" s="106"/>
      <c r="N32" s="107"/>
    </row>
    <row r="33" spans="1:14" x14ac:dyDescent="0.25">
      <c r="A33" s="135"/>
      <c r="B33" s="135"/>
      <c r="C33" s="135"/>
      <c r="D33" s="101"/>
      <c r="E33" s="102"/>
      <c r="F33" s="103"/>
      <c r="G33" s="102"/>
      <c r="H33" s="104"/>
      <c r="I33" s="105"/>
      <c r="J33" s="110"/>
      <c r="K33" s="111"/>
      <c r="L33" s="110"/>
      <c r="M33" s="106"/>
      <c r="N33" s="107"/>
    </row>
    <row r="34" spans="1:14" ht="15" x14ac:dyDescent="0.25">
      <c r="A34" s="136" t="s">
        <v>47</v>
      </c>
      <c r="B34" s="136"/>
      <c r="C34" s="136"/>
      <c r="D34" s="101"/>
      <c r="E34" s="102"/>
      <c r="F34" s="103"/>
      <c r="G34" s="102"/>
      <c r="H34" s="104"/>
      <c r="I34" s="104"/>
      <c r="J34" s="112"/>
      <c r="K34" s="113"/>
      <c r="L34" s="112"/>
      <c r="M34" s="114"/>
      <c r="N34" s="107"/>
    </row>
    <row r="35" spans="1:14" x14ac:dyDescent="0.25">
      <c r="A35" s="137" t="s">
        <v>76</v>
      </c>
      <c r="B35" s="137"/>
      <c r="C35" s="137"/>
      <c r="D35" s="101"/>
      <c r="E35" s="102"/>
      <c r="F35" s="103"/>
      <c r="G35" s="102"/>
      <c r="H35" s="104"/>
      <c r="I35" s="104"/>
      <c r="J35" s="112"/>
      <c r="K35" s="113"/>
      <c r="L35" s="112"/>
      <c r="M35" s="114"/>
      <c r="N35" s="107"/>
    </row>
    <row r="36" spans="1:14" x14ac:dyDescent="0.25">
      <c r="A36" s="137" t="s">
        <v>49</v>
      </c>
      <c r="B36" s="137"/>
      <c r="C36" s="137"/>
      <c r="D36" s="101"/>
      <c r="E36" s="102"/>
      <c r="F36" s="103"/>
      <c r="G36" s="102"/>
      <c r="H36" s="104"/>
      <c r="I36" s="104"/>
      <c r="J36" s="112"/>
      <c r="K36" s="113"/>
      <c r="L36" s="112"/>
      <c r="M36" s="114"/>
      <c r="N36" s="107"/>
    </row>
    <row r="37" spans="1:14" x14ac:dyDescent="0.25">
      <c r="A37" s="101"/>
      <c r="B37" s="101"/>
      <c r="C37" s="101"/>
      <c r="D37" s="101"/>
      <c r="E37" s="102"/>
      <c r="F37" s="103"/>
      <c r="G37" s="102"/>
      <c r="H37" s="104"/>
      <c r="I37" s="104"/>
      <c r="J37" s="112"/>
      <c r="K37" s="113"/>
      <c r="L37" s="112"/>
      <c r="M37" s="114"/>
      <c r="N37" s="107"/>
    </row>
    <row r="38" spans="1:14" x14ac:dyDescent="0.25">
      <c r="A38" s="101"/>
      <c r="B38" s="101"/>
      <c r="C38" s="101"/>
      <c r="D38" s="101"/>
      <c r="E38" s="102"/>
      <c r="F38" s="103"/>
      <c r="G38" s="102"/>
      <c r="H38" s="104"/>
      <c r="I38" s="104"/>
      <c r="J38" s="112"/>
      <c r="K38" s="113"/>
      <c r="L38" s="112"/>
      <c r="M38" s="114"/>
      <c r="N38" s="107"/>
    </row>
    <row r="39" spans="1:14" x14ac:dyDescent="0.25">
      <c r="A39" s="101"/>
      <c r="B39" s="101"/>
      <c r="C39" s="101"/>
      <c r="D39" s="101"/>
      <c r="E39" s="102"/>
      <c r="F39" s="103"/>
      <c r="G39" s="102"/>
      <c r="H39" s="104"/>
      <c r="I39" s="104"/>
      <c r="J39" s="112"/>
      <c r="K39" s="113"/>
      <c r="L39" s="112"/>
      <c r="M39" s="114"/>
      <c r="N39" s="107"/>
    </row>
    <row r="40" spans="1:14" x14ac:dyDescent="0.25">
      <c r="A40" s="101"/>
      <c r="B40" s="101"/>
      <c r="C40" s="101"/>
      <c r="D40" s="101"/>
      <c r="E40" s="102"/>
      <c r="F40" s="103"/>
      <c r="G40" s="102"/>
      <c r="H40" s="104"/>
      <c r="I40" s="104"/>
      <c r="J40" s="112"/>
      <c r="K40" s="113"/>
      <c r="L40" s="112"/>
      <c r="M40" s="114"/>
      <c r="N40" s="107"/>
    </row>
    <row r="41" spans="1:14" x14ac:dyDescent="0.25">
      <c r="A41" s="101"/>
      <c r="B41" s="101"/>
      <c r="C41" s="101"/>
      <c r="D41" s="101"/>
      <c r="E41" s="102"/>
      <c r="F41" s="103"/>
      <c r="G41" s="102"/>
      <c r="H41" s="104"/>
      <c r="I41" s="104"/>
      <c r="J41" s="112"/>
      <c r="K41" s="113"/>
      <c r="L41" s="112"/>
      <c r="M41" s="114"/>
      <c r="N41" s="107"/>
    </row>
    <row r="42" spans="1:14" x14ac:dyDescent="0.25">
      <c r="A42" s="101"/>
      <c r="B42" s="101"/>
      <c r="C42" s="101"/>
      <c r="D42" s="101"/>
      <c r="E42" s="102"/>
      <c r="F42" s="103"/>
      <c r="G42" s="102"/>
      <c r="H42" s="104"/>
      <c r="I42" s="104"/>
      <c r="J42" s="112"/>
      <c r="K42" s="113"/>
      <c r="L42" s="112"/>
      <c r="M42" s="114"/>
      <c r="N42" s="107"/>
    </row>
    <row r="43" spans="1:14" x14ac:dyDescent="0.25">
      <c r="A43" s="101"/>
      <c r="B43" s="101"/>
      <c r="C43" s="101"/>
      <c r="D43" s="101"/>
      <c r="E43" s="102"/>
      <c r="F43" s="103"/>
      <c r="G43" s="102"/>
      <c r="H43" s="104"/>
      <c r="I43" s="104"/>
      <c r="J43" s="112"/>
      <c r="K43" s="113"/>
      <c r="L43" s="112"/>
      <c r="M43" s="114"/>
      <c r="N43" s="107"/>
    </row>
    <row r="44" spans="1:14" x14ac:dyDescent="0.25">
      <c r="A44" s="101"/>
      <c r="B44" s="101"/>
      <c r="C44" s="101"/>
      <c r="D44" s="101"/>
      <c r="E44" s="102"/>
      <c r="F44" s="103"/>
      <c r="G44" s="102"/>
      <c r="H44" s="104"/>
      <c r="I44" s="104"/>
      <c r="J44" s="112"/>
      <c r="K44" s="113"/>
      <c r="L44" s="112"/>
      <c r="M44" s="114"/>
      <c r="N44" s="107"/>
    </row>
    <row r="45" spans="1:14" x14ac:dyDescent="0.25">
      <c r="A45" s="101"/>
      <c r="B45" s="101"/>
      <c r="C45" s="101"/>
      <c r="D45" s="101"/>
      <c r="E45" s="102"/>
      <c r="F45" s="103"/>
      <c r="G45" s="102"/>
      <c r="H45" s="104"/>
      <c r="I45" s="104"/>
      <c r="J45" s="112"/>
      <c r="K45" s="113"/>
      <c r="L45" s="112"/>
      <c r="M45" s="114"/>
      <c r="N45" s="107"/>
    </row>
    <row r="46" spans="1:14" x14ac:dyDescent="0.25">
      <c r="A46" s="101"/>
      <c r="B46" s="101"/>
      <c r="C46" s="101"/>
      <c r="D46" s="101"/>
      <c r="E46" s="102"/>
      <c r="F46" s="103"/>
      <c r="G46" s="102"/>
      <c r="H46" s="104"/>
      <c r="I46" s="104"/>
      <c r="J46" s="112"/>
      <c r="K46" s="113"/>
      <c r="L46" s="112"/>
      <c r="M46" s="114"/>
      <c r="N46" s="107"/>
    </row>
    <row r="47" spans="1:14" x14ac:dyDescent="0.25">
      <c r="A47" s="101"/>
      <c r="B47" s="101"/>
      <c r="C47" s="101"/>
      <c r="D47" s="101"/>
      <c r="E47" s="102"/>
      <c r="F47" s="103"/>
      <c r="G47" s="102"/>
      <c r="H47" s="104"/>
      <c r="I47" s="104"/>
      <c r="J47" s="112"/>
      <c r="K47" s="113"/>
      <c r="L47" s="112"/>
      <c r="M47" s="114"/>
      <c r="N47" s="107"/>
    </row>
    <row r="48" spans="1:14" x14ac:dyDescent="0.25">
      <c r="A48" s="101"/>
      <c r="B48" s="101"/>
      <c r="C48" s="101"/>
      <c r="D48" s="101"/>
      <c r="E48" s="102"/>
      <c r="F48" s="103"/>
      <c r="G48" s="102"/>
      <c r="H48" s="104"/>
      <c r="I48" s="104"/>
      <c r="J48" s="112"/>
      <c r="K48" s="113"/>
      <c r="L48" s="112"/>
      <c r="M48" s="114"/>
      <c r="N48" s="107"/>
    </row>
    <row r="49" spans="1:14" x14ac:dyDescent="0.25">
      <c r="A49" s="101"/>
      <c r="B49" s="101"/>
      <c r="C49" s="101"/>
      <c r="D49" s="101"/>
      <c r="E49" s="102"/>
      <c r="F49" s="103"/>
      <c r="G49" s="102"/>
      <c r="H49" s="104"/>
      <c r="I49" s="104"/>
      <c r="J49" s="112"/>
      <c r="K49" s="113"/>
      <c r="L49" s="112"/>
      <c r="M49" s="114"/>
      <c r="N49" s="107"/>
    </row>
    <row r="50" spans="1:14" x14ac:dyDescent="0.25">
      <c r="A50" s="101"/>
      <c r="B50" s="101"/>
      <c r="C50" s="101"/>
      <c r="D50" s="101"/>
      <c r="E50" s="102"/>
      <c r="F50" s="103"/>
      <c r="G50" s="102"/>
      <c r="H50" s="104"/>
      <c r="I50" s="104"/>
      <c r="J50" s="112"/>
      <c r="K50" s="113"/>
      <c r="L50" s="112"/>
      <c r="M50" s="114"/>
      <c r="N50" s="107"/>
    </row>
    <row r="51" spans="1:14" x14ac:dyDescent="0.25">
      <c r="A51" s="101"/>
      <c r="B51" s="101"/>
      <c r="C51" s="101"/>
      <c r="D51" s="101"/>
      <c r="E51" s="102"/>
      <c r="F51" s="103"/>
      <c r="G51" s="102"/>
      <c r="H51" s="104"/>
      <c r="I51" s="104"/>
      <c r="J51" s="112"/>
      <c r="K51" s="113"/>
      <c r="L51" s="112"/>
      <c r="M51" s="114"/>
      <c r="N51" s="107"/>
    </row>
  </sheetData>
  <mergeCells count="21">
    <mergeCell ref="A33:C33"/>
    <mergeCell ref="A34:C34"/>
    <mergeCell ref="A35:C35"/>
    <mergeCell ref="A36:C36"/>
    <mergeCell ref="A7:G7"/>
    <mergeCell ref="A26:L26"/>
    <mergeCell ref="A24:L24"/>
    <mergeCell ref="A25:L25"/>
    <mergeCell ref="A1:N1"/>
    <mergeCell ref="A2:N2"/>
    <mergeCell ref="A3:N3"/>
    <mergeCell ref="A4:N4"/>
    <mergeCell ref="A5:D5"/>
    <mergeCell ref="I5:J5"/>
    <mergeCell ref="G5:G6"/>
    <mergeCell ref="H5:H6"/>
    <mergeCell ref="E5:E6"/>
    <mergeCell ref="F5:F6"/>
    <mergeCell ref="K5:L5"/>
    <mergeCell ref="M5:M6"/>
    <mergeCell ref="N5:N6"/>
  </mergeCells>
  <phoneticPr fontId="21" type="noConversion"/>
  <pageMargins left="0.7" right="0.7" top="0.75" bottom="0.75" header="0.3" footer="0.3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CD411-1FF4-46F9-8B72-D8B69F4AB5E7}">
  <dimension ref="A1:P60"/>
  <sheetViews>
    <sheetView workbookViewId="0">
      <selection sqref="A1:XFD1048576"/>
    </sheetView>
  </sheetViews>
  <sheetFormatPr baseColWidth="10" defaultRowHeight="14.25" x14ac:dyDescent="0.25"/>
  <cols>
    <col min="1" max="1" width="8.7109375" style="16" customWidth="1"/>
    <col min="2" max="2" width="10.85546875" style="16" customWidth="1"/>
    <col min="3" max="3" width="19.140625" style="16" customWidth="1"/>
    <col min="4" max="4" width="12.7109375" style="16" customWidth="1"/>
    <col min="5" max="5" width="10" style="23" customWidth="1"/>
    <col min="6" max="6" width="7.85546875" style="1" customWidth="1"/>
    <col min="7" max="7" width="24.5703125" style="23" customWidth="1"/>
    <col min="8" max="8" width="7.28515625" style="2" customWidth="1"/>
    <col min="9" max="9" width="11.7109375" style="2" customWidth="1"/>
    <col min="10" max="10" width="12.5703125" style="33" customWidth="1"/>
    <col min="11" max="11" width="13.28515625" style="31" customWidth="1"/>
    <col min="12" max="12" width="12.28515625" style="33" customWidth="1"/>
    <col min="13" max="13" width="13.5703125" style="48" customWidth="1"/>
    <col min="14" max="14" width="14.42578125" style="48" bestFit="1" customWidth="1"/>
    <col min="15" max="15" width="12" style="35" bestFit="1" customWidth="1"/>
    <col min="16" max="16384" width="11.42578125" style="16"/>
  </cols>
  <sheetData>
    <row r="1" spans="1:16" s="3" customFormat="1" ht="15.75" customHeight="1" x14ac:dyDescent="0.25">
      <c r="A1" s="116" t="s">
        <v>41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34"/>
    </row>
    <row r="2" spans="1:16" s="3" customFormat="1" ht="15.75" customHeight="1" x14ac:dyDescent="0.25">
      <c r="A2" s="116" t="s">
        <v>42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34"/>
    </row>
    <row r="3" spans="1:16" s="3" customFormat="1" ht="18" customHeight="1" x14ac:dyDescent="0.25">
      <c r="A3" s="117">
        <v>2024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34"/>
    </row>
    <row r="4" spans="1:16" s="3" customFormat="1" ht="35.25" customHeight="1" x14ac:dyDescent="0.25">
      <c r="A4" s="118" t="s">
        <v>43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34"/>
    </row>
    <row r="5" spans="1:16" s="19" customFormat="1" ht="35.25" customHeight="1" x14ac:dyDescent="0.25">
      <c r="A5" s="146" t="s">
        <v>10</v>
      </c>
      <c r="B5" s="146"/>
      <c r="C5" s="146"/>
      <c r="D5" s="146"/>
      <c r="E5" s="127" t="s">
        <v>0</v>
      </c>
      <c r="F5" s="129" t="s">
        <v>1</v>
      </c>
      <c r="G5" s="123" t="s">
        <v>2</v>
      </c>
      <c r="H5" s="125" t="s">
        <v>9</v>
      </c>
      <c r="I5" s="147" t="s">
        <v>68</v>
      </c>
      <c r="J5" s="147"/>
      <c r="K5" s="149" t="s">
        <v>69</v>
      </c>
      <c r="L5" s="149"/>
      <c r="M5" s="132" t="s">
        <v>36</v>
      </c>
      <c r="N5" s="132" t="s">
        <v>28</v>
      </c>
      <c r="O5" s="70"/>
    </row>
    <row r="6" spans="1:16" s="20" customFormat="1" ht="39.75" customHeight="1" x14ac:dyDescent="0.25">
      <c r="A6" s="18" t="s">
        <v>11</v>
      </c>
      <c r="B6" s="18" t="s">
        <v>12</v>
      </c>
      <c r="C6" s="17" t="s">
        <v>13</v>
      </c>
      <c r="D6" s="18" t="s">
        <v>14</v>
      </c>
      <c r="E6" s="127"/>
      <c r="F6" s="129"/>
      <c r="G6" s="123"/>
      <c r="H6" s="125"/>
      <c r="I6" s="40" t="s">
        <v>34</v>
      </c>
      <c r="J6" s="27" t="s">
        <v>35</v>
      </c>
      <c r="K6" s="26" t="s">
        <v>34</v>
      </c>
      <c r="L6" s="27" t="s">
        <v>35</v>
      </c>
      <c r="M6" s="132"/>
      <c r="N6" s="132"/>
      <c r="O6" s="38"/>
    </row>
    <row r="7" spans="1:16" s="21" customFormat="1" ht="27.75" customHeight="1" x14ac:dyDescent="0.25">
      <c r="A7" s="150" t="s">
        <v>75</v>
      </c>
      <c r="B7" s="139"/>
      <c r="C7" s="139"/>
      <c r="D7" s="139"/>
      <c r="E7" s="139"/>
      <c r="F7" s="139"/>
      <c r="G7" s="139"/>
      <c r="H7" s="6"/>
      <c r="I7" s="41"/>
      <c r="J7" s="47">
        <f>SUM(J8:J23)</f>
        <v>15816806.722689079</v>
      </c>
      <c r="K7" s="28"/>
      <c r="L7" s="47">
        <f t="shared" ref="L7:N7" si="0">SUM(L8:L23)</f>
        <v>14082773.109243697</v>
      </c>
      <c r="M7" s="47">
        <f t="shared" si="0"/>
        <v>14949789.915966386</v>
      </c>
      <c r="N7" s="47">
        <f t="shared" si="0"/>
        <v>17790250</v>
      </c>
      <c r="O7" s="39">
        <f>19800500-2000000</f>
        <v>17800500</v>
      </c>
      <c r="P7" s="72">
        <f>+O7-N7</f>
        <v>10250</v>
      </c>
    </row>
    <row r="8" spans="1:16" s="20" customFormat="1" ht="38.25" x14ac:dyDescent="0.25">
      <c r="A8" s="67">
        <v>3212801</v>
      </c>
      <c r="B8" s="8" t="s">
        <v>23</v>
      </c>
      <c r="C8" s="5" t="s">
        <v>19</v>
      </c>
      <c r="D8" s="4" t="s">
        <v>18</v>
      </c>
      <c r="E8" s="14">
        <v>14111507</v>
      </c>
      <c r="F8" s="13" t="s">
        <v>3</v>
      </c>
      <c r="G8" s="57" t="s">
        <v>37</v>
      </c>
      <c r="H8" s="55">
        <v>120</v>
      </c>
      <c r="I8" s="42">
        <f>22000/1.19</f>
        <v>18487.394957983193</v>
      </c>
      <c r="J8" s="29">
        <f t="shared" ref="J8:J23" si="1">+H8*I8</f>
        <v>2218487.3949579834</v>
      </c>
      <c r="K8" s="30">
        <f>19000/1.19</f>
        <v>15966.386554621849</v>
      </c>
      <c r="L8" s="29">
        <f>+K8*H8</f>
        <v>1915966.3865546219</v>
      </c>
      <c r="M8" s="52">
        <f>(L8+J8)/2</f>
        <v>2067226.8907563025</v>
      </c>
      <c r="N8" s="52">
        <f t="shared" ref="N8:N23" si="2">+M8*1.19</f>
        <v>2460000</v>
      </c>
      <c r="O8" s="38"/>
    </row>
    <row r="9" spans="1:16" s="20" customFormat="1" ht="64.5" customHeight="1" x14ac:dyDescent="0.25">
      <c r="A9" s="7">
        <v>3699060</v>
      </c>
      <c r="B9" s="10" t="s">
        <v>22</v>
      </c>
      <c r="C9" s="5" t="s">
        <v>19</v>
      </c>
      <c r="D9" s="4" t="s">
        <v>18</v>
      </c>
      <c r="E9" s="12">
        <v>44103103</v>
      </c>
      <c r="F9" s="13" t="s">
        <v>3</v>
      </c>
      <c r="G9" s="57" t="s">
        <v>50</v>
      </c>
      <c r="H9" s="55">
        <v>1</v>
      </c>
      <c r="I9" s="42">
        <f>110000/1.19</f>
        <v>92436.97478991597</v>
      </c>
      <c r="J9" s="29">
        <f t="shared" si="1"/>
        <v>92436.97478991597</v>
      </c>
      <c r="K9" s="30">
        <f>90000/1.19</f>
        <v>75630.252100840342</v>
      </c>
      <c r="L9" s="29">
        <f t="shared" ref="L9:L23" si="3">+K9*H9</f>
        <v>75630.252100840342</v>
      </c>
      <c r="M9" s="52">
        <f t="shared" ref="M9:M23" si="4">(L9+J9)/2</f>
        <v>84033.613445378156</v>
      </c>
      <c r="N9" s="52">
        <f t="shared" si="2"/>
        <v>100000</v>
      </c>
      <c r="O9" s="38"/>
    </row>
    <row r="10" spans="1:16" s="20" customFormat="1" ht="63.75" customHeight="1" x14ac:dyDescent="0.25">
      <c r="A10" s="7">
        <v>3699060</v>
      </c>
      <c r="B10" s="10" t="s">
        <v>22</v>
      </c>
      <c r="C10" s="5" t="s">
        <v>19</v>
      </c>
      <c r="D10" s="4" t="s">
        <v>18</v>
      </c>
      <c r="E10" s="12">
        <v>44103103</v>
      </c>
      <c r="F10" s="13" t="s">
        <v>3</v>
      </c>
      <c r="G10" s="57" t="s">
        <v>38</v>
      </c>
      <c r="H10" s="55">
        <v>4</v>
      </c>
      <c r="I10" s="42">
        <f>1450000/1.19</f>
        <v>1218487.3949579832</v>
      </c>
      <c r="J10" s="29">
        <f t="shared" si="1"/>
        <v>4873949.5798319327</v>
      </c>
      <c r="K10" s="30">
        <f>1350000/1.19</f>
        <v>1134453.781512605</v>
      </c>
      <c r="L10" s="29">
        <f t="shared" si="3"/>
        <v>4537815.1260504201</v>
      </c>
      <c r="M10" s="52">
        <f t="shared" si="4"/>
        <v>4705882.3529411759</v>
      </c>
      <c r="N10" s="52">
        <f t="shared" si="2"/>
        <v>5599999.9999999991</v>
      </c>
      <c r="O10" s="38"/>
    </row>
    <row r="11" spans="1:16" s="20" customFormat="1" ht="63.75" customHeight="1" x14ac:dyDescent="0.25">
      <c r="A11" s="7">
        <v>3699060</v>
      </c>
      <c r="B11" s="10" t="s">
        <v>22</v>
      </c>
      <c r="C11" s="5" t="s">
        <v>19</v>
      </c>
      <c r="D11" s="4" t="s">
        <v>18</v>
      </c>
      <c r="E11" s="12">
        <v>44103103</v>
      </c>
      <c r="F11" s="13" t="s">
        <v>3</v>
      </c>
      <c r="G11" s="57" t="s">
        <v>70</v>
      </c>
      <c r="H11" s="55">
        <v>15</v>
      </c>
      <c r="I11" s="42">
        <f>350000/1.19</f>
        <v>294117.64705882355</v>
      </c>
      <c r="J11" s="29">
        <f t="shared" si="1"/>
        <v>4411764.7058823537</v>
      </c>
      <c r="K11" s="30">
        <f>250000</f>
        <v>250000</v>
      </c>
      <c r="L11" s="29">
        <f t="shared" si="3"/>
        <v>3750000</v>
      </c>
      <c r="M11" s="52">
        <f t="shared" si="4"/>
        <v>4080882.3529411769</v>
      </c>
      <c r="N11" s="52">
        <f t="shared" si="2"/>
        <v>4856250</v>
      </c>
      <c r="O11" s="38"/>
    </row>
    <row r="12" spans="1:16" s="20" customFormat="1" ht="63.75" customHeight="1" x14ac:dyDescent="0.25">
      <c r="A12" s="7">
        <v>3699060</v>
      </c>
      <c r="B12" s="10" t="s">
        <v>22</v>
      </c>
      <c r="C12" s="5" t="s">
        <v>19</v>
      </c>
      <c r="D12" s="4" t="s">
        <v>18</v>
      </c>
      <c r="E12" s="12">
        <v>44103103</v>
      </c>
      <c r="F12" s="13" t="s">
        <v>3</v>
      </c>
      <c r="G12" s="57" t="s">
        <v>51</v>
      </c>
      <c r="H12" s="55">
        <v>4</v>
      </c>
      <c r="I12" s="42">
        <f>450000/1.19</f>
        <v>378151.26050420169</v>
      </c>
      <c r="J12" s="29">
        <f t="shared" si="1"/>
        <v>1512605.0420168068</v>
      </c>
      <c r="K12" s="30">
        <f>400000/1.19</f>
        <v>336134.45378151262</v>
      </c>
      <c r="L12" s="29">
        <f t="shared" si="3"/>
        <v>1344537.8151260505</v>
      </c>
      <c r="M12" s="52">
        <f t="shared" si="4"/>
        <v>1428571.4285714286</v>
      </c>
      <c r="N12" s="52">
        <f t="shared" si="2"/>
        <v>1700000</v>
      </c>
      <c r="O12" s="38"/>
    </row>
    <row r="13" spans="1:16" s="20" customFormat="1" ht="66" customHeight="1" x14ac:dyDescent="0.25">
      <c r="A13" s="7">
        <v>3699060</v>
      </c>
      <c r="B13" s="10" t="s">
        <v>22</v>
      </c>
      <c r="C13" s="5" t="s">
        <v>19</v>
      </c>
      <c r="D13" s="4" t="s">
        <v>18</v>
      </c>
      <c r="E13" s="12">
        <v>44103103</v>
      </c>
      <c r="F13" s="13" t="s">
        <v>3</v>
      </c>
      <c r="G13" s="57" t="s">
        <v>52</v>
      </c>
      <c r="H13" s="55">
        <v>3</v>
      </c>
      <c r="I13" s="42">
        <f>140000/1.19</f>
        <v>117647.05882352941</v>
      </c>
      <c r="J13" s="29">
        <f t="shared" si="1"/>
        <v>352941.17647058825</v>
      </c>
      <c r="K13" s="30">
        <f>130000/1.19</f>
        <v>109243.6974789916</v>
      </c>
      <c r="L13" s="29">
        <f t="shared" si="3"/>
        <v>327731.09243697481</v>
      </c>
      <c r="M13" s="52">
        <f t="shared" si="4"/>
        <v>340336.13445378153</v>
      </c>
      <c r="N13" s="52">
        <f t="shared" si="2"/>
        <v>405000</v>
      </c>
      <c r="O13" s="38"/>
    </row>
    <row r="14" spans="1:16" s="20" customFormat="1" ht="63.75" customHeight="1" x14ac:dyDescent="0.25">
      <c r="A14" s="7">
        <v>3699060</v>
      </c>
      <c r="B14" s="10" t="s">
        <v>22</v>
      </c>
      <c r="C14" s="5" t="s">
        <v>19</v>
      </c>
      <c r="D14" s="4" t="s">
        <v>18</v>
      </c>
      <c r="E14" s="12">
        <v>44103103</v>
      </c>
      <c r="F14" s="13" t="s">
        <v>3</v>
      </c>
      <c r="G14" s="57" t="s">
        <v>71</v>
      </c>
      <c r="H14" s="55">
        <v>3</v>
      </c>
      <c r="I14" s="42">
        <f>110000/1.19</f>
        <v>92436.97478991597</v>
      </c>
      <c r="J14" s="29">
        <f t="shared" si="1"/>
        <v>277310.92436974793</v>
      </c>
      <c r="K14" s="30">
        <f>90000/1.19</f>
        <v>75630.252100840342</v>
      </c>
      <c r="L14" s="29">
        <f t="shared" si="3"/>
        <v>226890.75630252104</v>
      </c>
      <c r="M14" s="52">
        <f t="shared" si="4"/>
        <v>252100.84033613448</v>
      </c>
      <c r="N14" s="52">
        <f t="shared" si="2"/>
        <v>300000</v>
      </c>
      <c r="O14" s="38"/>
    </row>
    <row r="15" spans="1:16" s="20" customFormat="1" ht="51" x14ac:dyDescent="0.25">
      <c r="A15" s="7">
        <v>3699060</v>
      </c>
      <c r="B15" s="10" t="s">
        <v>22</v>
      </c>
      <c r="C15" s="5" t="s">
        <v>19</v>
      </c>
      <c r="D15" s="4" t="s">
        <v>18</v>
      </c>
      <c r="E15" s="12">
        <v>44103103</v>
      </c>
      <c r="F15" s="13" t="s">
        <v>3</v>
      </c>
      <c r="G15" s="57" t="s">
        <v>72</v>
      </c>
      <c r="H15" s="55">
        <v>3</v>
      </c>
      <c r="I15" s="42">
        <f>140000/1.19</f>
        <v>117647.05882352941</v>
      </c>
      <c r="J15" s="29">
        <f t="shared" si="1"/>
        <v>352941.17647058825</v>
      </c>
      <c r="K15" s="30">
        <f>120000/1.19</f>
        <v>100840.33613445378</v>
      </c>
      <c r="L15" s="29">
        <f t="shared" si="3"/>
        <v>302521.00840336137</v>
      </c>
      <c r="M15" s="52">
        <f t="shared" si="4"/>
        <v>327731.09243697481</v>
      </c>
      <c r="N15" s="52">
        <f t="shared" si="2"/>
        <v>390000</v>
      </c>
      <c r="O15" s="38"/>
    </row>
    <row r="16" spans="1:16" s="20" customFormat="1" ht="51" x14ac:dyDescent="0.25">
      <c r="A16" s="7">
        <v>3699060</v>
      </c>
      <c r="B16" s="10" t="s">
        <v>22</v>
      </c>
      <c r="C16" s="5" t="s">
        <v>19</v>
      </c>
      <c r="D16" s="4" t="s">
        <v>18</v>
      </c>
      <c r="E16" s="12">
        <v>44103103</v>
      </c>
      <c r="F16" s="13" t="s">
        <v>3</v>
      </c>
      <c r="G16" s="57" t="s">
        <v>73</v>
      </c>
      <c r="H16" s="55">
        <v>4</v>
      </c>
      <c r="I16" s="42">
        <f>130000/1.19</f>
        <v>109243.6974789916</v>
      </c>
      <c r="J16" s="29">
        <f t="shared" si="1"/>
        <v>436974.78991596639</v>
      </c>
      <c r="K16" s="30">
        <f>110000/1.19</f>
        <v>92436.97478991597</v>
      </c>
      <c r="L16" s="29">
        <f t="shared" si="3"/>
        <v>369747.89915966388</v>
      </c>
      <c r="M16" s="52">
        <f t="shared" si="4"/>
        <v>403361.34453781514</v>
      </c>
      <c r="N16" s="52">
        <f t="shared" si="2"/>
        <v>480000</v>
      </c>
      <c r="O16" s="38"/>
    </row>
    <row r="17" spans="1:16" s="20" customFormat="1" ht="51" x14ac:dyDescent="0.25">
      <c r="A17" s="7">
        <v>3699060</v>
      </c>
      <c r="B17" s="10" t="s">
        <v>22</v>
      </c>
      <c r="C17" s="5" t="s">
        <v>19</v>
      </c>
      <c r="D17" s="4" t="s">
        <v>18</v>
      </c>
      <c r="E17" s="12">
        <v>44103103</v>
      </c>
      <c r="F17" s="13" t="s">
        <v>3</v>
      </c>
      <c r="G17" s="57" t="s">
        <v>74</v>
      </c>
      <c r="H17" s="55">
        <v>3</v>
      </c>
      <c r="I17" s="42">
        <f>230000/1.19</f>
        <v>193277.31092436975</v>
      </c>
      <c r="J17" s="29">
        <f t="shared" si="1"/>
        <v>579831.93277310929</v>
      </c>
      <c r="K17" s="30">
        <f>220000/1.19</f>
        <v>184873.94957983194</v>
      </c>
      <c r="L17" s="29">
        <f t="shared" si="3"/>
        <v>554621.84873949585</v>
      </c>
      <c r="M17" s="52">
        <f t="shared" si="4"/>
        <v>567226.89075630251</v>
      </c>
      <c r="N17" s="52">
        <f t="shared" si="2"/>
        <v>675000</v>
      </c>
      <c r="O17" s="38"/>
    </row>
    <row r="18" spans="1:16" s="22" customFormat="1" ht="51.75" customHeight="1" x14ac:dyDescent="0.25">
      <c r="A18" s="15">
        <v>3891204</v>
      </c>
      <c r="B18" s="25" t="s">
        <v>32</v>
      </c>
      <c r="C18" s="5" t="s">
        <v>19</v>
      </c>
      <c r="D18" s="4" t="s">
        <v>18</v>
      </c>
      <c r="E18" s="12">
        <v>44103112</v>
      </c>
      <c r="F18" s="13" t="s">
        <v>3</v>
      </c>
      <c r="G18" s="57" t="s">
        <v>54</v>
      </c>
      <c r="H18" s="55">
        <v>2</v>
      </c>
      <c r="I18" s="43">
        <f>17000/1.19</f>
        <v>14285.714285714286</v>
      </c>
      <c r="J18" s="29">
        <f t="shared" si="1"/>
        <v>28571.428571428572</v>
      </c>
      <c r="K18" s="30">
        <f>15000/1.19</f>
        <v>12605.042016806723</v>
      </c>
      <c r="L18" s="29">
        <f t="shared" si="3"/>
        <v>25210.084033613446</v>
      </c>
      <c r="M18" s="52">
        <f t="shared" si="4"/>
        <v>26890.756302521011</v>
      </c>
      <c r="N18" s="52">
        <f t="shared" si="2"/>
        <v>32000</v>
      </c>
      <c r="O18" s="71"/>
    </row>
    <row r="19" spans="1:16" s="20" customFormat="1" ht="38.25" x14ac:dyDescent="0.25">
      <c r="A19" s="68">
        <v>3514007</v>
      </c>
      <c r="B19" s="69" t="s">
        <v>55</v>
      </c>
      <c r="C19" s="5" t="s">
        <v>19</v>
      </c>
      <c r="D19" s="4" t="s">
        <v>18</v>
      </c>
      <c r="E19" s="12">
        <v>12171703</v>
      </c>
      <c r="F19" s="13" t="s">
        <v>56</v>
      </c>
      <c r="G19" s="57" t="s">
        <v>53</v>
      </c>
      <c r="H19" s="55">
        <v>2</v>
      </c>
      <c r="I19" s="42">
        <f>9000/1.19</f>
        <v>7563.0252100840344</v>
      </c>
      <c r="J19" s="29">
        <f t="shared" si="1"/>
        <v>15126.050420168069</v>
      </c>
      <c r="K19" s="30">
        <f>8000/1.19</f>
        <v>6722.6890756302528</v>
      </c>
      <c r="L19" s="29">
        <f t="shared" si="3"/>
        <v>13445.378151260506</v>
      </c>
      <c r="M19" s="52">
        <f t="shared" si="4"/>
        <v>14285.714285714286</v>
      </c>
      <c r="N19" s="52">
        <f t="shared" si="2"/>
        <v>17000</v>
      </c>
      <c r="O19" s="38"/>
    </row>
    <row r="20" spans="1:16" s="20" customFormat="1" ht="36" customHeight="1" x14ac:dyDescent="0.25">
      <c r="A20" s="7">
        <v>3699006</v>
      </c>
      <c r="B20" s="10" t="s">
        <v>20</v>
      </c>
      <c r="C20" s="5" t="s">
        <v>19</v>
      </c>
      <c r="D20" s="4" t="s">
        <v>18</v>
      </c>
      <c r="E20" s="14">
        <v>44122112</v>
      </c>
      <c r="F20" s="36" t="s">
        <v>8</v>
      </c>
      <c r="G20" s="57" t="s">
        <v>4</v>
      </c>
      <c r="H20" s="55">
        <v>80</v>
      </c>
      <c r="I20" s="42">
        <f>4000/1.19</f>
        <v>3361.3445378151264</v>
      </c>
      <c r="J20" s="29">
        <f t="shared" si="1"/>
        <v>268907.56302521011</v>
      </c>
      <c r="K20" s="30">
        <f>4000/1.19</f>
        <v>3361.3445378151264</v>
      </c>
      <c r="L20" s="29">
        <f t="shared" si="3"/>
        <v>268907.56302521011</v>
      </c>
      <c r="M20" s="52">
        <f t="shared" si="4"/>
        <v>268907.56302521011</v>
      </c>
      <c r="N20" s="52">
        <f t="shared" si="2"/>
        <v>320000</v>
      </c>
      <c r="O20" s="38"/>
    </row>
    <row r="21" spans="1:16" s="20" customFormat="1" ht="48.75" customHeight="1" x14ac:dyDescent="0.25">
      <c r="A21" s="7">
        <v>3692007</v>
      </c>
      <c r="B21" s="10" t="s">
        <v>21</v>
      </c>
      <c r="C21" s="5" t="s">
        <v>19</v>
      </c>
      <c r="D21" s="4" t="s">
        <v>18</v>
      </c>
      <c r="E21" s="12">
        <v>31201517</v>
      </c>
      <c r="F21" s="13" t="s">
        <v>15</v>
      </c>
      <c r="G21" s="57" t="s">
        <v>16</v>
      </c>
      <c r="H21" s="55">
        <v>30</v>
      </c>
      <c r="I21" s="42">
        <f>5000/1.19</f>
        <v>4201.680672268908</v>
      </c>
      <c r="J21" s="29">
        <f t="shared" si="1"/>
        <v>126050.42016806724</v>
      </c>
      <c r="K21" s="30">
        <f>4000/1.19</f>
        <v>3361.3445378151264</v>
      </c>
      <c r="L21" s="29">
        <f t="shared" si="3"/>
        <v>100840.3361344538</v>
      </c>
      <c r="M21" s="52">
        <f t="shared" si="4"/>
        <v>113445.37815126052</v>
      </c>
      <c r="N21" s="52">
        <f t="shared" si="2"/>
        <v>135000</v>
      </c>
      <c r="O21" s="38"/>
    </row>
    <row r="22" spans="1:16" s="20" customFormat="1" ht="52.5" customHeight="1" x14ac:dyDescent="0.25">
      <c r="A22" s="7">
        <v>3891102</v>
      </c>
      <c r="B22" s="11" t="s">
        <v>24</v>
      </c>
      <c r="C22" s="5" t="s">
        <v>19</v>
      </c>
      <c r="D22" s="4" t="s">
        <v>18</v>
      </c>
      <c r="E22" s="14">
        <v>44121701</v>
      </c>
      <c r="F22" s="13" t="s">
        <v>3</v>
      </c>
      <c r="G22" s="57" t="s">
        <v>5</v>
      </c>
      <c r="H22" s="55">
        <v>200</v>
      </c>
      <c r="I22" s="42">
        <f>1000/1.19</f>
        <v>840.3361344537816</v>
      </c>
      <c r="J22" s="29">
        <f t="shared" si="1"/>
        <v>168067.22689075631</v>
      </c>
      <c r="K22" s="30">
        <f>1000/1.19</f>
        <v>840.3361344537816</v>
      </c>
      <c r="L22" s="29">
        <f t="shared" si="3"/>
        <v>168067.22689075631</v>
      </c>
      <c r="M22" s="52">
        <f t="shared" si="4"/>
        <v>168067.22689075631</v>
      </c>
      <c r="N22" s="52">
        <f t="shared" si="2"/>
        <v>200000</v>
      </c>
      <c r="O22" s="38"/>
      <c r="P22" s="72"/>
    </row>
    <row r="23" spans="1:16" s="20" customFormat="1" ht="52.5" customHeight="1" x14ac:dyDescent="0.25">
      <c r="A23" s="68">
        <v>3542009</v>
      </c>
      <c r="B23" s="69" t="s">
        <v>59</v>
      </c>
      <c r="C23" s="5" t="s">
        <v>19</v>
      </c>
      <c r="D23" s="4" t="s">
        <v>18</v>
      </c>
      <c r="E23" s="14">
        <v>31201616</v>
      </c>
      <c r="F23" s="13" t="s">
        <v>58</v>
      </c>
      <c r="G23" s="57" t="s">
        <v>57</v>
      </c>
      <c r="H23" s="55">
        <v>30</v>
      </c>
      <c r="I23" s="44">
        <f>4000/1.19</f>
        <v>3361.3445378151264</v>
      </c>
      <c r="J23" s="29">
        <f t="shared" si="1"/>
        <v>100840.3361344538</v>
      </c>
      <c r="K23" s="30">
        <f>4000/1.19</f>
        <v>3361.3445378151264</v>
      </c>
      <c r="L23" s="29">
        <f t="shared" si="3"/>
        <v>100840.3361344538</v>
      </c>
      <c r="M23" s="52">
        <f t="shared" si="4"/>
        <v>100840.3361344538</v>
      </c>
      <c r="N23" s="52">
        <f t="shared" si="2"/>
        <v>120000.00000000001</v>
      </c>
      <c r="O23" s="38"/>
    </row>
    <row r="24" spans="1:16" s="20" customFormat="1" ht="19.5" customHeight="1" x14ac:dyDescent="0.25">
      <c r="A24" s="151" t="s">
        <v>29</v>
      </c>
      <c r="B24" s="152"/>
      <c r="C24" s="152"/>
      <c r="D24" s="152"/>
      <c r="E24" s="152"/>
      <c r="F24" s="152"/>
      <c r="G24" s="152"/>
      <c r="H24" s="6"/>
      <c r="I24" s="45"/>
      <c r="J24" s="47">
        <f>SUM(J25:J32)</f>
        <v>645682.41089539265</v>
      </c>
      <c r="K24" s="28"/>
      <c r="L24" s="47">
        <f>SUM(L25:L32)</f>
        <v>652100.84033613454</v>
      </c>
      <c r="M24" s="47">
        <f>SUM(M25:M32)</f>
        <v>648891.62561576359</v>
      </c>
      <c r="N24" s="47">
        <f>SUM(N25:N32)</f>
        <v>772181.03448275861</v>
      </c>
      <c r="O24" s="38"/>
    </row>
    <row r="25" spans="1:16" s="20" customFormat="1" ht="41.25" customHeight="1" x14ac:dyDescent="0.25">
      <c r="A25" s="7">
        <v>4291402</v>
      </c>
      <c r="B25" s="10" t="s">
        <v>61</v>
      </c>
      <c r="C25" s="5" t="s">
        <v>19</v>
      </c>
      <c r="D25" s="4" t="s">
        <v>18</v>
      </c>
      <c r="E25" s="12">
        <v>23232001</v>
      </c>
      <c r="F25" s="13" t="s">
        <v>3</v>
      </c>
      <c r="G25" s="57" t="s">
        <v>60</v>
      </c>
      <c r="H25" s="56">
        <v>3</v>
      </c>
      <c r="I25" s="44">
        <f>16000/1.19</f>
        <v>13445.378151260506</v>
      </c>
      <c r="J25" s="29">
        <f t="shared" ref="J25:J32" si="5">+H25*I25</f>
        <v>40336.134453781517</v>
      </c>
      <c r="K25" s="30">
        <f>15000/1.19</f>
        <v>12605.042016806723</v>
      </c>
      <c r="L25" s="29">
        <f t="shared" ref="L25:L32" si="6">+K25*H25</f>
        <v>37815.126050420171</v>
      </c>
      <c r="M25" s="52">
        <f t="shared" ref="M25:M32" si="7">(L25+J25)/2</f>
        <v>39075.630252100847</v>
      </c>
      <c r="N25" s="52">
        <f t="shared" ref="N25:N32" si="8">+M25*1.19</f>
        <v>46500.000000000007</v>
      </c>
      <c r="O25" s="38"/>
    </row>
    <row r="26" spans="1:16" s="20" customFormat="1" ht="41.25" customHeight="1" x14ac:dyDescent="0.25">
      <c r="A26" s="68">
        <v>4299502</v>
      </c>
      <c r="B26" s="69" t="s">
        <v>64</v>
      </c>
      <c r="C26" s="5" t="s">
        <v>19</v>
      </c>
      <c r="D26" s="4" t="s">
        <v>18</v>
      </c>
      <c r="E26" s="12">
        <v>44122104</v>
      </c>
      <c r="F26" s="13" t="s">
        <v>65</v>
      </c>
      <c r="G26" s="57" t="s">
        <v>62</v>
      </c>
      <c r="H26" s="56">
        <v>24</v>
      </c>
      <c r="I26" s="44">
        <f>4500/1.19</f>
        <v>3781.5126050420172</v>
      </c>
      <c r="J26" s="29">
        <f t="shared" si="5"/>
        <v>90756.302521008416</v>
      </c>
      <c r="K26" s="30">
        <f>4000/1.19</f>
        <v>3361.3445378151264</v>
      </c>
      <c r="L26" s="29">
        <f t="shared" si="6"/>
        <v>80672.268907563033</v>
      </c>
      <c r="M26" s="52">
        <f t="shared" si="7"/>
        <v>85714.285714285725</v>
      </c>
      <c r="N26" s="52">
        <f t="shared" si="8"/>
        <v>102000.00000000001</v>
      </c>
      <c r="O26" s="38"/>
    </row>
    <row r="27" spans="1:16" s="20" customFormat="1" ht="41.25" customHeight="1" x14ac:dyDescent="0.25">
      <c r="A27" s="68">
        <v>4299502</v>
      </c>
      <c r="B27" s="69" t="s">
        <v>64</v>
      </c>
      <c r="C27" s="5" t="s">
        <v>19</v>
      </c>
      <c r="D27" s="4" t="s">
        <v>18</v>
      </c>
      <c r="E27" s="12">
        <v>44122104</v>
      </c>
      <c r="F27" s="13" t="s">
        <v>65</v>
      </c>
      <c r="G27" s="57" t="s">
        <v>63</v>
      </c>
      <c r="H27" s="56">
        <v>24</v>
      </c>
      <c r="I27" s="44">
        <f>5500/1.19</f>
        <v>4621.8487394957983</v>
      </c>
      <c r="J27" s="29">
        <f t="shared" si="5"/>
        <v>110924.36974789915</v>
      </c>
      <c r="K27" s="30">
        <f>5000/1.19</f>
        <v>4201.680672268908</v>
      </c>
      <c r="L27" s="29">
        <f t="shared" si="6"/>
        <v>100840.3361344538</v>
      </c>
      <c r="M27" s="52">
        <f t="shared" si="7"/>
        <v>105882.35294117648</v>
      </c>
      <c r="N27" s="52">
        <f t="shared" si="8"/>
        <v>126000</v>
      </c>
      <c r="O27" s="38"/>
    </row>
    <row r="28" spans="1:16" s="20" customFormat="1" ht="49.5" customHeight="1" x14ac:dyDescent="0.25">
      <c r="A28" s="9">
        <v>4516004</v>
      </c>
      <c r="B28" s="49" t="s">
        <v>25</v>
      </c>
      <c r="C28" s="5" t="s">
        <v>30</v>
      </c>
      <c r="D28" s="4" t="s">
        <v>31</v>
      </c>
      <c r="E28" s="12">
        <v>44101716</v>
      </c>
      <c r="F28" s="13" t="s">
        <v>3</v>
      </c>
      <c r="G28" s="57" t="s">
        <v>6</v>
      </c>
      <c r="H28" s="55">
        <v>5</v>
      </c>
      <c r="I28" s="42">
        <f>26000/1.16</f>
        <v>22413.793103448279</v>
      </c>
      <c r="J28" s="29">
        <f t="shared" si="5"/>
        <v>112068.96551724139</v>
      </c>
      <c r="K28" s="30">
        <f>25000/1.19</f>
        <v>21008.403361344539</v>
      </c>
      <c r="L28" s="29">
        <f t="shared" si="6"/>
        <v>105042.01680672269</v>
      </c>
      <c r="M28" s="52">
        <f t="shared" si="7"/>
        <v>108555.49116198203</v>
      </c>
      <c r="N28" s="52">
        <f t="shared" si="8"/>
        <v>129181.03448275861</v>
      </c>
      <c r="O28" s="38"/>
    </row>
    <row r="29" spans="1:16" s="20" customFormat="1" ht="45.75" customHeight="1" x14ac:dyDescent="0.25">
      <c r="A29" s="68">
        <v>4516003</v>
      </c>
      <c r="B29" s="69" t="s">
        <v>67</v>
      </c>
      <c r="C29" s="5" t="s">
        <v>30</v>
      </c>
      <c r="D29" s="4" t="s">
        <v>31</v>
      </c>
      <c r="E29" s="12">
        <v>44121615</v>
      </c>
      <c r="F29" s="13" t="s">
        <v>3</v>
      </c>
      <c r="G29" s="57" t="s">
        <v>66</v>
      </c>
      <c r="H29" s="55">
        <v>10</v>
      </c>
      <c r="I29" s="46">
        <f>10500/1.19</f>
        <v>8823.5294117647063</v>
      </c>
      <c r="J29" s="29">
        <f>+H29*I29</f>
        <v>88235.294117647063</v>
      </c>
      <c r="K29" s="30">
        <f>20000/1.19</f>
        <v>16806.722689075632</v>
      </c>
      <c r="L29" s="29">
        <f>+K29*H29</f>
        <v>168067.22689075631</v>
      </c>
      <c r="M29" s="52">
        <f>(L29+J29)/2</f>
        <v>128151.26050420169</v>
      </c>
      <c r="N29" s="52">
        <f>+M29*1.19</f>
        <v>152500</v>
      </c>
      <c r="O29" s="38"/>
    </row>
    <row r="30" spans="1:16" s="20" customFormat="1" ht="51.75" customHeight="1" x14ac:dyDescent="0.25">
      <c r="A30" s="50">
        <v>4641003</v>
      </c>
      <c r="B30" s="51" t="s">
        <v>17</v>
      </c>
      <c r="C30" s="5" t="s">
        <v>30</v>
      </c>
      <c r="D30" s="4" t="s">
        <v>31</v>
      </c>
      <c r="E30" s="12">
        <v>26111702</v>
      </c>
      <c r="F30" s="36" t="s">
        <v>7</v>
      </c>
      <c r="G30" s="57" t="s">
        <v>39</v>
      </c>
      <c r="H30" s="55">
        <v>5</v>
      </c>
      <c r="I30" s="42">
        <f>21000/1.19</f>
        <v>17647.058823529413</v>
      </c>
      <c r="J30" s="29">
        <f t="shared" si="5"/>
        <v>88235.294117647063</v>
      </c>
      <c r="K30" s="30">
        <f>9000/1.19</f>
        <v>7563.0252100840344</v>
      </c>
      <c r="L30" s="29">
        <f t="shared" si="6"/>
        <v>37815.126050420171</v>
      </c>
      <c r="M30" s="52">
        <f t="shared" si="7"/>
        <v>63025.210084033621</v>
      </c>
      <c r="N30" s="52">
        <f t="shared" si="8"/>
        <v>75000</v>
      </c>
      <c r="O30" s="38"/>
    </row>
    <row r="31" spans="1:16" s="20" customFormat="1" ht="45.75" customHeight="1" x14ac:dyDescent="0.25">
      <c r="A31" s="50">
        <v>4641003</v>
      </c>
      <c r="B31" s="51" t="s">
        <v>17</v>
      </c>
      <c r="C31" s="5" t="s">
        <v>30</v>
      </c>
      <c r="D31" s="4" t="s">
        <v>31</v>
      </c>
      <c r="E31" s="12">
        <v>26111702</v>
      </c>
      <c r="F31" s="36" t="s">
        <v>7</v>
      </c>
      <c r="G31" s="57" t="s">
        <v>40</v>
      </c>
      <c r="H31" s="55">
        <v>10</v>
      </c>
      <c r="I31" s="42">
        <f>9500/1.19</f>
        <v>7983.1932773109247</v>
      </c>
      <c r="J31" s="29">
        <f t="shared" si="5"/>
        <v>79831.932773109249</v>
      </c>
      <c r="K31" s="30">
        <f>10500/1.19</f>
        <v>8823.5294117647063</v>
      </c>
      <c r="L31" s="29">
        <f t="shared" si="6"/>
        <v>88235.294117647063</v>
      </c>
      <c r="M31" s="52">
        <f t="shared" si="7"/>
        <v>84033.613445378156</v>
      </c>
      <c r="N31" s="52">
        <f t="shared" si="8"/>
        <v>100000</v>
      </c>
      <c r="O31" s="38"/>
    </row>
    <row r="32" spans="1:16" s="20" customFormat="1" ht="60" customHeight="1" x14ac:dyDescent="0.25">
      <c r="A32" s="15">
        <v>4299504</v>
      </c>
      <c r="B32" s="25" t="s">
        <v>46</v>
      </c>
      <c r="C32" s="5" t="s">
        <v>30</v>
      </c>
      <c r="D32" s="4" t="s">
        <v>33</v>
      </c>
      <c r="E32" s="12">
        <v>44122124</v>
      </c>
      <c r="F32" s="36" t="s">
        <v>45</v>
      </c>
      <c r="G32" s="58" t="s">
        <v>44</v>
      </c>
      <c r="H32" s="55">
        <v>10</v>
      </c>
      <c r="I32" s="46">
        <f>4200/1.19</f>
        <v>3529.4117647058824</v>
      </c>
      <c r="J32" s="29">
        <f t="shared" si="5"/>
        <v>35294.117647058825</v>
      </c>
      <c r="K32" s="30">
        <f>4000/1.19</f>
        <v>3361.3445378151264</v>
      </c>
      <c r="L32" s="29">
        <f t="shared" si="6"/>
        <v>33613.445378151264</v>
      </c>
      <c r="M32" s="52">
        <f t="shared" si="7"/>
        <v>34453.781512605041</v>
      </c>
      <c r="N32" s="52">
        <f t="shared" si="8"/>
        <v>41000</v>
      </c>
      <c r="O32" s="38"/>
    </row>
    <row r="33" spans="1:14" x14ac:dyDescent="0.25">
      <c r="A33" s="153" t="s">
        <v>26</v>
      </c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53">
        <f>+M24+M7</f>
        <v>15598681.54158215</v>
      </c>
      <c r="N33" s="53"/>
    </row>
    <row r="34" spans="1:14" x14ac:dyDescent="0.25">
      <c r="A34" s="145" t="s">
        <v>27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53"/>
      <c r="N34" s="54"/>
    </row>
    <row r="35" spans="1:14" x14ac:dyDescent="0.25">
      <c r="A35" s="145" t="s">
        <v>28</v>
      </c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53"/>
      <c r="N35" s="54"/>
    </row>
    <row r="36" spans="1:14" x14ac:dyDescent="0.25">
      <c r="I36" s="63"/>
      <c r="J36" s="59">
        <f>+J24+J7</f>
        <v>16462489.133584471</v>
      </c>
      <c r="K36" s="60"/>
      <c r="L36" s="61">
        <f>+L24+L7</f>
        <v>14734873.949579831</v>
      </c>
      <c r="M36" s="65"/>
    </row>
    <row r="37" spans="1:14" x14ac:dyDescent="0.25">
      <c r="I37" s="63"/>
      <c r="J37" s="59" t="e">
        <f>(J36-#REF!)*19%</f>
        <v>#REF!</v>
      </c>
      <c r="K37" s="60"/>
      <c r="L37" s="59" t="e">
        <f>(L36-#REF!)*19%</f>
        <v>#REF!</v>
      </c>
      <c r="M37" s="65"/>
    </row>
    <row r="38" spans="1:14" x14ac:dyDescent="0.25">
      <c r="I38" s="63"/>
      <c r="J38" s="59" t="e">
        <f>SUM(J36:J37)</f>
        <v>#REF!</v>
      </c>
      <c r="K38" s="60"/>
      <c r="L38" s="61" t="e">
        <f>SUM(L36:L37)</f>
        <v>#REF!</v>
      </c>
      <c r="M38" s="65"/>
    </row>
    <row r="39" spans="1:14" x14ac:dyDescent="0.25">
      <c r="I39" s="63"/>
      <c r="J39" s="59"/>
      <c r="K39" s="62" t="e">
        <f>(J38+L38)/2</f>
        <v>#REF!</v>
      </c>
      <c r="L39" s="59"/>
      <c r="M39" s="65"/>
    </row>
    <row r="40" spans="1:14" x14ac:dyDescent="0.25">
      <c r="I40" s="63"/>
      <c r="J40" s="59"/>
      <c r="K40" s="62"/>
      <c r="L40" s="59"/>
      <c r="M40" s="65"/>
    </row>
    <row r="41" spans="1:14" x14ac:dyDescent="0.25">
      <c r="I41" s="63"/>
      <c r="J41" s="64"/>
      <c r="K41" s="66"/>
      <c r="L41" s="64"/>
      <c r="M41" s="65"/>
    </row>
    <row r="42" spans="1:14" x14ac:dyDescent="0.25">
      <c r="A42" s="154"/>
      <c r="B42" s="154"/>
      <c r="C42" s="154"/>
      <c r="I42" s="63"/>
      <c r="J42" s="64"/>
      <c r="K42" s="66"/>
      <c r="L42" s="64"/>
      <c r="M42" s="65"/>
    </row>
    <row r="43" spans="1:14" x14ac:dyDescent="0.25">
      <c r="A43" s="148" t="s">
        <v>47</v>
      </c>
      <c r="B43" s="148"/>
      <c r="C43" s="148"/>
      <c r="J43" s="32"/>
      <c r="K43" s="24"/>
      <c r="L43" s="32"/>
      <c r="M43" s="37"/>
    </row>
    <row r="44" spans="1:14" x14ac:dyDescent="0.25">
      <c r="A44" s="148" t="s">
        <v>48</v>
      </c>
      <c r="B44" s="148"/>
      <c r="C44" s="148"/>
      <c r="J44" s="32"/>
      <c r="K44" s="24"/>
      <c r="L44" s="32"/>
      <c r="M44" s="37"/>
    </row>
    <row r="45" spans="1:14" x14ac:dyDescent="0.25">
      <c r="A45" s="148" t="s">
        <v>49</v>
      </c>
      <c r="B45" s="148"/>
      <c r="C45" s="148"/>
      <c r="J45" s="32"/>
      <c r="K45" s="24"/>
      <c r="L45" s="32"/>
      <c r="M45" s="37"/>
    </row>
    <row r="46" spans="1:14" x14ac:dyDescent="0.25">
      <c r="J46" s="32"/>
      <c r="K46" s="24"/>
      <c r="L46" s="32"/>
      <c r="M46" s="37"/>
    </row>
    <row r="47" spans="1:14" x14ac:dyDescent="0.25">
      <c r="J47" s="32"/>
      <c r="K47" s="24"/>
      <c r="L47" s="32"/>
      <c r="M47" s="37"/>
    </row>
    <row r="48" spans="1:14" x14ac:dyDescent="0.25">
      <c r="J48" s="32"/>
      <c r="K48" s="24"/>
      <c r="L48" s="32"/>
      <c r="M48" s="37"/>
    </row>
    <row r="49" spans="10:13" x14ac:dyDescent="0.25">
      <c r="J49" s="32"/>
      <c r="K49" s="24"/>
      <c r="L49" s="32"/>
      <c r="M49" s="37"/>
    </row>
    <row r="50" spans="10:13" x14ac:dyDescent="0.25">
      <c r="J50" s="32"/>
      <c r="K50" s="24"/>
      <c r="L50" s="32"/>
      <c r="M50" s="37"/>
    </row>
    <row r="51" spans="10:13" x14ac:dyDescent="0.25">
      <c r="J51" s="32"/>
      <c r="K51" s="24"/>
      <c r="L51" s="32"/>
      <c r="M51" s="37"/>
    </row>
    <row r="52" spans="10:13" x14ac:dyDescent="0.25">
      <c r="J52" s="32"/>
      <c r="K52" s="24"/>
      <c r="L52" s="32"/>
      <c r="M52" s="37"/>
    </row>
    <row r="53" spans="10:13" x14ac:dyDescent="0.25">
      <c r="J53" s="32"/>
      <c r="K53" s="24"/>
      <c r="L53" s="32"/>
      <c r="M53" s="37"/>
    </row>
    <row r="54" spans="10:13" x14ac:dyDescent="0.25">
      <c r="J54" s="32"/>
      <c r="K54" s="24"/>
      <c r="L54" s="32"/>
      <c r="M54" s="37"/>
    </row>
    <row r="55" spans="10:13" x14ac:dyDescent="0.25">
      <c r="J55" s="32"/>
      <c r="K55" s="24"/>
      <c r="L55" s="32"/>
      <c r="M55" s="37"/>
    </row>
    <row r="56" spans="10:13" x14ac:dyDescent="0.25">
      <c r="J56" s="32"/>
      <c r="K56" s="24"/>
      <c r="L56" s="32"/>
      <c r="M56" s="37"/>
    </row>
    <row r="57" spans="10:13" x14ac:dyDescent="0.25">
      <c r="J57" s="32"/>
      <c r="K57" s="24"/>
      <c r="L57" s="32"/>
      <c r="M57" s="37"/>
    </row>
    <row r="58" spans="10:13" x14ac:dyDescent="0.25">
      <c r="J58" s="32"/>
      <c r="K58" s="24"/>
      <c r="L58" s="32"/>
      <c r="M58" s="37"/>
    </row>
    <row r="59" spans="10:13" x14ac:dyDescent="0.25">
      <c r="J59" s="32"/>
      <c r="K59" s="24"/>
      <c r="L59" s="32"/>
      <c r="M59" s="37"/>
    </row>
    <row r="60" spans="10:13" x14ac:dyDescent="0.25">
      <c r="J60" s="32"/>
      <c r="K60" s="24"/>
      <c r="L60" s="32"/>
      <c r="M60" s="37"/>
    </row>
  </sheetData>
  <mergeCells count="22">
    <mergeCell ref="A45:C45"/>
    <mergeCell ref="K5:L5"/>
    <mergeCell ref="M5:M6"/>
    <mergeCell ref="N5:N6"/>
    <mergeCell ref="A7:G7"/>
    <mergeCell ref="A24:G24"/>
    <mergeCell ref="A33:L33"/>
    <mergeCell ref="A34:L34"/>
    <mergeCell ref="A35:L35"/>
    <mergeCell ref="A42:C42"/>
    <mergeCell ref="A43:C43"/>
    <mergeCell ref="A44:C44"/>
    <mergeCell ref="A1:N1"/>
    <mergeCell ref="A2:N2"/>
    <mergeCell ref="A3:N3"/>
    <mergeCell ref="A4:N4"/>
    <mergeCell ref="A5:D5"/>
    <mergeCell ref="E5:E6"/>
    <mergeCell ref="F5:F6"/>
    <mergeCell ref="G5:G6"/>
    <mergeCell ref="H5:H6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</vt:lpstr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Gilma Elena Cárdenas Pombo</cp:lastModifiedBy>
  <cp:lastPrinted>2026-04-17T16:29:39Z</cp:lastPrinted>
  <dcterms:created xsi:type="dcterms:W3CDTF">2021-06-16T16:13:26Z</dcterms:created>
  <dcterms:modified xsi:type="dcterms:W3CDTF">2026-04-22T21:58:53Z</dcterms:modified>
</cp:coreProperties>
</file>