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lyp\Downloads\"/>
    </mc:Choice>
  </mc:AlternateContent>
  <xr:revisionPtr revIDLastSave="0" documentId="13_ncr:1_{8D081E0C-0CFD-4634-8C23-A65FB40B1E3D}" xr6:coauthVersionLast="47" xr6:coauthVersionMax="47" xr10:uidLastSave="{00000000-0000-0000-0000-000000000000}"/>
  <bookViews>
    <workbookView xWindow="-108" yWindow="-108" windowWidth="23256" windowHeight="13896" tabRatio="705" activeTab="1" xr2:uid="{00000000-000D-0000-FFFF-FFFF00000000}"/>
  </bookViews>
  <sheets>
    <sheet name="FM-029 - INICIAL" sheetId="96" r:id="rId1"/>
    <sheet name="Depurado" sheetId="95" r:id="rId2"/>
    <sheet name="indexado" sheetId="94" r:id="rId3"/>
    <sheet name="MATRIZ UAERMV OTRAS VIGENCIAS" sheetId="5" state="hidden" r:id="rId4"/>
  </sheets>
  <externalReferences>
    <externalReference r:id="rId5"/>
    <externalReference r:id="rId6"/>
    <externalReference r:id="rId7"/>
  </externalReferences>
  <definedNames>
    <definedName name="_xlnm._FilterDatabase" localSheetId="1" hidden="1">Depurado!#REF!</definedName>
    <definedName name="_xlnm._FilterDatabase" localSheetId="0" hidden="1">'FM-029 - INICIAL'!#REF!</definedName>
    <definedName name="_xlnm.Print_Area" localSheetId="1">Depurado!$A$1:$U$17</definedName>
    <definedName name="_xlnm.Print_Area" localSheetId="0">'FM-029 - INICIAL'!$A$1:$U$17</definedName>
    <definedName name="dol" localSheetId="1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96" l="1"/>
  <c r="K11" i="96"/>
  <c r="K10" i="96"/>
  <c r="G12" i="95"/>
  <c r="O12" i="95" s="1"/>
  <c r="P12" i="95" s="1"/>
  <c r="N12" i="95"/>
  <c r="K11" i="95"/>
  <c r="K10" i="95"/>
  <c r="F3" i="94"/>
  <c r="F4" i="94"/>
  <c r="G4" i="94" s="1"/>
  <c r="H4" i="94" s="1"/>
  <c r="I4" i="94" s="1"/>
  <c r="J4" i="94" s="1"/>
  <c r="G3" i="94"/>
  <c r="H3" i="94" s="1"/>
  <c r="I3" i="94" s="1"/>
  <c r="J3" i="94" s="1"/>
  <c r="U5" i="94"/>
  <c r="Q3" i="94"/>
  <c r="R3" i="94" s="1"/>
  <c r="S3" i="94" s="1"/>
  <c r="R4" i="94"/>
  <c r="S4" i="94" s="1"/>
  <c r="Q4" i="94"/>
  <c r="L4" i="94"/>
  <c r="M4" i="94" s="1"/>
  <c r="N4" i="94" s="1"/>
  <c r="O4" i="94" s="1"/>
  <c r="L3" i="94"/>
  <c r="M3" i="94" s="1"/>
  <c r="N3" i="94" s="1"/>
  <c r="O3" i="94" s="1"/>
  <c r="O10" i="95" l="1"/>
  <c r="P10" i="95" s="1"/>
  <c r="N10" i="95"/>
  <c r="O11" i="95"/>
  <c r="P11" i="95" s="1"/>
  <c r="N11" i="95"/>
  <c r="O10" i="96"/>
  <c r="N10" i="96"/>
  <c r="O11" i="96"/>
  <c r="N11" i="96"/>
  <c r="Q11" i="95"/>
  <c r="U4" i="94"/>
  <c r="V4" i="94" s="1"/>
  <c r="V5" i="94"/>
  <c r="P11" i="96"/>
  <c r="Q11" i="96"/>
  <c r="R11" i="96" s="1"/>
  <c r="S11" i="96" s="1"/>
  <c r="T11" i="96" s="1"/>
  <c r="G12" i="96"/>
  <c r="Q10" i="96"/>
  <c r="O12" i="96" l="1"/>
  <c r="P12" i="96" s="1"/>
  <c r="N12" i="96"/>
  <c r="Q12" i="96"/>
  <c r="R12" i="96" s="1"/>
  <c r="S12" i="96" s="1"/>
  <c r="T12" i="96" s="1"/>
  <c r="Q12" i="95"/>
  <c r="R12" i="95" s="1"/>
  <c r="S12" i="95" s="1"/>
  <c r="T12" i="95" s="1"/>
  <c r="R11" i="95"/>
  <c r="S11" i="95" s="1"/>
  <c r="T11" i="95" s="1"/>
  <c r="O13" i="96" l="1"/>
  <c r="P13" i="96"/>
  <c r="P10" i="96"/>
  <c r="R10" i="96"/>
  <c r="S10" i="96" s="1"/>
  <c r="T10" i="96" s="1"/>
  <c r="Q10" i="95"/>
  <c r="U3" i="94"/>
  <c r="V3" i="94" l="1"/>
  <c r="O13" i="95"/>
  <c r="O17" i="95" s="1"/>
  <c r="P13" i="95" l="1"/>
  <c r="R10" i="95"/>
  <c r="S10" i="95" s="1"/>
  <c r="T10" i="95" s="1"/>
  <c r="AN10" i="5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<sst xmlns="http://schemas.openxmlformats.org/spreadsheetml/2006/main" count="199" uniqueCount="121">
  <si>
    <t>FORMATO CUADRO DE TABULACIÓN Y ANÁLISIS DE DATOS ESTADÍSTICOS - ESTUDIO DE SECTOR</t>
  </si>
  <si>
    <t>CÓDIGO: GCON-FM-029</t>
  </si>
  <si>
    <t>FECHA DE APLICACIÓN: AGOSTO DE 2025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</si>
  <si>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</si>
  <si>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</si>
  <si>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CONTRATACIONES ANTERIORES UAERMV</t>
  </si>
  <si>
    <t>8095-207 PRESTACIÓN DE SERVICIOS PARA LA EJECUCIÓN DE CAMPAÑAS DE MONITOREO DEL COMPONENTE ATMOSFÉRICO EN LA SEDE OPERATIVA Y LA SEDE DE PRODUCCIÓN, QUE INCLUYEN LA MEDICIÓN DE MATERIAL PARTICULADO PM10 Y PM2.5, ASÍ COMO LA DETERMINACIÓN DE LOS NIVELES DE RUIDO Y RUIDO AMBIENTAL EN EL ÁREA DE INFLUENCIA DE LA SEDE DE PRODUCCIÓN DE LA UAERMV.</t>
  </si>
  <si>
    <t>CPS 462 DE 2025</t>
  </si>
  <si>
    <t>CPS 468 de 2024</t>
  </si>
  <si>
    <t>CPS 524 de 2023</t>
  </si>
  <si>
    <t xml:space="preserve"> CPS 505 de 2022</t>
  </si>
  <si>
    <t>SECOLAB</t>
  </si>
  <si>
    <t>AIRWA CONSULTING SAS</t>
  </si>
  <si>
    <t>ECOMAS INGENIEROS S.A.S</t>
  </si>
  <si>
    <t>COMNAMBIENTE</t>
  </si>
  <si>
    <t>ASSA CONSULTORIA S.A.S</t>
  </si>
  <si>
    <t>N°</t>
  </si>
  <si>
    <t>ITEM</t>
  </si>
  <si>
    <t xml:space="preserve">DESCRIPCIÓN DEL ITEM </t>
  </si>
  <si>
    <t>UND</t>
  </si>
  <si>
    <t>Cant.</t>
  </si>
  <si>
    <t>VALOR UNITARIO INCLUIDO  IVA</t>
  </si>
  <si>
    <t>VALOR UNITARIO  
INCLUIDO  IPC A PRECIO 2026</t>
  </si>
  <si>
    <t>MUESTRA</t>
  </si>
  <si>
    <t>VALOR PROMEDIO UNITARIO</t>
  </si>
  <si>
    <t>VALOR PROMEDIO TOTAL</t>
  </si>
  <si>
    <t>DESVIACION ESTANDAR</t>
  </si>
  <si>
    <t>COEF VARIACION</t>
  </si>
  <si>
    <t>MARGEN DE CONFIABILIDAD</t>
  </si>
  <si>
    <t>NIVEL DE CONFIABILIDAD DE LOS DATOS</t>
  </si>
  <si>
    <t>Monitoreo de la calidad del aire para la medición de PM10 y PM2.5.</t>
  </si>
  <si>
    <t>Tipo de Monitoreo: Continuo.
Duración Monitoreo: 18 días.
Parámetros por monitorear: PM2.5 y PM10.
Número de estaciones a utilizar: Dos (2)
sede: operativa</t>
  </si>
  <si>
    <t>Tipo de Monitoreo: Continuo.
Duración Monitoreo: 18 días.
Parámetros por monitorear: PM10 y PM2.5.
Número de estaciones a utilizar: Tres (3).
Sede: producción</t>
  </si>
  <si>
    <t>Determinación de los niveles de ruido y ruido ambiental.</t>
  </si>
  <si>
    <t xml:space="preserve">No. de puntos:
Ruido: Dos (2)
Ruido ambiental: Ocho (8)
</t>
  </si>
  <si>
    <t>Total</t>
  </si>
  <si>
    <r>
      <t xml:space="preserve">NOTA: </t>
    </r>
    <r>
      <rPr>
        <sz val="8"/>
        <color theme="1"/>
        <rFont val="Calibri"/>
        <family val="2"/>
        <scheme val="minor"/>
      </rPr>
      <t xml:space="preserve">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8"/>
        <color theme="1"/>
        <rFont val="Calibri"/>
        <family val="2"/>
        <scheme val="minor"/>
      </rPr>
      <t xml:space="preserve">
</t>
    </r>
  </si>
  <si>
    <t>LOS VALORES DE CONTRATOS DE LA UAERMV Y DE OTRAS ENTIDADES ESTAN INDEXADO A MAYODE 2026</t>
  </si>
  <si>
    <r>
      <rPr>
        <b/>
        <sz val="8"/>
        <color rgb="FF000000"/>
        <rFont val="Arial"/>
        <family val="2"/>
      </rPr>
      <t>Proyectó</t>
    </r>
    <r>
      <rPr>
        <sz val="8"/>
        <color rgb="FF000000"/>
        <rFont val="Arial"/>
        <family val="2"/>
      </rPr>
      <t>: - Suly Paola Contreras- Contratista</t>
    </r>
  </si>
  <si>
    <t>AÑO</t>
  </si>
  <si>
    <t>IPC DIC</t>
  </si>
  <si>
    <t>DANE - Índice de Precios al Consumidor (IPC)</t>
  </si>
  <si>
    <t xml:space="preserve"> “88095-207 PRESTACIÓN DE SERVICIOS PARA LA EJECUCIÓN DE CAMPAÑAS DE MONITOREO DEL COMPONENTE ATMOSFÉRICO EN LA SEDE OPERATIVA Y LA SEDE DE PRODUCCIÓN, QUE INCLUYEN LA MEDICIÓN DE MATERIAL PARTICULADO PM10 Y PM2.5, ASÍ COMO LA DETERMINACIÓN DE LOS NIVELES DE RUIDO Y RUIDO AMBIENTAL EN EL ÁREA DE INFLUENCIA DE LA SEDE DE PRODUCCIÓN DE LA UAERMV.</t>
  </si>
  <si>
    <t>DESCRIPCIÓN</t>
  </si>
  <si>
    <t>Tipo de Monitoreo: Continuo.
Duración Monitoreo: 18 días.
Parámetros por monitorear: PM2.5 y PM10.
Número de estaciones a utilizar: Dos (2)</t>
  </si>
  <si>
    <t>Tipo de Monitoreo: Continuo.
Duración Monitoreo: 18 días.
Parámetros por monitorear: PM10 y PM2.5.
Número de estaciones a utilizar: Tres (3).</t>
  </si>
  <si>
    <t>No. de puntos:
Ruido: Dos (2)
Ruido ambiental: Ocho (8)
Total: Diez (10)</t>
  </si>
  <si>
    <t>LOS VALORES DE CONTRATOS DE LA UAERMV Y DE OTRAS ENTIDADES ESTAN INDEXADO A MAYO DE 2026</t>
  </si>
  <si>
    <t>SMMLV 2026</t>
  </si>
  <si>
    <t>Contrato 505 de 2022</t>
  </si>
  <si>
    <t>IPC DICIEMBRE  2022</t>
  </si>
  <si>
    <t>IPC DICIEMBRE  2023</t>
  </si>
  <si>
    <t>IPC DICIEMBRE  2024</t>
  </si>
  <si>
    <t>IPC DICIEMBRE  2025</t>
  </si>
  <si>
    <t>IPC mayo 2026</t>
  </si>
  <si>
    <t>Contrato 524 de 2023</t>
  </si>
  <si>
    <t>Contrato 468 de 2024</t>
  </si>
  <si>
    <t>CONTRATO 462
11 de Junio de 2025</t>
  </si>
  <si>
    <r>
      <t xml:space="preserve">NOTA: </t>
    </r>
    <r>
      <rPr>
        <sz val="8"/>
        <color theme="1"/>
        <rFont val="Calibri"/>
        <family val="2"/>
        <scheme val="minor"/>
      </rPr>
      <t>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8"/>
        <color theme="1"/>
        <rFont val="Calibri"/>
        <family val="2"/>
        <scheme val="minor"/>
      </rPr>
      <t xml:space="preserve">
</t>
    </r>
  </si>
  <si>
    <t>Corrido 2026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</si>
  <si>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</si>
  <si>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</si>
  <si>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</si>
  <si>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</si>
  <si>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</si>
  <si>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</si>
  <si>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</si>
  <si>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</si>
  <si>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</si>
  <si>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</si>
  <si>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</si>
  <si>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</si>
  <si>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</si>
  <si>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</si>
  <si>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</si>
  <si>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</si>
  <si>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NIT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</si>
  <si>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</si>
  <si>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</si>
  <si>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</si>
  <si>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</si>
  <si>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</si>
  <si>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</si>
  <si>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</si>
  <si>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Dotacion</t>
  </si>
  <si>
    <t>MIGUEL  ANDRES GUTIERREZ ROMERO  y/o GRAM REPRESENTACIONES</t>
  </si>
  <si>
    <t>OK</t>
  </si>
  <si>
    <t>contratacion de minima cuantia - ORDEN DE COMPRA</t>
  </si>
  <si>
    <t>Suministro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</si>
  <si>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</si>
  <si>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</si>
  <si>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</si>
  <si>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</si>
  <si>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</si>
  <si>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</si>
  <si>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</si>
  <si>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</si>
  <si>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</si>
  <si>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</si>
  <si>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</si>
  <si>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</si>
  <si>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97 BLOQUEADORES</t>
  </si>
  <si>
    <t>900303527-5</t>
  </si>
  <si>
    <t>900313623-7</t>
  </si>
  <si>
    <t>860001498-9</t>
  </si>
  <si>
    <t>65550326-1</t>
  </si>
  <si>
    <t xml:space="preserve"> 830102952-6 </t>
  </si>
  <si>
    <t>BOTIQUINES AUTOMOVILES</t>
  </si>
  <si>
    <t>BOTIQUINES  FIJOS</t>
  </si>
  <si>
    <t>BLOQUEADOR SOLAR</t>
  </si>
  <si>
    <t>C&amp;P LICITACIONES Y CONSULTORIAS SAS.- ROSS NELLY CARDENAS PINZON</t>
  </si>
  <si>
    <t>30 DE NOVIEMBRE DE 2012</t>
  </si>
  <si>
    <t>contratacion de minima cuantia - CONTRATO DE COMPRAVENTA</t>
  </si>
  <si>
    <t>realizar la compra de 550 bloqueadores solares para los servidores públicos de la UNIDAD ADMINISTRATIVA ESPECIAL DE REHABILITACION Y MANTENIMIENTO VIAL</t>
  </si>
  <si>
    <t>8 DIAS</t>
  </si>
  <si>
    <t>LABORATORIO GELLSMA LTDA</t>
  </si>
  <si>
    <t>DROGUERIA CONTINENTAL DE BOGOTA SAS</t>
  </si>
  <si>
    <t>900379030-3</t>
  </si>
  <si>
    <t>900135657-3</t>
  </si>
  <si>
    <t>860.000.294-9</t>
  </si>
  <si>
    <t>BLOQUEADOR SOLAR DE 120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</si>
</sst>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&quot;$&quot;\ #,##0.00"/>
    <numFmt numFmtId="169" formatCode="[$-240A]d&quot; de &quot;mmmm&quot; de &quot;yyyy;@"/>
    <numFmt numFmtId="170" formatCode="_([$$-240A]\ * #,##0.00_);_([$$-240A]\ * \(#,##0.00\);_([$$-240A]\ * &quot;-&quot;??_);_(@_)"/>
    <numFmt numFmtId="171" formatCode="_ [$€-2]\ * #,##0.00_ ;_ [$€-2]\ * \-#,##0.00_ ;_ [$€-2]\ * &quot;-&quot;??_ "/>
    <numFmt numFmtId="172" formatCode="_ * #,##0.00_ ;_ * \-#,##0.00_ ;_ * &quot;-&quot;??_ ;_ @_ "/>
    <numFmt numFmtId="173" formatCode="_-* #,##0.00\ _€_-;\-* #,##0.00\ _€_-;_-* &quot;-&quot;??\ _€_-;_-@_-"/>
    <numFmt numFmtId="174" formatCode="_ * #,##0.00000_ ;_ * \-#,##0.00000_ ;_ * &quot;-&quot;??_ ;_ @_ "/>
    <numFmt numFmtId="175" formatCode="_ &quot;$&quot;\ * #,##0.00_ ;_ &quot;$&quot;\ * \-#,##0.00_ ;_ &quot;$&quot;\ * &quot;-&quot;??_ ;_ @_ "/>
    <numFmt numFmtId="176" formatCode="_(&quot;C$&quot;* #,##0.00_);_(&quot;C$&quot;* \(#,##0.00\);_(&quot;C$&quot;* &quot;-&quot;??_);_(@_)"/>
    <numFmt numFmtId="177" formatCode="&quot;$&quot;#,##0\ ;\(&quot;$&quot;#,##0\)"/>
    <numFmt numFmtId="178" formatCode="[$-C0A]d\-mmm\-yy;@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Pta&quot;_-;\-* #,##0.00\ &quot;Pta&quot;_-;_-* &quot;-&quot;??\ &quot;Pta&quot;_-;_-@_-"/>
    <numFmt numFmtId="189" formatCode="_-* #,##0.00\ &quot;Pts&quot;_-;\-* #,##0.00\ &quot;Pts&quot;_-;_-* &quot;-&quot;??\ &quot;Pts&quot;_-;_-@_-"/>
    <numFmt numFmtId="190" formatCode="_-* #,##0.00\ [$€]_-;\-* #,##0.00\ [$€]_-;_-* &quot;-&quot;??\ [$€]_-;_-@_-"/>
    <numFmt numFmtId="191" formatCode="_(&quot;$&quot;* #,##0.00_);_(&quot;$&quot;* \(#,##0.00\);_(&quot;$&quot;* &quot;-&quot;??_);_(@_)"/>
    <numFmt numFmtId="192" formatCode="&quot;$&quot;\ #,##0"/>
    <numFmt numFmtId="193" formatCode="_-&quot;$&quot;* #,##0_-;\-&quot;$&quot;* #,##0_-;_-&quot;$&quot;* &quot;-&quot;??_-;_-@_-"/>
    <numFmt numFmtId="194" formatCode="_-[$$-409]* #,##0.00_ ;_-[$$-409]* \-#,##0.00\ ;_-[$$-409]* &quot;-&quot;??_ ;_-@_ "/>
  </numFmts>
  <fonts count="8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77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0" fontId="7" fillId="4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5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6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0" fontId="7" fillId="7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9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0" fontId="7" fillId="13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0" fontId="7" fillId="7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4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6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11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1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0" fontId="8" fillId="17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19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0" fillId="6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5" fillId="0" borderId="33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3" fillId="26" borderId="31" applyNumberFormat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0" fontId="8" fillId="21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22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2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0" fontId="8" fillId="17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0" fontId="8" fillId="20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0" fontId="18" fillId="9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1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17" fillId="0" borderId="36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9" fillId="5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18" fillId="9" borderId="30" applyNumberFormat="0" applyAlignment="0" applyProtection="0"/>
    <xf numFmtId="0" fontId="15" fillId="0" borderId="33" applyNumberFormat="0" applyFill="0" applyAlignment="0" applyProtection="0"/>
    <xf numFmtId="168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0" fontId="25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6" fillId="0" borderId="0"/>
    <xf numFmtId="0" fontId="26" fillId="0" borderId="0" applyNumberFormat="0" applyFill="0" applyBorder="0" applyProtection="0">
      <alignment vertical="top"/>
    </xf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2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7" fillId="0" borderId="0"/>
    <xf numFmtId="17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8" fontId="1" fillId="0" borderId="0"/>
    <xf numFmtId="178" fontId="1" fillId="0" borderId="0"/>
    <xf numFmtId="0" fontId="6" fillId="0" borderId="0"/>
    <xf numFmtId="0" fontId="6" fillId="0" borderId="0"/>
    <xf numFmtId="170" fontId="6" fillId="0" borderId="0"/>
    <xf numFmtId="170" fontId="6" fillId="0" borderId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0" fontId="27" fillId="24" borderId="3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0" fontId="27" fillId="24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0" fontId="20" fillId="0" borderId="34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0" fontId="21" fillId="0" borderId="35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0" fontId="17" fillId="0" borderId="36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32" fillId="0" borderId="43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14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2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3" fillId="0" borderId="0">
      <alignment horizontal="center" vertical="center"/>
    </xf>
    <xf numFmtId="0" fontId="6" fillId="0" borderId="0"/>
    <xf numFmtId="0" fontId="43" fillId="0" borderId="59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4" fillId="0" borderId="0"/>
    <xf numFmtId="183" fontId="45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6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1" fillId="0" borderId="0"/>
    <xf numFmtId="0" fontId="47" fillId="0" borderId="0"/>
    <xf numFmtId="0" fontId="4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8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60" applyNumberFormat="0" applyFill="0" applyAlignment="0" applyProtection="0"/>
    <xf numFmtId="0" fontId="51" fillId="0" borderId="61" applyNumberFormat="0" applyFill="0" applyAlignment="0" applyProtection="0"/>
    <xf numFmtId="0" fontId="52" fillId="0" borderId="62" applyNumberFormat="0" applyFill="0" applyAlignment="0" applyProtection="0"/>
    <xf numFmtId="0" fontId="52" fillId="0" borderId="0" applyNumberFormat="0" applyFill="0" applyBorder="0" applyAlignment="0" applyProtection="0"/>
    <xf numFmtId="0" fontId="53" fillId="43" borderId="0" applyNumberFormat="0" applyBorder="0" applyAlignment="0" applyProtection="0"/>
    <xf numFmtId="0" fontId="54" fillId="44" borderId="0" applyNumberFormat="0" applyBorder="0" applyAlignment="0" applyProtection="0"/>
    <xf numFmtId="0" fontId="55" fillId="45" borderId="0" applyNumberFormat="0" applyBorder="0" applyAlignment="0" applyProtection="0"/>
    <xf numFmtId="0" fontId="56" fillId="46" borderId="63" applyNumberFormat="0" applyAlignment="0" applyProtection="0"/>
    <xf numFmtId="0" fontId="57" fillId="47" borderId="64" applyNumberFormat="0" applyAlignment="0" applyProtection="0"/>
    <xf numFmtId="0" fontId="58" fillId="47" borderId="63" applyNumberFormat="0" applyAlignment="0" applyProtection="0"/>
    <xf numFmtId="0" fontId="59" fillId="0" borderId="65" applyNumberFormat="0" applyFill="0" applyAlignment="0" applyProtection="0"/>
    <xf numFmtId="0" fontId="35" fillId="48" borderId="66" applyNumberFormat="0" applyAlignment="0" applyProtection="0"/>
    <xf numFmtId="0" fontId="60" fillId="0" borderId="0" applyNumberFormat="0" applyFill="0" applyBorder="0" applyAlignment="0" applyProtection="0"/>
    <xf numFmtId="0" fontId="1" fillId="49" borderId="67" applyNumberFormat="0" applyFont="0" applyAlignment="0" applyProtection="0"/>
    <xf numFmtId="0" fontId="61" fillId="0" borderId="0" applyNumberFormat="0" applyFill="0" applyBorder="0" applyAlignment="0" applyProtection="0"/>
    <xf numFmtId="0" fontId="2" fillId="0" borderId="68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36" fillId="0" borderId="0" applyNumberFormat="0" applyFill="0" applyBorder="0" applyAlignment="0" applyProtection="0"/>
  </cellStyleXfs>
  <cellXfs count="190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5" xfId="0" applyFont="1" applyBorder="1"/>
    <xf numFmtId="0" fontId="4" fillId="0" borderId="14" xfId="0" applyFont="1" applyBorder="1"/>
    <xf numFmtId="0" fontId="4" fillId="0" borderId="16" xfId="0" applyFont="1" applyBorder="1" applyAlignment="1">
      <alignment horizontal="center"/>
    </xf>
    <xf numFmtId="169" fontId="4" fillId="0" borderId="14" xfId="0" applyNumberFormat="1" applyFont="1" applyBorder="1"/>
    <xf numFmtId="167" fontId="4" fillId="0" borderId="15" xfId="3" applyFont="1" applyFill="1" applyBorder="1"/>
    <xf numFmtId="0" fontId="4" fillId="0" borderId="16" xfId="0" applyFont="1" applyBorder="1"/>
    <xf numFmtId="0" fontId="4" fillId="0" borderId="17" xfId="0" applyFont="1" applyBorder="1"/>
    <xf numFmtId="0" fontId="4" fillId="0" borderId="19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 applyAlignment="1">
      <alignment horizontal="center"/>
    </xf>
    <xf numFmtId="169" fontId="4" fillId="0" borderId="24" xfId="0" applyNumberFormat="1" applyFont="1" applyBorder="1"/>
    <xf numFmtId="0" fontId="4" fillId="0" borderId="25" xfId="0" applyFont="1" applyBorder="1"/>
    <xf numFmtId="167" fontId="4" fillId="0" borderId="25" xfId="3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27" xfId="0" applyFont="1" applyBorder="1"/>
    <xf numFmtId="0" fontId="4" fillId="0" borderId="20" xfId="0" applyFont="1" applyBorder="1"/>
    <xf numFmtId="0" fontId="4" fillId="0" borderId="28" xfId="0" applyFont="1" applyBorder="1"/>
    <xf numFmtId="0" fontId="4" fillId="0" borderId="27" xfId="0" applyFont="1" applyBorder="1" applyAlignment="1">
      <alignment horizontal="center"/>
    </xf>
    <xf numFmtId="0" fontId="4" fillId="0" borderId="24" xfId="0" applyFont="1" applyBorder="1"/>
    <xf numFmtId="0" fontId="4" fillId="0" borderId="26" xfId="0" applyFont="1" applyBorder="1" applyAlignment="1">
      <alignment horizontal="center"/>
    </xf>
    <xf numFmtId="167" fontId="4" fillId="0" borderId="25" xfId="3" applyFont="1" applyFill="1" applyBorder="1"/>
    <xf numFmtId="0" fontId="33" fillId="0" borderId="0" xfId="0" applyFont="1"/>
    <xf numFmtId="0" fontId="34" fillId="0" borderId="0" xfId="0" applyFont="1"/>
    <xf numFmtId="0" fontId="4" fillId="0" borderId="29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0" fontId="39" fillId="30" borderId="0" xfId="0" applyFont="1" applyFill="1"/>
    <xf numFmtId="0" fontId="63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2" fillId="30" borderId="0" xfId="0" applyFont="1" applyFill="1" applyAlignment="1">
      <alignment horizontal="left" wrapText="1"/>
    </xf>
    <xf numFmtId="0" fontId="36" fillId="0" borderId="0" xfId="1576" applyAlignment="1">
      <alignment wrapText="1"/>
    </xf>
    <xf numFmtId="0" fontId="38" fillId="74" borderId="56" xfId="0" applyFont="1" applyFill="1" applyBorder="1" applyAlignment="1">
      <alignment horizontal="center" vertical="center" wrapText="1"/>
    </xf>
    <xf numFmtId="0" fontId="38" fillId="74" borderId="57" xfId="0" applyFont="1" applyFill="1" applyBorder="1" applyAlignment="1">
      <alignment horizontal="center" vertical="center" wrapText="1"/>
    </xf>
    <xf numFmtId="0" fontId="67" fillId="74" borderId="53" xfId="0" applyFont="1" applyFill="1" applyBorder="1" applyAlignment="1">
      <alignment horizontal="center" vertical="center" wrapText="1"/>
    </xf>
    <xf numFmtId="0" fontId="67" fillId="74" borderId="52" xfId="0" applyFont="1" applyFill="1" applyBorder="1" applyAlignment="1">
      <alignment horizontal="center" vertical="center" wrapText="1"/>
    </xf>
    <xf numFmtId="0" fontId="68" fillId="30" borderId="0" xfId="0" applyFont="1" applyFill="1"/>
    <xf numFmtId="9" fontId="68" fillId="30" borderId="0" xfId="1404" applyFont="1" applyFill="1"/>
    <xf numFmtId="180" fontId="69" fillId="0" borderId="1" xfId="0" applyNumberFormat="1" applyFont="1" applyBorder="1" applyAlignment="1">
      <alignment vertical="center"/>
    </xf>
    <xf numFmtId="0" fontId="69" fillId="0" borderId="47" xfId="0" applyFont="1" applyBorder="1" applyAlignment="1">
      <alignment horizontal="center" vertical="center"/>
    </xf>
    <xf numFmtId="180" fontId="69" fillId="0" borderId="1" xfId="0" applyNumberFormat="1" applyFont="1" applyBorder="1" applyAlignment="1">
      <alignment horizontal="center" vertical="center" wrapText="1"/>
    </xf>
    <xf numFmtId="180" fontId="69" fillId="30" borderId="1" xfId="0" applyNumberFormat="1" applyFont="1" applyFill="1" applyBorder="1" applyAlignment="1">
      <alignment horizontal="center" vertical="center" wrapText="1"/>
    </xf>
    <xf numFmtId="167" fontId="69" fillId="30" borderId="1" xfId="3" applyFont="1" applyFill="1" applyBorder="1" applyAlignment="1">
      <alignment vertical="center"/>
    </xf>
    <xf numFmtId="39" fontId="69" fillId="30" borderId="1" xfId="0" applyNumberFormat="1" applyFont="1" applyFill="1" applyBorder="1" applyAlignment="1">
      <alignment vertical="center"/>
    </xf>
    <xf numFmtId="39" fontId="69" fillId="30" borderId="1" xfId="0" applyNumberFormat="1" applyFont="1" applyFill="1" applyBorder="1" applyAlignment="1">
      <alignment horizontal="center" vertical="center"/>
    </xf>
    <xf numFmtId="0" fontId="69" fillId="30" borderId="48" xfId="0" applyFont="1" applyFill="1" applyBorder="1" applyAlignment="1">
      <alignment horizontal="center" vertical="center"/>
    </xf>
    <xf numFmtId="167" fontId="69" fillId="30" borderId="49" xfId="3" applyFont="1" applyFill="1" applyBorder="1" applyAlignment="1">
      <alignment vertical="center"/>
    </xf>
    <xf numFmtId="39" fontId="69" fillId="30" borderId="49" xfId="0" applyNumberFormat="1" applyFont="1" applyFill="1" applyBorder="1" applyAlignment="1">
      <alignment vertical="center"/>
    </xf>
    <xf numFmtId="39" fontId="69" fillId="30" borderId="49" xfId="0" applyNumberFormat="1" applyFont="1" applyFill="1" applyBorder="1" applyAlignment="1">
      <alignment horizontal="center" vertical="center"/>
    </xf>
    <xf numFmtId="0" fontId="69" fillId="30" borderId="50" xfId="0" applyFont="1" applyFill="1" applyBorder="1" applyAlignment="1">
      <alignment horizontal="center" vertical="center"/>
    </xf>
    <xf numFmtId="180" fontId="63" fillId="73" borderId="49" xfId="0" applyNumberFormat="1" applyFont="1" applyFill="1" applyBorder="1" applyAlignment="1">
      <alignment horizontal="center" vertical="center" wrapText="1"/>
    </xf>
    <xf numFmtId="0" fontId="71" fillId="30" borderId="0" xfId="0" applyFont="1" applyFill="1"/>
    <xf numFmtId="166" fontId="0" fillId="30" borderId="0" xfId="1403" applyFont="1" applyFill="1" applyBorder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30" borderId="80" xfId="0" applyFill="1" applyBorder="1" applyAlignment="1">
      <alignment horizontal="center" wrapText="1"/>
    </xf>
    <xf numFmtId="0" fontId="0" fillId="30" borderId="80" xfId="0" applyFill="1" applyBorder="1"/>
    <xf numFmtId="0" fontId="0" fillId="30" borderId="80" xfId="0" applyFill="1" applyBorder="1" applyAlignment="1">
      <alignment horizontal="center" vertical="center"/>
    </xf>
    <xf numFmtId="180" fontId="63" fillId="75" borderId="49" xfId="0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180" fontId="63" fillId="30" borderId="49" xfId="0" applyNumberFormat="1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68" fillId="30" borderId="1" xfId="0" applyFont="1" applyFill="1" applyBorder="1"/>
    <xf numFmtId="0" fontId="38" fillId="74" borderId="82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0" fontId="68" fillId="30" borderId="58" xfId="0" applyFont="1" applyFill="1" applyBorder="1"/>
    <xf numFmtId="167" fontId="79" fillId="0" borderId="1" xfId="3" applyFont="1" applyBorder="1" applyAlignment="1">
      <alignment vertical="center"/>
    </xf>
    <xf numFmtId="193" fontId="79" fillId="0" borderId="1" xfId="3" applyNumberFormat="1" applyFont="1" applyBorder="1" applyAlignment="1">
      <alignment vertical="center"/>
    </xf>
    <xf numFmtId="0" fontId="68" fillId="30" borderId="49" xfId="0" applyFont="1" applyFill="1" applyBorder="1"/>
    <xf numFmtId="0" fontId="38" fillId="74" borderId="83" xfId="0" applyFont="1" applyFill="1" applyBorder="1" applyAlignment="1">
      <alignment horizontal="center" vertical="center" wrapText="1"/>
    </xf>
    <xf numFmtId="0" fontId="38" fillId="74" borderId="84" xfId="0" applyFont="1" applyFill="1" applyBorder="1" applyAlignment="1">
      <alignment horizontal="center" vertical="center" wrapText="1"/>
    </xf>
    <xf numFmtId="0" fontId="70" fillId="0" borderId="85" xfId="0" applyFont="1" applyBorder="1" applyAlignment="1">
      <alignment horizontal="center" vertical="center" wrapText="1"/>
    </xf>
    <xf numFmtId="193" fontId="79" fillId="0" borderId="81" xfId="3" applyNumberFormat="1" applyFont="1" applyBorder="1" applyAlignment="1">
      <alignment vertical="center"/>
    </xf>
    <xf numFmtId="0" fontId="79" fillId="0" borderId="8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9" fillId="0" borderId="86" xfId="0" applyFont="1" applyBorder="1" applyAlignment="1">
      <alignment horizontal="center" vertical="center" wrapText="1"/>
    </xf>
    <xf numFmtId="0" fontId="69" fillId="0" borderId="81" xfId="0" applyFont="1" applyBorder="1" applyAlignment="1">
      <alignment horizontal="center" vertical="center"/>
    </xf>
    <xf numFmtId="192" fontId="81" fillId="0" borderId="1" xfId="0" applyNumberFormat="1" applyFont="1" applyBorder="1" applyAlignment="1">
      <alignment vertical="center"/>
    </xf>
    <xf numFmtId="0" fontId="66" fillId="0" borderId="1" xfId="0" applyFont="1" applyBorder="1" applyAlignment="1">
      <alignment horizontal="center" vertical="center" wrapText="1"/>
    </xf>
    <xf numFmtId="0" fontId="66" fillId="0" borderId="1" xfId="0" applyFont="1" applyBorder="1" applyAlignment="1">
      <alignment vertical="center" wrapText="1"/>
    </xf>
    <xf numFmtId="0" fontId="72" fillId="30" borderId="0" xfId="0" applyFont="1" applyFill="1" applyAlignment="1">
      <alignment horizontal="center" wrapText="1"/>
    </xf>
    <xf numFmtId="0" fontId="65" fillId="0" borderId="75" xfId="0" applyFont="1" applyBorder="1" applyAlignment="1">
      <alignment horizontal="left" vertical="center" wrapText="1"/>
    </xf>
    <xf numFmtId="0" fontId="0" fillId="30" borderId="0" xfId="0" applyFill="1" applyAlignment="1">
      <alignment horizontal="center" wrapText="1"/>
    </xf>
    <xf numFmtId="180" fontId="0" fillId="0" borderId="0" xfId="0" applyNumberFormat="1"/>
    <xf numFmtId="0" fontId="0" fillId="0" borderId="1" xfId="0" applyBorder="1"/>
    <xf numFmtId="168" fontId="69" fillId="0" borderId="1" xfId="0" applyNumberFormat="1" applyFont="1" applyBorder="1" applyAlignment="1">
      <alignment vertical="center"/>
    </xf>
    <xf numFmtId="168" fontId="68" fillId="0" borderId="1" xfId="0" applyNumberFormat="1" applyFont="1" applyBorder="1" applyAlignment="1">
      <alignment vertical="center"/>
    </xf>
    <xf numFmtId="192" fontId="69" fillId="0" borderId="1" xfId="0" applyNumberFormat="1" applyFont="1" applyBorder="1" applyAlignment="1">
      <alignment vertical="center"/>
    </xf>
    <xf numFmtId="0" fontId="77" fillId="79" borderId="56" xfId="0" applyFont="1" applyFill="1" applyBorder="1" applyAlignment="1">
      <alignment horizontal="center" vertical="center" wrapText="1"/>
    </xf>
    <xf numFmtId="0" fontId="5" fillId="0" borderId="87" xfId="0" applyFont="1" applyBorder="1" applyAlignment="1">
      <alignment horizontal="center" vertical="center" wrapText="1"/>
    </xf>
    <xf numFmtId="0" fontId="5" fillId="0" borderId="87" xfId="0" applyFont="1" applyBorder="1" applyAlignment="1">
      <alignment vertical="center" wrapText="1"/>
    </xf>
    <xf numFmtId="168" fontId="68" fillId="0" borderId="87" xfId="0" applyNumberFormat="1" applyFont="1" applyBorder="1" applyAlignment="1">
      <alignment vertical="center"/>
    </xf>
    <xf numFmtId="180" fontId="69" fillId="0" borderId="87" xfId="0" applyNumberFormat="1" applyFont="1" applyBorder="1" applyAlignment="1">
      <alignment vertical="center"/>
    </xf>
    <xf numFmtId="192" fontId="69" fillId="0" borderId="87" xfId="0" applyNumberFormat="1" applyFont="1" applyBorder="1" applyAlignment="1">
      <alignment vertical="center"/>
    </xf>
    <xf numFmtId="168" fontId="69" fillId="0" borderId="87" xfId="0" applyNumberFormat="1" applyFont="1" applyBorder="1" applyAlignment="1">
      <alignment vertical="center"/>
    </xf>
    <xf numFmtId="180" fontId="69" fillId="76" borderId="56" xfId="0" applyNumberFormat="1" applyFont="1" applyFill="1" applyBorder="1" applyAlignment="1">
      <alignment vertical="center" wrapText="1"/>
    </xf>
    <xf numFmtId="180" fontId="69" fillId="77" borderId="56" xfId="0" applyNumberFormat="1" applyFont="1" applyFill="1" applyBorder="1" applyAlignment="1">
      <alignment vertical="center" wrapText="1"/>
    </xf>
    <xf numFmtId="180" fontId="69" fillId="77" borderId="88" xfId="0" applyNumberFormat="1" applyFont="1" applyFill="1" applyBorder="1" applyAlignment="1">
      <alignment vertical="center" wrapText="1"/>
    </xf>
    <xf numFmtId="180" fontId="69" fillId="78" borderId="56" xfId="0" applyNumberFormat="1" applyFont="1" applyFill="1" applyBorder="1" applyAlignment="1">
      <alignment vertical="center" wrapText="1"/>
    </xf>
    <xf numFmtId="180" fontId="69" fillId="78" borderId="88" xfId="0" applyNumberFormat="1" applyFont="1" applyFill="1" applyBorder="1" applyAlignment="1">
      <alignment vertical="center" wrapText="1"/>
    </xf>
    <xf numFmtId="180" fontId="69" fillId="79" borderId="56" xfId="0" applyNumberFormat="1" applyFont="1" applyFill="1" applyBorder="1" applyAlignment="1">
      <alignment vertical="center" wrapText="1"/>
    </xf>
    <xf numFmtId="180" fontId="69" fillId="79" borderId="88" xfId="0" applyNumberFormat="1" applyFont="1" applyFill="1" applyBorder="1" applyAlignment="1">
      <alignment vertical="center" wrapText="1"/>
    </xf>
    <xf numFmtId="0" fontId="77" fillId="74" borderId="71" xfId="0" applyFont="1" applyFill="1" applyBorder="1" applyAlignment="1">
      <alignment horizontal="center" vertical="center" wrapText="1"/>
    </xf>
    <xf numFmtId="192" fontId="81" fillId="0" borderId="81" xfId="0" applyNumberFormat="1" applyFont="1" applyBorder="1" applyAlignment="1">
      <alignment vertical="center"/>
    </xf>
    <xf numFmtId="0" fontId="77" fillId="74" borderId="89" xfId="0" applyFont="1" applyFill="1" applyBorder="1" applyAlignment="1">
      <alignment horizontal="center" vertical="center" wrapText="1"/>
    </xf>
    <xf numFmtId="0" fontId="78" fillId="30" borderId="52" xfId="0" applyFont="1" applyFill="1" applyBorder="1" applyAlignment="1">
      <alignment horizontal="center" vertical="center" wrapText="1"/>
    </xf>
    <xf numFmtId="0" fontId="77" fillId="30" borderId="52" xfId="0" applyFont="1" applyFill="1" applyBorder="1" applyAlignment="1">
      <alignment horizontal="center" vertical="center" wrapText="1"/>
    </xf>
    <xf numFmtId="0" fontId="63" fillId="73" borderId="90" xfId="0" applyFont="1" applyFill="1" applyBorder="1" applyAlignment="1">
      <alignment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49" xfId="0" applyFont="1" applyBorder="1" applyAlignment="1">
      <alignment vertical="center" wrapText="1"/>
    </xf>
    <xf numFmtId="0" fontId="79" fillId="0" borderId="91" xfId="0" applyFont="1" applyBorder="1" applyAlignment="1">
      <alignment horizontal="center" vertical="center" wrapText="1"/>
    </xf>
    <xf numFmtId="0" fontId="79" fillId="0" borderId="92" xfId="0" applyFont="1" applyBorder="1" applyAlignment="1">
      <alignment horizontal="center" vertical="center" wrapText="1"/>
    </xf>
    <xf numFmtId="180" fontId="69" fillId="0" borderId="49" xfId="0" applyNumberFormat="1" applyFont="1" applyBorder="1" applyAlignment="1">
      <alignment vertical="center"/>
    </xf>
    <xf numFmtId="180" fontId="69" fillId="0" borderId="91" xfId="0" applyNumberFormat="1" applyFont="1" applyBorder="1" applyAlignment="1">
      <alignment vertical="center"/>
    </xf>
    <xf numFmtId="180" fontId="6" fillId="0" borderId="49" xfId="0" applyNumberFormat="1" applyFont="1" applyBorder="1" applyAlignment="1">
      <alignment vertical="center"/>
    </xf>
    <xf numFmtId="0" fontId="77" fillId="30" borderId="89" xfId="0" applyFont="1" applyFill="1" applyBorder="1" applyAlignment="1">
      <alignment horizontal="center" vertical="center" wrapText="1"/>
    </xf>
    <xf numFmtId="192" fontId="81" fillId="0" borderId="87" xfId="0" applyNumberFormat="1" applyFont="1" applyBorder="1" applyAlignment="1">
      <alignment vertical="center"/>
    </xf>
    <xf numFmtId="192" fontId="81" fillId="0" borderId="93" xfId="0" applyNumberFormat="1" applyFont="1" applyBorder="1" applyAlignment="1">
      <alignment vertical="center"/>
    </xf>
    <xf numFmtId="0" fontId="66" fillId="0" borderId="49" xfId="0" applyFont="1" applyBorder="1" applyAlignment="1">
      <alignment horizontal="center" vertical="center" wrapText="1"/>
    </xf>
    <xf numFmtId="0" fontId="66" fillId="0" borderId="49" xfId="0" applyFont="1" applyBorder="1" applyAlignment="1">
      <alignment vertical="center" wrapText="1"/>
    </xf>
    <xf numFmtId="0" fontId="79" fillId="0" borderId="49" xfId="0" applyFont="1" applyBorder="1" applyAlignment="1">
      <alignment horizontal="center" vertical="center" wrapText="1"/>
    </xf>
    <xf numFmtId="194" fontId="2" fillId="30" borderId="0" xfId="0" applyNumberFormat="1" applyFont="1" applyFill="1" applyAlignment="1">
      <alignment horizontal="left" wrapText="1"/>
    </xf>
    <xf numFmtId="0" fontId="72" fillId="30" borderId="0" xfId="0" applyFont="1" applyFill="1" applyAlignment="1">
      <alignment horizontal="center" wrapText="1"/>
    </xf>
    <xf numFmtId="0" fontId="73" fillId="0" borderId="0" xfId="0" applyFont="1" applyAlignment="1">
      <alignment horizontal="center" wrapText="1"/>
    </xf>
    <xf numFmtId="0" fontId="38" fillId="74" borderId="80" xfId="0" applyFont="1" applyFill="1" applyBorder="1" applyAlignment="1">
      <alignment horizontal="center" vertical="center" wrapText="1"/>
    </xf>
    <xf numFmtId="0" fontId="70" fillId="0" borderId="80" xfId="0" applyFont="1" applyBorder="1" applyAlignment="1">
      <alignment horizontal="center" vertical="center" wrapText="1"/>
    </xf>
    <xf numFmtId="0" fontId="67" fillId="74" borderId="2" xfId="0" applyFont="1" applyFill="1" applyBorder="1" applyAlignment="1">
      <alignment horizontal="center" vertical="center" wrapText="1"/>
    </xf>
    <xf numFmtId="0" fontId="67" fillId="74" borderId="3" xfId="0" applyFont="1" applyFill="1" applyBorder="1" applyAlignment="1">
      <alignment horizontal="center" vertical="center" wrapText="1"/>
    </xf>
    <xf numFmtId="0" fontId="67" fillId="74" borderId="53" xfId="0" applyFont="1" applyFill="1" applyBorder="1" applyAlignment="1">
      <alignment horizontal="center" vertical="center" wrapText="1"/>
    </xf>
    <xf numFmtId="0" fontId="75" fillId="29" borderId="51" xfId="0" applyFont="1" applyFill="1" applyBorder="1" applyAlignment="1">
      <alignment horizontal="center" vertical="center" wrapText="1"/>
    </xf>
    <xf numFmtId="0" fontId="75" fillId="29" borderId="10" xfId="0" applyFont="1" applyFill="1" applyBorder="1" applyAlignment="1">
      <alignment horizontal="center" vertical="center" wrapText="1"/>
    </xf>
    <xf numFmtId="0" fontId="75" fillId="29" borderId="69" xfId="0" applyFont="1" applyFill="1" applyBorder="1" applyAlignment="1">
      <alignment horizontal="center" vertical="center" wrapText="1"/>
    </xf>
    <xf numFmtId="0" fontId="75" fillId="29" borderId="71" xfId="0" applyFont="1" applyFill="1" applyBorder="1" applyAlignment="1">
      <alignment horizontal="center" vertical="center" wrapText="1"/>
    </xf>
    <xf numFmtId="0" fontId="75" fillId="29" borderId="0" xfId="0" applyFont="1" applyFill="1" applyAlignment="1">
      <alignment horizontal="center" vertical="center" wrapText="1"/>
    </xf>
    <xf numFmtId="0" fontId="75" fillId="29" borderId="70" xfId="0" applyFont="1" applyFill="1" applyBorder="1" applyAlignment="1">
      <alignment horizontal="center" vertical="center" wrapText="1"/>
    </xf>
    <xf numFmtId="0" fontId="75" fillId="29" borderId="54" xfId="0" applyFont="1" applyFill="1" applyBorder="1" applyAlignment="1">
      <alignment horizontal="center" vertical="center" wrapText="1"/>
    </xf>
    <xf numFmtId="0" fontId="75" fillId="29" borderId="28" xfId="0" applyFont="1" applyFill="1" applyBorder="1" applyAlignment="1">
      <alignment horizontal="center" vertical="center" wrapText="1"/>
    </xf>
    <xf numFmtId="0" fontId="75" fillId="29" borderId="55" xfId="0" applyFont="1" applyFill="1" applyBorder="1" applyAlignment="1">
      <alignment horizontal="center" vertical="center" wrapText="1"/>
    </xf>
    <xf numFmtId="0" fontId="67" fillId="74" borderId="51" xfId="0" applyFont="1" applyFill="1" applyBorder="1" applyAlignment="1">
      <alignment horizontal="center" vertical="center" wrapText="1"/>
    </xf>
    <xf numFmtId="0" fontId="67" fillId="74" borderId="10" xfId="0" applyFont="1" applyFill="1" applyBorder="1" applyAlignment="1">
      <alignment horizontal="center" vertical="center" wrapText="1"/>
    </xf>
    <xf numFmtId="0" fontId="67" fillId="74" borderId="71" xfId="0" applyFont="1" applyFill="1" applyBorder="1" applyAlignment="1">
      <alignment horizontal="center" vertical="center" wrapText="1"/>
    </xf>
    <xf numFmtId="0" fontId="67" fillId="74" borderId="0" xfId="0" applyFont="1" applyFill="1" applyAlignment="1">
      <alignment horizontal="center" vertical="center" wrapText="1"/>
    </xf>
    <xf numFmtId="0" fontId="76" fillId="2" borderId="51" xfId="0" applyFont="1" applyFill="1" applyBorder="1" applyAlignment="1">
      <alignment horizontal="center" vertical="center" wrapText="1"/>
    </xf>
    <xf numFmtId="0" fontId="76" fillId="2" borderId="10" xfId="0" applyFont="1" applyFill="1" applyBorder="1" applyAlignment="1">
      <alignment horizontal="center" vertical="center" wrapText="1"/>
    </xf>
    <xf numFmtId="0" fontId="76" fillId="2" borderId="69" xfId="0" applyFont="1" applyFill="1" applyBorder="1" applyAlignment="1">
      <alignment horizontal="center" vertical="center" wrapText="1"/>
    </xf>
    <xf numFmtId="0" fontId="76" fillId="2" borderId="71" xfId="0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center" vertical="center" wrapText="1"/>
    </xf>
    <xf numFmtId="0" fontId="76" fillId="2" borderId="70" xfId="0" applyFont="1" applyFill="1" applyBorder="1" applyAlignment="1">
      <alignment horizontal="center" vertical="center" wrapText="1"/>
    </xf>
    <xf numFmtId="0" fontId="76" fillId="2" borderId="54" xfId="0" applyFont="1" applyFill="1" applyBorder="1" applyAlignment="1">
      <alignment horizontal="center" vertical="center" wrapText="1"/>
    </xf>
    <xf numFmtId="0" fontId="76" fillId="2" borderId="28" xfId="0" applyFont="1" applyFill="1" applyBorder="1" applyAlignment="1">
      <alignment horizontal="center" vertical="center" wrapText="1"/>
    </xf>
    <xf numFmtId="0" fontId="76" fillId="2" borderId="55" xfId="0" applyFont="1" applyFill="1" applyBorder="1" applyAlignment="1">
      <alignment horizontal="center" vertical="center" wrapText="1"/>
    </xf>
    <xf numFmtId="0" fontId="38" fillId="74" borderId="51" xfId="0" applyFont="1" applyFill="1" applyBorder="1" applyAlignment="1">
      <alignment horizontal="center" vertical="center" wrapText="1"/>
    </xf>
    <xf numFmtId="0" fontId="38" fillId="74" borderId="10" xfId="0" applyFont="1" applyFill="1" applyBorder="1" applyAlignment="1">
      <alignment horizontal="center" vertical="center" wrapText="1"/>
    </xf>
    <xf numFmtId="0" fontId="72" fillId="30" borderId="0" xfId="0" applyFont="1" applyFill="1" applyAlignment="1">
      <alignment horizontal="center" vertical="center" wrapText="1"/>
    </xf>
    <xf numFmtId="0" fontId="72" fillId="30" borderId="10" xfId="0" applyFont="1" applyFill="1" applyBorder="1" applyAlignment="1">
      <alignment horizontal="center" vertical="center" wrapText="1"/>
    </xf>
    <xf numFmtId="0" fontId="64" fillId="0" borderId="72" xfId="0" applyFont="1" applyBorder="1" applyAlignment="1">
      <alignment horizontal="center" vertical="center" wrapText="1"/>
    </xf>
    <xf numFmtId="0" fontId="64" fillId="0" borderId="73" xfId="0" applyFont="1" applyBorder="1" applyAlignment="1">
      <alignment horizontal="center" vertical="center" wrapText="1"/>
    </xf>
    <xf numFmtId="0" fontId="64" fillId="0" borderId="76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77" xfId="0" applyFont="1" applyBorder="1" applyAlignment="1">
      <alignment horizontal="center" vertical="center" wrapText="1"/>
    </xf>
    <xf numFmtId="0" fontId="64" fillId="0" borderId="78" xfId="0" applyFont="1" applyBorder="1" applyAlignment="1">
      <alignment horizontal="center" vertical="center" wrapText="1"/>
    </xf>
    <xf numFmtId="0" fontId="66" fillId="0" borderId="74" xfId="0" applyFont="1" applyBorder="1" applyAlignment="1">
      <alignment horizontal="center" vertical="center" wrapText="1"/>
    </xf>
    <xf numFmtId="0" fontId="66" fillId="0" borderId="75" xfId="0" applyFont="1" applyBorder="1" applyAlignment="1">
      <alignment horizontal="center" vertical="center" wrapText="1"/>
    </xf>
    <xf numFmtId="0" fontId="66" fillId="0" borderId="79" xfId="0" applyFont="1" applyBorder="1" applyAlignment="1">
      <alignment horizontal="center" vertical="center" wrapText="1"/>
    </xf>
    <xf numFmtId="0" fontId="65" fillId="0" borderId="74" xfId="0" applyFont="1" applyBorder="1" applyAlignment="1">
      <alignment horizontal="left" vertical="center" wrapText="1"/>
    </xf>
    <xf numFmtId="0" fontId="65" fillId="0" borderId="75" xfId="0" applyFont="1" applyBorder="1" applyAlignment="1">
      <alignment horizontal="left" vertical="center" wrapText="1"/>
    </xf>
    <xf numFmtId="0" fontId="65" fillId="0" borderId="79" xfId="0" applyFont="1" applyBorder="1" applyAlignment="1">
      <alignment horizontal="left" vertical="center" wrapText="1"/>
    </xf>
    <xf numFmtId="0" fontId="38" fillId="74" borderId="54" xfId="0" applyFont="1" applyFill="1" applyBorder="1" applyAlignment="1">
      <alignment horizontal="center" vertical="center" wrapText="1"/>
    </xf>
    <xf numFmtId="0" fontId="38" fillId="74" borderId="28" xfId="0" applyFont="1" applyFill="1" applyBorder="1" applyAlignment="1">
      <alignment horizontal="center" vertical="center" wrapText="1"/>
    </xf>
    <xf numFmtId="0" fontId="38" fillId="74" borderId="2" xfId="0" applyFont="1" applyFill="1" applyBorder="1" applyAlignment="1">
      <alignment horizontal="center" vertical="center" wrapText="1"/>
    </xf>
    <xf numFmtId="0" fontId="38" fillId="74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1577">
    <cellStyle name="2" xfId="1410" xr:uid="{00000000-0005-0000-0000-000000000000}"/>
    <cellStyle name="20% - Accent1" xfId="5" xr:uid="{00000000-0005-0000-0000-000001000000}"/>
    <cellStyle name="20% - Accent1 2" xfId="1411" xr:uid="{00000000-0005-0000-0000-000002000000}"/>
    <cellStyle name="20% - Accent1_Estaciones TM-21-SEP-2011" xfId="1412" xr:uid="{00000000-0005-0000-0000-000003000000}"/>
    <cellStyle name="20% - Accent2" xfId="6" xr:uid="{00000000-0005-0000-0000-000004000000}"/>
    <cellStyle name="20% - Accent2 2" xfId="1413" xr:uid="{00000000-0005-0000-0000-000005000000}"/>
    <cellStyle name="20% - Accent2_Estaciones TM-21-SEP-2011" xfId="1414" xr:uid="{00000000-0005-0000-0000-000006000000}"/>
    <cellStyle name="20% - Accent3" xfId="7" xr:uid="{00000000-0005-0000-0000-000007000000}"/>
    <cellStyle name="20% - Accent3 2" xfId="1415" xr:uid="{00000000-0005-0000-0000-000008000000}"/>
    <cellStyle name="20% - Accent3_Estaciones TM-21-SEP-2011" xfId="1416" xr:uid="{00000000-0005-0000-0000-000009000000}"/>
    <cellStyle name="20% - Accent4" xfId="8" xr:uid="{00000000-0005-0000-0000-00000A000000}"/>
    <cellStyle name="20% - Accent4 2" xfId="1417" xr:uid="{00000000-0005-0000-0000-00000B000000}"/>
    <cellStyle name="20% - Accent4_Estaciones TM-21-SEP-2011" xfId="1418" xr:uid="{00000000-0005-0000-0000-00000C000000}"/>
    <cellStyle name="20% - Accent5" xfId="9" xr:uid="{00000000-0005-0000-0000-00000D000000}"/>
    <cellStyle name="20% - Accent5 2" xfId="1419" xr:uid="{00000000-0005-0000-0000-00000E000000}"/>
    <cellStyle name="20% - Accent5_Estaciones TM-21-SEP-2011" xfId="1420" xr:uid="{00000000-0005-0000-0000-00000F000000}"/>
    <cellStyle name="20% - Accent6" xfId="10" xr:uid="{00000000-0005-0000-0000-000010000000}"/>
    <cellStyle name="20% - Accent6 2" xfId="1421" xr:uid="{00000000-0005-0000-0000-000011000000}"/>
    <cellStyle name="20% - Accent6_Estaciones TM-21-SEP-2011" xfId="1422" xr:uid="{00000000-0005-0000-0000-000012000000}"/>
    <cellStyle name="20% - Énfasis1" xfId="1545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8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2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6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60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4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3" xr:uid="{00000000-0005-0000-0000-0000D4000000}"/>
    <cellStyle name="40% - Accent1_Estaciones TM-21-SEP-2011" xfId="1424" xr:uid="{00000000-0005-0000-0000-0000D5000000}"/>
    <cellStyle name="40% - Accent2" xfId="198" xr:uid="{00000000-0005-0000-0000-0000D6000000}"/>
    <cellStyle name="40% - Accent2 2" xfId="1425" xr:uid="{00000000-0005-0000-0000-0000D7000000}"/>
    <cellStyle name="40% - Accent2_Estaciones TM-21-SEP-2011" xfId="1426" xr:uid="{00000000-0005-0000-0000-0000D8000000}"/>
    <cellStyle name="40% - Accent3" xfId="199" xr:uid="{00000000-0005-0000-0000-0000D9000000}"/>
    <cellStyle name="40% - Accent3 2" xfId="1427" xr:uid="{00000000-0005-0000-0000-0000DA000000}"/>
    <cellStyle name="40% - Accent3_Estaciones TM-21-SEP-2011" xfId="1428" xr:uid="{00000000-0005-0000-0000-0000DB000000}"/>
    <cellStyle name="40% - Accent4" xfId="200" xr:uid="{00000000-0005-0000-0000-0000DC000000}"/>
    <cellStyle name="40% - Accent4 2" xfId="1429" xr:uid="{00000000-0005-0000-0000-0000DD000000}"/>
    <cellStyle name="40% - Accent4_Estaciones TM-21-SEP-2011" xfId="1430" xr:uid="{00000000-0005-0000-0000-0000DE000000}"/>
    <cellStyle name="40% - Accent5" xfId="201" xr:uid="{00000000-0005-0000-0000-0000DF000000}"/>
    <cellStyle name="40% - Accent5 2" xfId="1431" xr:uid="{00000000-0005-0000-0000-0000E0000000}"/>
    <cellStyle name="40% - Accent5_Estaciones TM-21-SEP-2011" xfId="1432" xr:uid="{00000000-0005-0000-0000-0000E1000000}"/>
    <cellStyle name="40% - Accent6" xfId="202" xr:uid="{00000000-0005-0000-0000-0000E2000000}"/>
    <cellStyle name="40% - Accent6 2" xfId="1433" xr:uid="{00000000-0005-0000-0000-0000E3000000}"/>
    <cellStyle name="40% - Accent6_Estaciones TM-21-SEP-2011" xfId="1434" xr:uid="{00000000-0005-0000-0000-0000E4000000}"/>
    <cellStyle name="40% - Énfasis1" xfId="1546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9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3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7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1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5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7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50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4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8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2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6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5" xr:uid="{00000000-0005-0000-0000-000071020000}"/>
    <cellStyle name="Bad" xfId="587" xr:uid="{00000000-0005-0000-0000-000072020000}"/>
    <cellStyle name="BORDES TITU. INT." xfId="1437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2" builtinId="26" customBuiltin="1"/>
    <cellStyle name="Calculation" xfId="619" xr:uid="{00000000-0005-0000-0000-000094020000}"/>
    <cellStyle name="Cálculo" xfId="1537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9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8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8" xr:uid="{00000000-0005-0000-0000-0000F6020000}"/>
    <cellStyle name="Comma0 2" xfId="1439" xr:uid="{00000000-0005-0000-0000-0000F7020000}"/>
    <cellStyle name="Currency0" xfId="1440" xr:uid="{00000000-0005-0000-0000-0000F8020000}"/>
    <cellStyle name="Currency0 2" xfId="1441" xr:uid="{00000000-0005-0000-0000-0000F9020000}"/>
    <cellStyle name="Date" xfId="1442" xr:uid="{00000000-0005-0000-0000-0000FA020000}"/>
    <cellStyle name="Date 2" xfId="1443" xr:uid="{00000000-0005-0000-0000-0000FB020000}"/>
    <cellStyle name="Encabezado 1" xfId="1528" builtinId="16" customBuiltin="1"/>
    <cellStyle name="Encabezado 4" xfId="1531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4" xr:uid="{00000000-0005-0000-0000-00001D030000}"/>
    <cellStyle name="Énfasis 2" xfId="1445" xr:uid="{00000000-0005-0000-0000-00001E030000}"/>
    <cellStyle name="Énfasis 3" xfId="1446" xr:uid="{00000000-0005-0000-0000-00001F030000}"/>
    <cellStyle name="Énfasis1" xfId="1544" builtinId="29" customBuiltin="1"/>
    <cellStyle name="Énfasis1 - 20%" xfId="1447" xr:uid="{00000000-0005-0000-0000-000021030000}"/>
    <cellStyle name="Énfasis1 - 40%" xfId="1448" xr:uid="{00000000-0005-0000-0000-000022030000}"/>
    <cellStyle name="Énfasis1 - 60%" xfId="1449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6" builtinId="33" customBuiltin="1"/>
    <cellStyle name="Énfasis2 - 20%" xfId="1450" xr:uid="{00000000-0005-0000-0000-000044030000}"/>
    <cellStyle name="Énfasis2 - 40%" xfId="1451" xr:uid="{00000000-0005-0000-0000-000045030000}"/>
    <cellStyle name="Énfasis2 - 60%" xfId="1452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1" builtinId="37" customBuiltin="1"/>
    <cellStyle name="Énfasis3 - 20%" xfId="1453" xr:uid="{00000000-0005-0000-0000-000067030000}"/>
    <cellStyle name="Énfasis3 - 40%" xfId="1454" xr:uid="{00000000-0005-0000-0000-000068030000}"/>
    <cellStyle name="Énfasis3 - 60%" xfId="1455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5" builtinId="41" customBuiltin="1"/>
    <cellStyle name="Énfasis4 - 20%" xfId="1456" xr:uid="{00000000-0005-0000-0000-00008A030000}"/>
    <cellStyle name="Énfasis4 - 40%" xfId="1457" xr:uid="{00000000-0005-0000-0000-00008B030000}"/>
    <cellStyle name="Énfasis4 - 60%" xfId="1458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9" builtinId="45" customBuiltin="1"/>
    <cellStyle name="Énfasis5 - 20%" xfId="1459" xr:uid="{00000000-0005-0000-0000-0000AD030000}"/>
    <cellStyle name="Énfasis5 - 40%" xfId="1460" xr:uid="{00000000-0005-0000-0000-0000AE030000}"/>
    <cellStyle name="Énfasis5 - 60%" xfId="1461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3" builtinId="49" customBuiltin="1"/>
    <cellStyle name="Énfasis6 - 20%" xfId="1462" xr:uid="{00000000-0005-0000-0000-0000D0030000}"/>
    <cellStyle name="Énfasis6 - 40%" xfId="1463" xr:uid="{00000000-0005-0000-0000-0000D1030000}"/>
    <cellStyle name="Énfasis6 - 60%" xfId="1464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5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5" xr:uid="{00000000-0005-0000-0000-000012040000}"/>
    <cellStyle name="Euro" xfId="962" xr:uid="{00000000-0005-0000-0000-000013040000}"/>
    <cellStyle name="Euro 2" xfId="1467" xr:uid="{00000000-0005-0000-0000-000014040000}"/>
    <cellStyle name="Euro 2 2" xfId="1573" xr:uid="{00000000-0005-0000-0000-000015040000}"/>
    <cellStyle name="Euro 3" xfId="1468" xr:uid="{00000000-0005-0000-0000-000016040000}"/>
    <cellStyle name="Euro 4" xfId="1469" xr:uid="{00000000-0005-0000-0000-000017040000}"/>
    <cellStyle name="Euro 5" xfId="1466" xr:uid="{00000000-0005-0000-0000-000018040000}"/>
    <cellStyle name="Euro 6" xfId="1570" xr:uid="{00000000-0005-0000-0000-000019040000}"/>
    <cellStyle name="Euro_Acabados" xfId="1470" xr:uid="{00000000-0005-0000-0000-00001A040000}"/>
    <cellStyle name="Excel Built-in Normal 1" xfId="1568" xr:uid="{00000000-0005-0000-0000-00001B040000}"/>
    <cellStyle name="Explanatory Text" xfId="963" xr:uid="{00000000-0005-0000-0000-00001C040000}"/>
    <cellStyle name="Fixed" xfId="1471" xr:uid="{00000000-0005-0000-0000-00001D040000}"/>
    <cellStyle name="Fixed 2" xfId="1472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1" xr:uid="{00000000-0005-0000-0000-000025040000}"/>
    <cellStyle name="Hipervínculo 2 3" xfId="1569" xr:uid="{00000000-0005-0000-0000-000026040000}"/>
    <cellStyle name="Hipervínculo 3" xfId="1567" xr:uid="{00000000-0005-0000-0000-000027040000}"/>
    <cellStyle name="Hyperlink" xfId="1576" xr:uid="{00000000-000B-0000-0000-000008000000}"/>
    <cellStyle name="Incorrecto" xfId="1533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3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5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5" xr:uid="{00000000-0005-0000-0000-000051040000}"/>
    <cellStyle name="Millares 2 5 2" xfId="1574" xr:uid="{00000000-0005-0000-0000-000052040000}"/>
    <cellStyle name="Millares 2 6" xfId="1474" xr:uid="{00000000-0005-0000-0000-000053040000}"/>
    <cellStyle name="Millares 2 7" xfId="1572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6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7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8" xr:uid="{00000000-0005-0000-0000-00005F040000}"/>
    <cellStyle name="Millares 6" xfId="1014" xr:uid="{00000000-0005-0000-0000-000060040000}"/>
    <cellStyle name="Millares 7" xfId="1479" xr:uid="{00000000-0005-0000-0000-000061040000}"/>
    <cellStyle name="Millares 8" xfId="1408" xr:uid="{00000000-0005-0000-0000-000062040000}"/>
    <cellStyle name="Millares 9" xfId="1480" xr:uid="{00000000-0005-0000-0000-000063040000}"/>
    <cellStyle name="Moneda" xfId="3" builtinId="4"/>
    <cellStyle name="Moneda [0] 2" xfId="1481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2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5" xr:uid="{00000000-0005-0000-0000-00006C040000}"/>
    <cellStyle name="Moneda 3 2 3" xfId="1484" xr:uid="{00000000-0005-0000-0000-00006D040000}"/>
    <cellStyle name="Moneda 3 3" xfId="1486" xr:uid="{00000000-0005-0000-0000-00006E040000}"/>
    <cellStyle name="Moneda 3 3 2" xfId="1487" xr:uid="{00000000-0005-0000-0000-00006F040000}"/>
    <cellStyle name="Moneda 3 4" xfId="1488" xr:uid="{00000000-0005-0000-0000-000070040000}"/>
    <cellStyle name="Moneda 3 5" xfId="1483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9" xr:uid="{00000000-0005-0000-0000-000074040000}"/>
    <cellStyle name="Moneda 5" xfId="1022" xr:uid="{00000000-0005-0000-0000-000075040000}"/>
    <cellStyle name="Moneda 5 2" xfId="1490" xr:uid="{00000000-0005-0000-0000-000076040000}"/>
    <cellStyle name="Moneda 6" xfId="1491" xr:uid="{00000000-0005-0000-0000-000077040000}"/>
    <cellStyle name="Moneda 7" xfId="1525" xr:uid="{00000000-0005-0000-0000-000078040000}"/>
    <cellStyle name="Moneda 8" xfId="1526" xr:uid="{00000000-0005-0000-0000-000079040000}"/>
    <cellStyle name="Moneda 9" xfId="1575" xr:uid="{00000000-0005-0000-0000-00007A040000}"/>
    <cellStyle name="Monetario0" xfId="1023" xr:uid="{00000000-0005-0000-0000-00007B040000}"/>
    <cellStyle name="Neutral" xfId="1534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7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2" xr:uid="{00000000-0005-0000-0000-0000B5040000}"/>
    <cellStyle name="Normal 2 2 3" xfId="1493" xr:uid="{00000000-0005-0000-0000-0000B6040000}"/>
    <cellStyle name="Normal 2 2 4" xfId="1494" xr:uid="{00000000-0005-0000-0000-0000B7040000}"/>
    <cellStyle name="Normal 2 2_Copia de PRESUPUESTO POR CAPITULOS MARZO-25-11-ULTIMO" xfId="1495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6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7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8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9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1" xr:uid="{00000000-0005-0000-0000-0000DB040000}"/>
    <cellStyle name="Normal 3 3" xfId="1502" xr:uid="{00000000-0005-0000-0000-0000DC040000}"/>
    <cellStyle name="Normal 3 4" xfId="1503" xr:uid="{00000000-0005-0000-0000-0000DD040000}"/>
    <cellStyle name="Normal 3 5" xfId="1500" xr:uid="{00000000-0005-0000-0000-0000DE040000}"/>
    <cellStyle name="Normal 3_Copia de Cuadro APU General Seguridad Electronica Festo 01-12-2008" xfId="1504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7" xr:uid="{00000000-0005-0000-0000-0000E5040000}"/>
    <cellStyle name="Normal 4 2 3" xfId="1506" xr:uid="{00000000-0005-0000-0000-0000E6040000}"/>
    <cellStyle name="Normal 4 2_ESTADISTICA" xfId="1508" xr:uid="{00000000-0005-0000-0000-0000E7040000}"/>
    <cellStyle name="Normal 4 3" xfId="1509" xr:uid="{00000000-0005-0000-0000-0000E8040000}"/>
    <cellStyle name="Normal 4 3 2" xfId="1510" xr:uid="{00000000-0005-0000-0000-0000E9040000}"/>
    <cellStyle name="Normal 4 3_ESTADISTICA" xfId="1511" xr:uid="{00000000-0005-0000-0000-0000EA040000}"/>
    <cellStyle name="Normal 4 4" xfId="1512" xr:uid="{00000000-0005-0000-0000-0000EB040000}"/>
    <cellStyle name="Normal 4 5" xfId="1505" xr:uid="{00000000-0005-0000-0000-0000EC040000}"/>
    <cellStyle name="Normal 4 6" xfId="1524" xr:uid="{00000000-0005-0000-0000-0000ED040000}"/>
    <cellStyle name="Normal 4 7" xfId="1436" xr:uid="{00000000-0005-0000-0000-0000EE040000}"/>
    <cellStyle name="Normal 4_CICLOPUENTE AV-ESMERALDA-OCT-4-2011" xfId="1513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5" xr:uid="{00000000-0005-0000-0000-0000F2040000}"/>
    <cellStyle name="Normal 5 3" xfId="1514" xr:uid="{00000000-0005-0000-0000-0000F3040000}"/>
    <cellStyle name="Normal 6" xfId="1113" xr:uid="{00000000-0005-0000-0000-0000F4040000}"/>
    <cellStyle name="Normal 6 2" xfId="1516" xr:uid="{00000000-0005-0000-0000-0000F5040000}"/>
    <cellStyle name="Normal 7" xfId="1517" xr:uid="{00000000-0005-0000-0000-0000F6040000}"/>
    <cellStyle name="Normal 8" xfId="1114" xr:uid="{00000000-0005-0000-0000-0000F7040000}"/>
    <cellStyle name="Normal 8 2" xfId="1523" xr:uid="{00000000-0005-0000-0000-0000F8040000}"/>
    <cellStyle name="Notas" xfId="1541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" xfId="1404" builtinId="5"/>
    <cellStyle name="Porcentaje 2" xfId="1148" xr:uid="{00000000-0005-0000-0000-00001C050000}"/>
    <cellStyle name="Porcentaje 3" xfId="1522" xr:uid="{00000000-0005-0000-0000-00001D050000}"/>
    <cellStyle name="Porcentual 2" xfId="1149" xr:uid="{00000000-0005-0000-0000-00001E050000}"/>
    <cellStyle name="Porcentual 2 2" xfId="1518" xr:uid="{00000000-0005-0000-0000-00001F050000}"/>
    <cellStyle name="Porcentual 2 3" xfId="1519" xr:uid="{00000000-0005-0000-0000-000020050000}"/>
    <cellStyle name="Porcentual 3" xfId="1150" xr:uid="{00000000-0005-0000-0000-000021050000}"/>
    <cellStyle name="Porcentual 3 2" xfId="1409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6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40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2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7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9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30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20" xr:uid="{00000000-0005-0000-0000-000005060000}"/>
    <cellStyle name="Total" xfId="1543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1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1</xdr:row>
      <xdr:rowOff>47625</xdr:rowOff>
    </xdr:from>
    <xdr:to>
      <xdr:col>3</xdr:col>
      <xdr:colOff>1472564</xdr:colOff>
      <xdr:row>3</xdr:row>
      <xdr:rowOff>176978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FE79A2F-97E9-40E0-853C-2660B31C3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5674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1</xdr:row>
      <xdr:rowOff>47625</xdr:rowOff>
    </xdr:from>
    <xdr:to>
      <xdr:col>3</xdr:col>
      <xdr:colOff>1450974</xdr:colOff>
      <xdr:row>3</xdr:row>
      <xdr:rowOff>155388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2DE264C7-2961-43E4-AB9A-EA18FBED1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5674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ne.gov.co/index.php/estadisticas-por-tema/precios-y-costos/indice-de-precios-al-consumidor-ipc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dane.gov.co/index.php/estadisticas-por-tema/precios-y-costos/indice-de-precios-al-consumidor-ipc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ane.gov.co/index.php/estadisticas-por-tema/precios-y-costos/indice-de-precios-al-consumidor-ip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50EE0-BE7B-46D6-AB4E-1B8906A03A63}">
  <sheetPr>
    <tabColor theme="9" tint="-0.249977111117893"/>
  </sheetPr>
  <dimension ref="B2:V26"/>
  <sheetViews>
    <sheetView view="pageLayout" topLeftCell="D1" zoomScale="70" zoomScaleNormal="80" zoomScaleSheetLayoutView="40" zoomScalePageLayoutView="70" workbookViewId="0">
      <selection activeCell="I10" sqref="I10"/>
    </sheetView>
  </sheetViews>
  <sheetFormatPr baseColWidth="10" defaultColWidth="11.44140625" defaultRowHeight="21"/>
  <cols>
    <col min="1" max="2" width="5.5546875" style="42" customWidth="1"/>
    <col min="3" max="3" width="26.6640625" style="42" customWidth="1"/>
    <col min="4" max="4" width="68.88671875" style="42" customWidth="1"/>
    <col min="5" max="5" width="8.6640625" style="42" customWidth="1"/>
    <col min="6" max="6" width="9.109375" style="42" customWidth="1"/>
    <col min="7" max="8" width="22.6640625" style="42" customWidth="1"/>
    <col min="9" max="9" width="23.6640625" style="42" customWidth="1"/>
    <col min="10" max="13" width="24.88671875" style="42" customWidth="1"/>
    <col min="14" max="14" width="12.44140625" style="42" customWidth="1"/>
    <col min="15" max="15" width="23.6640625" style="42" customWidth="1"/>
    <col min="16" max="16" width="24.6640625" style="42" customWidth="1"/>
    <col min="17" max="17" width="20.109375" style="42" customWidth="1"/>
    <col min="18" max="19" width="14" style="42" customWidth="1"/>
    <col min="20" max="20" width="18.88671875" style="42" customWidth="1"/>
    <col min="21" max="21" width="2.44140625" style="39" customWidth="1"/>
    <col min="22" max="16384" width="11.44140625" style="42"/>
  </cols>
  <sheetData>
    <row r="2" spans="2:22" ht="39.75" customHeight="1">
      <c r="C2" s="171"/>
      <c r="D2" s="172"/>
      <c r="E2" s="177" t="s">
        <v>0</v>
      </c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9"/>
      <c r="U2" s="44"/>
      <c r="V2" s="44"/>
    </row>
    <row r="3" spans="2:22" ht="17.25" customHeight="1">
      <c r="C3" s="173"/>
      <c r="D3" s="174"/>
      <c r="E3" s="180" t="s">
        <v>1</v>
      </c>
      <c r="F3" s="181"/>
      <c r="G3" s="181"/>
      <c r="H3" s="181"/>
      <c r="I3" s="181"/>
      <c r="J3" s="181"/>
      <c r="K3" s="97"/>
      <c r="L3" s="97"/>
      <c r="M3" s="97"/>
      <c r="N3" s="181"/>
      <c r="O3" s="181"/>
      <c r="P3" s="181"/>
      <c r="Q3" s="181"/>
      <c r="R3" s="181"/>
      <c r="S3" s="181"/>
      <c r="T3" s="182"/>
      <c r="U3" s="45"/>
      <c r="V3" s="45"/>
    </row>
    <row r="4" spans="2:22" ht="17.25" customHeight="1">
      <c r="C4" s="175"/>
      <c r="D4" s="176"/>
      <c r="E4" s="180" t="s">
        <v>2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2"/>
      <c r="U4" s="45"/>
      <c r="V4" s="45"/>
    </row>
    <row r="5" spans="2:22" ht="15.75" customHeight="1"/>
    <row r="6" spans="2:22" s="52" customFormat="1" ht="13.8">
      <c r="C6" s="145" t="s">
        <v>3</v>
      </c>
      <c r="D6" s="146"/>
      <c r="E6" s="146"/>
      <c r="F6" s="147"/>
      <c r="G6" s="154" t="s">
        <v>4</v>
      </c>
      <c r="H6" s="155"/>
      <c r="I6" s="155"/>
      <c r="J6" s="142" t="s">
        <v>5</v>
      </c>
      <c r="K6" s="143"/>
      <c r="L6" s="143"/>
      <c r="M6" s="144"/>
      <c r="N6" s="158" t="s">
        <v>6</v>
      </c>
      <c r="O6" s="159"/>
      <c r="P6" s="159"/>
      <c r="Q6" s="159"/>
      <c r="R6" s="159"/>
      <c r="S6" s="159"/>
      <c r="T6" s="160"/>
    </row>
    <row r="7" spans="2:22" s="52" customFormat="1" ht="63.75" customHeight="1">
      <c r="C7" s="148"/>
      <c r="D7" s="149"/>
      <c r="E7" s="149"/>
      <c r="F7" s="150"/>
      <c r="G7" s="156"/>
      <c r="H7" s="157"/>
      <c r="I7" s="157"/>
      <c r="J7" s="120" t="s">
        <v>7</v>
      </c>
      <c r="K7" s="118" t="s">
        <v>8</v>
      </c>
      <c r="L7" s="118" t="s">
        <v>9</v>
      </c>
      <c r="M7" s="118" t="s">
        <v>10</v>
      </c>
      <c r="N7" s="161"/>
      <c r="O7" s="162"/>
      <c r="P7" s="162"/>
      <c r="Q7" s="162"/>
      <c r="R7" s="162"/>
      <c r="S7" s="162"/>
      <c r="T7" s="163"/>
    </row>
    <row r="8" spans="2:22" s="52" customFormat="1" ht="36">
      <c r="C8" s="151"/>
      <c r="D8" s="152"/>
      <c r="E8" s="152"/>
      <c r="F8" s="153"/>
      <c r="G8" s="121" t="s">
        <v>13</v>
      </c>
      <c r="H8" s="121" t="s">
        <v>11</v>
      </c>
      <c r="I8" s="121" t="s">
        <v>12</v>
      </c>
      <c r="J8" s="131" t="s">
        <v>13</v>
      </c>
      <c r="K8" s="131" t="s">
        <v>14</v>
      </c>
      <c r="L8" s="131" t="s">
        <v>15</v>
      </c>
      <c r="M8" s="131" t="s">
        <v>15</v>
      </c>
      <c r="N8" s="164"/>
      <c r="O8" s="165"/>
      <c r="P8" s="165"/>
      <c r="Q8" s="165"/>
      <c r="R8" s="165"/>
      <c r="S8" s="165"/>
      <c r="T8" s="166"/>
    </row>
    <row r="9" spans="2:22" s="52" customFormat="1" ht="54.75" customHeight="1">
      <c r="B9" s="83" t="s">
        <v>16</v>
      </c>
      <c r="C9" s="78" t="s">
        <v>17</v>
      </c>
      <c r="D9" s="84" t="s">
        <v>18</v>
      </c>
      <c r="E9" s="84" t="s">
        <v>19</v>
      </c>
      <c r="F9" s="85" t="s">
        <v>20</v>
      </c>
      <c r="G9" s="167" t="s">
        <v>21</v>
      </c>
      <c r="H9" s="168"/>
      <c r="I9" s="168"/>
      <c r="J9" s="140" t="s">
        <v>22</v>
      </c>
      <c r="K9" s="140"/>
      <c r="L9" s="140"/>
      <c r="M9" s="140"/>
      <c r="N9" s="50" t="s">
        <v>23</v>
      </c>
      <c r="O9" s="51" t="s">
        <v>24</v>
      </c>
      <c r="P9" s="51" t="s">
        <v>25</v>
      </c>
      <c r="Q9" s="51" t="s">
        <v>26</v>
      </c>
      <c r="R9" s="51" t="s">
        <v>27</v>
      </c>
      <c r="S9" s="51" t="s">
        <v>28</v>
      </c>
      <c r="T9" s="51" t="s">
        <v>29</v>
      </c>
    </row>
    <row r="10" spans="2:22" s="52" customFormat="1" ht="51">
      <c r="B10" s="79">
        <v>1</v>
      </c>
      <c r="C10" s="90" t="s">
        <v>30</v>
      </c>
      <c r="D10" s="89" t="s">
        <v>31</v>
      </c>
      <c r="E10" s="88" t="s">
        <v>19</v>
      </c>
      <c r="F10" s="91">
        <v>1</v>
      </c>
      <c r="G10" s="82">
        <v>20026900</v>
      </c>
      <c r="H10" s="82">
        <v>27396180</v>
      </c>
      <c r="I10" s="81">
        <v>28887250</v>
      </c>
      <c r="J10" s="132">
        <v>13388286.2568</v>
      </c>
      <c r="K10" s="108">
        <f>+J10*(1+0.0387)</f>
        <v>13906412.934938159</v>
      </c>
      <c r="L10" s="133">
        <v>17870850.993527204</v>
      </c>
      <c r="M10" s="133">
        <v>21793417.658868946</v>
      </c>
      <c r="N10" s="92">
        <f>COUNT(G10:M10)</f>
        <v>7</v>
      </c>
      <c r="O10" s="56">
        <f>ROUND(AVERAGE(G10:M10),2)</f>
        <v>20467042.550000001</v>
      </c>
      <c r="P10" s="57">
        <f>ROUND(+O10*F10,2)</f>
        <v>20467042.550000001</v>
      </c>
      <c r="Q10" s="58">
        <f>STDEVP(G10:J10)</f>
        <v>6202547.5423964607</v>
      </c>
      <c r="R10" s="59">
        <f>Q10/O10*100</f>
        <v>30.305050313175119</v>
      </c>
      <c r="S10" s="60">
        <f>100-R10</f>
        <v>69.694949686824884</v>
      </c>
      <c r="T10" s="61" t="str">
        <f t="shared" ref="T10" si="0">IF(S10&gt;70,"ALTO","BAJO")</f>
        <v>BAJO</v>
      </c>
      <c r="U10" s="53"/>
    </row>
    <row r="11" spans="2:22" s="52" customFormat="1" ht="51">
      <c r="B11" s="79">
        <v>2</v>
      </c>
      <c r="C11" s="90" t="s">
        <v>30</v>
      </c>
      <c r="D11" s="89" t="s">
        <v>32</v>
      </c>
      <c r="E11" s="88" t="s">
        <v>19</v>
      </c>
      <c r="F11" s="91">
        <v>1</v>
      </c>
      <c r="G11" s="82">
        <v>27810300</v>
      </c>
      <c r="H11" s="87">
        <v>36484210</v>
      </c>
      <c r="I11" s="81">
        <v>28887250</v>
      </c>
      <c r="J11" s="93">
        <v>20082429.385199998</v>
      </c>
      <c r="K11" s="54">
        <f t="shared" ref="K11" si="1">+J11*(1+0.0387)</f>
        <v>20859619.402407236</v>
      </c>
      <c r="L11" s="119">
        <v>17870850.993527204</v>
      </c>
      <c r="M11" s="119">
        <v>21793417.658868946</v>
      </c>
      <c r="N11" s="92">
        <f>COUNT(G11:M11)</f>
        <v>7</v>
      </c>
      <c r="O11" s="56">
        <f t="shared" ref="O11:O12" si="2">ROUND(AVERAGE(G11:M11),2)</f>
        <v>24826868.210000001</v>
      </c>
      <c r="P11" s="57">
        <f>ROUND(+O11*F11,2)</f>
        <v>24826868.210000001</v>
      </c>
      <c r="Q11" s="58">
        <f>STDEVP(G11:J11)</f>
        <v>5811484.2922555506</v>
      </c>
      <c r="R11" s="59">
        <f t="shared" ref="R11:R12" si="3">Q11/O11*100</f>
        <v>23.408044232960265</v>
      </c>
      <c r="S11" s="60">
        <f t="shared" ref="S11:S12" si="4">100-R11</f>
        <v>76.591955767039735</v>
      </c>
      <c r="T11" s="61" t="str">
        <f t="shared" ref="T11:T12" si="5">IF(S11&gt;70,"ALTO","BAJO")</f>
        <v>ALTO</v>
      </c>
      <c r="U11" s="53"/>
    </row>
    <row r="12" spans="2:22" s="52" customFormat="1" ht="40.799999999999997">
      <c r="B12" s="77">
        <v>3</v>
      </c>
      <c r="C12" s="124" t="s">
        <v>33</v>
      </c>
      <c r="D12" s="125" t="s">
        <v>34</v>
      </c>
      <c r="E12" s="126" t="s">
        <v>19</v>
      </c>
      <c r="F12" s="127">
        <v>1</v>
      </c>
      <c r="G12" s="128">
        <f>1000000 +8472800</f>
        <v>9472800</v>
      </c>
      <c r="H12" s="129">
        <v>8817900</v>
      </c>
      <c r="I12" s="130">
        <v>7735000</v>
      </c>
      <c r="J12" s="128">
        <f>1000000 +8472800</f>
        <v>9472800</v>
      </c>
      <c r="K12" s="129">
        <v>8817900</v>
      </c>
      <c r="L12" s="130">
        <v>7735000</v>
      </c>
      <c r="M12" s="128">
        <v>8253380.6741099991</v>
      </c>
      <c r="N12" s="92">
        <f t="shared" ref="N12" si="6">COUNT(G12:M12)</f>
        <v>7</v>
      </c>
      <c r="O12" s="56">
        <f t="shared" si="2"/>
        <v>8614968.6699999999</v>
      </c>
      <c r="P12" s="57">
        <f>ROUND(+O12*F12,2)</f>
        <v>8614968.6699999999</v>
      </c>
      <c r="Q12" s="58">
        <f>STDEVP(G12:J12)</f>
        <v>710209.39297857787</v>
      </c>
      <c r="R12" s="59">
        <f t="shared" si="3"/>
        <v>8.2438998931214673</v>
      </c>
      <c r="S12" s="60">
        <f t="shared" si="4"/>
        <v>91.756100106878534</v>
      </c>
      <c r="T12" s="61" t="str">
        <f t="shared" si="5"/>
        <v>ALTO</v>
      </c>
    </row>
    <row r="13" spans="2:22" s="52" customFormat="1" ht="18" customHeight="1"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23" t="s">
        <v>35</v>
      </c>
      <c r="O13" s="73">
        <f>SUM(O10:O12)</f>
        <v>53908879.430000007</v>
      </c>
      <c r="P13" s="66">
        <f>SUM(O10:O12)</f>
        <v>53908879.430000007</v>
      </c>
      <c r="Q13" s="62"/>
      <c r="R13" s="63"/>
      <c r="S13" s="64"/>
      <c r="T13" s="65"/>
    </row>
    <row r="14" spans="2:22" s="67" customFormat="1" ht="37.5" customHeight="1">
      <c r="D14" s="169" t="s">
        <v>36</v>
      </c>
      <c r="E14" s="169"/>
      <c r="F14" s="169"/>
      <c r="G14" s="169"/>
      <c r="H14" s="169"/>
      <c r="I14" s="169"/>
      <c r="J14" s="169"/>
      <c r="K14" s="169"/>
      <c r="L14" s="169"/>
      <c r="M14" s="169"/>
      <c r="N14" s="170"/>
      <c r="O14" s="170"/>
      <c r="P14" s="170"/>
      <c r="Q14" s="170"/>
      <c r="R14" s="170"/>
      <c r="S14" s="170"/>
      <c r="T14" s="170"/>
    </row>
    <row r="15" spans="2:22" ht="19.5" customHeight="1">
      <c r="D15" s="138" t="s">
        <v>37</v>
      </c>
      <c r="E15" s="138"/>
      <c r="F15" s="138"/>
      <c r="G15" s="138"/>
      <c r="H15" s="138"/>
      <c r="I15" s="138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</row>
    <row r="16" spans="2:22" s="39" customFormat="1" ht="15" customHeight="1">
      <c r="C16" s="42"/>
      <c r="D16" s="139" t="s">
        <v>38</v>
      </c>
      <c r="E16" s="139"/>
      <c r="F16" s="139"/>
      <c r="G16" s="139"/>
      <c r="H16" s="74"/>
      <c r="I16" s="74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spans="3:20" s="39" customFormat="1">
      <c r="C17" s="42"/>
      <c r="D17" s="40"/>
      <c r="E17" s="42"/>
      <c r="F17" s="42"/>
      <c r="G17" s="41"/>
      <c r="H17" s="41"/>
      <c r="I17" s="41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spans="3:20" s="39" customFormat="1">
      <c r="C18" s="42"/>
      <c r="D18" s="40"/>
      <c r="E18" s="42"/>
      <c r="F18" s="42"/>
      <c r="G18" s="41"/>
      <c r="H18" s="41"/>
      <c r="I18" s="41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spans="3:20" s="39" customFormat="1">
      <c r="C19" s="42"/>
      <c r="D19" s="40"/>
      <c r="E19" s="42"/>
      <c r="F19" s="42"/>
      <c r="G19" s="41"/>
      <c r="H19" s="41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spans="3:20">
      <c r="D20" s="43"/>
    </row>
    <row r="21" spans="3:20">
      <c r="D21" s="70" t="s">
        <v>39</v>
      </c>
      <c r="E21" s="70" t="s">
        <v>40</v>
      </c>
      <c r="F21" s="68"/>
      <c r="G21" s="69"/>
      <c r="H21" s="69"/>
      <c r="I21" s="69"/>
    </row>
    <row r="22" spans="3:20">
      <c r="D22" s="70">
        <v>2023</v>
      </c>
      <c r="E22" s="71">
        <v>9.2799999999999994</v>
      </c>
      <c r="G22" s="69"/>
      <c r="H22" s="69"/>
      <c r="I22" s="69"/>
    </row>
    <row r="23" spans="3:20">
      <c r="D23" s="70">
        <v>2024</v>
      </c>
      <c r="E23" s="71">
        <v>5.2</v>
      </c>
      <c r="G23" s="69"/>
      <c r="H23" s="69"/>
      <c r="I23" s="69"/>
    </row>
    <row r="24" spans="3:20">
      <c r="D24" s="70">
        <v>2025</v>
      </c>
      <c r="E24" s="71">
        <v>5.0999999999999996</v>
      </c>
      <c r="G24" s="69"/>
      <c r="H24" s="69"/>
      <c r="I24" s="69"/>
    </row>
    <row r="25" spans="3:20" ht="26.25" customHeight="1">
      <c r="D25" s="72"/>
      <c r="E25" s="71"/>
      <c r="G25" s="69"/>
      <c r="H25" s="69"/>
      <c r="I25" s="69"/>
    </row>
    <row r="26" spans="3:20">
      <c r="D26" s="47" t="s">
        <v>41</v>
      </c>
    </row>
  </sheetData>
  <mergeCells count="15">
    <mergeCell ref="N6:T8"/>
    <mergeCell ref="G9:I9"/>
    <mergeCell ref="D14:T14"/>
    <mergeCell ref="C2:D4"/>
    <mergeCell ref="E2:T2"/>
    <mergeCell ref="E3:J3"/>
    <mergeCell ref="N3:T3"/>
    <mergeCell ref="E4:T4"/>
    <mergeCell ref="D15:I15"/>
    <mergeCell ref="D16:G16"/>
    <mergeCell ref="J9:M9"/>
    <mergeCell ref="C13:M13"/>
    <mergeCell ref="J6:M6"/>
    <mergeCell ref="C6:F8"/>
    <mergeCell ref="G6:I7"/>
  </mergeCells>
  <phoneticPr fontId="80" type="noConversion"/>
  <conditionalFormatting sqref="T10:T13">
    <cfRule type="cellIs" dxfId="1" priority="1" operator="equal">
      <formula>"BAJO"</formula>
    </cfRule>
  </conditionalFormatting>
  <hyperlinks>
    <hyperlink ref="D26" r:id="rId1" xr:uid="{25ED4684-9ABA-4AAC-8E24-273AEB366639}"/>
  </hyperlink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2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CE171-35C0-42EC-BD87-38C914E097E5}">
  <sheetPr>
    <tabColor theme="9" tint="-0.249977111117893"/>
  </sheetPr>
  <dimension ref="B2:V26"/>
  <sheetViews>
    <sheetView tabSelected="1" view="pageLayout" topLeftCell="D1" zoomScale="60" zoomScaleNormal="80" zoomScaleSheetLayoutView="40" zoomScalePageLayoutView="60" workbookViewId="0">
      <selection activeCell="H8" sqref="H8"/>
    </sheetView>
  </sheetViews>
  <sheetFormatPr baseColWidth="10" defaultColWidth="11.44140625" defaultRowHeight="21"/>
  <cols>
    <col min="1" max="1" width="2.33203125" style="42" customWidth="1"/>
    <col min="2" max="2" width="4.33203125" style="42" customWidth="1"/>
    <col min="3" max="3" width="22.33203125" style="42" customWidth="1"/>
    <col min="4" max="4" width="53.6640625" style="42" customWidth="1"/>
    <col min="5" max="5" width="8.6640625" style="42" customWidth="1"/>
    <col min="6" max="6" width="9.109375" style="42" customWidth="1"/>
    <col min="7" max="7" width="28.109375" style="42" customWidth="1"/>
    <col min="8" max="8" width="25.109375" style="42" customWidth="1"/>
    <col min="9" max="9" width="26.6640625" style="42" customWidth="1"/>
    <col min="10" max="13" width="23.88671875" style="42" customWidth="1"/>
    <col min="14" max="14" width="18.44140625" style="42" customWidth="1"/>
    <col min="15" max="15" width="30.5546875" style="42" customWidth="1"/>
    <col min="16" max="16" width="22.33203125" style="42" customWidth="1"/>
    <col min="17" max="17" width="20.109375" style="42" customWidth="1"/>
    <col min="18" max="18" width="16.6640625" style="42" customWidth="1"/>
    <col min="19" max="19" width="18.33203125" style="42" customWidth="1"/>
    <col min="20" max="20" width="18.88671875" style="42" customWidth="1"/>
    <col min="21" max="21" width="2.44140625" style="39" customWidth="1"/>
    <col min="22" max="16384" width="11.44140625" style="42"/>
  </cols>
  <sheetData>
    <row r="2" spans="2:22" ht="39.75" customHeight="1">
      <c r="C2" s="171"/>
      <c r="D2" s="172"/>
      <c r="E2" s="177" t="s">
        <v>0</v>
      </c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9"/>
      <c r="U2" s="44"/>
      <c r="V2" s="44"/>
    </row>
    <row r="3" spans="2:22" ht="17.25" customHeight="1">
      <c r="C3" s="173"/>
      <c r="D3" s="174"/>
      <c r="E3" s="180" t="s">
        <v>1</v>
      </c>
      <c r="F3" s="181"/>
      <c r="G3" s="181"/>
      <c r="H3" s="181"/>
      <c r="I3" s="181"/>
      <c r="J3" s="181"/>
      <c r="K3" s="97"/>
      <c r="L3" s="97"/>
      <c r="M3" s="97"/>
      <c r="N3" s="181"/>
      <c r="O3" s="181"/>
      <c r="P3" s="181"/>
      <c r="Q3" s="181"/>
      <c r="R3" s="181"/>
      <c r="S3" s="181"/>
      <c r="T3" s="182"/>
      <c r="U3" s="45"/>
      <c r="V3" s="45"/>
    </row>
    <row r="4" spans="2:22" ht="17.25" customHeight="1">
      <c r="C4" s="175"/>
      <c r="D4" s="176"/>
      <c r="E4" s="180" t="s">
        <v>2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2"/>
      <c r="U4" s="45"/>
      <c r="V4" s="45"/>
    </row>
    <row r="5" spans="2:22" ht="29.25" customHeight="1"/>
    <row r="6" spans="2:22" s="52" customFormat="1" ht="24.75" customHeight="1">
      <c r="C6" s="145" t="s">
        <v>3</v>
      </c>
      <c r="D6" s="146"/>
      <c r="E6" s="146"/>
      <c r="F6" s="147"/>
      <c r="G6" s="154" t="s">
        <v>4</v>
      </c>
      <c r="H6" s="155"/>
      <c r="I6" s="155"/>
      <c r="J6" s="142" t="s">
        <v>5</v>
      </c>
      <c r="K6" s="143"/>
      <c r="L6" s="143"/>
      <c r="M6" s="144"/>
      <c r="N6" s="158" t="s">
        <v>42</v>
      </c>
      <c r="O6" s="159"/>
      <c r="P6" s="159"/>
      <c r="Q6" s="159"/>
      <c r="R6" s="159"/>
      <c r="S6" s="159"/>
      <c r="T6" s="160"/>
    </row>
    <row r="7" spans="2:22" s="52" customFormat="1" ht="37.5" customHeight="1">
      <c r="C7" s="148"/>
      <c r="D7" s="149"/>
      <c r="E7" s="149"/>
      <c r="F7" s="150"/>
      <c r="G7" s="156"/>
      <c r="H7" s="157"/>
      <c r="I7" s="157"/>
      <c r="J7" s="120" t="s">
        <v>7</v>
      </c>
      <c r="K7" s="118" t="s">
        <v>8</v>
      </c>
      <c r="L7" s="118" t="s">
        <v>9</v>
      </c>
      <c r="M7" s="118" t="s">
        <v>10</v>
      </c>
      <c r="N7" s="161"/>
      <c r="O7" s="162"/>
      <c r="P7" s="162"/>
      <c r="Q7" s="162"/>
      <c r="R7" s="162"/>
      <c r="S7" s="162"/>
      <c r="T7" s="163"/>
    </row>
    <row r="8" spans="2:22" s="52" customFormat="1" ht="51" customHeight="1" thickBot="1">
      <c r="C8" s="151"/>
      <c r="D8" s="152"/>
      <c r="E8" s="152"/>
      <c r="F8" s="152"/>
      <c r="G8" s="121" t="s">
        <v>13</v>
      </c>
      <c r="H8" s="121" t="s">
        <v>11</v>
      </c>
      <c r="I8" s="121" t="s">
        <v>12</v>
      </c>
      <c r="J8" s="122" t="s">
        <v>13</v>
      </c>
      <c r="K8" s="122" t="s">
        <v>14</v>
      </c>
      <c r="L8" s="122" t="s">
        <v>15</v>
      </c>
      <c r="M8" s="122" t="s">
        <v>15</v>
      </c>
      <c r="N8" s="165"/>
      <c r="O8" s="165"/>
      <c r="P8" s="165"/>
      <c r="Q8" s="165"/>
      <c r="R8" s="165"/>
      <c r="S8" s="165"/>
      <c r="T8" s="166"/>
    </row>
    <row r="9" spans="2:22" s="52" customFormat="1" ht="42" thickBot="1">
      <c r="B9" s="83"/>
      <c r="C9" s="78" t="s">
        <v>17</v>
      </c>
      <c r="D9" s="84" t="s">
        <v>43</v>
      </c>
      <c r="E9" s="48" t="s">
        <v>19</v>
      </c>
      <c r="F9" s="49" t="s">
        <v>20</v>
      </c>
      <c r="G9" s="183" t="s">
        <v>21</v>
      </c>
      <c r="H9" s="184"/>
      <c r="I9" s="184"/>
      <c r="J9" s="185" t="s">
        <v>22</v>
      </c>
      <c r="K9" s="186"/>
      <c r="L9" s="186"/>
      <c r="M9" s="186"/>
      <c r="N9" s="51" t="s">
        <v>23</v>
      </c>
      <c r="O9" s="51" t="s">
        <v>24</v>
      </c>
      <c r="P9" s="51" t="s">
        <v>25</v>
      </c>
      <c r="Q9" s="51" t="s">
        <v>26</v>
      </c>
      <c r="R9" s="51" t="s">
        <v>27</v>
      </c>
      <c r="S9" s="51" t="s">
        <v>28</v>
      </c>
      <c r="T9" s="51" t="s">
        <v>29</v>
      </c>
    </row>
    <row r="10" spans="2:22" s="52" customFormat="1" ht="55.2">
      <c r="B10" s="79">
        <v>1</v>
      </c>
      <c r="C10" s="94" t="s">
        <v>30</v>
      </c>
      <c r="D10" s="95" t="s">
        <v>44</v>
      </c>
      <c r="E10" s="88" t="s">
        <v>19</v>
      </c>
      <c r="F10" s="76">
        <v>1</v>
      </c>
      <c r="G10" s="82">
        <v>20026900</v>
      </c>
      <c r="H10" s="82"/>
      <c r="I10" s="81"/>
      <c r="J10" s="93">
        <v>13388286.2568</v>
      </c>
      <c r="K10" s="108">
        <f>+J10*(1+0.0387)</f>
        <v>13906412.934938159</v>
      </c>
      <c r="L10" s="119">
        <v>17870850.993527204</v>
      </c>
      <c r="M10" s="119">
        <v>21793417.658868946</v>
      </c>
      <c r="N10" s="55">
        <f>COUNT(G10:M10)</f>
        <v>5</v>
      </c>
      <c r="O10" s="56">
        <f>ROUND(AVERAGE(G10:M10),0)</f>
        <v>17397174</v>
      </c>
      <c r="P10" s="57">
        <f>ROUND(+O10*F10,0)</f>
        <v>17397174</v>
      </c>
      <c r="Q10" s="58">
        <f t="shared" ref="Q10:Q12" si="0">STDEVP(G10:J10)</f>
        <v>3319306.8715999983</v>
      </c>
      <c r="R10" s="59">
        <f>Q10/O10*100</f>
        <v>19.07957505971946</v>
      </c>
      <c r="S10" s="60">
        <f>100-R10</f>
        <v>80.92042494028054</v>
      </c>
      <c r="T10" s="61" t="str">
        <f t="shared" ref="T10" si="1">IF(S10&gt;70,"ALTO","BAJO")</f>
        <v>ALTO</v>
      </c>
    </row>
    <row r="11" spans="2:22" s="52" customFormat="1" ht="55.2">
      <c r="B11" s="79">
        <v>2</v>
      </c>
      <c r="C11" s="94" t="s">
        <v>30</v>
      </c>
      <c r="D11" s="95" t="s">
        <v>45</v>
      </c>
      <c r="E11" s="88" t="s">
        <v>19</v>
      </c>
      <c r="F11" s="76">
        <v>1</v>
      </c>
      <c r="G11" s="82">
        <v>27810300</v>
      </c>
      <c r="H11" s="87"/>
      <c r="I11" s="81">
        <v>28887250</v>
      </c>
      <c r="J11" s="93">
        <v>20082429.385199998</v>
      </c>
      <c r="K11" s="54">
        <f t="shared" ref="K11" si="2">+J11*(1+0.0387)</f>
        <v>20859619.402407236</v>
      </c>
      <c r="L11" s="119">
        <v>17870850.993527204</v>
      </c>
      <c r="M11" s="119">
        <v>21793417.658868946</v>
      </c>
      <c r="N11" s="55">
        <f t="shared" ref="N11:N12" si="3">COUNT(G11:M11)</f>
        <v>6</v>
      </c>
      <c r="O11" s="56">
        <f>ROUND(AVERAGE(G11:M11),0)</f>
        <v>22883978</v>
      </c>
      <c r="P11" s="57">
        <f>ROUND(+O11*F11,0)</f>
        <v>22883978</v>
      </c>
      <c r="Q11" s="58">
        <f t="shared" si="0"/>
        <v>3921517.1610600743</v>
      </c>
      <c r="R11" s="59">
        <f t="shared" ref="R11:R12" si="4">Q11/O11*100</f>
        <v>17.136518664106713</v>
      </c>
      <c r="S11" s="60">
        <f t="shared" ref="S11:S12" si="5">100-R11</f>
        <v>82.863481335893283</v>
      </c>
      <c r="T11" s="61" t="str">
        <f t="shared" ref="T11:T12" si="6">IF(S11&gt;70,"ALTO","BAJO")</f>
        <v>ALTO</v>
      </c>
    </row>
    <row r="12" spans="2:22" s="52" customFormat="1" ht="55.2">
      <c r="B12" s="77">
        <v>3</v>
      </c>
      <c r="C12" s="134" t="s">
        <v>33</v>
      </c>
      <c r="D12" s="135" t="s">
        <v>46</v>
      </c>
      <c r="E12" s="126" t="s">
        <v>19</v>
      </c>
      <c r="F12" s="136">
        <v>1</v>
      </c>
      <c r="G12" s="128">
        <f>1000000 +8472800</f>
        <v>9472800</v>
      </c>
      <c r="H12" s="129">
        <v>8817900</v>
      </c>
      <c r="I12" s="130">
        <v>7735000</v>
      </c>
      <c r="J12" s="128">
        <v>8253380.6741099991</v>
      </c>
      <c r="K12" s="129"/>
      <c r="L12" s="129"/>
      <c r="M12" s="129"/>
      <c r="N12" s="55">
        <f t="shared" si="3"/>
        <v>4</v>
      </c>
      <c r="O12" s="56">
        <f>ROUND(AVERAGE(G12:M12),0)</f>
        <v>8569770</v>
      </c>
      <c r="P12" s="57">
        <f>ROUND(+O12*F12,0)</f>
        <v>8569770</v>
      </c>
      <c r="Q12" s="58">
        <f t="shared" si="0"/>
        <v>646910.89731063729</v>
      </c>
      <c r="R12" s="59">
        <f t="shared" si="4"/>
        <v>7.5487544859504663</v>
      </c>
      <c r="S12" s="60">
        <f t="shared" si="5"/>
        <v>92.451245514049532</v>
      </c>
      <c r="T12" s="61" t="str">
        <f t="shared" si="6"/>
        <v>ALTO</v>
      </c>
    </row>
    <row r="13" spans="2:22" s="52" customFormat="1" ht="18" customHeight="1"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23" t="s">
        <v>35</v>
      </c>
      <c r="O13" s="75">
        <f>SUM(O10:O12)</f>
        <v>48850922</v>
      </c>
      <c r="P13" s="75">
        <f>SUM(P10:P12)</f>
        <v>48850922</v>
      </c>
      <c r="Q13" s="62"/>
      <c r="R13" s="63"/>
      <c r="S13" s="64"/>
      <c r="T13" s="65"/>
    </row>
    <row r="14" spans="2:22" s="67" customFormat="1" ht="69.599999999999994" customHeight="1">
      <c r="D14" s="169" t="s">
        <v>36</v>
      </c>
      <c r="E14" s="169"/>
      <c r="F14" s="169"/>
      <c r="G14" s="169"/>
      <c r="H14" s="169"/>
      <c r="I14" s="169"/>
      <c r="J14" s="169"/>
      <c r="K14" s="169"/>
      <c r="L14" s="169"/>
      <c r="M14" s="169"/>
      <c r="N14" s="170"/>
      <c r="O14" s="170"/>
      <c r="P14" s="170"/>
      <c r="Q14" s="170"/>
      <c r="R14" s="170"/>
      <c r="S14" s="170"/>
      <c r="T14" s="170"/>
    </row>
    <row r="15" spans="2:22" ht="36.6" customHeight="1">
      <c r="D15" s="138" t="s">
        <v>47</v>
      </c>
      <c r="E15" s="138"/>
      <c r="F15" s="138"/>
      <c r="G15" s="138"/>
      <c r="H15" s="138"/>
      <c r="I15" s="138"/>
      <c r="J15" s="46"/>
      <c r="K15" s="46"/>
      <c r="L15" s="46"/>
      <c r="M15" s="46"/>
      <c r="N15" s="46" t="s">
        <v>48</v>
      </c>
      <c r="O15" s="137">
        <v>1750905</v>
      </c>
      <c r="P15" s="46"/>
      <c r="Q15" s="46"/>
      <c r="R15" s="46"/>
      <c r="S15" s="46"/>
      <c r="T15" s="46"/>
    </row>
    <row r="16" spans="2:22" s="39" customFormat="1" ht="15" customHeight="1">
      <c r="C16" s="42"/>
      <c r="D16" s="139" t="s">
        <v>38</v>
      </c>
      <c r="E16" s="139"/>
      <c r="F16" s="139"/>
      <c r="G16" s="139"/>
      <c r="H16" s="74"/>
      <c r="I16" s="41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spans="3:20" s="39" customFormat="1">
      <c r="C17" s="42"/>
      <c r="D17" s="40"/>
      <c r="E17" s="42"/>
      <c r="F17" s="42"/>
      <c r="G17" s="41"/>
      <c r="H17" s="41"/>
      <c r="I17" s="41"/>
      <c r="J17" s="42"/>
      <c r="K17" s="42"/>
      <c r="L17" s="42"/>
      <c r="M17" s="42"/>
      <c r="N17" s="42"/>
      <c r="O17" s="42">
        <f>O13/O15</f>
        <v>27.900384087086394</v>
      </c>
      <c r="P17" s="42"/>
      <c r="Q17" s="42"/>
      <c r="R17" s="42"/>
      <c r="S17" s="42"/>
      <c r="T17" s="42"/>
    </row>
    <row r="18" spans="3:20" s="39" customFormat="1">
      <c r="C18" s="42"/>
      <c r="D18" s="40"/>
      <c r="E18" s="42"/>
      <c r="F18" s="42"/>
      <c r="G18" s="41"/>
      <c r="H18" s="41"/>
      <c r="I18" s="41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spans="3:20" s="39" customFormat="1">
      <c r="C19" s="42"/>
      <c r="D19" s="40"/>
      <c r="E19" s="42"/>
      <c r="F19" s="42"/>
      <c r="G19" s="41"/>
      <c r="H19" s="41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spans="3:20">
      <c r="D20" s="43"/>
    </row>
    <row r="21" spans="3:20">
      <c r="D21" s="70" t="s">
        <v>39</v>
      </c>
      <c r="E21" s="70" t="s">
        <v>40</v>
      </c>
      <c r="F21" s="68"/>
      <c r="G21" s="69"/>
      <c r="H21" s="69"/>
    </row>
    <row r="22" spans="3:20">
      <c r="D22" s="70">
        <v>2023</v>
      </c>
      <c r="E22" s="71">
        <v>9.2799999999999994</v>
      </c>
      <c r="G22" s="69"/>
      <c r="H22" s="69"/>
    </row>
    <row r="23" spans="3:20">
      <c r="D23" s="70">
        <v>2024</v>
      </c>
      <c r="E23" s="71">
        <v>5.2</v>
      </c>
      <c r="G23" s="69"/>
      <c r="H23" s="69"/>
    </row>
    <row r="24" spans="3:20">
      <c r="D24" s="70">
        <v>2025</v>
      </c>
      <c r="E24" s="71">
        <v>5.0999999999999996</v>
      </c>
      <c r="G24" s="69"/>
      <c r="H24" s="69"/>
    </row>
    <row r="25" spans="3:20" ht="26.25" customHeight="1">
      <c r="D25" s="72"/>
      <c r="E25" s="71"/>
      <c r="G25" s="69"/>
      <c r="H25" s="69"/>
    </row>
    <row r="26" spans="3:20">
      <c r="D26" s="47" t="s">
        <v>41</v>
      </c>
    </row>
  </sheetData>
  <mergeCells count="15">
    <mergeCell ref="G9:I9"/>
    <mergeCell ref="D14:T14"/>
    <mergeCell ref="D15:I15"/>
    <mergeCell ref="D16:G16"/>
    <mergeCell ref="J9:M9"/>
    <mergeCell ref="C13:M13"/>
    <mergeCell ref="C6:F8"/>
    <mergeCell ref="N6:T8"/>
    <mergeCell ref="C2:D4"/>
    <mergeCell ref="E2:T2"/>
    <mergeCell ref="E3:J3"/>
    <mergeCell ref="N3:T3"/>
    <mergeCell ref="E4:T4"/>
    <mergeCell ref="G6:I7"/>
    <mergeCell ref="J6:M6"/>
  </mergeCells>
  <conditionalFormatting sqref="T10:T13">
    <cfRule type="cellIs" dxfId="0" priority="1" operator="equal">
      <formula>"BAJO"</formula>
    </cfRule>
  </conditionalFormatting>
  <hyperlinks>
    <hyperlink ref="D26" r:id="rId1" xr:uid="{F16D6C71-57E3-4285-AF00-A0651608D340}"/>
  </hyperlink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2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89FB-DDE2-4635-9DD2-1B79A98F380C}">
  <dimension ref="A1:W20"/>
  <sheetViews>
    <sheetView workbookViewId="0">
      <selection activeCell="A5" sqref="A5:XFD5"/>
    </sheetView>
  </sheetViews>
  <sheetFormatPr baseColWidth="10" defaultColWidth="9.109375" defaultRowHeight="23.25" customHeight="1"/>
  <cols>
    <col min="1" max="1" width="4.6640625" customWidth="1"/>
    <col min="2" max="3" width="12.5546875" customWidth="1"/>
    <col min="4" max="4" width="55.88671875" customWidth="1"/>
    <col min="5" max="5" width="17.33203125" customWidth="1"/>
    <col min="6" max="6" width="14.109375" customWidth="1"/>
    <col min="7" max="7" width="14.5546875" customWidth="1"/>
    <col min="8" max="8" width="13" customWidth="1"/>
    <col min="9" max="9" width="13.6640625" customWidth="1"/>
    <col min="10" max="10" width="14.5546875" customWidth="1"/>
    <col min="11" max="15" width="13.44140625" customWidth="1"/>
    <col min="16" max="16" width="15.33203125" customWidth="1"/>
    <col min="17" max="17" width="13.44140625" customWidth="1"/>
    <col min="18" max="19" width="14.109375" customWidth="1"/>
    <col min="20" max="20" width="14.33203125" customWidth="1"/>
    <col min="21" max="21" width="14.88671875" customWidth="1"/>
    <col min="22" max="22" width="15" customWidth="1"/>
    <col min="23" max="23" width="12.6640625" bestFit="1" customWidth="1"/>
  </cols>
  <sheetData>
    <row r="1" spans="1:23" ht="23.25" customHeight="1" thickBot="1">
      <c r="F1">
        <v>13.12</v>
      </c>
      <c r="G1">
        <v>9.2799999999999994</v>
      </c>
      <c r="H1">
        <v>5.2</v>
      </c>
      <c r="I1">
        <v>5.0999999999999996</v>
      </c>
      <c r="J1">
        <v>3.87</v>
      </c>
      <c r="L1">
        <v>9.2799999999999994</v>
      </c>
      <c r="M1">
        <v>5.2</v>
      </c>
      <c r="N1">
        <v>5.0999999999999996</v>
      </c>
      <c r="O1">
        <v>3.87</v>
      </c>
      <c r="Q1">
        <v>5.2</v>
      </c>
      <c r="R1">
        <v>5.0999999999999996</v>
      </c>
      <c r="S1">
        <v>3.87</v>
      </c>
      <c r="U1">
        <v>5.0999999999999996</v>
      </c>
      <c r="V1">
        <v>3.87</v>
      </c>
    </row>
    <row r="2" spans="1:23" ht="72.599999999999994" customHeight="1" thickBot="1">
      <c r="A2" s="52"/>
      <c r="B2" s="80" t="s">
        <v>16</v>
      </c>
      <c r="C2" s="48" t="s">
        <v>17</v>
      </c>
      <c r="D2" s="48" t="s">
        <v>18</v>
      </c>
      <c r="E2" s="111" t="s">
        <v>49</v>
      </c>
      <c r="F2" s="111" t="s">
        <v>50</v>
      </c>
      <c r="G2" s="111" t="s">
        <v>51</v>
      </c>
      <c r="H2" s="111" t="s">
        <v>52</v>
      </c>
      <c r="I2" s="111" t="s">
        <v>53</v>
      </c>
      <c r="J2" s="111" t="s">
        <v>54</v>
      </c>
      <c r="K2" s="112" t="s">
        <v>55</v>
      </c>
      <c r="L2" s="112" t="s">
        <v>51</v>
      </c>
      <c r="M2" s="112" t="s">
        <v>52</v>
      </c>
      <c r="N2" s="112" t="s">
        <v>53</v>
      </c>
      <c r="O2" s="113" t="s">
        <v>54</v>
      </c>
      <c r="P2" s="114" t="s">
        <v>56</v>
      </c>
      <c r="Q2" s="114" t="s">
        <v>52</v>
      </c>
      <c r="R2" s="114" t="s">
        <v>53</v>
      </c>
      <c r="S2" s="115" t="s">
        <v>54</v>
      </c>
      <c r="T2" s="104" t="s">
        <v>57</v>
      </c>
      <c r="U2" s="116" t="s">
        <v>53</v>
      </c>
      <c r="V2" s="117" t="s">
        <v>54</v>
      </c>
    </row>
    <row r="3" spans="1:23" ht="51">
      <c r="A3" s="52"/>
      <c r="B3" s="86">
        <v>1</v>
      </c>
      <c r="C3" s="105" t="s">
        <v>30</v>
      </c>
      <c r="D3" s="106" t="s">
        <v>44</v>
      </c>
      <c r="E3" s="107">
        <v>15351000</v>
      </c>
      <c r="F3" s="108">
        <f>+E3*(1+0.1312)</f>
        <v>17365051.199999999</v>
      </c>
      <c r="G3" s="108">
        <f>+F3*(1+0.0928)</f>
        <v>18976527.951359998</v>
      </c>
      <c r="H3" s="108">
        <f>+G3*(1+0.052)</f>
        <v>19963307.40483072</v>
      </c>
      <c r="I3" s="108">
        <f>+H3*(1+0.051)</f>
        <v>20981436.082477085</v>
      </c>
      <c r="J3" s="108">
        <f>+I3*(1+0.0387)</f>
        <v>21793417.658868946</v>
      </c>
      <c r="K3" s="109">
        <v>14239540</v>
      </c>
      <c r="L3" s="108">
        <f>+K3*(1+0.0928)</f>
        <v>15560969.311999999</v>
      </c>
      <c r="M3" s="108">
        <f>+L3*(1+0.052)</f>
        <v>16370139.716224</v>
      </c>
      <c r="N3" s="108">
        <f>+M3*(1+0.051)</f>
        <v>17205016.841751423</v>
      </c>
      <c r="O3" s="108">
        <f>+N3*(1+0.0387)</f>
        <v>17870850.993527204</v>
      </c>
      <c r="P3" s="110">
        <v>16520770</v>
      </c>
      <c r="Q3" s="108">
        <f>+P3*(1+0.052)</f>
        <v>17379850.039999999</v>
      </c>
      <c r="R3" s="108">
        <f>+Q3*(1+0.051)</f>
        <v>18266222.392039999</v>
      </c>
      <c r="S3" s="108">
        <f>+R3*(1+0.0387)</f>
        <v>18973125.198611945</v>
      </c>
      <c r="T3" s="109">
        <v>12264000</v>
      </c>
      <c r="U3" s="108">
        <f>+T3*(1+0.051)</f>
        <v>12889464</v>
      </c>
      <c r="V3" s="108">
        <f>+U3*(1+0.0387)</f>
        <v>13388286.2568</v>
      </c>
    </row>
    <row r="4" spans="1:23" ht="51">
      <c r="A4" s="52"/>
      <c r="B4" s="79">
        <v>2</v>
      </c>
      <c r="C4" s="90" t="s">
        <v>30</v>
      </c>
      <c r="D4" s="89" t="s">
        <v>45</v>
      </c>
      <c r="E4" s="102">
        <v>15351000</v>
      </c>
      <c r="F4" s="108">
        <f>+E4*(1+0.1312)</f>
        <v>17365051.199999999</v>
      </c>
      <c r="G4" s="108">
        <f>+F4*(1+0.0928)</f>
        <v>18976527.951359998</v>
      </c>
      <c r="H4" s="108">
        <f>+G4*(1+0.052)</f>
        <v>19963307.40483072</v>
      </c>
      <c r="I4" s="108">
        <f>+H4*(1+0.051)</f>
        <v>20981436.082477085</v>
      </c>
      <c r="J4" s="108">
        <f>+I4*(1+0.0387)</f>
        <v>21793417.658868946</v>
      </c>
      <c r="K4" s="103">
        <v>14239540</v>
      </c>
      <c r="L4" s="54">
        <f>+K4*(1+0.0928)</f>
        <v>15560969.311999999</v>
      </c>
      <c r="M4" s="54">
        <f>+L4*(1+0.052)</f>
        <v>16370139.716224</v>
      </c>
      <c r="N4" s="54">
        <f>+M4*(1+0.051)</f>
        <v>17205016.841751423</v>
      </c>
      <c r="O4" s="54">
        <f t="shared" ref="O4" si="0">+N4*(1+0.0387)</f>
        <v>17870850.993527204</v>
      </c>
      <c r="P4" s="101">
        <v>22123290</v>
      </c>
      <c r="Q4" s="54">
        <f>+P4*(1+0.052)</f>
        <v>23273701.080000002</v>
      </c>
      <c r="R4" s="54">
        <f>+Q4*(1+0.051)</f>
        <v>24460659.835080002</v>
      </c>
      <c r="S4" s="54">
        <f t="shared" ref="S4" si="1">+R4*(1+0.0387)</f>
        <v>25407287.370697595</v>
      </c>
      <c r="T4" s="103">
        <v>18396000</v>
      </c>
      <c r="U4" s="54">
        <f>+T4*(1+0.051)</f>
        <v>19334196</v>
      </c>
      <c r="V4" s="54">
        <f t="shared" ref="V4:V5" si="2">+U4*(1+0.0387)</f>
        <v>20082429.385199998</v>
      </c>
    </row>
    <row r="5" spans="1:23" ht="77.400000000000006" customHeight="1">
      <c r="A5" s="52"/>
      <c r="B5" s="79">
        <v>3</v>
      </c>
      <c r="C5" s="90" t="s">
        <v>33</v>
      </c>
      <c r="D5" s="89" t="s">
        <v>46</v>
      </c>
      <c r="E5" s="54"/>
      <c r="F5" s="100"/>
      <c r="G5" s="54"/>
      <c r="H5" s="54"/>
      <c r="I5" s="54"/>
      <c r="J5" s="54"/>
      <c r="K5" s="54"/>
      <c r="L5" s="54"/>
      <c r="M5" s="54"/>
      <c r="N5" s="54"/>
      <c r="O5" s="54"/>
      <c r="P5" s="101"/>
      <c r="Q5" s="54"/>
      <c r="R5" s="54"/>
      <c r="S5" s="54"/>
      <c r="T5" s="54">
        <v>7560300</v>
      </c>
      <c r="U5" s="54">
        <f>+T5*(1+0.051)</f>
        <v>7945875.2999999998</v>
      </c>
      <c r="V5" s="54">
        <f t="shared" si="2"/>
        <v>8253380.6741099991</v>
      </c>
    </row>
    <row r="6" spans="1:23" ht="53.4" customHeight="1">
      <c r="A6" s="67"/>
      <c r="B6" s="67"/>
      <c r="C6" s="67"/>
      <c r="D6" s="169" t="s">
        <v>58</v>
      </c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99"/>
    </row>
    <row r="7" spans="1:23" ht="23.25" customHeight="1">
      <c r="A7" s="42"/>
      <c r="B7" s="42"/>
      <c r="C7" s="42"/>
      <c r="D7" s="138" t="s">
        <v>47</v>
      </c>
      <c r="E7" s="138"/>
      <c r="F7" s="138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46"/>
      <c r="V7" s="46"/>
    </row>
    <row r="8" spans="1:23" ht="23.25" customHeight="1">
      <c r="A8" s="39"/>
      <c r="B8" s="42"/>
      <c r="C8" s="42"/>
      <c r="D8" s="139" t="s">
        <v>38</v>
      </c>
      <c r="E8" s="139"/>
      <c r="F8" s="139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41"/>
      <c r="V8" s="42"/>
    </row>
    <row r="9" spans="1:23" ht="23.25" customHeight="1">
      <c r="A9" s="39"/>
      <c r="B9" s="42"/>
      <c r="C9" s="42"/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2"/>
    </row>
    <row r="10" spans="1:23" ht="23.25" customHeight="1">
      <c r="A10" s="39"/>
      <c r="B10" s="42"/>
      <c r="C10" s="42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2"/>
    </row>
    <row r="11" spans="1:23" ht="23.25" customHeight="1">
      <c r="A11" s="39"/>
      <c r="B11" s="42"/>
      <c r="C11" s="42"/>
      <c r="D11" s="40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2"/>
    </row>
    <row r="12" spans="1:23" ht="23.25" customHeight="1">
      <c r="A12" s="42"/>
      <c r="B12" s="42"/>
      <c r="C12" s="42"/>
      <c r="D12" s="43"/>
      <c r="E12" s="43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</row>
    <row r="13" spans="1:23" ht="23.25" customHeight="1">
      <c r="A13" s="42"/>
      <c r="B13" s="42"/>
      <c r="C13" s="42"/>
      <c r="D13" s="70" t="s">
        <v>39</v>
      </c>
      <c r="E13" s="98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42"/>
      <c r="V13" s="42"/>
    </row>
    <row r="14" spans="1:23" ht="23.25" customHeight="1">
      <c r="A14" s="42"/>
      <c r="B14" s="42"/>
      <c r="C14" s="42"/>
      <c r="D14" s="70">
        <v>2023</v>
      </c>
      <c r="E14" s="98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42"/>
      <c r="V14" s="42"/>
    </row>
    <row r="15" spans="1:23" ht="23.25" customHeight="1">
      <c r="A15" s="42"/>
      <c r="B15" s="42"/>
      <c r="C15" s="42"/>
      <c r="D15" s="70">
        <v>2024</v>
      </c>
      <c r="E15" s="98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42"/>
      <c r="V15" s="42"/>
    </row>
    <row r="16" spans="1:23" ht="23.25" customHeight="1">
      <c r="A16" s="42"/>
      <c r="B16" s="42"/>
      <c r="C16" s="42"/>
      <c r="D16" s="70">
        <v>2025</v>
      </c>
      <c r="E16" s="98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42"/>
      <c r="V16" s="42"/>
    </row>
    <row r="17" spans="1:22" ht="23.25" customHeight="1">
      <c r="A17" s="42"/>
      <c r="B17" s="42"/>
      <c r="C17" s="42"/>
      <c r="D17" s="72" t="s">
        <v>59</v>
      </c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42"/>
      <c r="V17" s="42"/>
    </row>
    <row r="18" spans="1:22" ht="23.25" customHeight="1">
      <c r="A18" s="42"/>
      <c r="B18" s="42"/>
      <c r="C18" s="42"/>
      <c r="D18" s="47" t="s">
        <v>41</v>
      </c>
      <c r="E18" s="4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</row>
    <row r="19" spans="1:22" ht="23.25" customHeight="1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</row>
    <row r="20" spans="1:22" ht="23.25" customHeight="1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</row>
  </sheetData>
  <mergeCells count="3">
    <mergeCell ref="D6:V6"/>
    <mergeCell ref="D7:F7"/>
    <mergeCell ref="D8:F8"/>
  </mergeCells>
  <phoneticPr fontId="80" type="noConversion"/>
  <hyperlinks>
    <hyperlink ref="D18" r:id="rId1" xr:uid="{F569651D-343A-48A7-8F33-B35670397D6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ColWidth="11.44140625" defaultRowHeight="14.4"/>
  <cols>
    <col min="4" max="4" width="52.44140625" bestFit="1" customWidth="1"/>
    <col min="6" max="6" width="18.44140625" customWidth="1"/>
    <col min="11" max="11" width="18" customWidth="1"/>
    <col min="21" max="21" width="16.109375" customWidth="1"/>
    <col min="38" max="38" width="15.44140625" customWidth="1"/>
  </cols>
  <sheetData>
    <row r="3" spans="1:40" ht="15" thickBot="1"/>
    <row r="4" spans="1:40" s="9" customFormat="1" ht="61.2">
      <c r="A4" s="1" t="s">
        <v>60</v>
      </c>
      <c r="B4" s="1" t="s">
        <v>61</v>
      </c>
      <c r="C4" s="1" t="s">
        <v>62</v>
      </c>
      <c r="D4" s="1" t="s">
        <v>63</v>
      </c>
      <c r="E4" s="2" t="s">
        <v>64</v>
      </c>
      <c r="F4" s="3" t="s">
        <v>65</v>
      </c>
      <c r="G4" s="4" t="s">
        <v>66</v>
      </c>
      <c r="H4" s="4" t="s">
        <v>67</v>
      </c>
      <c r="I4" s="4" t="s">
        <v>68</v>
      </c>
      <c r="J4" s="4" t="s">
        <v>69</v>
      </c>
      <c r="K4" s="4" t="s">
        <v>70</v>
      </c>
      <c r="L4" s="4" t="s">
        <v>71</v>
      </c>
      <c r="M4" s="5" t="s">
        <v>72</v>
      </c>
      <c r="N4" s="4" t="s">
        <v>73</v>
      </c>
      <c r="O4" s="187" t="s">
        <v>74</v>
      </c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9"/>
      <c r="AA4" s="6"/>
      <c r="AB4" s="6"/>
      <c r="AC4" s="6"/>
      <c r="AD4" s="6"/>
      <c r="AE4" s="4" t="s">
        <v>75</v>
      </c>
      <c r="AF4" s="4" t="s">
        <v>76</v>
      </c>
      <c r="AG4" s="4" t="s">
        <v>77</v>
      </c>
      <c r="AH4" s="4" t="s">
        <v>78</v>
      </c>
      <c r="AI4" s="4" t="s">
        <v>79</v>
      </c>
      <c r="AJ4" s="4" t="s">
        <v>80</v>
      </c>
      <c r="AK4" s="4" t="s">
        <v>81</v>
      </c>
      <c r="AL4" s="7" t="s">
        <v>82</v>
      </c>
      <c r="AM4" s="8" t="s">
        <v>83</v>
      </c>
    </row>
    <row r="5" spans="1:40" s="9" customFormat="1" ht="10.199999999999999">
      <c r="A5" s="11">
        <v>2011</v>
      </c>
      <c r="B5" s="10">
        <v>340</v>
      </c>
      <c r="C5" s="10" t="s">
        <v>84</v>
      </c>
      <c r="D5" s="10" t="s">
        <v>85</v>
      </c>
      <c r="E5" s="12" t="s">
        <v>86</v>
      </c>
      <c r="F5" s="13">
        <v>40827</v>
      </c>
      <c r="G5" s="10" t="s">
        <v>87</v>
      </c>
      <c r="H5" s="10" t="s">
        <v>88</v>
      </c>
      <c r="I5" s="10" t="s">
        <v>89</v>
      </c>
      <c r="J5" s="10"/>
      <c r="K5" s="14">
        <v>7287250</v>
      </c>
      <c r="L5" s="10"/>
      <c r="M5" s="10" t="s">
        <v>90</v>
      </c>
      <c r="N5" s="10"/>
      <c r="O5" s="10" t="s">
        <v>91</v>
      </c>
      <c r="P5" s="10" t="s">
        <v>92</v>
      </c>
      <c r="Q5" s="10" t="s">
        <v>93</v>
      </c>
      <c r="R5" s="10" t="s">
        <v>94</v>
      </c>
      <c r="S5" s="10" t="s">
        <v>95</v>
      </c>
      <c r="T5" s="10" t="s">
        <v>96</v>
      </c>
      <c r="U5" s="10" t="s">
        <v>97</v>
      </c>
      <c r="V5" s="10" t="s">
        <v>98</v>
      </c>
      <c r="W5" s="10"/>
      <c r="X5" s="10"/>
      <c r="Y5" s="10"/>
      <c r="Z5" s="10"/>
      <c r="AA5" s="10"/>
      <c r="AB5" s="10"/>
      <c r="AC5" s="10"/>
      <c r="AD5" s="10"/>
      <c r="AE5" s="10" t="s">
        <v>96</v>
      </c>
      <c r="AF5" s="10" t="s">
        <v>99</v>
      </c>
      <c r="AG5" s="10"/>
      <c r="AH5" s="10"/>
      <c r="AI5" s="10"/>
      <c r="AJ5" s="10" t="s">
        <v>100</v>
      </c>
      <c r="AK5" s="10"/>
      <c r="AL5" s="15"/>
      <c r="AM5" s="16"/>
    </row>
    <row r="6" spans="1:40" s="9" customFormat="1" ht="17.399999999999999">
      <c r="A6" s="30"/>
      <c r="B6" s="22"/>
      <c r="C6" s="22"/>
      <c r="D6" s="22" t="s">
        <v>99</v>
      </c>
      <c r="E6" s="31"/>
      <c r="F6" s="21"/>
      <c r="G6" s="22"/>
      <c r="H6" s="22"/>
      <c r="I6" s="22" t="s">
        <v>101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102</v>
      </c>
      <c r="Q6" s="34" t="s">
        <v>103</v>
      </c>
      <c r="R6" s="34" t="s">
        <v>104</v>
      </c>
      <c r="S6" s="34" t="s">
        <v>105</v>
      </c>
      <c r="T6" s="22" t="s">
        <v>99</v>
      </c>
      <c r="U6" s="34">
        <v>830131794</v>
      </c>
      <c r="V6" s="22" t="s">
        <v>106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107</v>
      </c>
      <c r="AN6" s="9">
        <f>45225*1.16</f>
        <v>52461</v>
      </c>
    </row>
    <row r="7" spans="1:40" s="9" customFormat="1" ht="10.199999999999999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108</v>
      </c>
      <c r="AN7" s="9">
        <f>139000*1.16</f>
        <v>161240</v>
      </c>
    </row>
    <row r="8" spans="1:40" s="9" customFormat="1" ht="10.8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109</v>
      </c>
      <c r="AN8" s="9">
        <f>22414*1.16</f>
        <v>26000.239999999998</v>
      </c>
    </row>
    <row r="9" spans="1:40" s="9" customFormat="1" ht="10.8" thickBot="1">
      <c r="A9" s="18">
        <v>2012</v>
      </c>
      <c r="B9" s="19">
        <v>234</v>
      </c>
      <c r="C9" s="19" t="s">
        <v>84</v>
      </c>
      <c r="D9" s="22" t="s">
        <v>110</v>
      </c>
      <c r="E9" s="20" t="s">
        <v>86</v>
      </c>
      <c r="F9" s="21" t="s">
        <v>111</v>
      </c>
      <c r="G9" s="10" t="s">
        <v>112</v>
      </c>
      <c r="H9" s="22"/>
      <c r="I9" s="22" t="s">
        <v>113</v>
      </c>
      <c r="J9" s="22"/>
      <c r="K9" s="23">
        <v>8957520</v>
      </c>
      <c r="L9" s="22"/>
      <c r="M9" s="22" t="s">
        <v>114</v>
      </c>
      <c r="N9" s="22"/>
      <c r="O9" s="22" t="s">
        <v>115</v>
      </c>
      <c r="P9" s="35" t="s">
        <v>110</v>
      </c>
      <c r="Q9" s="9" t="s">
        <v>116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110</v>
      </c>
      <c r="AF9" s="17" t="s">
        <v>117</v>
      </c>
      <c r="AG9" s="22"/>
      <c r="AH9" s="22"/>
      <c r="AI9" s="22"/>
      <c r="AJ9" s="10" t="s">
        <v>100</v>
      </c>
      <c r="AK9" s="22"/>
      <c r="AL9" s="24"/>
    </row>
    <row r="10" spans="1:40" s="9" customFormat="1" ht="15.6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118</v>
      </c>
      <c r="P10" s="17" t="s">
        <v>117</v>
      </c>
      <c r="Q10" s="33" t="s">
        <v>119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120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FM-029 - INICIAL</vt:lpstr>
      <vt:lpstr>Depurado</vt:lpstr>
      <vt:lpstr>indexado</vt:lpstr>
      <vt:lpstr>MATRIZ UAERMV OTRAS VIGENCIAS</vt:lpstr>
      <vt:lpstr>Depurado!Área_de_impresión</vt:lpstr>
      <vt:lpstr>'FM-029 - INICIAL'!Área_de_impresión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GELVEZ</dc:creator>
  <cp:keywords/>
  <dc:description/>
  <cp:lastModifiedBy>Suly Paola Contreras Cruz</cp:lastModifiedBy>
  <cp:revision/>
  <dcterms:created xsi:type="dcterms:W3CDTF">2013-12-20T17:02:46Z</dcterms:created>
  <dcterms:modified xsi:type="dcterms:W3CDTF">2026-07-21T20:23:11Z</dcterms:modified>
  <cp:category/>
  <cp:contentStatus/>
</cp:coreProperties>
</file>